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zmet.com\dfs\RègleTarif\Commun\Vision Tarifaire\Allocation des coûts\Preuve\"/>
    </mc:Choice>
  </mc:AlternateContent>
  <bookViews>
    <workbookView xWindow="0" yWindow="0" windowWidth="16530" windowHeight="9720"/>
  </bookViews>
  <sheets>
    <sheet name="Sommaire" sheetId="1" r:id="rId1"/>
    <sheet name="Calcul" sheetId="3" r:id="rId2"/>
    <sheet name="Tables" sheetId="2" r:id="rId3"/>
  </sheets>
  <definedNames>
    <definedName name="_xlnm.Print_Titles" localSheetId="2">Tables!$1:$1</definedName>
    <definedName name="_xlnm.Print_Area" localSheetId="0">Sommaire!$A$1:$Q$44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3" l="1"/>
  <c r="A49" i="3"/>
  <c r="A47" i="3"/>
  <c r="A84" i="3"/>
  <c r="A119" i="3"/>
  <c r="A46" i="3"/>
  <c r="K239" i="2" l="1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M238" i="2" l="1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C6" i="3" l="1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O148" i="2"/>
  <c r="AO127" i="2"/>
  <c r="AO126" i="2"/>
  <c r="AO125" i="2"/>
  <c r="AO124" i="2"/>
  <c r="AO123" i="2"/>
  <c r="AO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O109" i="2"/>
  <c r="AO108" i="2"/>
  <c r="AO107" i="2"/>
  <c r="AO106" i="2"/>
  <c r="AO10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C16" i="3"/>
  <c r="C15" i="3"/>
  <c r="C14" i="3"/>
  <c r="C13" i="3"/>
  <c r="C12" i="3"/>
  <c r="C11" i="3"/>
  <c r="C10" i="3"/>
  <c r="C9" i="3"/>
  <c r="C8" i="3"/>
  <c r="C7" i="3"/>
  <c r="C5" i="3"/>
  <c r="C47" i="3" l="1"/>
  <c r="D148" i="2" l="1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AN170" i="2"/>
  <c r="AH170" i="2"/>
  <c r="AB170" i="2"/>
  <c r="V170" i="2"/>
  <c r="P170" i="2"/>
  <c r="J170" i="2"/>
  <c r="AN169" i="2"/>
  <c r="AH169" i="2"/>
  <c r="AB169" i="2"/>
  <c r="V169" i="2"/>
  <c r="P169" i="2"/>
  <c r="J169" i="2"/>
  <c r="AN168" i="2"/>
  <c r="AH168" i="2"/>
  <c r="AB168" i="2"/>
  <c r="V168" i="2"/>
  <c r="P168" i="2"/>
  <c r="J168" i="2"/>
  <c r="AN167" i="2"/>
  <c r="AH167" i="2"/>
  <c r="AB167" i="2"/>
  <c r="V167" i="2"/>
  <c r="P167" i="2"/>
  <c r="J167" i="2"/>
  <c r="AN166" i="2"/>
  <c r="AH166" i="2"/>
  <c r="AB166" i="2"/>
  <c r="V166" i="2"/>
  <c r="P166" i="2"/>
  <c r="J166" i="2"/>
  <c r="AN165" i="2"/>
  <c r="AH165" i="2"/>
  <c r="AB165" i="2"/>
  <c r="V165" i="2"/>
  <c r="P165" i="2"/>
  <c r="J165" i="2"/>
  <c r="AN164" i="2"/>
  <c r="AH164" i="2"/>
  <c r="AB164" i="2"/>
  <c r="V164" i="2"/>
  <c r="P164" i="2"/>
  <c r="J164" i="2"/>
  <c r="AN163" i="2"/>
  <c r="AH163" i="2"/>
  <c r="AB163" i="2"/>
  <c r="V163" i="2"/>
  <c r="P163" i="2"/>
  <c r="J163" i="2"/>
  <c r="AN162" i="2"/>
  <c r="AH162" i="2"/>
  <c r="AB162" i="2"/>
  <c r="V162" i="2"/>
  <c r="P162" i="2"/>
  <c r="J162" i="2"/>
  <c r="AN161" i="2"/>
  <c r="AH161" i="2"/>
  <c r="AB161" i="2"/>
  <c r="V161" i="2"/>
  <c r="P161" i="2"/>
  <c r="J161" i="2"/>
  <c r="AN160" i="2"/>
  <c r="AH160" i="2"/>
  <c r="AB160" i="2"/>
  <c r="V160" i="2"/>
  <c r="P160" i="2"/>
  <c r="J160" i="2"/>
  <c r="AN159" i="2"/>
  <c r="AH159" i="2"/>
  <c r="AB159" i="2"/>
  <c r="V159" i="2"/>
  <c r="P159" i="2"/>
  <c r="J159" i="2"/>
  <c r="AN158" i="2"/>
  <c r="AH158" i="2"/>
  <c r="AB158" i="2"/>
  <c r="V158" i="2"/>
  <c r="P158" i="2"/>
  <c r="J158" i="2"/>
  <c r="AN157" i="2"/>
  <c r="AH157" i="2"/>
  <c r="AB157" i="2"/>
  <c r="V157" i="2"/>
  <c r="P157" i="2"/>
  <c r="J157" i="2"/>
  <c r="AN156" i="2"/>
  <c r="AH156" i="2"/>
  <c r="AB156" i="2"/>
  <c r="V156" i="2"/>
  <c r="P156" i="2"/>
  <c r="J156" i="2"/>
  <c r="AN155" i="2"/>
  <c r="AH155" i="2"/>
  <c r="AB155" i="2"/>
  <c r="V155" i="2"/>
  <c r="P155" i="2"/>
  <c r="J155" i="2"/>
  <c r="AN154" i="2"/>
  <c r="AH154" i="2"/>
  <c r="AB154" i="2"/>
  <c r="V154" i="2"/>
  <c r="P154" i="2"/>
  <c r="J154" i="2"/>
  <c r="AN153" i="2"/>
  <c r="AH153" i="2"/>
  <c r="AB153" i="2"/>
  <c r="V153" i="2"/>
  <c r="P153" i="2"/>
  <c r="J153" i="2"/>
  <c r="AN152" i="2"/>
  <c r="AH152" i="2"/>
  <c r="AB152" i="2"/>
  <c r="V152" i="2"/>
  <c r="P152" i="2"/>
  <c r="J152" i="2"/>
  <c r="AN151" i="2"/>
  <c r="AH151" i="2"/>
  <c r="AB151" i="2"/>
  <c r="V151" i="2"/>
  <c r="P151" i="2"/>
  <c r="J151" i="2"/>
  <c r="AN150" i="2"/>
  <c r="AH150" i="2"/>
  <c r="AB150" i="2"/>
  <c r="V150" i="2"/>
  <c r="P150" i="2"/>
  <c r="J150" i="2"/>
  <c r="AN149" i="2"/>
  <c r="AH149" i="2"/>
  <c r="AB149" i="2"/>
  <c r="V149" i="2"/>
  <c r="P149" i="2"/>
  <c r="J149" i="2"/>
  <c r="AN148" i="2"/>
  <c r="AH148" i="2"/>
  <c r="AB148" i="2"/>
  <c r="V148" i="2"/>
  <c r="P148" i="2"/>
  <c r="J148" i="2"/>
  <c r="D105" i="2"/>
  <c r="J105" i="2"/>
  <c r="P105" i="2"/>
  <c r="V105" i="2"/>
  <c r="AB105" i="2"/>
  <c r="AH105" i="2"/>
  <c r="AN105" i="2"/>
  <c r="D106" i="2"/>
  <c r="J106" i="2"/>
  <c r="P106" i="2"/>
  <c r="V106" i="2"/>
  <c r="AB106" i="2"/>
  <c r="AH106" i="2"/>
  <c r="AN106" i="2"/>
  <c r="D107" i="2"/>
  <c r="J107" i="2"/>
  <c r="P107" i="2"/>
  <c r="V107" i="2"/>
  <c r="AB107" i="2"/>
  <c r="AH107" i="2"/>
  <c r="AN107" i="2"/>
  <c r="D108" i="2"/>
  <c r="J108" i="2"/>
  <c r="P108" i="2"/>
  <c r="V108" i="2"/>
  <c r="AB108" i="2"/>
  <c r="AH108" i="2"/>
  <c r="AN108" i="2"/>
  <c r="D109" i="2"/>
  <c r="J109" i="2"/>
  <c r="P109" i="2"/>
  <c r="V109" i="2"/>
  <c r="AB109" i="2"/>
  <c r="AH109" i="2"/>
  <c r="AN109" i="2"/>
  <c r="D110" i="2"/>
  <c r="J110" i="2"/>
  <c r="P110" i="2"/>
  <c r="V110" i="2"/>
  <c r="AB110" i="2"/>
  <c r="AH110" i="2"/>
  <c r="AN110" i="2"/>
  <c r="D111" i="2"/>
  <c r="J111" i="2"/>
  <c r="P111" i="2"/>
  <c r="V111" i="2"/>
  <c r="AB111" i="2"/>
  <c r="AH111" i="2"/>
  <c r="AN111" i="2"/>
  <c r="D112" i="2"/>
  <c r="J112" i="2"/>
  <c r="P112" i="2"/>
  <c r="V112" i="2"/>
  <c r="AB112" i="2"/>
  <c r="AH112" i="2"/>
  <c r="AN112" i="2"/>
  <c r="D113" i="2"/>
  <c r="J113" i="2"/>
  <c r="P113" i="2"/>
  <c r="V113" i="2"/>
  <c r="AB113" i="2"/>
  <c r="AH113" i="2"/>
  <c r="AN113" i="2"/>
  <c r="D114" i="2"/>
  <c r="J114" i="2"/>
  <c r="P114" i="2"/>
  <c r="V114" i="2"/>
  <c r="AB114" i="2"/>
  <c r="AH114" i="2"/>
  <c r="AN114" i="2"/>
  <c r="D115" i="2"/>
  <c r="J115" i="2"/>
  <c r="P115" i="2"/>
  <c r="V115" i="2"/>
  <c r="AB115" i="2"/>
  <c r="AH115" i="2"/>
  <c r="AN115" i="2"/>
  <c r="D116" i="2"/>
  <c r="J116" i="2"/>
  <c r="P116" i="2"/>
  <c r="V116" i="2"/>
  <c r="AB116" i="2"/>
  <c r="AH116" i="2"/>
  <c r="AN116" i="2"/>
  <c r="D117" i="2"/>
  <c r="J117" i="2"/>
  <c r="P117" i="2"/>
  <c r="V117" i="2"/>
  <c r="AB117" i="2"/>
  <c r="AH117" i="2"/>
  <c r="AN117" i="2"/>
  <c r="D118" i="2"/>
  <c r="J118" i="2"/>
  <c r="P118" i="2"/>
  <c r="V118" i="2"/>
  <c r="AB118" i="2"/>
  <c r="AH118" i="2"/>
  <c r="AN118" i="2"/>
  <c r="D119" i="2"/>
  <c r="J119" i="2"/>
  <c r="P119" i="2"/>
  <c r="V119" i="2"/>
  <c r="AB119" i="2"/>
  <c r="AH119" i="2"/>
  <c r="AN119" i="2"/>
  <c r="D120" i="2"/>
  <c r="J120" i="2"/>
  <c r="P120" i="2"/>
  <c r="V120" i="2"/>
  <c r="AB120" i="2"/>
  <c r="AH120" i="2"/>
  <c r="AN120" i="2"/>
  <c r="D121" i="2"/>
  <c r="J121" i="2"/>
  <c r="P121" i="2"/>
  <c r="V121" i="2"/>
  <c r="AB121" i="2"/>
  <c r="AH121" i="2"/>
  <c r="AN121" i="2"/>
  <c r="D122" i="2"/>
  <c r="J122" i="2"/>
  <c r="P122" i="2"/>
  <c r="V122" i="2"/>
  <c r="AB122" i="2"/>
  <c r="AH122" i="2"/>
  <c r="AN122" i="2"/>
  <c r="D123" i="2"/>
  <c r="J123" i="2"/>
  <c r="P123" i="2"/>
  <c r="V123" i="2"/>
  <c r="AB123" i="2"/>
  <c r="AH123" i="2"/>
  <c r="AN123" i="2"/>
  <c r="D124" i="2"/>
  <c r="J124" i="2"/>
  <c r="P124" i="2"/>
  <c r="V124" i="2"/>
  <c r="AB124" i="2"/>
  <c r="AH124" i="2"/>
  <c r="AN124" i="2"/>
  <c r="D125" i="2"/>
  <c r="J125" i="2"/>
  <c r="P125" i="2"/>
  <c r="V125" i="2"/>
  <c r="AB125" i="2"/>
  <c r="AH125" i="2"/>
  <c r="AN125" i="2"/>
  <c r="D126" i="2"/>
  <c r="J126" i="2"/>
  <c r="P126" i="2"/>
  <c r="V126" i="2"/>
  <c r="AB126" i="2"/>
  <c r="AH126" i="2"/>
  <c r="AN126" i="2"/>
  <c r="D127" i="2"/>
  <c r="J127" i="2"/>
  <c r="P127" i="2"/>
  <c r="V127" i="2"/>
  <c r="AB127" i="2"/>
  <c r="AH127" i="2"/>
  <c r="AN127" i="2"/>
  <c r="V84" i="2"/>
  <c r="P83" i="2"/>
  <c r="AH82" i="2"/>
  <c r="J82" i="2"/>
  <c r="AB81" i="2"/>
  <c r="D81" i="2"/>
  <c r="V80" i="2"/>
  <c r="AN79" i="2"/>
  <c r="AH78" i="2"/>
  <c r="AB77" i="2"/>
  <c r="D77" i="2"/>
  <c r="V76" i="2"/>
  <c r="AN75" i="2"/>
  <c r="AH74" i="2"/>
  <c r="J74" i="2"/>
  <c r="D73" i="2"/>
  <c r="V72" i="2"/>
  <c r="P71" i="2"/>
  <c r="AH70" i="2"/>
  <c r="AB69" i="2"/>
  <c r="D69" i="2"/>
  <c r="V68" i="2"/>
  <c r="AN67" i="2"/>
  <c r="AH66" i="2"/>
  <c r="J66" i="2"/>
  <c r="AB65" i="2"/>
  <c r="D65" i="2"/>
  <c r="V64" i="2"/>
  <c r="AN63" i="2"/>
  <c r="P63" i="2"/>
  <c r="AH62" i="2"/>
  <c r="J62" i="2"/>
  <c r="J78" i="2"/>
  <c r="AH75" i="2"/>
  <c r="J70" i="2"/>
  <c r="AH67" i="2"/>
  <c r="AH63" i="2"/>
  <c r="D63" i="2"/>
  <c r="AH79" i="2"/>
  <c r="AH71" i="2"/>
  <c r="D62" i="2"/>
  <c r="AN83" i="2"/>
  <c r="P79" i="2"/>
  <c r="P75" i="2"/>
  <c r="AN71" i="2"/>
  <c r="P67" i="2"/>
  <c r="AB73" i="2"/>
  <c r="V62" i="2"/>
  <c r="AH84" i="2"/>
  <c r="J83" i="2"/>
  <c r="D82" i="2"/>
  <c r="J81" i="2"/>
  <c r="D80" i="2"/>
  <c r="J79" i="2"/>
  <c r="J77" i="2"/>
  <c r="AH76" i="2"/>
  <c r="D74" i="2"/>
  <c r="J73" i="2"/>
  <c r="D72" i="2"/>
  <c r="J71" i="2"/>
  <c r="D66" i="2"/>
  <c r="J63" i="2"/>
  <c r="D83" i="2"/>
  <c r="J80" i="2"/>
  <c r="D79" i="2"/>
  <c r="J75" i="2"/>
  <c r="D75" i="2"/>
  <c r="J72" i="2"/>
  <c r="D71" i="2"/>
  <c r="D70" i="2"/>
  <c r="J69" i="2"/>
  <c r="D68" i="2"/>
  <c r="J67" i="2"/>
  <c r="D67" i="2"/>
  <c r="J65" i="2"/>
  <c r="J64" i="2"/>
  <c r="D64" i="2"/>
  <c r="V83" i="2"/>
  <c r="V81" i="2"/>
  <c r="V79" i="2"/>
  <c r="V77" i="2"/>
  <c r="V75" i="2"/>
  <c r="V73" i="2"/>
  <c r="V71" i="2"/>
  <c r="V69" i="2"/>
  <c r="V65" i="2"/>
  <c r="V63" i="2"/>
  <c r="P82" i="2"/>
  <c r="P81" i="2"/>
  <c r="P78" i="2"/>
  <c r="P77" i="2"/>
  <c r="P76" i="2"/>
  <c r="P74" i="2"/>
  <c r="P73" i="2"/>
  <c r="P70" i="2"/>
  <c r="P68" i="2"/>
  <c r="AN66" i="2"/>
  <c r="P66" i="2"/>
  <c r="AN65" i="2"/>
  <c r="P65" i="2"/>
  <c r="AN64" i="2"/>
  <c r="P64" i="2"/>
  <c r="AN62" i="2"/>
  <c r="P62" i="2"/>
  <c r="J76" i="2"/>
  <c r="J68" i="2"/>
  <c r="P69" i="2"/>
  <c r="AN81" i="2"/>
  <c r="AN77" i="2"/>
  <c r="AN73" i="2"/>
  <c r="AN69" i="2"/>
  <c r="AN84" i="2"/>
  <c r="AB84" i="2"/>
  <c r="P84" i="2"/>
  <c r="J84" i="2"/>
  <c r="D84" i="2"/>
  <c r="AH83" i="2"/>
  <c r="AB83" i="2"/>
  <c r="AN82" i="2"/>
  <c r="AB82" i="2"/>
  <c r="V82" i="2"/>
  <c r="AH81" i="2"/>
  <c r="AN80" i="2"/>
  <c r="AH80" i="2"/>
  <c r="AB80" i="2"/>
  <c r="P80" i="2"/>
  <c r="AB79" i="2"/>
  <c r="AN78" i="2"/>
  <c r="AB78" i="2"/>
  <c r="V78" i="2"/>
  <c r="D78" i="2"/>
  <c r="AH77" i="2"/>
  <c r="AN76" i="2"/>
  <c r="AB76" i="2"/>
  <c r="D76" i="2"/>
  <c r="AB75" i="2"/>
  <c r="AN74" i="2"/>
  <c r="AB74" i="2"/>
  <c r="V74" i="2"/>
  <c r="AH73" i="2"/>
  <c r="AN72" i="2"/>
  <c r="AH72" i="2"/>
  <c r="AB72" i="2"/>
  <c r="P72" i="2"/>
  <c r="AB71" i="2"/>
  <c r="AN70" i="2"/>
  <c r="AB70" i="2"/>
  <c r="V70" i="2"/>
  <c r="AH69" i="2"/>
  <c r="AN68" i="2"/>
  <c r="AH68" i="2"/>
  <c r="AB68" i="2"/>
  <c r="AB67" i="2"/>
  <c r="V67" i="2"/>
  <c r="AB66" i="2"/>
  <c r="V66" i="2"/>
  <c r="AH65" i="2"/>
  <c r="AH64" i="2"/>
  <c r="AB64" i="2"/>
  <c r="AB63" i="2"/>
  <c r="AB62" i="2"/>
  <c r="AN40" i="2"/>
  <c r="AN38" i="2"/>
  <c r="AN36" i="2"/>
  <c r="AN34" i="2"/>
  <c r="AN32" i="2"/>
  <c r="AN30" i="2"/>
  <c r="AN28" i="2"/>
  <c r="AN26" i="2"/>
  <c r="AN24" i="2"/>
  <c r="AN22" i="2"/>
  <c r="AN20" i="2"/>
  <c r="AN19" i="2"/>
  <c r="AN41" i="2"/>
  <c r="AN39" i="2"/>
  <c r="AN37" i="2"/>
  <c r="AN35" i="2"/>
  <c r="AN33" i="2"/>
  <c r="AN31" i="2"/>
  <c r="AN29" i="2"/>
  <c r="AN27" i="2"/>
  <c r="AN25" i="2"/>
  <c r="AN23" i="2"/>
  <c r="AN21" i="2"/>
  <c r="AB40" i="2"/>
  <c r="AB38" i="2"/>
  <c r="AB36" i="2"/>
  <c r="AB34" i="2"/>
  <c r="AB32" i="2"/>
  <c r="AB30" i="2"/>
  <c r="AB28" i="2"/>
  <c r="AB26" i="2"/>
  <c r="AB24" i="2"/>
  <c r="AB22" i="2"/>
  <c r="AB20" i="2"/>
  <c r="AB19" i="2"/>
  <c r="AB41" i="2"/>
  <c r="AB39" i="2"/>
  <c r="AB37" i="2"/>
  <c r="AB35" i="2"/>
  <c r="AB33" i="2"/>
  <c r="AB31" i="2"/>
  <c r="AB29" i="2"/>
  <c r="AB27" i="2"/>
  <c r="AB25" i="2"/>
  <c r="AB23" i="2"/>
  <c r="AB21" i="2"/>
  <c r="V38" i="2"/>
  <c r="V34" i="2"/>
  <c r="V30" i="2"/>
  <c r="V26" i="2"/>
  <c r="V22" i="2"/>
  <c r="V20" i="2"/>
  <c r="V19" i="2"/>
  <c r="V41" i="2"/>
  <c r="V40" i="2"/>
  <c r="V39" i="2"/>
  <c r="V37" i="2"/>
  <c r="V36" i="2"/>
  <c r="V35" i="2"/>
  <c r="V33" i="2"/>
  <c r="V32" i="2"/>
  <c r="V31" i="2"/>
  <c r="V29" i="2"/>
  <c r="V28" i="2"/>
  <c r="V27" i="2"/>
  <c r="V25" i="2"/>
  <c r="V24" i="2"/>
  <c r="V23" i="2"/>
  <c r="V21" i="2"/>
  <c r="P19" i="2"/>
  <c r="AH38" i="2"/>
  <c r="AH34" i="2"/>
  <c r="AH30" i="2"/>
  <c r="AH26" i="2"/>
  <c r="AH22" i="2"/>
  <c r="AH20" i="2"/>
  <c r="AH19" i="2"/>
  <c r="AH41" i="2"/>
  <c r="AH40" i="2"/>
  <c r="AH39" i="2"/>
  <c r="AH37" i="2"/>
  <c r="AH36" i="2"/>
  <c r="AH35" i="2"/>
  <c r="AH33" i="2"/>
  <c r="AH32" i="2"/>
  <c r="AH31" i="2"/>
  <c r="AH29" i="2"/>
  <c r="AH28" i="2"/>
  <c r="AH27" i="2"/>
  <c r="AH25" i="2"/>
  <c r="AH24" i="2"/>
  <c r="AH23" i="2"/>
  <c r="AH21" i="2"/>
  <c r="P40" i="2"/>
  <c r="P36" i="2"/>
  <c r="P32" i="2"/>
  <c r="P28" i="2"/>
  <c r="P24" i="2"/>
  <c r="P20" i="2"/>
  <c r="P41" i="2"/>
  <c r="P39" i="2"/>
  <c r="P38" i="2"/>
  <c r="P37" i="2"/>
  <c r="P35" i="2"/>
  <c r="P34" i="2"/>
  <c r="P33" i="2"/>
  <c r="P31" i="2"/>
  <c r="P30" i="2"/>
  <c r="P29" i="2"/>
  <c r="P27" i="2"/>
  <c r="P26" i="2"/>
  <c r="P25" i="2"/>
  <c r="P23" i="2"/>
  <c r="P22" i="2"/>
  <c r="P21" i="2"/>
  <c r="J38" i="2"/>
  <c r="J34" i="2"/>
  <c r="J30" i="2"/>
  <c r="J26" i="2"/>
  <c r="J22" i="2"/>
  <c r="J19" i="2"/>
  <c r="J41" i="2"/>
  <c r="J40" i="2"/>
  <c r="J39" i="2"/>
  <c r="J37" i="2"/>
  <c r="J36" i="2"/>
  <c r="J35" i="2"/>
  <c r="J33" i="2"/>
  <c r="J32" i="2"/>
  <c r="J31" i="2"/>
  <c r="J29" i="2"/>
  <c r="J28" i="2"/>
  <c r="J27" i="2"/>
  <c r="J25" i="2"/>
  <c r="J24" i="2"/>
  <c r="J23" i="2"/>
  <c r="J21" i="2"/>
  <c r="J20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42" i="2" s="1"/>
  <c r="E42" i="2" s="1"/>
  <c r="AN171" i="2" l="1"/>
  <c r="AO171" i="2" s="1"/>
  <c r="V171" i="2"/>
  <c r="W171" i="2" s="1"/>
  <c r="D171" i="2"/>
  <c r="E171" i="2" s="1"/>
  <c r="J171" i="2"/>
  <c r="K171" i="2" s="1"/>
  <c r="AB171" i="2"/>
  <c r="AC171" i="2" s="1"/>
  <c r="P171" i="2"/>
  <c r="Q171" i="2" s="1"/>
  <c r="AH171" i="2"/>
  <c r="AI171" i="2" s="1"/>
  <c r="V128" i="2"/>
  <c r="W128" i="2" s="1"/>
  <c r="AN128" i="2"/>
  <c r="AO128" i="2" s="1"/>
  <c r="P128" i="2"/>
  <c r="Q128" i="2" s="1"/>
  <c r="AH128" i="2"/>
  <c r="AI128" i="2" s="1"/>
  <c r="J128" i="2"/>
  <c r="K128" i="2" s="1"/>
  <c r="AB128" i="2"/>
  <c r="AC128" i="2" s="1"/>
  <c r="D128" i="2"/>
  <c r="E128" i="2" s="1"/>
  <c r="J85" i="2"/>
  <c r="K85" i="2" s="1"/>
  <c r="V85" i="2"/>
  <c r="W85" i="2" s="1"/>
  <c r="AH85" i="2"/>
  <c r="AI85" i="2" s="1"/>
  <c r="AN85" i="2"/>
  <c r="AO85" i="2" s="1"/>
  <c r="AB85" i="2"/>
  <c r="AC85" i="2" s="1"/>
  <c r="D85" i="2"/>
  <c r="E85" i="2" s="1"/>
  <c r="P85" i="2"/>
  <c r="Q85" i="2" s="1"/>
  <c r="AN42" i="2"/>
  <c r="AO42" i="2" s="1"/>
  <c r="AB42" i="2"/>
  <c r="AC42" i="2" s="1"/>
  <c r="V42" i="2"/>
  <c r="W42" i="2" s="1"/>
  <c r="AH42" i="2"/>
  <c r="AI42" i="2" s="1"/>
  <c r="P42" i="2"/>
  <c r="Q42" i="2" s="1"/>
  <c r="J42" i="2"/>
  <c r="K42" i="2" s="1"/>
  <c r="E20" i="3" l="1"/>
  <c r="H85" i="3" l="1"/>
  <c r="H114" i="3" s="1"/>
  <c r="C85" i="3"/>
  <c r="C113" i="3" s="1"/>
  <c r="F84" i="3"/>
  <c r="C50" i="3"/>
  <c r="C81" i="3" s="1"/>
  <c r="C87" i="3" l="1"/>
  <c r="C95" i="3"/>
  <c r="C103" i="3"/>
  <c r="C60" i="3"/>
  <c r="C111" i="3"/>
  <c r="C71" i="3"/>
  <c r="C91" i="3"/>
  <c r="C99" i="3"/>
  <c r="C107" i="3"/>
  <c r="C55" i="3"/>
  <c r="C86" i="3"/>
  <c r="C94" i="3"/>
  <c r="C102" i="3"/>
  <c r="C110" i="3"/>
  <c r="C90" i="3"/>
  <c r="C98" i="3"/>
  <c r="C106" i="3"/>
  <c r="C114" i="3"/>
  <c r="C76" i="3"/>
  <c r="C115" i="3"/>
  <c r="H96" i="3"/>
  <c r="H88" i="3"/>
  <c r="H104" i="3"/>
  <c r="H112" i="3"/>
  <c r="H91" i="3"/>
  <c r="H99" i="3"/>
  <c r="H107" i="3"/>
  <c r="H115" i="3"/>
  <c r="H87" i="3"/>
  <c r="H95" i="3"/>
  <c r="H103" i="3"/>
  <c r="H111" i="3"/>
  <c r="H92" i="3"/>
  <c r="H100" i="3"/>
  <c r="H108" i="3"/>
  <c r="H116" i="3"/>
  <c r="H89" i="3"/>
  <c r="H93" i="3"/>
  <c r="H97" i="3"/>
  <c r="H101" i="3"/>
  <c r="H105" i="3"/>
  <c r="H109" i="3"/>
  <c r="H113" i="3"/>
  <c r="H86" i="3"/>
  <c r="H90" i="3"/>
  <c r="H94" i="3"/>
  <c r="H98" i="3"/>
  <c r="H102" i="3"/>
  <c r="H106" i="3"/>
  <c r="H110" i="3"/>
  <c r="C88" i="3"/>
  <c r="C92" i="3"/>
  <c r="C96" i="3"/>
  <c r="C100" i="3"/>
  <c r="C104" i="3"/>
  <c r="C108" i="3"/>
  <c r="C112" i="3"/>
  <c r="C116" i="3"/>
  <c r="C89" i="3"/>
  <c r="C93" i="3"/>
  <c r="C97" i="3"/>
  <c r="C101" i="3"/>
  <c r="C105" i="3"/>
  <c r="C109" i="3"/>
  <c r="C63" i="3"/>
  <c r="C79" i="3"/>
  <c r="C52" i="3"/>
  <c r="C68" i="3"/>
  <c r="C56" i="3"/>
  <c r="C64" i="3"/>
  <c r="C72" i="3"/>
  <c r="C80" i="3"/>
  <c r="C51" i="3"/>
  <c r="C59" i="3"/>
  <c r="C67" i="3"/>
  <c r="C75" i="3"/>
  <c r="C54" i="3"/>
  <c r="C58" i="3"/>
  <c r="C62" i="3"/>
  <c r="C66" i="3"/>
  <c r="C70" i="3"/>
  <c r="C74" i="3"/>
  <c r="C78" i="3"/>
  <c r="C53" i="3"/>
  <c r="C57" i="3"/>
  <c r="C61" i="3"/>
  <c r="C65" i="3"/>
  <c r="C69" i="3"/>
  <c r="C73" i="3"/>
  <c r="C77" i="3"/>
  <c r="A18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D20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A3" i="3"/>
  <c r="A1" i="3"/>
  <c r="B247" i="2"/>
  <c r="A247" i="2"/>
  <c r="C43" i="3" l="1"/>
  <c r="D43" i="3"/>
  <c r="H117" i="3"/>
  <c r="I94" i="3" s="1"/>
  <c r="C117" i="3"/>
  <c r="D88" i="3" s="1"/>
  <c r="C82" i="3"/>
  <c r="I91" i="3" l="1"/>
  <c r="E43" i="3"/>
  <c r="D47" i="3" s="1"/>
  <c r="I93" i="3"/>
  <c r="I108" i="3"/>
  <c r="I106" i="3"/>
  <c r="I92" i="3"/>
  <c r="I90" i="3"/>
  <c r="I109" i="3"/>
  <c r="I107" i="3"/>
  <c r="D91" i="3"/>
  <c r="D108" i="3"/>
  <c r="D115" i="3"/>
  <c r="D114" i="3"/>
  <c r="D113" i="3"/>
  <c r="D86" i="3"/>
  <c r="D106" i="3"/>
  <c r="D98" i="3"/>
  <c r="D99" i="3"/>
  <c r="D101" i="3"/>
  <c r="D96" i="3"/>
  <c r="D104" i="3"/>
  <c r="D94" i="3"/>
  <c r="D111" i="3"/>
  <c r="D109" i="3"/>
  <c r="D92" i="3"/>
  <c r="D95" i="3"/>
  <c r="D93" i="3"/>
  <c r="D112" i="3"/>
  <c r="D110" i="3"/>
  <c r="D90" i="3"/>
  <c r="D107" i="3"/>
  <c r="D97" i="3"/>
  <c r="I105" i="3"/>
  <c r="I89" i="3"/>
  <c r="I104" i="3"/>
  <c r="I88" i="3"/>
  <c r="I103" i="3"/>
  <c r="I87" i="3"/>
  <c r="I102" i="3"/>
  <c r="I86" i="3"/>
  <c r="I101" i="3"/>
  <c r="I116" i="3"/>
  <c r="I100" i="3"/>
  <c r="I115" i="3"/>
  <c r="I99" i="3"/>
  <c r="I114" i="3"/>
  <c r="I98" i="3"/>
  <c r="D116" i="3"/>
  <c r="D100" i="3"/>
  <c r="D102" i="3"/>
  <c r="D87" i="3"/>
  <c r="D103" i="3"/>
  <c r="D89" i="3"/>
  <c r="D105" i="3"/>
  <c r="I113" i="3"/>
  <c r="I97" i="3"/>
  <c r="I112" i="3"/>
  <c r="I96" i="3"/>
  <c r="I111" i="3"/>
  <c r="I95" i="3"/>
  <c r="I110" i="3"/>
  <c r="D81" i="3"/>
  <c r="D79" i="3"/>
  <c r="D77" i="3"/>
  <c r="D69" i="3"/>
  <c r="D71" i="3"/>
  <c r="D63" i="3"/>
  <c r="D55" i="3"/>
  <c r="D73" i="3"/>
  <c r="D65" i="3"/>
  <c r="D57" i="3"/>
  <c r="D75" i="3"/>
  <c r="D67" i="3"/>
  <c r="D59" i="3"/>
  <c r="D51" i="3"/>
  <c r="D61" i="3"/>
  <c r="D53" i="3"/>
  <c r="D66" i="3"/>
  <c r="D60" i="3"/>
  <c r="D62" i="3"/>
  <c r="D58" i="3"/>
  <c r="D52" i="3"/>
  <c r="D54" i="3"/>
  <c r="D64" i="3"/>
  <c r="D80" i="3"/>
  <c r="D76" i="3"/>
  <c r="D78" i="3"/>
  <c r="D72" i="3"/>
  <c r="D56" i="3"/>
  <c r="D74" i="3"/>
  <c r="D68" i="3"/>
  <c r="D70" i="3"/>
  <c r="E47" i="3" l="1"/>
  <c r="C146" i="3" s="1"/>
  <c r="C38" i="1" s="1"/>
  <c r="D117" i="3"/>
  <c r="I117" i="3"/>
  <c r="D82" i="3"/>
  <c r="C148" i="3" l="1"/>
  <c r="C40" i="1" s="1"/>
  <c r="C133" i="3"/>
  <c r="C25" i="1" s="1"/>
  <c r="C127" i="3"/>
  <c r="C18" i="1" s="1"/>
  <c r="C123" i="3"/>
  <c r="C14" i="1" s="1"/>
  <c r="C126" i="3"/>
  <c r="C145" i="3"/>
  <c r="C37" i="1" s="1"/>
  <c r="C147" i="3"/>
  <c r="C39" i="1" s="1"/>
  <c r="C139" i="3"/>
  <c r="C31" i="1" s="1"/>
  <c r="C149" i="3"/>
  <c r="C41" i="1" s="1"/>
  <c r="C137" i="3"/>
  <c r="C29" i="1" s="1"/>
  <c r="C144" i="3"/>
  <c r="C36" i="1" s="1"/>
  <c r="C143" i="3"/>
  <c r="C35" i="1" s="1"/>
  <c r="C131" i="3"/>
  <c r="C140" i="3"/>
  <c r="C132" i="3"/>
  <c r="C151" i="3"/>
  <c r="C43" i="1" s="1"/>
  <c r="C138" i="3"/>
  <c r="C30" i="1" s="1"/>
  <c r="C141" i="3"/>
  <c r="C33" i="1" s="1"/>
  <c r="C121" i="3"/>
  <c r="C125" i="3"/>
  <c r="C16" i="1" s="1"/>
  <c r="C135" i="3"/>
  <c r="C129" i="3"/>
  <c r="C20" i="1" s="1"/>
  <c r="C136" i="3"/>
  <c r="C28" i="1" s="1"/>
  <c r="C130" i="3"/>
  <c r="C21" i="1" s="1"/>
  <c r="C134" i="3"/>
  <c r="C26" i="1" s="1"/>
  <c r="C128" i="3"/>
  <c r="C19" i="1" s="1"/>
  <c r="C122" i="3"/>
  <c r="C13" i="1" s="1"/>
  <c r="C124" i="3"/>
  <c r="C142" i="3"/>
  <c r="C34" i="1" s="1"/>
  <c r="C150" i="3"/>
  <c r="C42" i="1" s="1"/>
  <c r="C24" i="1" l="1"/>
  <c r="C32" i="1"/>
  <c r="C27" i="1"/>
  <c r="C22" i="1"/>
  <c r="C15" i="1"/>
  <c r="C12" i="1"/>
  <c r="C17" i="1"/>
  <c r="C152" i="3"/>
  <c r="C23" i="1" l="1"/>
  <c r="C44" i="1"/>
</calcChain>
</file>

<file path=xl/comments1.xml><?xml version="1.0" encoding="utf-8"?>
<comments xmlns="http://schemas.openxmlformats.org/spreadsheetml/2006/main">
  <authors>
    <author>Tremblay Sylvain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>Modifier avec les menus déroulants pour tester les scénarios dans Excel 2013. 
Pour les autres versions, en l'absence de menus déroulants, copier les choix voulus à partir des colonnes "J" à "L".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Nécessaire quand conduites = distribution seulement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>Nécessaire quand conduites = distribution seulement</t>
        </r>
      </text>
    </comment>
  </commentList>
</comments>
</file>

<file path=xl/comments2.xml><?xml version="1.0" encoding="utf-8"?>
<comments xmlns="http://schemas.openxmlformats.org/spreadsheetml/2006/main">
  <authors>
    <author>Tremblay Sylvain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ATTENTION :
Effacer toute donnée de cette feuille compromet le bon fonctionnement du simulateur.</t>
        </r>
      </text>
    </comment>
  </commentList>
</comments>
</file>

<file path=xl/sharedStrings.xml><?xml version="1.0" encoding="utf-8"?>
<sst xmlns="http://schemas.openxmlformats.org/spreadsheetml/2006/main" count="2002" uniqueCount="74">
  <si>
    <t>Type</t>
  </si>
  <si>
    <t>Diamètre</t>
  </si>
  <si>
    <t>Coût moyen $/m</t>
  </si>
  <si>
    <t>Coût moyen pondéré $/m</t>
  </si>
  <si>
    <t>Longueur (m)</t>
  </si>
  <si>
    <t>Longueur</t>
  </si>
  <si>
    <t>Valeur - 2012</t>
  </si>
  <si>
    <t>Valeur 2012 / m</t>
  </si>
  <si>
    <t>Plastique</t>
  </si>
  <si>
    <t>Acier</t>
  </si>
  <si>
    <t>Total</t>
  </si>
  <si>
    <t/>
  </si>
  <si>
    <t>Global</t>
  </si>
  <si>
    <t>HW</t>
  </si>
  <si>
    <t>IPC</t>
  </si>
  <si>
    <t>Tarif</t>
  </si>
  <si>
    <t>Volume</t>
  </si>
  <si>
    <t># clients</t>
  </si>
  <si>
    <t>% accès</t>
  </si>
  <si>
    <t># branch</t>
  </si>
  <si>
    <t>DQM (CA)</t>
  </si>
  <si>
    <t>% capacité</t>
  </si>
  <si>
    <t>CAU</t>
  </si>
  <si>
    <t>Diamètre
(mm)</t>
  </si>
  <si>
    <t>Longueur
(m)</t>
  </si>
  <si>
    <t xml:space="preserve">Valeur - 2012
</t>
  </si>
  <si>
    <t>Valeur 2012 $/m</t>
  </si>
  <si>
    <t>Accès</t>
  </si>
  <si>
    <t>Capacité</t>
  </si>
  <si>
    <t>Allocation Accès</t>
  </si>
  <si>
    <t>Allocation Capacité</t>
  </si>
  <si>
    <t>Globale</t>
  </si>
  <si>
    <t>Conduites</t>
  </si>
  <si>
    <t>Distribution</t>
  </si>
  <si>
    <t>Distribution + Alimentation</t>
  </si>
  <si>
    <t>Indice</t>
  </si>
  <si>
    <t>Réseau minimal</t>
  </si>
  <si>
    <t>Intercepte Zéro</t>
  </si>
  <si>
    <t>Minimum System 2po</t>
  </si>
  <si>
    <t>Clients</t>
  </si>
  <si>
    <t>Clients Corr</t>
  </si>
  <si>
    <t>Branchements</t>
  </si>
  <si>
    <t>CA (DQM)</t>
  </si>
  <si>
    <t>Alimentation*</t>
  </si>
  <si>
    <t>Alimentation</t>
  </si>
  <si>
    <t>Total Autre</t>
  </si>
  <si>
    <t>Calcul réseau</t>
  </si>
  <si>
    <t>Régions</t>
  </si>
  <si>
    <t>Résultats - Sommaire distribution et alimentation</t>
  </si>
  <si>
    <t>Montreal</t>
  </si>
  <si>
    <t>Abitibi</t>
  </si>
  <si>
    <t>Mauricie</t>
  </si>
  <si>
    <t>Estrie</t>
  </si>
  <si>
    <t>Québec</t>
  </si>
  <si>
    <t>Saguenay</t>
  </si>
  <si>
    <t>Moyen</t>
  </si>
  <si>
    <t>Choix de simulation:</t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</si>
  <si>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</si>
  <si>
    <r>
      <t>D</t>
    </r>
    <r>
      <rPr>
        <vertAlign val="subscript"/>
        <sz val="11"/>
        <color theme="1"/>
        <rFont val="Calibri"/>
        <family val="2"/>
        <scheme val="minor"/>
      </rPr>
      <t>1R</t>
    </r>
  </si>
  <si>
    <r>
      <t>D</t>
    </r>
    <r>
      <rPr>
        <vertAlign val="subscript"/>
        <sz val="10"/>
        <rFont val="Arial"/>
        <family val="2"/>
      </rPr>
      <t>1R</t>
    </r>
  </si>
  <si>
    <r>
      <t>D</t>
    </r>
    <r>
      <rPr>
        <vertAlign val="subscript"/>
        <sz val="10"/>
        <rFont val="Arial"/>
        <family val="2"/>
      </rPr>
      <t>1</t>
    </r>
  </si>
  <si>
    <r>
      <t>Total D</t>
    </r>
    <r>
      <rPr>
        <b/>
        <vertAlign val="subscript"/>
        <sz val="10"/>
        <color theme="0"/>
        <rFont val="Arial"/>
        <family val="2"/>
      </rPr>
      <t>1</t>
    </r>
  </si>
  <si>
    <t>Pour les versions autres qu'Excel 2013, voici les choix possibles pour chaque paramètre de simulation:</t>
  </si>
  <si>
    <t>Données: Coût moyen des conduites et coût du système pour l'alimentation et la distribution avec l'indice HW, par région et global</t>
  </si>
  <si>
    <t>Données: Coût moyen des conduites et coût du système pour l'alimentation et la distribution avec l'indice IPC, par région et global</t>
  </si>
  <si>
    <t>Données: Coût moyen des conduites et coût du système pour la distribution seulement avec l'indice HW, par région et global</t>
  </si>
  <si>
    <t>Données: Coût moyen des conduites et coût du système pour la distribution seulement avec l'indice IPC, par région et global</t>
  </si>
  <si>
    <t>Données: # clients corrigé et # branchements</t>
  </si>
  <si>
    <t>Données: # clients et # branchements</t>
  </si>
  <si>
    <t>Volume Max</t>
  </si>
  <si>
    <t>Données: DQM, DHM et CAU pour Intercepte Zéro</t>
  </si>
  <si>
    <t>Données: DQM, DHM et CAU pour Minimum System 2po</t>
  </si>
  <si>
    <t>Données: Liste de choix menus déroulants</t>
  </si>
  <si>
    <t>Valeur relative des conduites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</si>
</sst>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$&quot;"/>
    <numFmt numFmtId="165" formatCode="0.000%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b/>
      <vertAlign val="subscript"/>
      <sz val="10"/>
      <color theme="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0" borderId="0"/>
    <xf numFmtId="0" fontId="7" fillId="7" borderId="0" applyNumberFormat="0" applyBorder="0" applyAlignment="0" applyProtection="0"/>
  </cellStyleXfs>
  <cellXfs count="64">
    <xf numFmtId="0" fontId="0" fillId="0" borderId="0" xfId="0"/>
    <xf numFmtId="0" fontId="2" fillId="0" borderId="0" xfId="2"/>
    <xf numFmtId="0" fontId="5" fillId="0" borderId="0" xfId="5" applyFont="1" applyAlignment="1">
      <alignment horizontal="center" wrapText="1"/>
    </xf>
    <xf numFmtId="0" fontId="5" fillId="0" borderId="0" xfId="5" applyFont="1"/>
    <xf numFmtId="0" fontId="5" fillId="0" borderId="0" xfId="5"/>
    <xf numFmtId="3" fontId="5" fillId="0" borderId="0" xfId="5" applyNumberFormat="1"/>
    <xf numFmtId="0" fontId="0" fillId="0" borderId="0" xfId="0" applyNumberFormat="1"/>
    <xf numFmtId="0" fontId="5" fillId="0" borderId="0" xfId="5" quotePrefix="1" applyNumberFormat="1"/>
    <xf numFmtId="164" fontId="5" fillId="0" borderId="0" xfId="5" applyNumberFormat="1"/>
    <xf numFmtId="0" fontId="6" fillId="4" borderId="0" xfId="5" applyFont="1" applyFill="1"/>
    <xf numFmtId="3" fontId="6" fillId="4" borderId="0" xfId="5" applyNumberFormat="1" applyFont="1" applyFill="1"/>
    <xf numFmtId="164" fontId="6" fillId="4" borderId="0" xfId="5" applyNumberFormat="1" applyFont="1" applyFill="1"/>
    <xf numFmtId="0" fontId="5" fillId="5" borderId="2" xfId="5" applyNumberFormat="1" applyFont="1" applyFill="1" applyBorder="1" applyAlignment="1"/>
    <xf numFmtId="3" fontId="5" fillId="5" borderId="3" xfId="5" applyNumberFormat="1" applyFont="1" applyFill="1" applyBorder="1" applyAlignment="1"/>
    <xf numFmtId="0" fontId="5" fillId="0" borderId="2" xfId="5" applyNumberFormat="1" applyFont="1" applyBorder="1" applyAlignment="1"/>
    <xf numFmtId="3" fontId="5" fillId="0" borderId="3" xfId="5" applyNumberFormat="1" applyFont="1" applyBorder="1" applyAlignment="1"/>
    <xf numFmtId="0" fontId="5" fillId="0" borderId="0" xfId="5" applyFont="1" applyBorder="1" applyAlignment="1">
      <alignment horizontal="left" indent="1"/>
    </xf>
    <xf numFmtId="0" fontId="5" fillId="0" borderId="0" xfId="5" applyBorder="1" applyAlignment="1">
      <alignment horizontal="right" indent="2"/>
    </xf>
    <xf numFmtId="3" fontId="5" fillId="0" borderId="0" xfId="5" applyNumberFormat="1" applyBorder="1" applyAlignment="1">
      <alignment horizontal="left" indent="5"/>
    </xf>
    <xf numFmtId="3" fontId="5" fillId="0" borderId="0" xfId="5" applyNumberFormat="1" applyBorder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 indent="1"/>
    </xf>
    <xf numFmtId="0" fontId="5" fillId="0" borderId="0" xfId="5" quotePrefix="1" applyNumberFormat="1" applyAlignment="1">
      <alignment horizontal="right" indent="2"/>
    </xf>
    <xf numFmtId="3" fontId="5" fillId="0" borderId="0" xfId="5" applyNumberFormat="1" applyAlignment="1">
      <alignment horizontal="right" indent="2"/>
    </xf>
    <xf numFmtId="164" fontId="5" fillId="0" borderId="0" xfId="5" applyNumberFormat="1" applyAlignment="1">
      <alignment horizontal="right" indent="1"/>
    </xf>
    <xf numFmtId="164" fontId="5" fillId="0" borderId="0" xfId="5" applyNumberFormat="1" applyAlignment="1">
      <alignment horizontal="left" indent="3"/>
    </xf>
    <xf numFmtId="0" fontId="6" fillId="4" borderId="0" xfId="5" applyFont="1" applyFill="1" applyAlignment="1">
      <alignment horizontal="left" indent="1"/>
    </xf>
    <xf numFmtId="3" fontId="6" fillId="4" borderId="0" xfId="5" applyNumberFormat="1" applyFont="1" applyFill="1" applyAlignment="1">
      <alignment horizontal="right" indent="2"/>
    </xf>
    <xf numFmtId="164" fontId="6" fillId="4" borderId="0" xfId="5" applyNumberFormat="1" applyFont="1" applyFill="1" applyAlignment="1">
      <alignment horizontal="right" indent="1"/>
    </xf>
    <xf numFmtId="164" fontId="6" fillId="4" borderId="0" xfId="5" applyNumberFormat="1" applyFont="1" applyFill="1" applyAlignment="1">
      <alignment horizontal="left" indent="3"/>
    </xf>
    <xf numFmtId="0" fontId="3" fillId="0" borderId="1" xfId="3"/>
    <xf numFmtId="0" fontId="1" fillId="2" borderId="0" xfId="1" applyAlignment="1">
      <alignment horizontal="center"/>
    </xf>
    <xf numFmtId="0" fontId="4" fillId="3" borderId="0" xfId="4"/>
    <xf numFmtId="9" fontId="1" fillId="2" borderId="0" xfId="1" applyNumberFormat="1" applyAlignment="1">
      <alignment horizontal="center"/>
    </xf>
    <xf numFmtId="0" fontId="4" fillId="6" borderId="0" xfId="0" applyFont="1" applyFill="1"/>
    <xf numFmtId="0" fontId="5" fillId="5" borderId="3" xfId="5" quotePrefix="1" applyNumberFormat="1" applyFont="1" applyFill="1" applyBorder="1" applyAlignment="1"/>
    <xf numFmtId="165" fontId="5" fillId="5" borderId="3" xfId="5" applyNumberFormat="1" applyFont="1" applyFill="1" applyBorder="1" applyAlignment="1"/>
    <xf numFmtId="0" fontId="5" fillId="0" borderId="3" xfId="5" quotePrefix="1" applyNumberFormat="1" applyFont="1" applyBorder="1" applyAlignment="1"/>
    <xf numFmtId="165" fontId="5" fillId="0" borderId="3" xfId="5" applyNumberFormat="1" applyFont="1" applyBorder="1" applyAlignment="1"/>
    <xf numFmtId="0" fontId="6" fillId="4" borderId="2" xfId="5" applyNumberFormat="1" applyFont="1" applyFill="1" applyBorder="1" applyAlignment="1"/>
    <xf numFmtId="0" fontId="6" fillId="4" borderId="3" xfId="5" applyNumberFormat="1" applyFont="1" applyFill="1" applyBorder="1" applyAlignment="1"/>
    <xf numFmtId="3" fontId="6" fillId="4" borderId="3" xfId="5" applyNumberFormat="1" applyFont="1" applyFill="1" applyBorder="1" applyAlignment="1"/>
    <xf numFmtId="9" fontId="6" fillId="4" borderId="3" xfId="5" applyNumberFormat="1" applyFont="1" applyFill="1" applyBorder="1" applyAlignment="1"/>
    <xf numFmtId="9" fontId="0" fillId="0" borderId="0" xfId="0" applyNumberFormat="1"/>
    <xf numFmtId="3" fontId="5" fillId="5" borderId="3" xfId="5" quotePrefix="1" applyNumberFormat="1" applyFont="1" applyFill="1" applyBorder="1" applyAlignment="1"/>
    <xf numFmtId="3" fontId="5" fillId="0" borderId="3" xfId="5" quotePrefix="1" applyNumberFormat="1" applyFont="1" applyBorder="1" applyAlignment="1"/>
    <xf numFmtId="10" fontId="6" fillId="4" borderId="3" xfId="5" applyNumberFormat="1" applyFont="1" applyFill="1" applyBorder="1" applyAlignment="1"/>
    <xf numFmtId="164" fontId="0" fillId="0" borderId="0" xfId="0" applyNumberFormat="1"/>
    <xf numFmtId="1" fontId="4" fillId="3" borderId="0" xfId="4" applyNumberFormat="1"/>
    <xf numFmtId="0" fontId="4" fillId="6" borderId="0" xfId="0" applyFont="1" applyFill="1" applyAlignment="1">
      <alignment horizontal="center"/>
    </xf>
    <xf numFmtId="0" fontId="3" fillId="0" borderId="0" xfId="0" applyFont="1"/>
    <xf numFmtId="165" fontId="0" fillId="0" borderId="0" xfId="0" applyNumberFormat="1"/>
    <xf numFmtId="10" fontId="0" fillId="0" borderId="0" xfId="0" applyNumberFormat="1"/>
    <xf numFmtId="0" fontId="13" fillId="0" borderId="0" xfId="0" applyFont="1"/>
    <xf numFmtId="0" fontId="7" fillId="0" borderId="1" xfId="3" applyFont="1"/>
    <xf numFmtId="0" fontId="12" fillId="0" borderId="0" xfId="5" applyFont="1" applyFill="1"/>
    <xf numFmtId="3" fontId="0" fillId="0" borderId="0" xfId="0" applyNumberFormat="1"/>
    <xf numFmtId="166" fontId="0" fillId="0" borderId="0" xfId="0" applyNumberFormat="1"/>
    <xf numFmtId="0" fontId="0" fillId="0" borderId="4" xfId="0" applyBorder="1"/>
    <xf numFmtId="9" fontId="0" fillId="8" borderId="5" xfId="0" applyNumberForma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7" borderId="0" xfId="6" applyAlignment="1"/>
    <xf numFmtId="0" fontId="0" fillId="0" borderId="0" xfId="0" applyAlignment="1"/>
  </cellXfs>
  <cellStyles count="7">
    <cellStyle name="20 % - Accent1" xfId="6" builtinId="30"/>
    <cellStyle name="Accent1" xfId="4" builtinId="29"/>
    <cellStyle name="Avertissement" xfId="2" builtinId="11"/>
    <cellStyle name="Normal" xfId="0" builtinId="0"/>
    <cellStyle name="Normal 2" xfId="5"/>
    <cellStyle name="Satisfaisant" xfId="1" builtinId="26"/>
    <cellStyle name="Total" xfId="3" builtinId="25"/>
  </cellStyles>
  <dxfs count="13">
    <dxf>
      <numFmt numFmtId="164" formatCode="#,##0\ &quot;$&quot;"/>
    </dxf>
    <dxf>
      <numFmt numFmtId="164" formatCode="#,##0\ &quot;$&quot;"/>
      <alignment horizontal="left" vertical="bottom" textRotation="0" wrapText="0" relativeIndent="1" justifyLastLine="0" shrinkToFit="0" readingOrder="0"/>
    </dxf>
    <dxf>
      <numFmt numFmtId="164" formatCode="#,##0\ &quot;$&quot;"/>
      <alignment horizontal="right" vertical="bottom" textRotation="0" wrapText="0" relativeIndent="-1" justifyLastLine="0" shrinkToFit="0" readingOrder="0"/>
    </dxf>
    <dxf>
      <numFmt numFmtId="3" formatCode="#,##0"/>
      <alignment horizontal="right" vertical="bottom" textRotation="0" wrapText="0" relativeIndent="1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3" formatCode="#,##0"/>
    </dxf>
    <dxf>
      <numFmt numFmtId="3" formatCode="#,##0"/>
      <alignment horizontal="left" vertical="bottom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2" name="Tableau120" displayName="Tableau120" ref="A4:D16" totalsRowShown="0" headerRowDxfId="12">
  <autoFilter ref="A4:D16">
    <filterColumn colId="0" hiddenButton="1"/>
    <filterColumn colId="1" hiddenButton="1"/>
    <filterColumn colId="2" hiddenButton="1"/>
    <filterColumn colId="3" hiddenButton="1"/>
  </autoFilter>
  <tableColumns count="4">
    <tableColumn id="1" name="Type" dataDxfId="11"/>
    <tableColumn id="2" name="Diamètre_x000a_(mm)" dataDxfId="10"/>
    <tableColumn id="3" name="Coût moyen $/m" dataDxfId="9"/>
    <tableColumn id="5" name="Longueur (m)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au221" displayName="Tableau221" ref="A19:E43" headerRowDxfId="7">
  <autoFilter ref="A19:E4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Type" totalsRowLabel="Total" dataDxfId="6" totalsRowDxfId="5"/>
    <tableColumn id="2" name="Diamètre_x000a_(mm)" dataDxfId="4"/>
    <tableColumn id="3" name="Longueur_x000a_(m)" dataDxfId="3"/>
    <tableColumn id="4" name="Valeur - 2012_x000a_" dataDxfId="2"/>
    <tableColumn id="5" name="Valeur 2012 $/m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60" zoomScaleNormal="85" workbookViewId="0">
      <selection activeCell="I19" sqref="I19"/>
    </sheetView>
  </sheetViews>
  <sheetFormatPr baseColWidth="10" defaultColWidth="11.42578125" defaultRowHeight="15" x14ac:dyDescent="0.25"/>
  <cols>
    <col min="1" max="1" width="16.5703125" customWidth="1"/>
    <col min="4" max="5" width="13" customWidth="1"/>
    <col min="6" max="6" width="14.28515625" customWidth="1"/>
    <col min="7" max="7" width="13.5703125" customWidth="1"/>
    <col min="8" max="8" width="12.28515625" customWidth="1"/>
    <col min="9" max="9" width="13" customWidth="1"/>
    <col min="10" max="10" width="29.140625" customWidth="1"/>
    <col min="11" max="11" width="28.5703125" customWidth="1"/>
    <col min="12" max="12" width="16" customWidth="1"/>
  </cols>
  <sheetData>
    <row r="1" spans="1:12" x14ac:dyDescent="0.25">
      <c r="B1" s="50" t="s">
        <v>56</v>
      </c>
      <c r="J1" s="53" t="s">
        <v>62</v>
      </c>
    </row>
    <row r="2" spans="1:12" x14ac:dyDescent="0.25">
      <c r="A2" s="50" t="s">
        <v>36</v>
      </c>
      <c r="B2" s="62" t="s">
        <v>38</v>
      </c>
      <c r="C2" s="63"/>
      <c r="D2" s="63"/>
      <c r="F2" s="60" t="s">
        <v>73</v>
      </c>
      <c r="G2" s="58" t="s">
        <v>33</v>
      </c>
      <c r="H2" s="59">
        <v>0.7</v>
      </c>
      <c r="J2" t="s">
        <v>37</v>
      </c>
      <c r="K2" t="s">
        <v>38</v>
      </c>
    </row>
    <row r="3" spans="1:12" x14ac:dyDescent="0.25">
      <c r="A3" s="50" t="s">
        <v>32</v>
      </c>
      <c r="B3" s="62" t="s">
        <v>34</v>
      </c>
      <c r="C3" s="63"/>
      <c r="D3" s="63"/>
      <c r="F3" s="61"/>
      <c r="G3" s="58" t="s">
        <v>44</v>
      </c>
      <c r="H3" s="59">
        <v>0.3</v>
      </c>
      <c r="J3" t="s">
        <v>33</v>
      </c>
      <c r="K3" t="s">
        <v>34</v>
      </c>
    </row>
    <row r="4" spans="1:12" x14ac:dyDescent="0.25">
      <c r="A4" s="50" t="s">
        <v>35</v>
      </c>
      <c r="B4" s="62" t="s">
        <v>13</v>
      </c>
      <c r="C4" s="63"/>
      <c r="D4" s="63"/>
      <c r="J4" t="s">
        <v>14</v>
      </c>
      <c r="K4" t="s">
        <v>13</v>
      </c>
    </row>
    <row r="5" spans="1:12" x14ac:dyDescent="0.25">
      <c r="A5" s="50" t="s">
        <v>27</v>
      </c>
      <c r="B5" s="62" t="s">
        <v>41</v>
      </c>
      <c r="C5" s="63"/>
      <c r="D5" s="63"/>
      <c r="J5" t="s">
        <v>39</v>
      </c>
      <c r="K5" t="s">
        <v>40</v>
      </c>
      <c r="L5" t="s">
        <v>41</v>
      </c>
    </row>
    <row r="6" spans="1:12" x14ac:dyDescent="0.25">
      <c r="A6" s="50" t="s">
        <v>28</v>
      </c>
      <c r="B6" s="62" t="s">
        <v>42</v>
      </c>
      <c r="C6" s="63"/>
      <c r="D6" s="63"/>
      <c r="J6" t="s">
        <v>42</v>
      </c>
      <c r="K6" t="s">
        <v>22</v>
      </c>
    </row>
    <row r="7" spans="1:12" x14ac:dyDescent="0.25">
      <c r="A7" s="50" t="s">
        <v>46</v>
      </c>
      <c r="B7" s="62" t="s">
        <v>12</v>
      </c>
      <c r="C7" s="63"/>
      <c r="D7" s="63"/>
      <c r="J7" t="s">
        <v>47</v>
      </c>
      <c r="K7" t="s">
        <v>12</v>
      </c>
    </row>
    <row r="8" spans="1:12" x14ac:dyDescent="0.25">
      <c r="A8" s="50" t="s">
        <v>43</v>
      </c>
      <c r="B8" s="62" t="s">
        <v>42</v>
      </c>
      <c r="C8" s="63"/>
      <c r="D8" s="63"/>
      <c r="J8" t="s">
        <v>42</v>
      </c>
      <c r="K8" t="s">
        <v>22</v>
      </c>
    </row>
    <row r="10" spans="1:12" x14ac:dyDescent="0.25">
      <c r="A10" s="50" t="s">
        <v>48</v>
      </c>
    </row>
    <row r="11" spans="1:12" x14ac:dyDescent="0.25">
      <c r="A11" s="34" t="s">
        <v>15</v>
      </c>
      <c r="B11" s="34"/>
      <c r="C11" s="49" t="s">
        <v>55</v>
      </c>
    </row>
    <row r="12" spans="1:12" ht="15.75" x14ac:dyDescent="0.3">
      <c r="A12" s="12" t="s">
        <v>60</v>
      </c>
      <c r="B12" s="44">
        <v>365</v>
      </c>
      <c r="C12" s="36">
        <f>IF($B$3="Distribution",Calcul!C121*$H$2+Calcul!I86*$H$3,Calcul!C121)</f>
        <v>4.3514734678972058E-2</v>
      </c>
      <c r="E12" s="52"/>
      <c r="F12" s="52"/>
    </row>
    <row r="13" spans="1:12" ht="15.75" x14ac:dyDescent="0.3">
      <c r="A13" s="14" t="s">
        <v>60</v>
      </c>
      <c r="B13" s="45">
        <v>1095</v>
      </c>
      <c r="C13" s="38">
        <f>IF($B$3="Distribution",Calcul!C122*$H$2+Calcul!I87*$H$3,Calcul!C122)</f>
        <v>6.250370813824227E-2</v>
      </c>
      <c r="E13" s="52"/>
      <c r="F13" s="52"/>
    </row>
    <row r="14" spans="1:12" ht="15.75" x14ac:dyDescent="0.3">
      <c r="A14" s="12" t="s">
        <v>60</v>
      </c>
      <c r="B14" s="44">
        <v>3650</v>
      </c>
      <c r="C14" s="36">
        <f>IF($B$3="Distribution",Calcul!C123*$H$2+Calcul!I88*$H$3,Calcul!C123)</f>
        <v>0.28949093211948274</v>
      </c>
      <c r="E14" s="52"/>
      <c r="F14" s="52"/>
    </row>
    <row r="15" spans="1:12" ht="15.75" x14ac:dyDescent="0.3">
      <c r="A15" s="14" t="s">
        <v>60</v>
      </c>
      <c r="B15" s="45">
        <v>10950</v>
      </c>
      <c r="C15" s="38">
        <f>IF($B$3="Distribution",Calcul!C124*$H$2+Calcul!I89*$H$3,Calcul!C124)</f>
        <v>0.10991171514183121</v>
      </c>
      <c r="E15" s="52"/>
      <c r="F15" s="52"/>
    </row>
    <row r="16" spans="1:12" ht="15.75" x14ac:dyDescent="0.3">
      <c r="A16" s="12" t="s">
        <v>60</v>
      </c>
      <c r="B16" s="44">
        <v>36500</v>
      </c>
      <c r="C16" s="36">
        <f>IF($B$3="Distribution",Calcul!C125*$H$2+Calcul!I90*$H$3,Calcul!C125)</f>
        <v>7.0826980637984732E-2</v>
      </c>
      <c r="E16" s="52"/>
      <c r="F16" s="52"/>
    </row>
    <row r="17" spans="1:6" ht="15.75" x14ac:dyDescent="0.3">
      <c r="A17" s="14" t="s">
        <v>60</v>
      </c>
      <c r="B17" s="45">
        <v>109500</v>
      </c>
      <c r="C17" s="38">
        <f>IF($B$3="Distribution",Calcul!C126*$H$2+Calcul!I91*$H$3,Calcul!C126)</f>
        <v>8.65387894890155E-2</v>
      </c>
      <c r="E17" s="52"/>
      <c r="F17" s="52"/>
    </row>
    <row r="18" spans="1:6" ht="15.75" x14ac:dyDescent="0.3">
      <c r="A18" s="12" t="s">
        <v>60</v>
      </c>
      <c r="B18" s="44">
        <v>365000</v>
      </c>
      <c r="C18" s="36">
        <f>IF($B$3="Distribution",Calcul!C127*$H$2+Calcul!I92*$H$3,Calcul!C127)</f>
        <v>4.6064137854081894E-2</v>
      </c>
      <c r="E18" s="52"/>
      <c r="F18" s="52"/>
    </row>
    <row r="19" spans="1:6" ht="15.75" x14ac:dyDescent="0.3">
      <c r="A19" s="14" t="s">
        <v>60</v>
      </c>
      <c r="B19" s="45">
        <v>1095000</v>
      </c>
      <c r="C19" s="38">
        <f>IF($B$3="Distribution",Calcul!C128*$H$2+Calcul!I93*$H$3,Calcul!C128)</f>
        <v>1.6974189060156599E-2</v>
      </c>
      <c r="E19" s="52"/>
      <c r="F19" s="52"/>
    </row>
    <row r="20" spans="1:6" ht="15.75" x14ac:dyDescent="0.3">
      <c r="A20" s="12" t="s">
        <v>60</v>
      </c>
      <c r="B20" s="44">
        <v>3650000</v>
      </c>
      <c r="C20" s="36">
        <f>IF($B$3="Distribution",Calcul!C129*$H$2+Calcul!I94*$H$3,Calcul!C129)</f>
        <v>6.2023095452131347E-3</v>
      </c>
      <c r="E20" s="52"/>
      <c r="F20" s="52"/>
    </row>
    <row r="21" spans="1:6" ht="15.75" x14ac:dyDescent="0.3">
      <c r="A21" s="14" t="s">
        <v>60</v>
      </c>
      <c r="B21" s="45">
        <v>10950000</v>
      </c>
      <c r="C21" s="38">
        <f>IF($B$3="Distribution",Calcul!C130*$H$2+Calcul!I95*$H$3,Calcul!C130)</f>
        <v>2.5984671401584063E-3</v>
      </c>
      <c r="E21" s="52"/>
      <c r="F21" s="52"/>
    </row>
    <row r="22" spans="1:6" ht="15.75" x14ac:dyDescent="0.3">
      <c r="A22" s="12" t="s">
        <v>59</v>
      </c>
      <c r="B22" s="44">
        <v>0</v>
      </c>
      <c r="C22" s="36">
        <f>IF($B$3="Distribution",Calcul!C131*$H$2+Calcul!I96*$H$3,Calcul!C131)</f>
        <v>4.7597754821765897E-2</v>
      </c>
      <c r="E22" s="52"/>
      <c r="F22" s="52"/>
    </row>
    <row r="23" spans="1:6" x14ac:dyDescent="0.25">
      <c r="A23" s="39" t="s">
        <v>61</v>
      </c>
      <c r="B23" s="40"/>
      <c r="C23" s="46">
        <f>SUM(C12:C22)</f>
        <v>0.78222371862690454</v>
      </c>
    </row>
    <row r="24" spans="1:6" x14ac:dyDescent="0.25">
      <c r="A24" s="14">
        <v>303</v>
      </c>
      <c r="B24" s="37">
        <v>0</v>
      </c>
      <c r="C24" s="38">
        <f>IF($B$3="Distribution",Calcul!C132*$H$2+Calcul!I97*$H$3,Calcul!C132)</f>
        <v>8.2539014521658123E-4</v>
      </c>
      <c r="D24" s="51"/>
      <c r="E24" s="52"/>
      <c r="F24" s="52"/>
    </row>
    <row r="25" spans="1:6" x14ac:dyDescent="0.25">
      <c r="A25" s="12">
        <v>304</v>
      </c>
      <c r="B25" s="35">
        <v>0</v>
      </c>
      <c r="C25" s="36">
        <f>IF($B$3="Distribution",Calcul!C133*$H$2+Calcul!I98*$H$3,Calcul!C133)</f>
        <v>2.4815344978720445E-3</v>
      </c>
    </row>
    <row r="26" spans="1:6" x14ac:dyDescent="0.25">
      <c r="A26" s="14">
        <v>305</v>
      </c>
      <c r="B26" s="37">
        <v>0</v>
      </c>
      <c r="C26" s="38">
        <f>IF($B$3="Distribution",Calcul!C134*$H$2+Calcul!I99*$H$3,Calcul!C134)</f>
        <v>3.2857970494976586E-3</v>
      </c>
    </row>
    <row r="27" spans="1:6" x14ac:dyDescent="0.25">
      <c r="A27" s="12">
        <v>406</v>
      </c>
      <c r="B27" s="35">
        <v>0</v>
      </c>
      <c r="C27" s="36">
        <f>IF($B$3="Distribution",Calcul!C135*$H$2+Calcul!I100*$H$3,Calcul!C135)</f>
        <v>1.895502047123029E-2</v>
      </c>
      <c r="D27" s="51"/>
      <c r="E27" s="52"/>
      <c r="F27" s="52"/>
    </row>
    <row r="28" spans="1:6" x14ac:dyDescent="0.25">
      <c r="A28" s="14">
        <v>407</v>
      </c>
      <c r="B28" s="37">
        <v>0</v>
      </c>
      <c r="C28" s="38">
        <f>IF($B$3="Distribution",Calcul!C136*$H$2+Calcul!I101*$H$3,Calcul!C136)</f>
        <v>3.7204558145135437E-2</v>
      </c>
    </row>
    <row r="29" spans="1:6" x14ac:dyDescent="0.25">
      <c r="A29" s="12">
        <v>408</v>
      </c>
      <c r="B29" s="35">
        <v>0</v>
      </c>
      <c r="C29" s="36">
        <f>IF($B$3="Distribution",Calcul!C137*$H$2+Calcul!I102*$H$3,Calcul!C137)</f>
        <v>2.2943433918182665E-2</v>
      </c>
    </row>
    <row r="30" spans="1:6" x14ac:dyDescent="0.25">
      <c r="A30" s="14">
        <v>409</v>
      </c>
      <c r="B30" s="37">
        <v>0</v>
      </c>
      <c r="C30" s="38">
        <f>IF($B$3="Distribution",Calcul!C138*$H$2+Calcul!I103*$H$3,Calcul!C138)</f>
        <v>3.2593861472165704E-2</v>
      </c>
    </row>
    <row r="31" spans="1:6" x14ac:dyDescent="0.25">
      <c r="A31" s="12">
        <v>410</v>
      </c>
      <c r="B31" s="35">
        <v>0</v>
      </c>
      <c r="C31" s="36">
        <f>IF($B$3="Distribution",Calcul!C139*$H$2+Calcul!I104*$H$3,Calcul!C139)</f>
        <v>3.3205839628827581E-2</v>
      </c>
    </row>
    <row r="32" spans="1:6" x14ac:dyDescent="0.25">
      <c r="A32" s="14">
        <v>505</v>
      </c>
      <c r="B32" s="37">
        <v>0</v>
      </c>
      <c r="C32" s="38">
        <f>IF($B$3="Distribution",Calcul!C140*$H$2+Calcul!I105*$H$3,Calcul!C140)</f>
        <v>1.4235365085322343E-2</v>
      </c>
      <c r="D32" s="51"/>
      <c r="E32" s="52"/>
      <c r="F32" s="52"/>
    </row>
    <row r="33" spans="1:3" x14ac:dyDescent="0.25">
      <c r="A33" s="12">
        <v>506</v>
      </c>
      <c r="B33" s="35">
        <v>0</v>
      </c>
      <c r="C33" s="36">
        <f>IF($B$3="Distribution",Calcul!C141*$H$2+Calcul!I106*$H$3,Calcul!C141)</f>
        <v>7.4807664715425132E-3</v>
      </c>
    </row>
    <row r="34" spans="1:3" x14ac:dyDescent="0.25">
      <c r="A34" s="14">
        <v>507</v>
      </c>
      <c r="B34" s="37">
        <v>0</v>
      </c>
      <c r="C34" s="38">
        <f>IF($B$3="Distribution",Calcul!C142*$H$2+Calcul!I107*$H$3,Calcul!C142)</f>
        <v>1.1832314543699648E-2</v>
      </c>
    </row>
    <row r="35" spans="1:3" x14ac:dyDescent="0.25">
      <c r="A35" s="12">
        <v>508</v>
      </c>
      <c r="B35" s="35">
        <v>0</v>
      </c>
      <c r="C35" s="36">
        <f>IF($B$3="Distribution",Calcul!C143*$H$2+Calcul!I108*$H$3,Calcul!C143)</f>
        <v>1.0223013863139547E-2</v>
      </c>
    </row>
    <row r="36" spans="1:3" x14ac:dyDescent="0.25">
      <c r="A36" s="14">
        <v>509</v>
      </c>
      <c r="B36" s="37">
        <v>0</v>
      </c>
      <c r="C36" s="38">
        <f>IF($B$3="Distribution",Calcul!C144*$H$2+Calcul!I109*$H$3,Calcul!C144)</f>
        <v>7.1174165014769577E-3</v>
      </c>
    </row>
    <row r="37" spans="1:3" x14ac:dyDescent="0.25">
      <c r="A37" s="12">
        <v>510</v>
      </c>
      <c r="B37" s="35">
        <v>0</v>
      </c>
      <c r="C37" s="36">
        <f>IF($B$3="Distribution",Calcul!C145*$H$2+Calcul!I110*$H$3,Calcul!C145)</f>
        <v>0</v>
      </c>
    </row>
    <row r="38" spans="1:3" x14ac:dyDescent="0.25">
      <c r="A38" s="14">
        <v>535</v>
      </c>
      <c r="B38" s="37">
        <v>0</v>
      </c>
      <c r="C38" s="38">
        <f>IF($B$3="Distribution",Calcul!C146*$H$2+Calcul!I111*$H$3,Calcul!C146)</f>
        <v>3.7278386787596481E-3</v>
      </c>
    </row>
    <row r="39" spans="1:3" x14ac:dyDescent="0.25">
      <c r="A39" s="12">
        <v>536</v>
      </c>
      <c r="B39" s="35">
        <v>0</v>
      </c>
      <c r="C39" s="36">
        <f>IF($B$3="Distribution",Calcul!C147*$H$2+Calcul!I112*$H$3,Calcul!C147)</f>
        <v>4.0745596018767006E-3</v>
      </c>
    </row>
    <row r="40" spans="1:3" x14ac:dyDescent="0.25">
      <c r="A40" s="14">
        <v>537</v>
      </c>
      <c r="B40" s="37">
        <v>0</v>
      </c>
      <c r="C40" s="38">
        <f>IF($B$3="Distribution",Calcul!C148*$H$2+Calcul!I113*$H$3,Calcul!C148)</f>
        <v>3.6702206571387029E-3</v>
      </c>
    </row>
    <row r="41" spans="1:3" x14ac:dyDescent="0.25">
      <c r="A41" s="12">
        <v>538</v>
      </c>
      <c r="B41" s="35">
        <v>0</v>
      </c>
      <c r="C41" s="36">
        <f>IF($B$3="Distribution",Calcul!C149*$H$2+Calcul!I114*$H$3,Calcul!C149)</f>
        <v>2.4094203524043832E-3</v>
      </c>
    </row>
    <row r="42" spans="1:3" x14ac:dyDescent="0.25">
      <c r="A42" s="14">
        <v>539</v>
      </c>
      <c r="B42" s="37">
        <v>0</v>
      </c>
      <c r="C42" s="38">
        <f>IF($B$3="Distribution",Calcul!C150*$H$2+Calcul!I115*$H$3,Calcul!C150)</f>
        <v>1.5099302896068663E-3</v>
      </c>
    </row>
    <row r="43" spans="1:3" x14ac:dyDescent="0.25">
      <c r="A43" s="12">
        <v>540</v>
      </c>
      <c r="B43" s="35">
        <v>0</v>
      </c>
      <c r="C43" s="36">
        <f>IF($B$3="Distribution",Calcul!C151*$H$2+Calcul!I116*$H$3,Calcul!C151)</f>
        <v>0</v>
      </c>
    </row>
    <row r="44" spans="1:3" x14ac:dyDescent="0.25">
      <c r="A44" s="39" t="s">
        <v>45</v>
      </c>
      <c r="B44" s="40"/>
      <c r="C44" s="46">
        <f>SUM(C24:C43)</f>
        <v>0.21777628137309527</v>
      </c>
    </row>
  </sheetData>
  <mergeCells count="8">
    <mergeCell ref="F2:F3"/>
    <mergeCell ref="B8:D8"/>
    <mergeCell ref="B2:D2"/>
    <mergeCell ref="B3:D3"/>
    <mergeCell ref="B4:D4"/>
    <mergeCell ref="B5:D5"/>
    <mergeCell ref="B6:D6"/>
    <mergeCell ref="B7:D7"/>
  </mergeCells>
  <pageMargins left="0.19685039370078741" right="0.19685039370078741" top="1.1811023622047245" bottom="0.59055118110236227" header="0.51181102362204722" footer="0.31496062992125984"/>
  <pageSetup scale="78" fitToWidth="2" orientation="portrait" useFirstPageNumber="1" r:id="rId1"/>
  <headerFooter scaleWithDoc="0">
    <oddHeader>&amp;R&amp;"Arial,Gras italique"Société en commandite Gaz Métro
Demande portant sur l'allocation des coûts et la structure tarifiare de Gaz Métro, R-3867-2013</oddHeader>
    <oddFooter>&amp;L&amp;"Arial,Gras italique"&amp;10Original : 2014.07.23
&amp;R&amp;"Arial,Gras italique"&amp;10Gaz Métro - 1, Document 5
Page &amp;P de 16</oddFooter>
  </headerFooter>
  <colBreaks count="1" manualBreakCount="1">
    <brk id="8" max="43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Tables!$A$242:$B$242</xm:f>
          </x14:formula1>
          <xm:sqref>B2</xm:sqref>
        </x14:dataValidation>
        <x14:dataValidation type="list" allowBlank="1" showInputMessage="1" showErrorMessage="1">
          <x14:formula1>
            <xm:f>Tables!$A$243:$B$243</xm:f>
          </x14:formula1>
          <xm:sqref>B3</xm:sqref>
        </x14:dataValidation>
        <x14:dataValidation type="list" allowBlank="1" showInputMessage="1" showErrorMessage="1">
          <x14:formula1>
            <xm:f>Tables!$A$244:$B$244</xm:f>
          </x14:formula1>
          <xm:sqref>B4</xm:sqref>
        </x14:dataValidation>
        <x14:dataValidation type="list" allowBlank="1" showInputMessage="1" showErrorMessage="1">
          <x14:formula1>
            <xm:f>Tables!$A$245:$C$245</xm:f>
          </x14:formula1>
          <xm:sqref>B5</xm:sqref>
        </x14:dataValidation>
        <x14:dataValidation type="list" allowBlank="1" showInputMessage="1" showErrorMessage="1">
          <x14:formula1>
            <xm:f>Tables!$A$246:$B$246</xm:f>
          </x14:formula1>
          <xm:sqref>B6</xm:sqref>
        </x14:dataValidation>
        <x14:dataValidation type="list" allowBlank="1" showInputMessage="1" showErrorMessage="1">
          <x14:formula1>
            <xm:f>Tables!$A$247:$B$247</xm:f>
          </x14:formula1>
          <xm:sqref>B8</xm:sqref>
        </x14:dataValidation>
        <x14:dataValidation type="list" allowBlank="1" showInputMessage="1" showErrorMessage="1">
          <x14:formula1>
            <xm:f>Tables!$A$248:$B$248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view="pageBreakPreview" topLeftCell="A91" zoomScale="40" zoomScaleNormal="130" zoomScaleSheetLayoutView="40" workbookViewId="0">
      <selection activeCell="I19" sqref="I19"/>
    </sheetView>
  </sheetViews>
  <sheetFormatPr baseColWidth="10" defaultColWidth="11.42578125" defaultRowHeight="15" x14ac:dyDescent="0.25"/>
  <cols>
    <col min="3" max="3" width="16.42578125" bestFit="1" customWidth="1"/>
    <col min="4" max="4" width="18.140625" bestFit="1" customWidth="1"/>
    <col min="9" max="9" width="17.85546875" customWidth="1"/>
  </cols>
  <sheetData>
    <row r="1" spans="1:4" x14ac:dyDescent="0.25">
      <c r="A1" s="53" t="str">
        <f>"Calcul du coût d'accès et de capacité en fonction de la méthode "&amp;Sommaire!B2&amp;" et de la "&amp;Sommaire!B6</f>
        <v>Calcul du coût d'accès et de capacité en fonction de la méthode Minimum System 2po et de la CA (DQM)</v>
      </c>
    </row>
    <row r="3" spans="1:4" x14ac:dyDescent="0.25">
      <c r="A3" s="50" t="str">
        <f>"1. Coût des conduites par diamètre et matériel en utilisant l'indice "&amp;Sommaire!B4&amp;" indexé en 2012"</f>
        <v>1. Coût des conduites par diamètre et matériel en utilisant l'indice HW indexé en 2012</v>
      </c>
    </row>
    <row r="4" spans="1:4" ht="26.25" x14ac:dyDescent="0.25">
      <c r="A4" s="2" t="s">
        <v>0</v>
      </c>
      <c r="B4" s="2" t="s">
        <v>23</v>
      </c>
      <c r="C4" s="2" t="s">
        <v>2</v>
      </c>
      <c r="D4" s="2" t="s">
        <v>4</v>
      </c>
    </row>
    <row r="5" spans="1:4" x14ac:dyDescent="0.25">
      <c r="A5" s="16" t="s">
        <v>8</v>
      </c>
      <c r="B5" s="17">
        <v>42.2</v>
      </c>
      <c r="C5" s="18">
        <f>IF(Sommaire!$B$7="régions","Voir tables",IF(Sommaire!$B$4="HW",Tables!AN4,Tables!AN47))</f>
        <v>157.2431152205437</v>
      </c>
      <c r="D5" s="19">
        <v>273026.48880599998</v>
      </c>
    </row>
    <row r="6" spans="1:4" x14ac:dyDescent="0.25">
      <c r="A6" s="16" t="s">
        <v>8</v>
      </c>
      <c r="B6" s="17">
        <v>60.3</v>
      </c>
      <c r="C6" s="18">
        <f>IF(Sommaire!$B$7="régions","Voir tables",IF(Sommaire!$B$4="HW",Tables!AN5,Tables!AN48))</f>
        <v>170.94398903176605</v>
      </c>
      <c r="D6" s="19">
        <v>1635496.2881610007</v>
      </c>
    </row>
    <row r="7" spans="1:4" x14ac:dyDescent="0.25">
      <c r="A7" s="16" t="s">
        <v>8</v>
      </c>
      <c r="B7" s="17">
        <v>88.9</v>
      </c>
      <c r="C7" s="18">
        <f>IF(Sommaire!$B$7="régions","Voir tables",IF(Sommaire!$B$4="HW",Tables!AN6,Tables!AN49))</f>
        <v>180.78559281473812</v>
      </c>
      <c r="D7" s="19">
        <v>181767.86986699997</v>
      </c>
    </row>
    <row r="8" spans="1:4" x14ac:dyDescent="0.25">
      <c r="A8" s="16" t="s">
        <v>8</v>
      </c>
      <c r="B8" s="17">
        <v>114.3</v>
      </c>
      <c r="C8" s="18">
        <f>IF(Sommaire!$B$7="régions","Voir tables",IF(Sommaire!$B$4="HW",Tables!AN7,Tables!AN50))</f>
        <v>205.90043891795884</v>
      </c>
      <c r="D8" s="19">
        <v>1982985.5507060003</v>
      </c>
    </row>
    <row r="9" spans="1:4" x14ac:dyDescent="0.25">
      <c r="A9" s="16" t="s">
        <v>8</v>
      </c>
      <c r="B9" s="17">
        <v>168.3</v>
      </c>
      <c r="C9" s="18">
        <f>IF(Sommaire!$B$7="régions","Voir tables",IF(Sommaire!$B$4="HW",Tables!AN8,Tables!AN51))</f>
        <v>228.92722604966428</v>
      </c>
      <c r="D9" s="19">
        <v>708511.55009199993</v>
      </c>
    </row>
    <row r="10" spans="1:4" x14ac:dyDescent="0.25">
      <c r="A10" s="16" t="s">
        <v>8</v>
      </c>
      <c r="B10" s="17">
        <v>219.1</v>
      </c>
      <c r="C10" s="18">
        <f>IF(Sommaire!$B$7="régions","Voir tables",IF(Sommaire!$B$4="HW",Tables!AN9,Tables!AN52))</f>
        <v>234.91341368796176</v>
      </c>
      <c r="D10" s="19">
        <v>41995.7</v>
      </c>
    </row>
    <row r="11" spans="1:4" x14ac:dyDescent="0.25">
      <c r="A11" s="16" t="s">
        <v>9</v>
      </c>
      <c r="B11" s="17">
        <v>88.9</v>
      </c>
      <c r="C11" s="18">
        <f>IF(Sommaire!$B$7="régions","Voir tables",IF(Sommaire!$B$4="HW",Tables!AN10,Tables!AN53))</f>
        <v>321.41866013302695</v>
      </c>
      <c r="D11" s="19">
        <v>37296.452500000065</v>
      </c>
    </row>
    <row r="12" spans="1:4" x14ac:dyDescent="0.25">
      <c r="A12" s="16" t="s">
        <v>9</v>
      </c>
      <c r="B12" s="17">
        <v>114.3</v>
      </c>
      <c r="C12" s="18">
        <f>IF(Sommaire!$B$7="régions","Voir tables",IF(Sommaire!$B$4="HW",Tables!AN11,Tables!AN54))</f>
        <v>370.26810418893052</v>
      </c>
      <c r="D12" s="19">
        <v>648848.43671000004</v>
      </c>
    </row>
    <row r="13" spans="1:4" x14ac:dyDescent="0.25">
      <c r="A13" s="16" t="s">
        <v>9</v>
      </c>
      <c r="B13" s="17">
        <v>168.3</v>
      </c>
      <c r="C13" s="18">
        <f>IF(Sommaire!$B$7="régions","Voir tables",IF(Sommaire!$B$4="HW",Tables!AN12,Tables!AN55))</f>
        <v>412.05700850796632</v>
      </c>
      <c r="D13" s="19">
        <v>841648.00767600001</v>
      </c>
    </row>
    <row r="14" spans="1:4" x14ac:dyDescent="0.25">
      <c r="A14" s="16" t="s">
        <v>9</v>
      </c>
      <c r="B14" s="17">
        <v>219.1</v>
      </c>
      <c r="C14" s="18">
        <f>IF(Sommaire!$B$7="régions","Voir tables",IF(Sommaire!$B$4="HW",Tables!AN13,Tables!AN56))</f>
        <v>546.60000444187187</v>
      </c>
      <c r="D14" s="19">
        <v>490138.72683299996</v>
      </c>
    </row>
    <row r="15" spans="1:4" x14ac:dyDescent="0.25">
      <c r="A15" s="16" t="s">
        <v>9</v>
      </c>
      <c r="B15" s="17">
        <v>323.89999999999998</v>
      </c>
      <c r="C15" s="18">
        <f>IF(Sommaire!$B$7="régions","Voir tables",IF(Sommaire!$B$4="HW",Tables!AN14,Tables!AN57))</f>
        <v>508.03881167260289</v>
      </c>
      <c r="D15" s="19">
        <v>194196.163138</v>
      </c>
    </row>
    <row r="16" spans="1:4" x14ac:dyDescent="0.25">
      <c r="A16" s="16" t="s">
        <v>9</v>
      </c>
      <c r="B16" s="17">
        <v>406.4</v>
      </c>
      <c r="C16" s="18">
        <f>IF(Sommaire!$B$7="régions","Voir tables",IF(Sommaire!$B$4="HW",Tables!AN15,Tables!AN58))</f>
        <v>603.3535620275602</v>
      </c>
      <c r="D16" s="19">
        <v>342762.13976499997</v>
      </c>
    </row>
    <row r="18" spans="1:5" x14ac:dyDescent="0.25">
      <c r="A18" s="50" t="str">
        <f>"2. Coût global des conduites de "&amp;Sommaire!B3&amp;" en utilisant l'indice "&amp;Sommaire!B4&amp;" indexé en 2012"</f>
        <v>2. Coût global des conduites de Distribution + Alimentation en utilisant l'indice HW indexé en 2012</v>
      </c>
    </row>
    <row r="19" spans="1:5" ht="26.25" x14ac:dyDescent="0.25">
      <c r="A19" s="20" t="s">
        <v>0</v>
      </c>
      <c r="B19" s="2" t="s">
        <v>23</v>
      </c>
      <c r="C19" s="2" t="s">
        <v>24</v>
      </c>
      <c r="D19" s="2" t="s">
        <v>25</v>
      </c>
      <c r="E19" s="2" t="s">
        <v>26</v>
      </c>
    </row>
    <row r="20" spans="1:5" x14ac:dyDescent="0.25">
      <c r="A20" s="21" t="s">
        <v>8</v>
      </c>
      <c r="B20" s="22">
        <v>26.7</v>
      </c>
      <c r="C20" s="23">
        <f>IF(Sommaire!$B$3="Distribution",Tables!AM105,Tables!AM19)</f>
        <v>361.65000000000003</v>
      </c>
      <c r="D20" s="24">
        <f>IF(Sommaire!$B$7="Régions","Voir tables",IF(Sommaire!$B$3="Distribution",IF(Sommaire!$B$4="HW",Tables!AN105,Tables!AN148),IF(Sommaire!$B$4="HW",Tables!AN19,Tables!AN62)))</f>
        <v>56317.098536376128</v>
      </c>
      <c r="E20" s="25">
        <f>IF(Sommaire!$B$7="Régions","Voir tables",IF(Sommaire!$B$3="Distribution",IF(Sommaire!$B$4="HW",Tables!AO105,Tables!AO148),IF(Sommaire!$B$4="HW",Tables!AO19,Tables!AO62)))</f>
        <v>155.72265598334334</v>
      </c>
    </row>
    <row r="21" spans="1:5" x14ac:dyDescent="0.25">
      <c r="A21" s="21" t="s">
        <v>8</v>
      </c>
      <c r="B21" s="22">
        <v>42.2</v>
      </c>
      <c r="C21" s="23">
        <f>IF(Sommaire!$B$3="Distribution",Tables!AM106,Tables!AM20)</f>
        <v>281132.55000000005</v>
      </c>
      <c r="D21" s="24">
        <f>IF(Sommaire!$B$7="Régions","Voir tables",IF(Sommaire!$B$3="Distribution",IF(Sommaire!$B$4="HW",Tables!AN106,Tables!AN149),IF(Sommaire!$B$4="HW",Tables!AN20,Tables!AN63)))</f>
        <v>44206157.951895267</v>
      </c>
      <c r="E21" s="25">
        <f>IF(Sommaire!$B$7="Régions","Voir tables",IF(Sommaire!$B$3="Distribution",IF(Sommaire!$B$4="HW",Tables!AO106,Tables!AO149),IF(Sommaire!$B$4="HW",Tables!AO20,Tables!AO63)))</f>
        <v>157.2431152205437</v>
      </c>
    </row>
    <row r="22" spans="1:5" x14ac:dyDescent="0.25">
      <c r="A22" s="21" t="s">
        <v>8</v>
      </c>
      <c r="B22" s="22">
        <v>60.3</v>
      </c>
      <c r="C22" s="23">
        <f>IF(Sommaire!$B$3="Distribution",Tables!AM107,Tables!AM21)</f>
        <v>2237169.7200000002</v>
      </c>
      <c r="D22" s="24">
        <f>IF(Sommaire!$B$7="Régions","Voir tables",IF(Sommaire!$B$3="Distribution",IF(Sommaire!$B$4="HW",Tables!AN107,Tables!AN150),IF(Sommaire!$B$4="HW",Tables!AN21,Tables!AN64)))</f>
        <v>382430716.07787919</v>
      </c>
      <c r="E22" s="25">
        <f>IF(Sommaire!$B$7="Régions","Voir tables",IF(Sommaire!$B$3="Distribution",IF(Sommaire!$B$4="HW",Tables!AO107,Tables!AO150),IF(Sommaire!$B$4="HW",Tables!AO21,Tables!AO64)))</f>
        <v>170.94398903176605</v>
      </c>
    </row>
    <row r="23" spans="1:5" x14ac:dyDescent="0.25">
      <c r="A23" s="21" t="s">
        <v>8</v>
      </c>
      <c r="B23" s="22">
        <v>88.9</v>
      </c>
      <c r="C23" s="23">
        <f>IF(Sommaire!$B$3="Distribution",Tables!AM108,Tables!AM22)</f>
        <v>196174.35</v>
      </c>
      <c r="D23" s="24">
        <f>IF(Sommaire!$B$7="Régions","Voir tables",IF(Sommaire!$B$3="Distribution",IF(Sommaire!$B$4="HW",Tables!AN108,Tables!AN151),IF(Sommaire!$B$4="HW",Tables!AN22,Tables!AN65)))</f>
        <v>35465496.159795925</v>
      </c>
      <c r="E23" s="25">
        <f>IF(Sommaire!$B$7="Régions","Voir tables",IF(Sommaire!$B$3="Distribution",IF(Sommaire!$B$4="HW",Tables!AO108,Tables!AO151),IF(Sommaire!$B$4="HW",Tables!AO22,Tables!AO65)))</f>
        <v>180.78559281473812</v>
      </c>
    </row>
    <row r="24" spans="1:5" x14ac:dyDescent="0.25">
      <c r="A24" s="21" t="s">
        <v>8</v>
      </c>
      <c r="B24" s="22">
        <v>114.3</v>
      </c>
      <c r="C24" s="23">
        <f>IF(Sommaire!$B$3="Distribution",Tables!AM109,Tables!AM23)</f>
        <v>2431770.8800000004</v>
      </c>
      <c r="D24" s="24">
        <f>IF(Sommaire!$B$7="Régions","Voir tables",IF(Sommaire!$B$3="Distribution",IF(Sommaire!$B$4="HW",Tables!AN109,Tables!AN152),IF(Sommaire!$B$4="HW",Tables!AN23,Tables!AN66)))</f>
        <v>500702691.53991109</v>
      </c>
      <c r="E24" s="25">
        <f>IF(Sommaire!$B$7="Régions","Voir tables",IF(Sommaire!$B$3="Distribution",IF(Sommaire!$B$4="HW",Tables!AO109,Tables!AO152),IF(Sommaire!$B$4="HW",Tables!AO23,Tables!AO66)))</f>
        <v>205.90043891795884</v>
      </c>
    </row>
    <row r="25" spans="1:5" x14ac:dyDescent="0.25">
      <c r="A25" s="21" t="s">
        <v>8</v>
      </c>
      <c r="B25" s="22">
        <v>168.3</v>
      </c>
      <c r="C25" s="23">
        <f>IF(Sommaire!$B$3="Distribution",Tables!AM110,Tables!AM24)</f>
        <v>953548.39</v>
      </c>
      <c r="D25" s="24">
        <f>IF(Sommaire!$B$7="Régions","Voir tables",IF(Sommaire!$B$3="Distribution",IF(Sommaire!$B$4="HW",Tables!AN110,Tables!AN153),IF(Sommaire!$B$4="HW",Tables!AN24,Tables!AN67)))</f>
        <v>218293187.82682344</v>
      </c>
      <c r="E25" s="25">
        <f>IF(Sommaire!$B$7="Régions","Voir tables",IF(Sommaire!$B$3="Distribution",IF(Sommaire!$B$4="HW",Tables!AO110,Tables!AO153),IF(Sommaire!$B$4="HW",Tables!AO24,Tables!AO67)))</f>
        <v>228.92722604966428</v>
      </c>
    </row>
    <row r="26" spans="1:5" x14ac:dyDescent="0.25">
      <c r="A26" s="21" t="s">
        <v>8</v>
      </c>
      <c r="B26" s="22">
        <v>219.1</v>
      </c>
      <c r="C26" s="23">
        <f>IF(Sommaire!$B$3="Distribution",Tables!AM111,Tables!AM25)</f>
        <v>64474.810000000005</v>
      </c>
      <c r="D26" s="24">
        <f>IF(Sommaire!$B$7="Régions","Voir tables",IF(Sommaire!$B$3="Distribution",IF(Sommaire!$B$4="HW",Tables!AN111,Tables!AN154),IF(Sommaire!$B$4="HW",Tables!AN25,Tables!AN68)))</f>
        <v>15145997.713982735</v>
      </c>
      <c r="E26" s="25">
        <f>IF(Sommaire!$B$7="Régions","Voir tables",IF(Sommaire!$B$3="Distribution",IF(Sommaire!$B$4="HW",Tables!AO111,Tables!AO154),IF(Sommaire!$B$4="HW",Tables!AO25,Tables!AO68)))</f>
        <v>234.91341368796176</v>
      </c>
    </row>
    <row r="27" spans="1:5" x14ac:dyDescent="0.25">
      <c r="A27" s="21" t="s">
        <v>9</v>
      </c>
      <c r="B27" s="22">
        <v>21.3</v>
      </c>
      <c r="C27" s="23">
        <f>IF(Sommaire!$B$3="Distribution",Tables!AM112,Tables!AM26)</f>
        <v>11.2</v>
      </c>
      <c r="D27" s="24">
        <f>IF(Sommaire!$B$7="Régions","Voir tables",IF(Sommaire!$B$3="Distribution",IF(Sommaire!$B$4="HW",Tables!AN112,Tables!AN155),IF(Sommaire!$B$4="HW",Tables!AN26,Tables!AN69)))</f>
        <v>3358.8071083940158</v>
      </c>
      <c r="E27" s="25">
        <f>IF(Sommaire!$B$7="Régions","Voir tables",IF(Sommaire!$B$3="Distribution",IF(Sommaire!$B$4="HW",Tables!AO112,Tables!AO155),IF(Sommaire!$B$4="HW",Tables!AO26,Tables!AO69)))</f>
        <v>299.89349182089427</v>
      </c>
    </row>
    <row r="28" spans="1:5" x14ac:dyDescent="0.25">
      <c r="A28" s="21" t="s">
        <v>9</v>
      </c>
      <c r="B28" s="22">
        <v>26.7</v>
      </c>
      <c r="C28" s="23">
        <f>IF(Sommaire!$B$3="Distribution",Tables!AM113,Tables!AM27)</f>
        <v>5092.04</v>
      </c>
      <c r="D28" s="24">
        <f>IF(Sommaire!$B$7="Régions","Voir tables",IF(Sommaire!$B$3="Distribution",IF(Sommaire!$B$4="HW",Tables!AN113,Tables!AN156),IF(Sommaire!$B$4="HW",Tables!AN27,Tables!AN70)))</f>
        <v>1549249.2271868675</v>
      </c>
      <c r="E28" s="25">
        <f>IF(Sommaire!$B$7="Régions","Voir tables",IF(Sommaire!$B$3="Distribution",IF(Sommaire!$B$4="HW",Tables!AO113,Tables!AO156),IF(Sommaire!$B$4="HW",Tables!AO27,Tables!AO70)))</f>
        <v>304.24922569085624</v>
      </c>
    </row>
    <row r="29" spans="1:5" x14ac:dyDescent="0.25">
      <c r="A29" s="21" t="s">
        <v>9</v>
      </c>
      <c r="B29" s="22">
        <v>33.4</v>
      </c>
      <c r="C29" s="23">
        <f>IF(Sommaire!$B$3="Distribution",Tables!AM114,Tables!AM28)</f>
        <v>28109.989999999998</v>
      </c>
      <c r="D29" s="24">
        <f>IF(Sommaire!$B$7="Régions","Voir tables",IF(Sommaire!$B$3="Distribution",IF(Sommaire!$B$4="HW",Tables!AN114,Tables!AN157),IF(Sommaire!$B$4="HW",Tables!AN28,Tables!AN71)))</f>
        <v>8704358.5357578676</v>
      </c>
      <c r="E29" s="25">
        <f>IF(Sommaire!$B$7="Régions","Voir tables",IF(Sommaire!$B$3="Distribution",IF(Sommaire!$B$4="HW",Tables!AO114,Tables!AO157),IF(Sommaire!$B$4="HW",Tables!AO28,Tables!AO71)))</f>
        <v>309.65356215914233</v>
      </c>
    </row>
    <row r="30" spans="1:5" x14ac:dyDescent="0.25">
      <c r="A30" s="21" t="s">
        <v>9</v>
      </c>
      <c r="B30" s="22">
        <v>42.2</v>
      </c>
      <c r="C30" s="23">
        <f>IF(Sommaire!$B$3="Distribution",Tables!AM115,Tables!AM29)</f>
        <v>26425.730000000003</v>
      </c>
      <c r="D30" s="24">
        <f>IF(Sommaire!$B$7="Régions","Voir tables",IF(Sommaire!$B$3="Distribution",IF(Sommaire!$B$4="HW",Tables!AN115,Tables!AN158),IF(Sommaire!$B$4="HW",Tables!AN29,Tables!AN72)))</f>
        <v>8370397.4151844792</v>
      </c>
      <c r="E30" s="25">
        <f>IF(Sommaire!$B$7="Régions","Voir tables",IF(Sommaire!$B$3="Distribution",IF(Sommaire!$B$4="HW",Tables!AO115,Tables!AO158),IF(Sommaire!$B$4="HW",Tables!AO29,Tables!AO72)))</f>
        <v>316.75179513241369</v>
      </c>
    </row>
    <row r="31" spans="1:5" x14ac:dyDescent="0.25">
      <c r="A31" s="21" t="s">
        <v>9</v>
      </c>
      <c r="B31" s="22">
        <v>48.3</v>
      </c>
      <c r="C31" s="23">
        <f>IF(Sommaire!$B$3="Distribution",Tables!AM116,Tables!AM30)</f>
        <v>99494.159999999989</v>
      </c>
      <c r="D31" s="24">
        <f>IF(Sommaire!$B$7="Régions","Voir tables",IF(Sommaire!$B$3="Distribution",IF(Sommaire!$B$4="HW",Tables!AN116,Tables!AN159),IF(Sommaire!$B$4="HW",Tables!AN30,Tables!AN73)))</f>
        <v>32004501.471063811</v>
      </c>
      <c r="E31" s="25">
        <f>IF(Sommaire!$B$7="Régions","Voir tables",IF(Sommaire!$B$3="Distribution",IF(Sommaire!$B$4="HW",Tables!AO116,Tables!AO159),IF(Sommaire!$B$4="HW",Tables!AO30,Tables!AO73)))</f>
        <v>321.67216117070404</v>
      </c>
    </row>
    <row r="32" spans="1:5" x14ac:dyDescent="0.25">
      <c r="A32" s="21" t="s">
        <v>9</v>
      </c>
      <c r="B32" s="22">
        <v>60.3</v>
      </c>
      <c r="C32" s="23">
        <f>IF(Sommaire!$B$3="Distribution",Tables!AM117,Tables!AM31)</f>
        <v>324183.42000000004</v>
      </c>
      <c r="D32" s="24">
        <f>IF(Sommaire!$B$7="Régions","Voir tables",IF(Sommaire!$B$3="Distribution",IF(Sommaire!$B$4="HW",Tables!AN117,Tables!AN160),IF(Sommaire!$B$4="HW",Tables!AN31,Tables!AN74)))</f>
        <v>107418685.11060804</v>
      </c>
      <c r="E32" s="25">
        <f>IF(Sommaire!$B$7="Régions","Voir tables",IF(Sommaire!$B$3="Distribution",IF(Sommaire!$B$4="HW",Tables!AO117,Tables!AO160),IF(Sommaire!$B$4="HW",Tables!AO31,Tables!AO74)))</f>
        <v>331.35156977061945</v>
      </c>
    </row>
    <row r="33" spans="1:5" x14ac:dyDescent="0.25">
      <c r="A33" s="21" t="s">
        <v>9</v>
      </c>
      <c r="B33" s="22">
        <v>88.9</v>
      </c>
      <c r="C33" s="23">
        <f>IF(Sommaire!$B$3="Distribution",Tables!AM118,Tables!AM32)</f>
        <v>221226.58999999997</v>
      </c>
      <c r="D33" s="24">
        <f>IF(Sommaire!$B$7="Régions","Voir tables",IF(Sommaire!$B$3="Distribution",IF(Sommaire!$B$4="HW",Tables!AN118,Tables!AN161),IF(Sommaire!$B$4="HW",Tables!AN32,Tables!AN75)))</f>
        <v>71106354.143598482</v>
      </c>
      <c r="E33" s="25">
        <f>IF(Sommaire!$B$7="Régions","Voir tables",IF(Sommaire!$B$3="Distribution",IF(Sommaire!$B$4="HW",Tables!AO118,Tables!AO161),IF(Sommaire!$B$4="HW",Tables!AO32,Tables!AO75)))</f>
        <v>321.41866013302695</v>
      </c>
    </row>
    <row r="34" spans="1:5" x14ac:dyDescent="0.25">
      <c r="A34" s="21" t="s">
        <v>9</v>
      </c>
      <c r="B34" s="22">
        <v>114.3</v>
      </c>
      <c r="C34" s="23">
        <f>IF(Sommaire!$B$3="Distribution",Tables!AM119,Tables!AM33)</f>
        <v>589539.15999999992</v>
      </c>
      <c r="D34" s="24">
        <f>IF(Sommaire!$B$7="Régions","Voir tables",IF(Sommaire!$B$3="Distribution",IF(Sommaire!$B$4="HW",Tables!AN119,Tables!AN162),IF(Sommaire!$B$4="HW",Tables!AN33,Tables!AN76)))</f>
        <v>218287547.11833456</v>
      </c>
      <c r="E34" s="25">
        <f>IF(Sommaire!$B$7="Régions","Voir tables",IF(Sommaire!$B$3="Distribution",IF(Sommaire!$B$4="HW",Tables!AO119,Tables!AO162),IF(Sommaire!$B$4="HW",Tables!AO33,Tables!AO76)))</f>
        <v>370.26810418893052</v>
      </c>
    </row>
    <row r="35" spans="1:5" x14ac:dyDescent="0.25">
      <c r="A35" s="21" t="s">
        <v>9</v>
      </c>
      <c r="B35" s="22">
        <v>168.3</v>
      </c>
      <c r="C35" s="23">
        <f>IF(Sommaire!$B$3="Distribution",Tables!AM120,Tables!AM34)</f>
        <v>820415.83000000007</v>
      </c>
      <c r="D35" s="24">
        <f>IF(Sommaire!$B$7="Régions","Voir tables",IF(Sommaire!$B$3="Distribution",IF(Sommaire!$B$4="HW",Tables!AN120,Tables!AN163),IF(Sommaire!$B$4="HW",Tables!AN34,Tables!AN77)))</f>
        <v>338058092.6423803</v>
      </c>
      <c r="E35" s="25">
        <f>IF(Sommaire!$B$7="Régions","Voir tables",IF(Sommaire!$B$3="Distribution",IF(Sommaire!$B$4="HW",Tables!AO120,Tables!AO163),IF(Sommaire!$B$4="HW",Tables!AO34,Tables!AO77)))</f>
        <v>412.05700850796632</v>
      </c>
    </row>
    <row r="36" spans="1:5" x14ac:dyDescent="0.25">
      <c r="A36" s="21" t="s">
        <v>9</v>
      </c>
      <c r="B36" s="22">
        <v>219.1</v>
      </c>
      <c r="C36" s="23">
        <f>IF(Sommaire!$B$3="Distribution",Tables!AM121,Tables!AM35)</f>
        <v>371762.26</v>
      </c>
      <c r="D36" s="24">
        <f>IF(Sommaire!$B$7="Régions","Voir tables",IF(Sommaire!$B$3="Distribution",IF(Sommaire!$B$4="HW",Tables!AN121,Tables!AN164),IF(Sommaire!$B$4="HW",Tables!AN35,Tables!AN78)))</f>
        <v>203205252.96732032</v>
      </c>
      <c r="E36" s="25">
        <f>IF(Sommaire!$B$7="Régions","Voir tables",IF(Sommaire!$B$3="Distribution",IF(Sommaire!$B$4="HW",Tables!AO121,Tables!AO164),IF(Sommaire!$B$4="HW",Tables!AO35,Tables!AO78)))</f>
        <v>546.60000444187187</v>
      </c>
    </row>
    <row r="37" spans="1:5" x14ac:dyDescent="0.25">
      <c r="A37" s="21" t="s">
        <v>9</v>
      </c>
      <c r="B37" s="22">
        <v>273.10000000000002</v>
      </c>
      <c r="C37" s="23">
        <f>IF(Sommaire!$B$3="Distribution",Tables!AM122,Tables!AM36)</f>
        <v>213394.25999999998</v>
      </c>
      <c r="D37" s="24">
        <f>IF(Sommaire!$B$7="Régions","Voir tables",IF(Sommaire!$B$3="Distribution",IF(Sommaire!$B$4="HW",Tables!AN122,Tables!AN165),IF(Sommaire!$B$4="HW",Tables!AN36,Tables!AN79)))</f>
        <v>107337259.20576061</v>
      </c>
      <c r="E37" s="25">
        <f>IF(Sommaire!$B$7="Régions","Voir tables",IF(Sommaire!$B$3="Distribution",IF(Sommaire!$B$4="HW",Tables!AO122,Tables!AO165),IF(Sommaire!$B$4="HW",Tables!AO36,Tables!AO79)))</f>
        <v>502.99974894245338</v>
      </c>
    </row>
    <row r="38" spans="1:5" x14ac:dyDescent="0.25">
      <c r="A38" s="21" t="s">
        <v>9</v>
      </c>
      <c r="B38" s="22">
        <v>323.89999999999998</v>
      </c>
      <c r="C38" s="23">
        <f>IF(Sommaire!$B$3="Distribution",Tables!AM123,Tables!AM37)</f>
        <v>131772.93</v>
      </c>
      <c r="D38" s="24">
        <f>IF(Sommaire!$B$7="Régions","Voir tables",IF(Sommaire!$B$3="Distribution",IF(Sommaire!$B$4="HW",Tables!AN123,Tables!AN166),IF(Sommaire!$B$4="HW",Tables!AN37,Tables!AN80)))</f>
        <v>66945762.76781708</v>
      </c>
      <c r="E38" s="25">
        <f>IF(Sommaire!$B$7="Régions","Voir tables",IF(Sommaire!$B$3="Distribution",IF(Sommaire!$B$4="HW",Tables!AO123,Tables!AO166),IF(Sommaire!$B$4="HW",Tables!AO37,Tables!AO80)))</f>
        <v>508.03881167260289</v>
      </c>
    </row>
    <row r="39" spans="1:5" x14ac:dyDescent="0.25">
      <c r="A39" s="21" t="s">
        <v>9</v>
      </c>
      <c r="B39" s="22">
        <v>406.4</v>
      </c>
      <c r="C39" s="23">
        <f>IF(Sommaire!$B$3="Distribution",Tables!AM124,Tables!AM38)</f>
        <v>179133.16</v>
      </c>
      <c r="D39" s="24">
        <f>IF(Sommaire!$B$7="Régions","Voir tables",IF(Sommaire!$B$3="Distribution",IF(Sommaire!$B$4="HW",Tables!AN124,Tables!AN167),IF(Sommaire!$B$4="HW",Tables!AN38,Tables!AN81)))</f>
        <v>108080630.16325288</v>
      </c>
      <c r="E39" s="25">
        <f>IF(Sommaire!$B$7="Régions","Voir tables",IF(Sommaire!$B$3="Distribution",IF(Sommaire!$B$4="HW",Tables!AO124,Tables!AO167),IF(Sommaire!$B$4="HW",Tables!AO38,Tables!AO81)))</f>
        <v>603.3535620275602</v>
      </c>
    </row>
    <row r="40" spans="1:5" x14ac:dyDescent="0.25">
      <c r="A40" s="21" t="s">
        <v>9</v>
      </c>
      <c r="B40" s="22">
        <v>508</v>
      </c>
      <c r="C40" s="23">
        <f>IF(Sommaire!$B$3="Distribution",Tables!AM125,Tables!AM39)</f>
        <v>51179.54</v>
      </c>
      <c r="D40" s="24">
        <f>IF(Sommaire!$B$7="Régions","Voir tables",IF(Sommaire!$B$3="Distribution",IF(Sommaire!$B$4="HW",Tables!AN125,Tables!AN168),IF(Sommaire!$B$4="HW",Tables!AN39,Tables!AN82)))</f>
        <v>35440509.599467903</v>
      </c>
      <c r="E40" s="25">
        <f>IF(Sommaire!$B$7="Régions","Voir tables",IF(Sommaire!$B$3="Distribution",IF(Sommaire!$B$4="HW",Tables!AO125,Tables!AO168),IF(Sommaire!$B$4="HW",Tables!AO39,Tables!AO82)))</f>
        <v>692.4741722857982</v>
      </c>
    </row>
    <row r="41" spans="1:5" x14ac:dyDescent="0.25">
      <c r="A41" s="21" t="s">
        <v>9</v>
      </c>
      <c r="B41" s="22">
        <v>610</v>
      </c>
      <c r="C41" s="23">
        <f>IF(Sommaire!$B$3="Distribution",Tables!AM126,Tables!AM40)</f>
        <v>18279.560000000001</v>
      </c>
      <c r="D41" s="24">
        <f>IF(Sommaire!$B$7="Régions","Voir tables",IF(Sommaire!$B$3="Distribution",IF(Sommaire!$B$4="HW",Tables!AN126,Tables!AN169),IF(Sommaire!$B$4="HW",Tables!AN40,Tables!AN83)))</f>
        <v>14162073.488015287</v>
      </c>
      <c r="E41" s="25">
        <f>IF(Sommaire!$B$7="Régions","Voir tables",IF(Sommaire!$B$3="Distribution",IF(Sommaire!$B$4="HW",Tables!AO126,Tables!AO169),IF(Sommaire!$B$4="HW",Tables!AO40,Tables!AO83)))</f>
        <v>774.7491453850796</v>
      </c>
    </row>
    <row r="42" spans="1:5" x14ac:dyDescent="0.25">
      <c r="A42" s="21" t="s">
        <v>9</v>
      </c>
      <c r="B42" s="22">
        <v>762</v>
      </c>
      <c r="C42" s="23">
        <f>IF(Sommaire!$B$3="Distribution",Tables!AM127,Tables!AM41)</f>
        <v>8104.32</v>
      </c>
      <c r="D42" s="24">
        <f>IF(Sommaire!$B$7="Régions","Voir tables",IF(Sommaire!$B$3="Distribution",IF(Sommaire!$B$4="HW",Tables!AN127,Tables!AN170),IF(Sommaire!$B$4="HW",Tables!AN41,Tables!AN84)))</f>
        <v>7272451.9735171199</v>
      </c>
      <c r="E42" s="25">
        <f>IF(Sommaire!$B$7="Régions","Voir tables",IF(Sommaire!$B$3="Distribution",IF(Sommaire!$B$4="HW",Tables!AO127,Tables!AO170),IF(Sommaire!$B$4="HW",Tables!AO41,Tables!AO84)))</f>
        <v>897.35498765067518</v>
      </c>
    </row>
    <row r="43" spans="1:5" x14ac:dyDescent="0.25">
      <c r="A43" s="26" t="s">
        <v>10</v>
      </c>
      <c r="B43" s="9"/>
      <c r="C43" s="27">
        <f>SUM(C20:C42)</f>
        <v>9252756.5</v>
      </c>
      <c r="D43" s="28">
        <f>IF(Sommaire!B7="Régions",IF(Sommaire!B3="Distribution",IF(Sommaire!B4="HW",Tables!D128+Tables!J128+Tables!P128+Tables!V128+Tables!AB128+Tables!AH128,Tables!D171+Tables!J171+Tables!P171+Tables!V171+Tables!AB171+Tables!AH171),IF(Sommaire!B4="HW",Tables!D42+Tables!J42+Tables!P42+Tables!V42+Tables!AB42+Tables!AH42,Tables!D85+Tables!J85+Tables!P85+Tables!V85+Tables!AB85+Tables!AH85)),SUM(Calcul!D20:D42))</f>
        <v>2524247049.0051975</v>
      </c>
      <c r="E43" s="29">
        <f>Tableau221[[#This Row],[Valeur - 2012
]]/Tableau221[[#This Row],[Longueur
(m)]]</f>
        <v>272.81027540335657</v>
      </c>
    </row>
    <row r="45" spans="1:5" x14ac:dyDescent="0.25">
      <c r="A45" s="50" t="str">
        <f>"3. Calcul de la proportion d'accès et de capacité en utilisant les conduites de plastique"</f>
        <v>3. Calcul de la proportion d'accès et de capacité en utilisant les conduites de plastique</v>
      </c>
    </row>
    <row r="46" spans="1:5" ht="15.75" thickBot="1" x14ac:dyDescent="0.3">
      <c r="A46" s="54" t="str">
        <f>"Coût globaux "&amp;Sommaire!B3</f>
        <v>Coût globaux Distribution + Alimentation</v>
      </c>
      <c r="B46" s="30"/>
      <c r="C46" s="30"/>
      <c r="D46" s="31" t="s">
        <v>27</v>
      </c>
      <c r="E46" s="31" t="s">
        <v>28</v>
      </c>
    </row>
    <row r="47" spans="1:5" ht="15.75" thickTop="1" x14ac:dyDescent="0.25">
      <c r="A47" s="32" t="str">
        <f>Sommaire!B2</f>
        <v>Minimum System 2po</v>
      </c>
      <c r="B47" s="32"/>
      <c r="C47" s="48">
        <f>IF(Sommaire!$B$7="Global",IF(Sommaire!$B$2="Minimum System 2po",C6,INDEX(LINEST(C5:C10,B5:B10,TRUE,TRUE),1,2)),IF(Sommaire!$B$3="Distribution",IF(Sommaire!$B$4="HW",IF(Sommaire!$B$2="Minimum System 2po",(Tables!D90*Tables!C128+Tables!J90*Tables!I128+Tables!P91*Tables!O128+Tables!V90*Tables!U128+Tables!AB91*Tables!AA128+Tables!AH90*Tables!AG128)/Tables!AM128,(INDEX(LINEST(Tables!D90:D92,Tables!B90:B92,TRUE,TRUE),1,2)*Tables!C128+INDEX(LINEST(Tables!J90:J92,Tables!H90:H92,TRUE,TRUE),1,2)*Tables!I128+INDEX(LINEST(Tables!P90:P95,Tables!N90:N95,TRUE,TRUE),1,2)*Tables!O128+INDEX(LINEST(Tables!V90:V93,Tables!T90:T93,TRUE,TRUE),1,2)*Tables!U128+INDEX(LINEST(Tables!AB90:AB94,Tables!Z90:Z94,TRUE,TRUE),1,2)*Tables!AA128+INDEX(LINEST(Tables!AH90:AH92,Tables!AF90:AF92,TRUE,TRUE),1,2)*Tables!AG128)/Tables!AM128),IF(Sommaire!$B$2="Minimum System 2po",(Tables!D133*Tables!C171+Tables!IJ33*Tables!I171+Tables!P134*Tables!O171+Tables!V133*Tables!U171+Tables!AB134*Tables!AA171+Tables!AH133*Tables!AG171)/Tables!AM171,(INDEX(LINEST(Tables!D133:D135,Tables!B133:B135,TRUE,TRUE),1,2)*Tables!C171+INDEX(LINEST(Tables!J133:J135,Tables!H133:H135,TRUE,TRUE),1,2)*Tables!I171+INDEX(LINEST(Tables!P133:P138,Tables!N133:N138,TRUE,TRUE),1,2)*Tables!O171+INDEX(LINEST(Tables!V133:V136,Tables!T133:T136,TRUE,TRUE),1,2)*Tables!U171+INDEX(LINEST(Tables!AB133:AB137,Tables!Z133:Z137,TRUE,TRUE),1,2)*Tables!AA171+INDEX(LINEST(Tables!AH133:AH135,Tables!AF133:AF135,TRUE,TRUE),1,2)*Tables!AG171)/Tables!AM171)),IF(Sommaire!$B$4="HW",IF(Sommaire!$B$2="Minimum System 2po",(Tables!D4*Tables!C42+Tables!J4*Tables!I42+Tables!P5*Tables!O42+Tables!V4*Tables!U42+Tables!AB5*Tables!AA42+Tables!AH4*Tables!AG42)/Tables!AM42,(INDEX(LINEST(Tables!D4:D6,Tables!B4:B6,TRUE,TRUE),1,2)*Tables!C42+INDEX(LINEST(Tables!J4:J6,Tables!H4:H6,TRUE,TRUE),1,2)*Tables!I42+INDEX(LINEST(Tables!P4:P9,Tables!N4:N9,TRUE,TRUE),1,2)*Tables!O42+INDEX(LINEST(Tables!V4:V7,Tables!T4:T7,TRUE,TRUE),1,2)*Tables!U42+INDEX(LINEST(Tables!AB4:AB8,Tables!Z4:Z8,TRUE,TRUE),1,2)*Tables!AA42+INDEX(LINEST(Tables!AH4:AH6,Tables!AF4:AF6,TRUE,TRUE),1,2)*Tables!AG42)/Tables!AM42),IF(Sommaire!$B$2="Minimum System 2po",(Tables!D47*Tables!C85+Tables!J47*Tables!I85+Tables!P48*Tables!O85+Tables!V47*Tables!U85+Tables!AB48*Tables!AA85+Tables!AH47*Tables!AG85)/Tables!AM85,(INDEX(LINEST(Tables!D47:D49,Tables!B47:B49,TRUE,TRUE),1,2)*Tables!C85+INDEX(LINEST(Tables!J47:J49,Tables!H47:H49,TRUE,TRUE),1,2)*Tables!I85+INDEX(LINEST(Tables!P47:P52,Tables!N47:N52,TRUE,TRUE),1,2)*Tables!O85+INDEX(LINEST(Tables!V47:V50,Tables!T47:T50,TRUE,TRUE),1,2)*Tables!U85+INDEX(LINEST(Tables!AB47:AB51,Tables!Z47:Z51,TRUE,TRUE),1,2)*Tables!AA85+INDEX(LINEST(Tables!AH47:AH49,Tables!AF47:AF49,TRUE,TRUE),1,2)*Tables!AG85)/Tables!AM85))))</f>
        <v>170.94398903176605</v>
      </c>
      <c r="D47" s="33">
        <f>C47/E43</f>
        <v>0.62660392384055641</v>
      </c>
      <c r="E47" s="33">
        <f>1-D47</f>
        <v>0.37339607615944359</v>
      </c>
    </row>
    <row r="48" spans="1:5" x14ac:dyDescent="0.25">
      <c r="D48" s="43"/>
      <c r="E48" s="43"/>
    </row>
    <row r="49" spans="1:5" x14ac:dyDescent="0.25">
      <c r="A49" s="50" t="str">
        <f>"4. Allocation de l'accès en fonction du nombre de "&amp;Sommaire!$B$5</f>
        <v>4. Allocation de l'accès en fonction du nombre de Branchements</v>
      </c>
    </row>
    <row r="50" spans="1:5" x14ac:dyDescent="0.25">
      <c r="A50" s="34" t="s">
        <v>15</v>
      </c>
      <c r="B50" s="34"/>
      <c r="C50" s="34" t="str">
        <f>Sommaire!B5</f>
        <v>Branchements</v>
      </c>
      <c r="D50" s="34" t="s">
        <v>29</v>
      </c>
    </row>
    <row r="51" spans="1:5" ht="15.75" x14ac:dyDescent="0.3">
      <c r="A51" s="12" t="s">
        <v>60</v>
      </c>
      <c r="B51" s="35">
        <v>365</v>
      </c>
      <c r="C51" s="13">
        <f>IF($C$50="Clients",Tables!C175,IF($C$50="Branchements",Tables!E175,Tables!J175))</f>
        <v>9145.4480302281609</v>
      </c>
      <c r="D51" s="36">
        <f>C51/C$82</f>
        <v>6.9445359378318666E-2</v>
      </c>
      <c r="E51" s="51"/>
    </row>
    <row r="52" spans="1:5" ht="15.75" x14ac:dyDescent="0.3">
      <c r="A52" s="14" t="s">
        <v>60</v>
      </c>
      <c r="B52" s="37">
        <v>1095</v>
      </c>
      <c r="C52" s="15">
        <f>IF($C$50="Clients",Tables!C176,IF($C$50="Branchements",Tables!E176,Tables!J176))</f>
        <v>13136.341487360001</v>
      </c>
      <c r="D52" s="38">
        <f t="shared" ref="D52:D81" si="0">C52/C$82</f>
        <v>9.9749946912472187E-2</v>
      </c>
    </row>
    <row r="53" spans="1:5" ht="15.75" x14ac:dyDescent="0.3">
      <c r="A53" s="12" t="s">
        <v>60</v>
      </c>
      <c r="B53" s="35">
        <v>3650</v>
      </c>
      <c r="C53" s="13">
        <f>IF($C$50="Clients",Tables!C177,IF($C$50="Branchements",Tables!E177,Tables!J177))</f>
        <v>60842.018099226058</v>
      </c>
      <c r="D53" s="36">
        <f t="shared" si="0"/>
        <v>0.46199987121872166</v>
      </c>
    </row>
    <row r="54" spans="1:5" ht="15.75" x14ac:dyDescent="0.3">
      <c r="A54" s="14" t="s">
        <v>60</v>
      </c>
      <c r="B54" s="37">
        <v>10950</v>
      </c>
      <c r="C54" s="15">
        <f>IF($C$50="Clients",Tables!C178,IF($C$50="Branchements",Tables!E178,Tables!J178))</f>
        <v>23100.034647082546</v>
      </c>
      <c r="D54" s="38">
        <f t="shared" si="0"/>
        <v>0.17540859697807923</v>
      </c>
    </row>
    <row r="55" spans="1:5" ht="15.75" x14ac:dyDescent="0.3">
      <c r="A55" s="12" t="s">
        <v>60</v>
      </c>
      <c r="B55" s="35">
        <v>36500</v>
      </c>
      <c r="C55" s="13">
        <f>IF($C$50="Clients",Tables!C179,IF($C$50="Branchements",Tables!E179,Tables!J179))</f>
        <v>14885.635298971036</v>
      </c>
      <c r="D55" s="36">
        <f t="shared" si="0"/>
        <v>0.11303309466029952</v>
      </c>
    </row>
    <row r="56" spans="1:5" ht="15.75" x14ac:dyDescent="0.3">
      <c r="A56" s="14" t="s">
        <v>60</v>
      </c>
      <c r="B56" s="37">
        <v>109500</v>
      </c>
      <c r="C56" s="15">
        <f>IF($C$50="Clients",Tables!C180,IF($C$50="Branchements",Tables!E180,Tables!J180))</f>
        <v>7011.1922208783262</v>
      </c>
      <c r="D56" s="38">
        <f t="shared" si="0"/>
        <v>5.3239027966705363E-2</v>
      </c>
    </row>
    <row r="57" spans="1:5" ht="15.75" x14ac:dyDescent="0.3">
      <c r="A57" s="12" t="s">
        <v>60</v>
      </c>
      <c r="B57" s="35">
        <v>365000</v>
      </c>
      <c r="C57" s="13">
        <f>IF($C$50="Clients",Tables!C181,IF($C$50="Branchements",Tables!E181,Tables!J181))</f>
        <v>1710.3401354776124</v>
      </c>
      <c r="D57" s="36">
        <f t="shared" si="0"/>
        <v>1.2987355564737905E-2</v>
      </c>
    </row>
    <row r="58" spans="1:5" ht="15.75" x14ac:dyDescent="0.3">
      <c r="A58" s="14" t="s">
        <v>60</v>
      </c>
      <c r="B58" s="37">
        <v>1095000</v>
      </c>
      <c r="C58" s="15">
        <f>IF($C$50="Clients",Tables!C182,IF($C$50="Branchements",Tables!E182,Tables!J182))</f>
        <v>253.46631314019083</v>
      </c>
      <c r="D58" s="38">
        <f t="shared" si="0"/>
        <v>1.9246798131855843E-3</v>
      </c>
    </row>
    <row r="59" spans="1:5" ht="15.75" x14ac:dyDescent="0.3">
      <c r="A59" s="12" t="s">
        <v>60</v>
      </c>
      <c r="B59" s="35">
        <v>3650000</v>
      </c>
      <c r="C59" s="13">
        <f>IF($C$50="Clients",Tables!C183,IF($C$50="Branchements",Tables!E183,Tables!J183))</f>
        <v>41.416666666666664</v>
      </c>
      <c r="D59" s="36">
        <f t="shared" si="0"/>
        <v>3.1449474005123645E-4</v>
      </c>
    </row>
    <row r="60" spans="1:5" ht="15.75" x14ac:dyDescent="0.3">
      <c r="A60" s="14" t="s">
        <v>60</v>
      </c>
      <c r="B60" s="37">
        <v>10950000</v>
      </c>
      <c r="C60" s="15">
        <f>IF($C$50="Clients",Tables!C184,IF($C$50="Branchements",Tables!E184,Tables!J184))</f>
        <v>1.5</v>
      </c>
      <c r="D60" s="38">
        <f t="shared" si="0"/>
        <v>1.1390151551151421E-5</v>
      </c>
    </row>
    <row r="61" spans="1:5" ht="15.75" x14ac:dyDescent="0.3">
      <c r="A61" s="12" t="s">
        <v>59</v>
      </c>
      <c r="B61" s="35">
        <v>0</v>
      </c>
      <c r="C61" s="13">
        <f>IF($C$50="Clients",Tables!C185,IF($C$50="Branchements",Tables!E185,Tables!J185))</f>
        <v>1231.17367842053</v>
      </c>
      <c r="D61" s="36">
        <f t="shared" si="0"/>
        <v>9.3488365219989329E-3</v>
      </c>
    </row>
    <row r="62" spans="1:5" x14ac:dyDescent="0.25">
      <c r="A62" s="14">
        <v>303</v>
      </c>
      <c r="B62" s="37">
        <v>0</v>
      </c>
      <c r="C62" s="15">
        <f>IF($C$50="Clients",Tables!C186,IF($C$50="Branchements",Tables!E186,Tables!J186))</f>
        <v>72.816666666666663</v>
      </c>
      <c r="D62" s="38">
        <f t="shared" si="0"/>
        <v>5.5292857918867288E-4</v>
      </c>
    </row>
    <row r="63" spans="1:5" x14ac:dyDescent="0.25">
      <c r="A63" s="12">
        <v>304</v>
      </c>
      <c r="B63" s="35">
        <v>0</v>
      </c>
      <c r="C63" s="13">
        <f>IF($C$50="Clients",Tables!C187,IF($C$50="Branchements",Tables!E187,Tables!J187))</f>
        <v>73.333333333333329</v>
      </c>
      <c r="D63" s="36">
        <f t="shared" si="0"/>
        <v>5.5685185361184725E-4</v>
      </c>
    </row>
    <row r="64" spans="1:5" x14ac:dyDescent="0.25">
      <c r="A64" s="14">
        <v>305</v>
      </c>
      <c r="B64" s="37">
        <v>0</v>
      </c>
      <c r="C64" s="15">
        <f>IF($C$50="Clients",Tables!C188,IF($C$50="Branchements",Tables!E188,Tables!J188))</f>
        <v>47.333333333333336</v>
      </c>
      <c r="D64" s="38">
        <f t="shared" si="0"/>
        <v>3.5942256005855598E-4</v>
      </c>
    </row>
    <row r="65" spans="1:4" x14ac:dyDescent="0.25">
      <c r="A65" s="12">
        <v>406</v>
      </c>
      <c r="B65" s="35">
        <v>0</v>
      </c>
      <c r="C65" s="13">
        <f>IF($C$50="Clients",Tables!C189,IF($C$50="Branchements",Tables!E189,Tables!J189))</f>
        <v>36</v>
      </c>
      <c r="D65" s="36">
        <f t="shared" si="0"/>
        <v>2.7336363722763409E-4</v>
      </c>
    </row>
    <row r="66" spans="1:4" x14ac:dyDescent="0.25">
      <c r="A66" s="14">
        <v>407</v>
      </c>
      <c r="B66" s="37">
        <v>0</v>
      </c>
      <c r="C66" s="15">
        <f>IF($C$50="Clients",Tables!C190,IF($C$50="Branchements",Tables!E190,Tables!J190))</f>
        <v>27.666666666666668</v>
      </c>
      <c r="D66" s="38">
        <f t="shared" si="0"/>
        <v>2.1008501749901511E-4</v>
      </c>
    </row>
    <row r="67" spans="1:4" x14ac:dyDescent="0.25">
      <c r="A67" s="12">
        <v>408</v>
      </c>
      <c r="B67" s="35">
        <v>0</v>
      </c>
      <c r="C67" s="13">
        <f>IF($C$50="Clients",Tables!C191,IF($C$50="Branchements",Tables!E191,Tables!J191))</f>
        <v>6.333333333333333</v>
      </c>
      <c r="D67" s="36">
        <f t="shared" si="0"/>
        <v>4.809175099375044E-5</v>
      </c>
    </row>
    <row r="68" spans="1:4" x14ac:dyDescent="0.25">
      <c r="A68" s="14">
        <v>409</v>
      </c>
      <c r="B68" s="37">
        <v>0</v>
      </c>
      <c r="C68" s="15">
        <f>IF($C$50="Clients",Tables!C192,IF($C$50="Branchements",Tables!E192,Tables!J192))</f>
        <v>2</v>
      </c>
      <c r="D68" s="38">
        <f t="shared" si="0"/>
        <v>1.5186868734868561E-5</v>
      </c>
    </row>
    <row r="69" spans="1:4" x14ac:dyDescent="0.25">
      <c r="A69" s="12">
        <v>410</v>
      </c>
      <c r="B69" s="35">
        <v>0</v>
      </c>
      <c r="C69" s="13">
        <f>IF($C$50="Clients",Tables!C193,IF($C$50="Branchements",Tables!E193,Tables!J193))</f>
        <v>1</v>
      </c>
      <c r="D69" s="36">
        <f t="shared" si="0"/>
        <v>7.5934343674342804E-6</v>
      </c>
    </row>
    <row r="70" spans="1:4" x14ac:dyDescent="0.25">
      <c r="A70" s="14">
        <v>505</v>
      </c>
      <c r="B70" s="37">
        <v>0</v>
      </c>
      <c r="C70" s="15">
        <f>IF($C$50="Clients",Tables!C194,IF($C$50="Branchements",Tables!E194,Tables!J194))</f>
        <v>38.833333333333336</v>
      </c>
      <c r="D70" s="38">
        <f t="shared" si="0"/>
        <v>2.9487836793536457E-4</v>
      </c>
    </row>
    <row r="71" spans="1:4" x14ac:dyDescent="0.25">
      <c r="A71" s="12">
        <v>506</v>
      </c>
      <c r="B71" s="35">
        <v>0</v>
      </c>
      <c r="C71" s="13">
        <f>IF($C$50="Clients",Tables!C195,IF($C$50="Branchements",Tables!E195,Tables!J195))</f>
        <v>5.833333333333333</v>
      </c>
      <c r="D71" s="36">
        <f t="shared" si="0"/>
        <v>4.42950338100333E-5</v>
      </c>
    </row>
    <row r="72" spans="1:4" x14ac:dyDescent="0.25">
      <c r="A72" s="14">
        <v>507</v>
      </c>
      <c r="B72" s="37">
        <v>0</v>
      </c>
      <c r="C72" s="15">
        <f>IF($C$50="Clients",Tables!C196,IF($C$50="Branchements",Tables!E196,Tables!J196))</f>
        <v>2</v>
      </c>
      <c r="D72" s="38">
        <f t="shared" si="0"/>
        <v>1.5186868734868561E-5</v>
      </c>
    </row>
    <row r="73" spans="1:4" x14ac:dyDescent="0.25">
      <c r="A73" s="12">
        <v>508</v>
      </c>
      <c r="B73" s="35">
        <v>0</v>
      </c>
      <c r="C73" s="13">
        <f>IF($C$50="Clients",Tables!C197,IF($C$50="Branchements",Tables!E197,Tables!J197))</f>
        <v>0</v>
      </c>
      <c r="D73" s="36">
        <f t="shared" si="0"/>
        <v>0</v>
      </c>
    </row>
    <row r="74" spans="1:4" x14ac:dyDescent="0.25">
      <c r="A74" s="14">
        <v>509</v>
      </c>
      <c r="B74" s="37">
        <v>0</v>
      </c>
      <c r="C74" s="15">
        <f>IF($C$50="Clients",Tables!C198,IF($C$50="Branchements",Tables!E198,Tables!J198))</f>
        <v>0</v>
      </c>
      <c r="D74" s="38">
        <f t="shared" si="0"/>
        <v>0</v>
      </c>
    </row>
    <row r="75" spans="1:4" x14ac:dyDescent="0.25">
      <c r="A75" s="12">
        <v>510</v>
      </c>
      <c r="B75" s="35">
        <v>0</v>
      </c>
      <c r="C75" s="13">
        <f>IF($C$50="Clients",Tables!C199,IF($C$50="Branchements",Tables!E199,Tables!J199))</f>
        <v>0</v>
      </c>
      <c r="D75" s="36">
        <f t="shared" si="0"/>
        <v>0</v>
      </c>
    </row>
    <row r="76" spans="1:4" x14ac:dyDescent="0.25">
      <c r="A76" s="14">
        <v>535</v>
      </c>
      <c r="B76" s="37">
        <v>0</v>
      </c>
      <c r="C76" s="15">
        <f>IF($C$50="Clients",Tables!C200,IF($C$50="Branchements",Tables!E200,Tables!J200))</f>
        <v>16.5</v>
      </c>
      <c r="D76" s="38">
        <f t="shared" si="0"/>
        <v>1.2529166706266563E-4</v>
      </c>
    </row>
    <row r="77" spans="1:4" x14ac:dyDescent="0.25">
      <c r="A77" s="12">
        <v>536</v>
      </c>
      <c r="B77" s="35">
        <v>0</v>
      </c>
      <c r="C77" s="13">
        <f>IF($C$50="Clients",Tables!C201,IF($C$50="Branchements",Tables!E201,Tables!J201))</f>
        <v>3.5</v>
      </c>
      <c r="D77" s="36">
        <f t="shared" si="0"/>
        <v>2.6577020286019981E-5</v>
      </c>
    </row>
    <row r="78" spans="1:4" x14ac:dyDescent="0.25">
      <c r="A78" s="14">
        <v>537</v>
      </c>
      <c r="B78" s="37">
        <v>0</v>
      </c>
      <c r="C78" s="15">
        <f>IF($C$50="Clients",Tables!C202,IF($C$50="Branchements",Tables!E202,Tables!J202))</f>
        <v>1</v>
      </c>
      <c r="D78" s="38">
        <f t="shared" si="0"/>
        <v>7.5934343674342804E-6</v>
      </c>
    </row>
    <row r="79" spans="1:4" x14ac:dyDescent="0.25">
      <c r="A79" s="12">
        <v>538</v>
      </c>
      <c r="B79" s="35">
        <v>0</v>
      </c>
      <c r="C79" s="13">
        <f>IF($C$50="Clients",Tables!C203,IF($C$50="Branchements",Tables!E203,Tables!J203))</f>
        <v>0</v>
      </c>
      <c r="D79" s="36">
        <f t="shared" si="0"/>
        <v>0</v>
      </c>
    </row>
    <row r="80" spans="1:4" x14ac:dyDescent="0.25">
      <c r="A80" s="14">
        <v>539</v>
      </c>
      <c r="B80" s="37">
        <v>0</v>
      </c>
      <c r="C80" s="15">
        <f>IF($C$50="Clients",Tables!C204,IF($C$50="Branchements",Tables!E204,Tables!J204))</f>
        <v>0</v>
      </c>
      <c r="D80" s="38">
        <f t="shared" si="0"/>
        <v>0</v>
      </c>
    </row>
    <row r="81" spans="1:9" x14ac:dyDescent="0.25">
      <c r="A81" s="12">
        <v>540</v>
      </c>
      <c r="B81" s="35">
        <v>0</v>
      </c>
      <c r="C81" s="13">
        <f>IF($C$50="Clients",Tables!C205,IF($C$50="Branchements",Tables!E205,Tables!J205))</f>
        <v>0</v>
      </c>
      <c r="D81" s="36">
        <f t="shared" si="0"/>
        <v>0</v>
      </c>
    </row>
    <row r="82" spans="1:9" x14ac:dyDescent="0.25">
      <c r="A82" s="39" t="s">
        <v>10</v>
      </c>
      <c r="B82" s="40"/>
      <c r="C82" s="41">
        <f>SUM(C51:C81)</f>
        <v>131692.71657745118</v>
      </c>
      <c r="D82" s="42">
        <f>SUM(D51:D81)</f>
        <v>0.99999999999999944</v>
      </c>
    </row>
    <row r="84" spans="1:9" x14ac:dyDescent="0.25">
      <c r="A84" s="50" t="str">
        <f>"5a. Allocation de la capacité selon la "&amp;Sommaire!$B$6</f>
        <v>5a. Allocation de la capacité selon la CA (DQM)</v>
      </c>
      <c r="F84" s="50" t="str">
        <f>IF(Sommaire!$B$3="Distribution","Pour l'alimentation, utilisation de la "&amp;Sommaire!$B$8,"Non-utilisé")</f>
        <v>Non-utilisé</v>
      </c>
    </row>
    <row r="85" spans="1:9" x14ac:dyDescent="0.25">
      <c r="A85" s="34" t="s">
        <v>15</v>
      </c>
      <c r="B85" s="34"/>
      <c r="C85" s="34" t="str">
        <f>Sommaire!B6</f>
        <v>CA (DQM)</v>
      </c>
      <c r="D85" s="34" t="s">
        <v>30</v>
      </c>
      <c r="F85" s="34" t="s">
        <v>15</v>
      </c>
      <c r="G85" s="34"/>
      <c r="H85" s="34" t="str">
        <f>Sommaire!B8</f>
        <v>CA (DQM)</v>
      </c>
      <c r="I85" s="34" t="s">
        <v>30</v>
      </c>
    </row>
    <row r="86" spans="1:9" ht="15.75" x14ac:dyDescent="0.3">
      <c r="A86" s="12" t="s">
        <v>60</v>
      </c>
      <c r="B86" s="35">
        <v>365</v>
      </c>
      <c r="C86" s="13">
        <f>IF(Sommaire!$B$2="Intercepte Zéro",IF($C$85="CA (DQM)",Tables!C209,Tables!E209),IF($C$85="CA (DQM)",Tables!J209,Tables!L209))</f>
        <v>0</v>
      </c>
      <c r="D86" s="36">
        <f>C86/C$117</f>
        <v>0</v>
      </c>
      <c r="E86" s="51"/>
      <c r="F86" s="12" t="s">
        <v>60</v>
      </c>
      <c r="G86" s="35">
        <v>365</v>
      </c>
      <c r="H86" s="13">
        <f>IF($H$85="CAU",Tables!E209,Tables!C209)</f>
        <v>35960.002773232627</v>
      </c>
      <c r="I86" s="36">
        <f>H86/H$117</f>
        <v>8.4958702408092482E-4</v>
      </c>
    </row>
    <row r="87" spans="1:9" ht="15.75" x14ac:dyDescent="0.3">
      <c r="A87" s="14" t="s">
        <v>60</v>
      </c>
      <c r="B87" s="37">
        <v>1095</v>
      </c>
      <c r="C87" s="15">
        <f>IF(Sommaire!$B$2="Intercepte Zéro",IF($C$85="CA (DQM)",Tables!C210,Tables!E210),IF($C$85="CA (DQM)",Tables!J210,Tables!L210))</f>
        <v>0</v>
      </c>
      <c r="D87" s="38">
        <f t="shared" ref="D87:D116" si="1">C87/C$117</f>
        <v>0</v>
      </c>
      <c r="F87" s="14" t="s">
        <v>60</v>
      </c>
      <c r="G87" s="37">
        <v>1095</v>
      </c>
      <c r="H87" s="15">
        <f>IF($H$85="CAU",Tables!E210,Tables!C210)</f>
        <v>245338.99887159184</v>
      </c>
      <c r="I87" s="38">
        <f t="shared" ref="I87:I116" si="2">H87/H$117</f>
        <v>5.7963518873102591E-3</v>
      </c>
    </row>
    <row r="88" spans="1:9" ht="15.75" x14ac:dyDescent="0.3">
      <c r="A88" s="12" t="s">
        <v>60</v>
      </c>
      <c r="B88" s="35">
        <v>3650</v>
      </c>
      <c r="C88" s="13">
        <f>IF(Sommaire!$B$2="Intercepte Zéro",IF($C$85="CA (DQM)",Tables!C211,Tables!E211),IF($C$85="CA (DQM)",Tables!J211,Tables!L211))</f>
        <v>0</v>
      </c>
      <c r="D88" s="36">
        <f t="shared" si="1"/>
        <v>0</v>
      </c>
      <c r="F88" s="12" t="s">
        <v>60</v>
      </c>
      <c r="G88" s="35">
        <v>3650</v>
      </c>
      <c r="H88" s="13">
        <f>IF($H$85="CAU",Tables!E211,Tables!C211)</f>
        <v>1822321.0326172947</v>
      </c>
      <c r="I88" s="36">
        <f t="shared" si="2"/>
        <v>4.3053953938341924E-2</v>
      </c>
    </row>
    <row r="89" spans="1:9" ht="15.75" x14ac:dyDescent="0.3">
      <c r="A89" s="14" t="s">
        <v>60</v>
      </c>
      <c r="B89" s="37">
        <v>10950</v>
      </c>
      <c r="C89" s="15">
        <f>IF(Sommaire!$B$2="Intercepte Zéro",IF($C$85="CA (DQM)",Tables!C212,Tables!E212),IF($C$85="CA (DQM)",Tables!J212,Tables!L212))</f>
        <v>0</v>
      </c>
      <c r="D89" s="38">
        <f t="shared" si="1"/>
        <v>0</v>
      </c>
      <c r="E89" s="51"/>
      <c r="F89" s="14" t="s">
        <v>60</v>
      </c>
      <c r="G89" s="37">
        <v>10950</v>
      </c>
      <c r="H89" s="15">
        <f>IF($H$85="CAU",Tables!E212,Tables!C212)</f>
        <v>1980408.9260702345</v>
      </c>
      <c r="I89" s="38">
        <f t="shared" si="2"/>
        <v>4.6788920917873997E-2</v>
      </c>
    </row>
    <row r="90" spans="1:9" ht="15.75" x14ac:dyDescent="0.3">
      <c r="A90" s="12" t="s">
        <v>60</v>
      </c>
      <c r="B90" s="35">
        <v>36500</v>
      </c>
      <c r="C90" s="13">
        <f>IF(Sommaire!$B$2="Intercepte Zéro",IF($C$85="CA (DQM)",Tables!C213,Tables!E213),IF($C$85="CA (DQM)",Tables!J213,Tables!L213))</f>
        <v>0</v>
      </c>
      <c r="D90" s="36">
        <f t="shared" si="1"/>
        <v>0</v>
      </c>
      <c r="F90" s="12" t="s">
        <v>60</v>
      </c>
      <c r="G90" s="35">
        <v>36500</v>
      </c>
      <c r="H90" s="13">
        <f>IF($H$85="CAU",Tables!E213,Tables!C213)</f>
        <v>3963078.8057716768</v>
      </c>
      <c r="I90" s="36">
        <f t="shared" si="2"/>
        <v>9.3631258874651901E-2</v>
      </c>
    </row>
    <row r="91" spans="1:9" ht="15.75" x14ac:dyDescent="0.3">
      <c r="A91" s="14" t="s">
        <v>60</v>
      </c>
      <c r="B91" s="37">
        <v>109500</v>
      </c>
      <c r="C91" s="15">
        <f>IF(Sommaire!$B$2="Intercepte Zéro",IF($C$85="CA (DQM)",Tables!C214,Tables!E214),IF($C$85="CA (DQM)",Tables!J214,Tables!L214))</f>
        <v>4882058.104152007</v>
      </c>
      <c r="D91" s="38">
        <f t="shared" si="1"/>
        <v>0.14241982993124136</v>
      </c>
      <c r="E91" s="51"/>
      <c r="F91" s="14" t="s">
        <v>60</v>
      </c>
      <c r="G91" s="37">
        <v>109500</v>
      </c>
      <c r="H91" s="15">
        <f>IF($H$85="CAU",Tables!E214,Tables!C214)</f>
        <v>4882058.104152007</v>
      </c>
      <c r="I91" s="38">
        <f t="shared" si="2"/>
        <v>0.11534296151901562</v>
      </c>
    </row>
    <row r="92" spans="1:9" ht="15.75" x14ac:dyDescent="0.3">
      <c r="A92" s="12" t="s">
        <v>60</v>
      </c>
      <c r="B92" s="35">
        <v>365000</v>
      </c>
      <c r="C92" s="13">
        <f>IF(Sommaire!$B$2="Intercepte Zéro",IF($C$85="CA (DQM)",Tables!C215,Tables!E215),IF($C$85="CA (DQM)",Tables!J215,Tables!L215))</f>
        <v>3481786.8080902826</v>
      </c>
      <c r="D92" s="36">
        <f t="shared" si="1"/>
        <v>0.10157099208699182</v>
      </c>
      <c r="F92" s="12" t="s">
        <v>60</v>
      </c>
      <c r="G92" s="35">
        <v>365000</v>
      </c>
      <c r="H92" s="13">
        <f>IF($H$85="CAU",Tables!E215,Tables!C215)</f>
        <v>3481786.8080902826</v>
      </c>
      <c r="I92" s="36">
        <f t="shared" si="2"/>
        <v>8.2260307693066637E-2</v>
      </c>
    </row>
    <row r="93" spans="1:9" ht="15.75" x14ac:dyDescent="0.3">
      <c r="A93" s="14" t="s">
        <v>60</v>
      </c>
      <c r="B93" s="37">
        <v>1095000</v>
      </c>
      <c r="C93" s="15">
        <f>IF(Sommaire!$B$2="Intercepte Zéro",IF($C$85="CA (DQM)",Tables!C216,Tables!E216),IF($C$85="CA (DQM)",Tables!J216,Tables!L216))</f>
        <v>1447585.4901596454</v>
      </c>
      <c r="D93" s="38">
        <f t="shared" si="1"/>
        <v>4.2229091690681411E-2</v>
      </c>
      <c r="F93" s="14" t="s">
        <v>60</v>
      </c>
      <c r="G93" s="37">
        <v>1095000</v>
      </c>
      <c r="H93" s="15">
        <f>IF($H$85="CAU",Tables!E216,Tables!C216)</f>
        <v>1447585.4901596454</v>
      </c>
      <c r="I93" s="38">
        <f t="shared" si="2"/>
        <v>3.4200493710832454E-2</v>
      </c>
    </row>
    <row r="94" spans="1:9" ht="15.75" x14ac:dyDescent="0.3">
      <c r="A94" s="12" t="s">
        <v>60</v>
      </c>
      <c r="B94" s="35">
        <v>3650000</v>
      </c>
      <c r="C94" s="13">
        <f>IF(Sommaire!$B$2="Intercepte Zéro",IF($C$85="CA (DQM)",Tables!C217,Tables!E217),IF($C$85="CA (DQM)",Tables!J217,Tables!L217))</f>
        <v>551307.02581172867</v>
      </c>
      <c r="D94" s="36">
        <f t="shared" si="1"/>
        <v>1.6082777218327057E-2</v>
      </c>
      <c r="F94" s="12" t="s">
        <v>60</v>
      </c>
      <c r="G94" s="35">
        <v>3650000</v>
      </c>
      <c r="H94" s="13">
        <f>IF($H$85="CAU",Tables!E217,Tables!C217)</f>
        <v>551307.02581172867</v>
      </c>
      <c r="I94" s="36">
        <f t="shared" si="2"/>
        <v>1.3025118445289453E-2</v>
      </c>
    </row>
    <row r="95" spans="1:9" ht="15.75" x14ac:dyDescent="0.3">
      <c r="A95" s="14" t="s">
        <v>60</v>
      </c>
      <c r="B95" s="37">
        <v>10950000</v>
      </c>
      <c r="C95" s="15">
        <f>IF(Sommaire!$B$2="Intercepte Zéro",IF($C$85="CA (DQM)",Tables!C218,Tables!E218),IF($C$85="CA (DQM)",Tables!J218,Tables!L218))</f>
        <v>237895.07905518028</v>
      </c>
      <c r="D95" s="38">
        <f t="shared" si="1"/>
        <v>6.9398962441072744E-3</v>
      </c>
      <c r="F95" s="14" t="s">
        <v>60</v>
      </c>
      <c r="G95" s="37">
        <v>10950000</v>
      </c>
      <c r="H95" s="15">
        <f>IF($H$85="CAU",Tables!E218,Tables!C218)</f>
        <v>237895.07905518028</v>
      </c>
      <c r="I95" s="38">
        <f t="shared" si="2"/>
        <v>5.6204826660478605E-3</v>
      </c>
    </row>
    <row r="96" spans="1:9" ht="15.75" x14ac:dyDescent="0.3">
      <c r="A96" s="12" t="s">
        <v>59</v>
      </c>
      <c r="B96" s="35">
        <v>0</v>
      </c>
      <c r="C96" s="13">
        <f>IF(Sommaire!$B$2="Intercepte Zéro",IF($C$85="CA (DQM)",Tables!C219,Tables!E219),IF($C$85="CA (DQM)",Tables!J219,Tables!L219))</f>
        <v>3831884.7746643876</v>
      </c>
      <c r="D96" s="36">
        <f t="shared" si="1"/>
        <v>0.11178408086943638</v>
      </c>
      <c r="F96" s="12" t="s">
        <v>59</v>
      </c>
      <c r="G96" s="35">
        <v>0</v>
      </c>
      <c r="H96" s="13">
        <f>IF($H$85="CAU",Tables!E219,Tables!C219)</f>
        <v>3831884.7746643876</v>
      </c>
      <c r="I96" s="36">
        <f t="shared" si="2"/>
        <v>9.053168329429101E-2</v>
      </c>
    </row>
    <row r="97" spans="1:9" x14ac:dyDescent="0.25">
      <c r="A97" s="14">
        <v>303</v>
      </c>
      <c r="B97" s="37">
        <v>0</v>
      </c>
      <c r="C97" s="15">
        <f>IF(Sommaire!$B$2="Intercepte Zéro",IF($C$85="CA (DQM)",Tables!C220,Tables!E220),IF($C$85="CA (DQM)",Tables!J220,Tables!L220))</f>
        <v>43967.154560498835</v>
      </c>
      <c r="D97" s="38">
        <f t="shared" si="1"/>
        <v>1.2826137136183254E-3</v>
      </c>
      <c r="E97" s="51"/>
      <c r="F97" s="14">
        <v>303</v>
      </c>
      <c r="G97" s="37">
        <v>0</v>
      </c>
      <c r="H97" s="15">
        <f>IF($H$85="CAU",Tables!E220,Tables!C220)</f>
        <v>43967.154560498835</v>
      </c>
      <c r="I97" s="38">
        <f t="shared" si="2"/>
        <v>1.038763101213252E-3</v>
      </c>
    </row>
    <row r="98" spans="1:9" x14ac:dyDescent="0.25">
      <c r="A98" s="12">
        <v>304</v>
      </c>
      <c r="B98" s="35">
        <v>0</v>
      </c>
      <c r="C98" s="13">
        <f>IF(Sommaire!$B$2="Intercepte Zéro",IF($C$85="CA (DQM)",Tables!C221,Tables!E221),IF($C$85="CA (DQM)",Tables!J221,Tables!L221))</f>
        <v>195782.53928271678</v>
      </c>
      <c r="D98" s="36">
        <f t="shared" si="1"/>
        <v>5.7113855167838729E-3</v>
      </c>
      <c r="F98" s="12">
        <v>304</v>
      </c>
      <c r="G98" s="35">
        <v>0</v>
      </c>
      <c r="H98" s="13">
        <f>IF($H$85="CAU",Tables!E221,Tables!C221)</f>
        <v>195782.53928271678</v>
      </c>
      <c r="I98" s="36">
        <f t="shared" si="2"/>
        <v>4.625536487444978E-3</v>
      </c>
    </row>
    <row r="99" spans="1:9" x14ac:dyDescent="0.25">
      <c r="A99" s="14">
        <v>305</v>
      </c>
      <c r="B99" s="37">
        <v>0</v>
      </c>
      <c r="C99" s="15">
        <f>IF(Sommaire!$B$2="Intercepte Zéro",IF($C$85="CA (DQM)",Tables!C222,Tables!E222),IF($C$85="CA (DQM)",Tables!J222,Tables!L222))</f>
        <v>280974.34971999197</v>
      </c>
      <c r="D99" s="38">
        <f t="shared" si="1"/>
        <v>8.1966085303511668E-3</v>
      </c>
      <c r="F99" s="14">
        <v>305</v>
      </c>
      <c r="G99" s="37">
        <v>0</v>
      </c>
      <c r="H99" s="15">
        <f>IF($H$85="CAU",Tables!E222,Tables!C222)</f>
        <v>280974.34971999197</v>
      </c>
      <c r="I99" s="38">
        <f t="shared" si="2"/>
        <v>6.6382687211406456E-3</v>
      </c>
    </row>
    <row r="100" spans="1:9" x14ac:dyDescent="0.25">
      <c r="A100" s="12">
        <v>406</v>
      </c>
      <c r="B100" s="35">
        <v>0</v>
      </c>
      <c r="C100" s="13">
        <f>IF(Sommaire!$B$2="Intercepte Zéro",IF($C$85="CA (DQM)",Tables!C223,Tables!E223),IF($C$85="CA (DQM)",Tables!J223,Tables!L223))</f>
        <v>1724426</v>
      </c>
      <c r="D100" s="36">
        <f t="shared" si="1"/>
        <v>5.0305107479188677E-2</v>
      </c>
      <c r="E100" s="51"/>
      <c r="F100" s="12">
        <v>406</v>
      </c>
      <c r="G100" s="35">
        <v>0</v>
      </c>
      <c r="H100" s="13">
        <f>IF($H$85="CAU",Tables!E223,Tables!C223)</f>
        <v>1724426</v>
      </c>
      <c r="I100" s="36">
        <f t="shared" si="2"/>
        <v>4.0741096790968691E-2</v>
      </c>
    </row>
    <row r="101" spans="1:9" x14ac:dyDescent="0.25">
      <c r="A101" s="14">
        <v>407</v>
      </c>
      <c r="B101" s="37">
        <v>0</v>
      </c>
      <c r="C101" s="15">
        <f>IF(Sommaire!$B$2="Intercepte Zéro",IF($C$85="CA (DQM)",Tables!C224,Tables!E224),IF($C$85="CA (DQM)",Tables!J224,Tables!L224))</f>
        <v>3403451</v>
      </c>
      <c r="D101" s="38">
        <f t="shared" si="1"/>
        <v>9.9285772979038928E-2</v>
      </c>
      <c r="F101" s="14">
        <v>407</v>
      </c>
      <c r="G101" s="37">
        <v>0</v>
      </c>
      <c r="H101" s="15">
        <f>IF($H$85="CAU",Tables!E224,Tables!C224)</f>
        <v>3403451</v>
      </c>
      <c r="I101" s="38">
        <f t="shared" si="2"/>
        <v>8.0409554607921235E-2</v>
      </c>
    </row>
    <row r="102" spans="1:9" x14ac:dyDescent="0.25">
      <c r="A102" s="12">
        <v>408</v>
      </c>
      <c r="B102" s="35">
        <v>0</v>
      </c>
      <c r="C102" s="13">
        <f>IF(Sommaire!$B$2="Intercepte Zéro",IF($C$85="CA (DQM)",Tables!C225,Tables!E225),IF($C$85="CA (DQM)",Tables!J225,Tables!L225))</f>
        <v>2103538</v>
      </c>
      <c r="D102" s="36">
        <f t="shared" si="1"/>
        <v>6.1364596205669357E-2</v>
      </c>
      <c r="F102" s="12">
        <v>408</v>
      </c>
      <c r="G102" s="35">
        <v>0</v>
      </c>
      <c r="H102" s="13">
        <f>IF($H$85="CAU",Tables!E225,Tables!C225)</f>
        <v>2103538</v>
      </c>
      <c r="I102" s="36">
        <f t="shared" si="2"/>
        <v>4.969795471738462E-2</v>
      </c>
    </row>
    <row r="103" spans="1:9" x14ac:dyDescent="0.25">
      <c r="A103" s="14">
        <v>409</v>
      </c>
      <c r="B103" s="37">
        <v>0</v>
      </c>
      <c r="C103" s="15">
        <f>IF(Sommaire!$B$2="Intercepte Zéro",IF($C$85="CA (DQM)",Tables!C226,Tables!E226),IF($C$85="CA (DQM)",Tables!J226,Tables!L226))</f>
        <v>2991381</v>
      </c>
      <c r="D103" s="38">
        <f t="shared" si="1"/>
        <v>8.726483056750646E-2</v>
      </c>
      <c r="F103" s="14">
        <v>409</v>
      </c>
      <c r="G103" s="37">
        <v>0</v>
      </c>
      <c r="H103" s="15">
        <f>IF($H$85="CAU",Tables!E226,Tables!C226)</f>
        <v>2991381</v>
      </c>
      <c r="I103" s="38">
        <f t="shared" si="2"/>
        <v>7.0674034640897734E-2</v>
      </c>
    </row>
    <row r="104" spans="1:9" x14ac:dyDescent="0.25">
      <c r="A104" s="12">
        <v>410</v>
      </c>
      <c r="B104" s="35">
        <v>0</v>
      </c>
      <c r="C104" s="13">
        <f>IF(Sommaire!$B$2="Intercepte Zéro",IF($C$85="CA (DQM)",Tables!C227,Tables!E227),IF($C$85="CA (DQM)",Tables!J227,Tables!L227))</f>
        <v>3048000</v>
      </c>
      <c r="D104" s="36">
        <f t="shared" si="1"/>
        <v>8.8916525033006386E-2</v>
      </c>
      <c r="F104" s="12">
        <v>410</v>
      </c>
      <c r="G104" s="35">
        <v>0</v>
      </c>
      <c r="H104" s="13">
        <f>IF($H$85="CAU",Tables!E227,Tables!C227)</f>
        <v>3048000</v>
      </c>
      <c r="I104" s="36">
        <f t="shared" si="2"/>
        <v>7.2011708834633995E-2</v>
      </c>
    </row>
    <row r="105" spans="1:9" x14ac:dyDescent="0.25">
      <c r="A105" s="14">
        <v>505</v>
      </c>
      <c r="B105" s="37">
        <v>0</v>
      </c>
      <c r="C105" s="15">
        <f>IF(Sommaire!$B$2="Intercepte Zéro",IF($C$85="CA (DQM)",Tables!C228,Tables!E228),IF($C$85="CA (DQM)",Tables!J228,Tables!L228))</f>
        <v>1289904</v>
      </c>
      <c r="D105" s="38">
        <f t="shared" si="1"/>
        <v>3.7629193341920955E-2</v>
      </c>
      <c r="E105" s="51"/>
      <c r="F105" s="14">
        <v>505</v>
      </c>
      <c r="G105" s="37">
        <v>0</v>
      </c>
      <c r="H105" s="15">
        <f>IF($H$85="CAU",Tables!E228,Tables!C228)</f>
        <v>1289904</v>
      </c>
      <c r="I105" s="38">
        <f t="shared" si="2"/>
        <v>3.0475128370285345E-2</v>
      </c>
    </row>
    <row r="106" spans="1:9" x14ac:dyDescent="0.25">
      <c r="A106" s="12">
        <v>506</v>
      </c>
      <c r="B106" s="35">
        <v>0</v>
      </c>
      <c r="C106" s="13">
        <f>IF(Sommaire!$B$2="Intercepte Zéro",IF($C$85="CA (DQM)",Tables!C229,Tables!E229),IF($C$85="CA (DQM)",Tables!J229,Tables!L229))</f>
        <v>684218</v>
      </c>
      <c r="D106" s="36">
        <f t="shared" si="1"/>
        <v>1.9960067888790539E-2</v>
      </c>
      <c r="F106" s="12">
        <v>506</v>
      </c>
      <c r="G106" s="35">
        <v>0</v>
      </c>
      <c r="H106" s="13">
        <f>IF($H$85="CAU",Tables!E229,Tables!C229)</f>
        <v>684218</v>
      </c>
      <c r="I106" s="36">
        <f t="shared" si="2"/>
        <v>1.6165258331829267E-2</v>
      </c>
    </row>
    <row r="107" spans="1:9" x14ac:dyDescent="0.25">
      <c r="A107" s="14">
        <v>507</v>
      </c>
      <c r="B107" s="37">
        <v>0</v>
      </c>
      <c r="C107" s="15">
        <f>IF(Sommaire!$B$2="Intercepte Zéro",IF($C$85="CA (DQM)",Tables!C230,Tables!E230),IF($C$85="CA (DQM)",Tables!J230,Tables!L230))</f>
        <v>1085383</v>
      </c>
      <c r="D107" s="38">
        <f t="shared" si="1"/>
        <v>3.1662888677788575E-2</v>
      </c>
      <c r="F107" s="14">
        <v>507</v>
      </c>
      <c r="G107" s="37">
        <v>0</v>
      </c>
      <c r="H107" s="15">
        <f>IF($H$85="CAU",Tables!E230,Tables!C230)</f>
        <v>1085383</v>
      </c>
      <c r="I107" s="38">
        <f t="shared" si="2"/>
        <v>2.5643137982303658E-2</v>
      </c>
    </row>
    <row r="108" spans="1:9" x14ac:dyDescent="0.25">
      <c r="A108" s="12">
        <v>508</v>
      </c>
      <c r="B108" s="35">
        <v>0</v>
      </c>
      <c r="C108" s="13">
        <f>IF(Sommaire!$B$2="Intercepte Zéro",IF($C$85="CA (DQM)",Tables!C231,Tables!E231),IF($C$85="CA (DQM)",Tables!J231,Tables!L231))</f>
        <v>938516</v>
      </c>
      <c r="D108" s="36">
        <f t="shared" si="1"/>
        <v>2.7378471590510836E-2</v>
      </c>
      <c r="F108" s="12">
        <v>508</v>
      </c>
      <c r="G108" s="35">
        <v>0</v>
      </c>
      <c r="H108" s="13">
        <f>IF($H$85="CAU",Tables!E231,Tables!C231)</f>
        <v>938516</v>
      </c>
      <c r="I108" s="36">
        <f t="shared" si="2"/>
        <v>2.2173274582888897E-2</v>
      </c>
    </row>
    <row r="109" spans="1:9" x14ac:dyDescent="0.25">
      <c r="A109" s="14">
        <v>509</v>
      </c>
      <c r="B109" s="37">
        <v>0</v>
      </c>
      <c r="C109" s="15">
        <f>IF(Sommaire!$B$2="Intercepte Zéro",IF($C$85="CA (DQM)",Tables!C232,Tables!E232),IF($C$85="CA (DQM)",Tables!J232,Tables!L232))</f>
        <v>653409</v>
      </c>
      <c r="D109" s="38">
        <f t="shared" si="1"/>
        <v>1.9061305021421154E-2</v>
      </c>
      <c r="F109" s="14">
        <v>509</v>
      </c>
      <c r="G109" s="37">
        <v>0</v>
      </c>
      <c r="H109" s="15">
        <f>IF($H$85="CAU",Tables!E232,Tables!C232)</f>
        <v>653409</v>
      </c>
      <c r="I109" s="38">
        <f t="shared" si="2"/>
        <v>1.5437368326092311E-2</v>
      </c>
    </row>
    <row r="110" spans="1:9" x14ac:dyDescent="0.25">
      <c r="A110" s="12">
        <v>510</v>
      </c>
      <c r="B110" s="35">
        <v>0</v>
      </c>
      <c r="C110" s="13">
        <f>IF(Sommaire!$B$2="Intercepte Zéro",IF($C$85="CA (DQM)",Tables!C233,Tables!E233),IF($C$85="CA (DQM)",Tables!J233,Tables!L233))</f>
        <v>0</v>
      </c>
      <c r="D110" s="36">
        <f t="shared" si="1"/>
        <v>0</v>
      </c>
      <c r="F110" s="12">
        <v>510</v>
      </c>
      <c r="G110" s="35">
        <v>0</v>
      </c>
      <c r="H110" s="13">
        <f>IF($H$85="CAU",Tables!E233,Tables!C233)</f>
        <v>0</v>
      </c>
      <c r="I110" s="36">
        <f t="shared" si="2"/>
        <v>0</v>
      </c>
    </row>
    <row r="111" spans="1:9" x14ac:dyDescent="0.25">
      <c r="A111" s="14">
        <v>535</v>
      </c>
      <c r="B111" s="37">
        <v>0</v>
      </c>
      <c r="C111" s="15">
        <f>IF(Sommaire!$B$2="Intercepte Zéro",IF($C$85="CA (DQM)",Tables!C234,Tables!E234),IF($C$85="CA (DQM)",Tables!J234,Tables!L234))</f>
        <v>335024.00000000006</v>
      </c>
      <c r="D111" s="38">
        <f t="shared" si="1"/>
        <v>9.773349699034756E-3</v>
      </c>
      <c r="F111" s="14">
        <v>535</v>
      </c>
      <c r="G111" s="37">
        <v>0</v>
      </c>
      <c r="H111" s="15">
        <f>IF($H$85="CAU",Tables!E234,Tables!C234)</f>
        <v>335024.00000000006</v>
      </c>
      <c r="I111" s="38">
        <f t="shared" si="2"/>
        <v>7.9152397442960702E-3</v>
      </c>
    </row>
    <row r="112" spans="1:9" x14ac:dyDescent="0.25">
      <c r="A112" s="12">
        <v>536</v>
      </c>
      <c r="B112" s="35">
        <v>0</v>
      </c>
      <c r="C112" s="13">
        <f>IF(Sommaire!$B$2="Intercepte Zéro",IF($C$85="CA (DQM)",Tables!C235,Tables!E235),IF($C$85="CA (DQM)",Tables!J235,Tables!L235))</f>
        <v>372533.00000000006</v>
      </c>
      <c r="D112" s="36">
        <f t="shared" si="1"/>
        <v>1.0867565557782472E-2</v>
      </c>
      <c r="F112" s="12">
        <v>536</v>
      </c>
      <c r="G112" s="35">
        <v>0</v>
      </c>
      <c r="H112" s="13">
        <f>IF($H$85="CAU",Tables!E235,Tables!C235)</f>
        <v>372533.00000000006</v>
      </c>
      <c r="I112" s="36">
        <f t="shared" si="2"/>
        <v>8.8014232044923597E-3</v>
      </c>
    </row>
    <row r="113" spans="1:9" x14ac:dyDescent="0.25">
      <c r="A113" s="14">
        <v>537</v>
      </c>
      <c r="B113" s="37">
        <v>0</v>
      </c>
      <c r="C113" s="15">
        <f>IF(Sommaire!$B$2="Intercepte Zéro",IF($C$85="CA (DQM)",Tables!C236,Tables!E236),IF($C$85="CA (DQM)",Tables!J236,Tables!L236))</f>
        <v>336505</v>
      </c>
      <c r="D113" s="38">
        <f t="shared" si="1"/>
        <v>9.8165535617558454E-3</v>
      </c>
      <c r="F113" s="14">
        <v>537</v>
      </c>
      <c r="G113" s="37">
        <v>0</v>
      </c>
      <c r="H113" s="15">
        <f>IF($H$85="CAU",Tables!E236,Tables!C236)</f>
        <v>336505</v>
      </c>
      <c r="I113" s="38">
        <f t="shared" si="2"/>
        <v>7.9502296854981995E-3</v>
      </c>
    </row>
    <row r="114" spans="1:9" x14ac:dyDescent="0.25">
      <c r="A114" s="12">
        <v>538</v>
      </c>
      <c r="B114" s="35">
        <v>0</v>
      </c>
      <c r="C114" s="13">
        <f>IF(Sommaire!$B$2="Intercepte Zéro",IF($C$85="CA (DQM)",Tables!C237,Tables!E237),IF($C$85="CA (DQM)",Tables!J237,Tables!L237))</f>
        <v>221195</v>
      </c>
      <c r="D114" s="36">
        <f t="shared" si="1"/>
        <v>6.4527200638700294E-3</v>
      </c>
      <c r="F114" s="12">
        <v>538</v>
      </c>
      <c r="G114" s="35">
        <v>0</v>
      </c>
      <c r="H114" s="13">
        <f>IF($H$85="CAU",Tables!E237,Tables!C237)</f>
        <v>221195</v>
      </c>
      <c r="I114" s="36">
        <f t="shared" si="2"/>
        <v>5.2259284565868988E-3</v>
      </c>
    </row>
    <row r="115" spans="1:9" x14ac:dyDescent="0.25">
      <c r="A115" s="14">
        <v>539</v>
      </c>
      <c r="B115" s="37">
        <v>0</v>
      </c>
      <c r="C115" s="15">
        <f>IF(Sommaire!$B$2="Intercepte Zéro",IF($C$85="CA (DQM)",Tables!C238,Tables!E238),IF($C$85="CA (DQM)",Tables!J238,Tables!L238))</f>
        <v>138618</v>
      </c>
      <c r="D115" s="38">
        <f t="shared" si="1"/>
        <v>4.0437765311762729E-3</v>
      </c>
      <c r="F115" s="14">
        <v>539</v>
      </c>
      <c r="G115" s="37">
        <v>0</v>
      </c>
      <c r="H115" s="15">
        <f>IF($H$85="CAU",Tables!E238,Tables!C238)</f>
        <v>138618</v>
      </c>
      <c r="I115" s="38">
        <f t="shared" si="2"/>
        <v>3.2749734433199789E-3</v>
      </c>
    </row>
    <row r="116" spans="1:9" x14ac:dyDescent="0.25">
      <c r="A116" s="12">
        <v>540</v>
      </c>
      <c r="B116" s="35">
        <v>0</v>
      </c>
      <c r="C116" s="13">
        <f>IF(Sommaire!$B$2="Intercepte Zéro",IF($C$85="CA (DQM)",Tables!C239,Tables!E239),IF($C$85="CA (DQM)",Tables!J239,Tables!L239))</f>
        <v>0</v>
      </c>
      <c r="D116" s="36">
        <f t="shared" si="1"/>
        <v>0</v>
      </c>
      <c r="F116" s="12">
        <v>540</v>
      </c>
      <c r="G116" s="35">
        <v>0</v>
      </c>
      <c r="H116" s="13">
        <f>IF($H$85="CAU",Tables!E239,Tables!C239)</f>
        <v>0</v>
      </c>
      <c r="I116" s="36">
        <f t="shared" si="2"/>
        <v>0</v>
      </c>
    </row>
    <row r="117" spans="1:9" x14ac:dyDescent="0.25">
      <c r="A117" s="39" t="s">
        <v>10</v>
      </c>
      <c r="B117" s="40"/>
      <c r="C117" s="41">
        <f>SUM(C86:C116)</f>
        <v>34279342.325496443</v>
      </c>
      <c r="D117" s="42">
        <f>SUM(D86:D116)</f>
        <v>0.99999999999999978</v>
      </c>
      <c r="F117" s="39" t="s">
        <v>10</v>
      </c>
      <c r="G117" s="40"/>
      <c r="H117" s="41">
        <f>SUM(H86:H116)</f>
        <v>42326450.091600463</v>
      </c>
      <c r="I117" s="42">
        <f>SUM(I86:I116)</f>
        <v>1</v>
      </c>
    </row>
    <row r="119" spans="1:9" x14ac:dyDescent="0.25">
      <c r="A119" s="50" t="str">
        <f>"6. Allocation combinée de l'accès et de la capacité pour la "&amp;Sommaire!B3</f>
        <v>6. Allocation combinée de l'accès et de la capacité pour la Distribution + Alimentation</v>
      </c>
    </row>
    <row r="120" spans="1:9" x14ac:dyDescent="0.25">
      <c r="A120" s="34" t="s">
        <v>15</v>
      </c>
      <c r="B120" s="34"/>
      <c r="C120" s="34" t="s">
        <v>31</v>
      </c>
    </row>
    <row r="121" spans="1:9" ht="15.75" x14ac:dyDescent="0.3">
      <c r="A121" s="12" t="s">
        <v>60</v>
      </c>
      <c r="B121" s="35">
        <v>365</v>
      </c>
      <c r="C121" s="36">
        <f>D51*D$47+D86*E$47</f>
        <v>4.3514734678972058E-2</v>
      </c>
      <c r="E121" s="51"/>
      <c r="G121" s="51"/>
    </row>
    <row r="122" spans="1:9" ht="15.75" x14ac:dyDescent="0.3">
      <c r="A122" s="14" t="s">
        <v>60</v>
      </c>
      <c r="B122" s="37">
        <v>1095</v>
      </c>
      <c r="C122" s="38">
        <f t="shared" ref="C122:C151" si="3">D52*D$47+D87*E$47</f>
        <v>6.250370813824227E-2</v>
      </c>
      <c r="G122" s="51"/>
    </row>
    <row r="123" spans="1:9" ht="15.75" x14ac:dyDescent="0.3">
      <c r="A123" s="12" t="s">
        <v>60</v>
      </c>
      <c r="B123" s="35">
        <v>3650</v>
      </c>
      <c r="C123" s="36">
        <f t="shared" si="3"/>
        <v>0.28949093211948274</v>
      </c>
      <c r="G123" s="51"/>
    </row>
    <row r="124" spans="1:9" ht="15.75" x14ac:dyDescent="0.3">
      <c r="A124" s="14" t="s">
        <v>60</v>
      </c>
      <c r="B124" s="37">
        <v>10950</v>
      </c>
      <c r="C124" s="38">
        <f t="shared" si="3"/>
        <v>0.10991171514183121</v>
      </c>
      <c r="G124" s="51"/>
    </row>
    <row r="125" spans="1:9" ht="15.75" x14ac:dyDescent="0.3">
      <c r="A125" s="12" t="s">
        <v>60</v>
      </c>
      <c r="B125" s="35">
        <v>36500</v>
      </c>
      <c r="C125" s="36">
        <f t="shared" si="3"/>
        <v>7.0826980637984732E-2</v>
      </c>
      <c r="G125" s="51"/>
    </row>
    <row r="126" spans="1:9" ht="15.75" x14ac:dyDescent="0.3">
      <c r="A126" s="14" t="s">
        <v>60</v>
      </c>
      <c r="B126" s="37">
        <v>109500</v>
      </c>
      <c r="C126" s="38">
        <f t="shared" si="3"/>
        <v>8.65387894890155E-2</v>
      </c>
      <c r="G126" s="51"/>
    </row>
    <row r="127" spans="1:9" ht="15.75" x14ac:dyDescent="0.3">
      <c r="A127" s="12" t="s">
        <v>60</v>
      </c>
      <c r="B127" s="35">
        <v>365000</v>
      </c>
      <c r="C127" s="36">
        <f t="shared" si="3"/>
        <v>4.6064137854081894E-2</v>
      </c>
      <c r="G127" s="51"/>
    </row>
    <row r="128" spans="1:9" ht="15.75" x14ac:dyDescent="0.3">
      <c r="A128" s="14" t="s">
        <v>60</v>
      </c>
      <c r="B128" s="37">
        <v>1095000</v>
      </c>
      <c r="C128" s="38">
        <f t="shared" si="3"/>
        <v>1.6974189060156599E-2</v>
      </c>
    </row>
    <row r="129" spans="1:3" ht="15.75" x14ac:dyDescent="0.3">
      <c r="A129" s="12" t="s">
        <v>60</v>
      </c>
      <c r="B129" s="35">
        <v>3650000</v>
      </c>
      <c r="C129" s="36">
        <f t="shared" si="3"/>
        <v>6.2023095452131347E-3</v>
      </c>
    </row>
    <row r="130" spans="1:3" ht="15.75" x14ac:dyDescent="0.3">
      <c r="A130" s="14" t="s">
        <v>60</v>
      </c>
      <c r="B130" s="37">
        <v>10950000</v>
      </c>
      <c r="C130" s="38">
        <f t="shared" si="3"/>
        <v>2.5984671401584063E-3</v>
      </c>
    </row>
    <row r="131" spans="1:3" ht="15.75" x14ac:dyDescent="0.3">
      <c r="A131" s="12" t="s">
        <v>59</v>
      </c>
      <c r="B131" s="35">
        <v>0</v>
      </c>
      <c r="C131" s="36">
        <f t="shared" si="3"/>
        <v>4.7597754821765897E-2</v>
      </c>
    </row>
    <row r="132" spans="1:3" x14ac:dyDescent="0.25">
      <c r="A132" s="14">
        <v>303</v>
      </c>
      <c r="B132" s="37">
        <v>0</v>
      </c>
      <c r="C132" s="38">
        <f t="shared" si="3"/>
        <v>8.2539014521658123E-4</v>
      </c>
    </row>
    <row r="133" spans="1:3" x14ac:dyDescent="0.25">
      <c r="A133" s="12">
        <v>304</v>
      </c>
      <c r="B133" s="35">
        <v>0</v>
      </c>
      <c r="C133" s="36">
        <f t="shared" si="3"/>
        <v>2.4815344978720445E-3</v>
      </c>
    </row>
    <row r="134" spans="1:3" x14ac:dyDescent="0.25">
      <c r="A134" s="14">
        <v>305</v>
      </c>
      <c r="B134" s="37">
        <v>0</v>
      </c>
      <c r="C134" s="38">
        <f t="shared" si="3"/>
        <v>3.2857970494976586E-3</v>
      </c>
    </row>
    <row r="135" spans="1:3" x14ac:dyDescent="0.25">
      <c r="A135" s="12">
        <v>406</v>
      </c>
      <c r="B135" s="35">
        <v>0</v>
      </c>
      <c r="C135" s="36">
        <f t="shared" si="3"/>
        <v>1.895502047123029E-2</v>
      </c>
    </row>
    <row r="136" spans="1:3" x14ac:dyDescent="0.25">
      <c r="A136" s="14">
        <v>407</v>
      </c>
      <c r="B136" s="37">
        <v>0</v>
      </c>
      <c r="C136" s="38">
        <f t="shared" si="3"/>
        <v>3.7204558145135437E-2</v>
      </c>
    </row>
    <row r="137" spans="1:3" x14ac:dyDescent="0.25">
      <c r="A137" s="12">
        <v>408</v>
      </c>
      <c r="B137" s="35">
        <v>0</v>
      </c>
      <c r="C137" s="36">
        <f t="shared" si="3"/>
        <v>2.2943433918182665E-2</v>
      </c>
    </row>
    <row r="138" spans="1:3" x14ac:dyDescent="0.25">
      <c r="A138" s="14">
        <v>409</v>
      </c>
      <c r="B138" s="37">
        <v>0</v>
      </c>
      <c r="C138" s="38">
        <f t="shared" si="3"/>
        <v>3.2593861472165704E-2</v>
      </c>
    </row>
    <row r="139" spans="1:3" x14ac:dyDescent="0.25">
      <c r="A139" s="12">
        <v>410</v>
      </c>
      <c r="B139" s="35">
        <v>0</v>
      </c>
      <c r="C139" s="36">
        <f t="shared" si="3"/>
        <v>3.3205839628827581E-2</v>
      </c>
    </row>
    <row r="140" spans="1:3" x14ac:dyDescent="0.25">
      <c r="A140" s="14">
        <v>505</v>
      </c>
      <c r="B140" s="37">
        <v>0</v>
      </c>
      <c r="C140" s="38">
        <f t="shared" si="3"/>
        <v>1.4235365085322343E-2</v>
      </c>
    </row>
    <row r="141" spans="1:3" x14ac:dyDescent="0.25">
      <c r="A141" s="12">
        <v>506</v>
      </c>
      <c r="B141" s="35">
        <v>0</v>
      </c>
      <c r="C141" s="36">
        <f t="shared" si="3"/>
        <v>7.4807664715425132E-3</v>
      </c>
    </row>
    <row r="142" spans="1:3" x14ac:dyDescent="0.25">
      <c r="A142" s="14">
        <v>507</v>
      </c>
      <c r="B142" s="37">
        <v>0</v>
      </c>
      <c r="C142" s="38">
        <f t="shared" si="3"/>
        <v>1.1832314543699648E-2</v>
      </c>
    </row>
    <row r="143" spans="1:3" x14ac:dyDescent="0.25">
      <c r="A143" s="12">
        <v>508</v>
      </c>
      <c r="B143" s="35">
        <v>0</v>
      </c>
      <c r="C143" s="36">
        <f t="shared" si="3"/>
        <v>1.0223013863139547E-2</v>
      </c>
    </row>
    <row r="144" spans="1:3" x14ac:dyDescent="0.25">
      <c r="A144" s="14">
        <v>509</v>
      </c>
      <c r="B144" s="37">
        <v>0</v>
      </c>
      <c r="C144" s="38">
        <f t="shared" si="3"/>
        <v>7.1174165014769577E-3</v>
      </c>
    </row>
    <row r="145" spans="1:3" x14ac:dyDescent="0.25">
      <c r="A145" s="12">
        <v>510</v>
      </c>
      <c r="B145" s="35">
        <v>0</v>
      </c>
      <c r="C145" s="36">
        <f t="shared" si="3"/>
        <v>0</v>
      </c>
    </row>
    <row r="146" spans="1:3" x14ac:dyDescent="0.25">
      <c r="A146" s="14">
        <v>535</v>
      </c>
      <c r="B146" s="37">
        <v>0</v>
      </c>
      <c r="C146" s="38">
        <f t="shared" si="3"/>
        <v>3.7278386787596481E-3</v>
      </c>
    </row>
    <row r="147" spans="1:3" x14ac:dyDescent="0.25">
      <c r="A147" s="12">
        <v>536</v>
      </c>
      <c r="B147" s="35">
        <v>0</v>
      </c>
      <c r="C147" s="36">
        <f t="shared" si="3"/>
        <v>4.0745596018767006E-3</v>
      </c>
    </row>
    <row r="148" spans="1:3" x14ac:dyDescent="0.25">
      <c r="A148" s="14">
        <v>537</v>
      </c>
      <c r="B148" s="37">
        <v>0</v>
      </c>
      <c r="C148" s="38">
        <f t="shared" si="3"/>
        <v>3.6702206571387029E-3</v>
      </c>
    </row>
    <row r="149" spans="1:3" x14ac:dyDescent="0.25">
      <c r="A149" s="12">
        <v>538</v>
      </c>
      <c r="B149" s="35">
        <v>0</v>
      </c>
      <c r="C149" s="36">
        <f t="shared" si="3"/>
        <v>2.4094203524043832E-3</v>
      </c>
    </row>
    <row r="150" spans="1:3" x14ac:dyDescent="0.25">
      <c r="A150" s="14">
        <v>539</v>
      </c>
      <c r="B150" s="37">
        <v>0</v>
      </c>
      <c r="C150" s="38">
        <f t="shared" si="3"/>
        <v>1.5099302896068663E-3</v>
      </c>
    </row>
    <row r="151" spans="1:3" x14ac:dyDescent="0.25">
      <c r="A151" s="12">
        <v>540</v>
      </c>
      <c r="B151" s="35">
        <v>0</v>
      </c>
      <c r="C151" s="36">
        <f t="shared" si="3"/>
        <v>0</v>
      </c>
    </row>
    <row r="152" spans="1:3" x14ac:dyDescent="0.25">
      <c r="A152" s="39" t="s">
        <v>10</v>
      </c>
      <c r="B152" s="40"/>
      <c r="C152" s="42">
        <f>SUM(C121:C151)</f>
        <v>0.99999999999999978</v>
      </c>
    </row>
  </sheetData>
  <printOptions horizontalCentered="1"/>
  <pageMargins left="0.19685039370078741" right="0.19685039370078741" top="1.1811023622047245" bottom="0.59055118110236227" header="0.51181102362204722" footer="0.31496062992125984"/>
  <pageSetup scale="74" firstPageNumber="3" orientation="portrait" useFirstPageNumber="1" r:id="rId1"/>
  <headerFooter scaleWithDoc="0">
    <oddHeader>&amp;R&amp;"Arial,Gras italique"Société en commandite Gaz Métro
Demande portant sur l'allocation des coûts et la structure tarifiare de Gaz Métro, R-3867-2013</oddHeader>
    <oddFooter>&amp;L&amp;"Arial,Gras italique"&amp;10Original : 2014.07.23
&amp;R&amp;"Arial,Gras italique"&amp;10Gaz Métro - 2, Document 5
Page &amp;P de 16</oddFooter>
  </headerFooter>
  <rowBreaks count="3" manualBreakCount="3">
    <brk id="44" max="16383" man="1"/>
    <brk id="83" max="16383" man="1"/>
    <brk id="118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48"/>
  <sheetViews>
    <sheetView tabSelected="1" view="pageBreakPreview" zoomScale="70" zoomScaleNormal="40" zoomScaleSheetLayoutView="70" workbookViewId="0">
      <selection activeCell="I19" sqref="I19"/>
    </sheetView>
  </sheetViews>
  <sheetFormatPr baseColWidth="10" defaultColWidth="11.42578125" defaultRowHeight="15" x14ac:dyDescent="0.25"/>
  <cols>
    <col min="2" max="2" width="12.42578125" customWidth="1"/>
    <col min="4" max="4" width="14.28515625" bestFit="1" customWidth="1"/>
    <col min="5" max="5" width="14.140625" bestFit="1" customWidth="1"/>
    <col min="10" max="10" width="12.7109375" bestFit="1" customWidth="1"/>
    <col min="12" max="12" width="12.28515625" bestFit="1" customWidth="1"/>
    <col min="16" max="16" width="12.7109375" bestFit="1" customWidth="1"/>
    <col min="22" max="22" width="12.7109375" bestFit="1" customWidth="1"/>
    <col min="28" max="28" width="12.7109375" bestFit="1" customWidth="1"/>
    <col min="34" max="34" width="12.7109375" bestFit="1" customWidth="1"/>
    <col min="40" max="40" width="14.28515625" bestFit="1" customWidth="1"/>
  </cols>
  <sheetData>
    <row r="1" spans="1:41" x14ac:dyDescent="0.25">
      <c r="A1" s="50" t="s">
        <v>63</v>
      </c>
    </row>
    <row r="2" spans="1:41" x14ac:dyDescent="0.25">
      <c r="A2" s="1" t="s">
        <v>49</v>
      </c>
      <c r="G2" s="1" t="s">
        <v>50</v>
      </c>
      <c r="M2" s="1" t="s">
        <v>51</v>
      </c>
      <c r="S2" s="1" t="s">
        <v>52</v>
      </c>
      <c r="Y2" s="1" t="s">
        <v>53</v>
      </c>
      <c r="AE2" s="1" t="s">
        <v>54</v>
      </c>
      <c r="AK2" s="1" t="s">
        <v>12</v>
      </c>
    </row>
    <row r="3" spans="1:41" ht="32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G3" s="2" t="s">
        <v>0</v>
      </c>
      <c r="H3" s="2" t="s">
        <v>1</v>
      </c>
      <c r="I3" s="2" t="s">
        <v>2</v>
      </c>
      <c r="J3" s="2" t="s">
        <v>3</v>
      </c>
      <c r="K3" s="2" t="s">
        <v>4</v>
      </c>
      <c r="M3" s="2" t="s">
        <v>0</v>
      </c>
      <c r="N3" s="2" t="s">
        <v>1</v>
      </c>
      <c r="O3" s="2" t="s">
        <v>2</v>
      </c>
      <c r="P3" s="2" t="s">
        <v>3</v>
      </c>
      <c r="Q3" s="2" t="s">
        <v>4</v>
      </c>
      <c r="S3" s="2" t="s">
        <v>0</v>
      </c>
      <c r="T3" s="2" t="s">
        <v>1</v>
      </c>
      <c r="U3" s="2" t="s">
        <v>2</v>
      </c>
      <c r="V3" s="2" t="s">
        <v>3</v>
      </c>
      <c r="W3" s="2" t="s">
        <v>4</v>
      </c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E3" s="2" t="s">
        <v>0</v>
      </c>
      <c r="AF3" s="2" t="s">
        <v>1</v>
      </c>
      <c r="AG3" s="2" t="s">
        <v>2</v>
      </c>
      <c r="AH3" s="2" t="s">
        <v>3</v>
      </c>
      <c r="AI3" s="2" t="s">
        <v>4</v>
      </c>
      <c r="AK3" s="2" t="s">
        <v>0</v>
      </c>
      <c r="AL3" s="2" t="s">
        <v>1</v>
      </c>
      <c r="AM3" s="2" t="s">
        <v>2</v>
      </c>
      <c r="AN3" s="2" t="s">
        <v>3</v>
      </c>
      <c r="AO3" s="2" t="s">
        <v>4</v>
      </c>
    </row>
    <row r="4" spans="1:41" x14ac:dyDescent="0.25">
      <c r="A4" s="3" t="s">
        <v>8</v>
      </c>
      <c r="B4" s="4">
        <v>60.3</v>
      </c>
      <c r="C4" s="5">
        <v>166.07891626964886</v>
      </c>
      <c r="D4" s="5">
        <v>169.2423124468381</v>
      </c>
      <c r="E4" s="5">
        <v>1345629.8150480005</v>
      </c>
      <c r="G4" s="3" t="s">
        <v>8</v>
      </c>
      <c r="H4" s="4">
        <v>60.3</v>
      </c>
      <c r="I4" s="5">
        <v>194.24848662766712</v>
      </c>
      <c r="J4" s="5">
        <v>193.53365804024205</v>
      </c>
      <c r="K4" s="5">
        <v>9049.56</v>
      </c>
      <c r="M4" s="3" t="s">
        <v>8</v>
      </c>
      <c r="N4" s="4">
        <v>42.2</v>
      </c>
      <c r="O4" s="5">
        <v>126.82448724392911</v>
      </c>
      <c r="P4" s="5">
        <v>127.17229436241931</v>
      </c>
      <c r="Q4" s="5">
        <v>123649.26999999999</v>
      </c>
      <c r="S4" s="3" t="s">
        <v>8</v>
      </c>
      <c r="T4" s="4">
        <v>60.3</v>
      </c>
      <c r="U4" s="5">
        <v>176.02626339505059</v>
      </c>
      <c r="V4" s="5">
        <v>183.63140334835197</v>
      </c>
      <c r="W4" s="5">
        <v>117448.10634000001</v>
      </c>
      <c r="Y4" s="3" t="s">
        <v>8</v>
      </c>
      <c r="Z4" s="4">
        <v>42.2</v>
      </c>
      <c r="AA4" s="5">
        <v>187.90658499064961</v>
      </c>
      <c r="AB4" s="5">
        <v>205.93403191017623</v>
      </c>
      <c r="AC4" s="5">
        <v>41971.501447000002</v>
      </c>
      <c r="AE4" s="3" t="s">
        <v>8</v>
      </c>
      <c r="AF4" s="4">
        <v>60.3</v>
      </c>
      <c r="AG4" s="5">
        <v>160.81743805670047</v>
      </c>
      <c r="AH4" s="5">
        <v>163.96718770696614</v>
      </c>
      <c r="AI4" s="5">
        <v>27645.599999999999</v>
      </c>
      <c r="AK4" s="3" t="s">
        <v>8</v>
      </c>
      <c r="AL4" s="4">
        <v>42.2</v>
      </c>
      <c r="AM4" s="5">
        <v>166.68816091217496</v>
      </c>
      <c r="AN4" s="5">
        <v>157.2431152205437</v>
      </c>
      <c r="AO4" s="5">
        <v>273026.48880599998</v>
      </c>
    </row>
    <row r="5" spans="1:41" x14ac:dyDescent="0.25">
      <c r="A5" s="3" t="s">
        <v>8</v>
      </c>
      <c r="B5" s="4">
        <v>114.3</v>
      </c>
      <c r="C5" s="5">
        <v>208.92856646138924</v>
      </c>
      <c r="D5" s="5">
        <v>206.14162371258763</v>
      </c>
      <c r="E5" s="5">
        <v>1325039.3982959997</v>
      </c>
      <c r="G5" s="3" t="s">
        <v>8</v>
      </c>
      <c r="H5" s="4">
        <v>114.3</v>
      </c>
      <c r="I5" s="5">
        <v>218.88711088265208</v>
      </c>
      <c r="J5" s="5">
        <v>207.10333620574971</v>
      </c>
      <c r="K5" s="5">
        <v>27677.783776999997</v>
      </c>
      <c r="M5" s="3" t="s">
        <v>8</v>
      </c>
      <c r="N5" s="4">
        <v>60.3</v>
      </c>
      <c r="O5" s="5">
        <v>166.74167673451697</v>
      </c>
      <c r="P5" s="5">
        <v>155.32557388414111</v>
      </c>
      <c r="Q5" s="5">
        <v>70274.498090000008</v>
      </c>
      <c r="S5" s="3" t="s">
        <v>8</v>
      </c>
      <c r="T5" s="4">
        <v>88.9</v>
      </c>
      <c r="U5" s="5">
        <v>204.71685549717529</v>
      </c>
      <c r="V5" s="5">
        <v>193.13270968092564</v>
      </c>
      <c r="W5" s="5">
        <v>103407.48431699999</v>
      </c>
      <c r="Y5" s="3" t="s">
        <v>8</v>
      </c>
      <c r="Z5" s="4">
        <v>60.3</v>
      </c>
      <c r="AA5" s="5">
        <v>199.17748319885652</v>
      </c>
      <c r="AB5" s="5">
        <v>199.75649854422943</v>
      </c>
      <c r="AC5" s="5">
        <v>65448.708682999997</v>
      </c>
      <c r="AE5" s="3" t="s">
        <v>8</v>
      </c>
      <c r="AF5" s="4">
        <v>114.3</v>
      </c>
      <c r="AG5" s="5">
        <v>211.99774866796645</v>
      </c>
      <c r="AH5" s="5">
        <v>203.69543272943434</v>
      </c>
      <c r="AI5" s="5">
        <v>50989.486818999998</v>
      </c>
      <c r="AK5" s="3" t="s">
        <v>8</v>
      </c>
      <c r="AL5" s="4">
        <v>60.3</v>
      </c>
      <c r="AM5" s="5">
        <v>171.62278022632077</v>
      </c>
      <c r="AN5" s="5">
        <v>170.94398903176605</v>
      </c>
      <c r="AO5" s="5">
        <v>1635496.2881610007</v>
      </c>
    </row>
    <row r="6" spans="1:41" x14ac:dyDescent="0.25">
      <c r="A6" s="3" t="s">
        <v>8</v>
      </c>
      <c r="B6" s="4">
        <v>168.3</v>
      </c>
      <c r="C6" s="5">
        <v>252.21134123345709</v>
      </c>
      <c r="D6" s="5">
        <v>230.0455313017012</v>
      </c>
      <c r="E6" s="5">
        <v>533844.62009199988</v>
      </c>
      <c r="G6" s="3" t="s">
        <v>8</v>
      </c>
      <c r="H6" s="4">
        <v>168.3</v>
      </c>
      <c r="I6" s="5">
        <v>235.9206090732371</v>
      </c>
      <c r="J6" s="5">
        <v>254.27993282191602</v>
      </c>
      <c r="K6" s="5">
        <v>17853.900000000001</v>
      </c>
      <c r="M6" s="3" t="s">
        <v>8</v>
      </c>
      <c r="N6" s="4">
        <v>88.9</v>
      </c>
      <c r="O6" s="5">
        <v>190.83136284828285</v>
      </c>
      <c r="P6" s="5">
        <v>178.19605998340077</v>
      </c>
      <c r="Q6" s="5">
        <v>33852.18</v>
      </c>
      <c r="S6" s="3" t="s">
        <v>8</v>
      </c>
      <c r="T6" s="4">
        <v>114.3</v>
      </c>
      <c r="U6" s="5">
        <v>207.43615527311931</v>
      </c>
      <c r="V6" s="5">
        <v>202.88819689135539</v>
      </c>
      <c r="W6" s="5">
        <v>342819.03975</v>
      </c>
      <c r="Y6" s="3" t="s">
        <v>8</v>
      </c>
      <c r="Z6" s="4">
        <v>114.3</v>
      </c>
      <c r="AA6" s="5">
        <v>223.88361363779052</v>
      </c>
      <c r="AB6" s="5">
        <v>222.73798522686704</v>
      </c>
      <c r="AC6" s="5">
        <v>171560.342064</v>
      </c>
      <c r="AE6" s="3" t="s">
        <v>8</v>
      </c>
      <c r="AF6" s="4">
        <v>168.3</v>
      </c>
      <c r="AG6" s="5">
        <v>160.49750037227952</v>
      </c>
      <c r="AH6" s="5">
        <v>153.11799144021271</v>
      </c>
      <c r="AI6" s="5">
        <v>11954</v>
      </c>
      <c r="AK6" s="3" t="s">
        <v>8</v>
      </c>
      <c r="AL6" s="4">
        <v>88.9</v>
      </c>
      <c r="AM6" s="5">
        <v>190.73100053772478</v>
      </c>
      <c r="AN6" s="5">
        <v>180.78559281473812</v>
      </c>
      <c r="AO6" s="5">
        <v>181767.86986699997</v>
      </c>
    </row>
    <row r="7" spans="1:41" x14ac:dyDescent="0.25">
      <c r="A7" s="3" t="s">
        <v>9</v>
      </c>
      <c r="B7" s="4">
        <v>114.3</v>
      </c>
      <c r="C7" s="5">
        <v>481.19073660209972</v>
      </c>
      <c r="D7" s="5">
        <v>342.03761478847946</v>
      </c>
      <c r="E7" s="5">
        <v>447620.92236600001</v>
      </c>
      <c r="G7" s="3" t="s">
        <v>9</v>
      </c>
      <c r="H7" s="4">
        <v>88.9</v>
      </c>
      <c r="I7" s="5">
        <v>282.35732148147525</v>
      </c>
      <c r="J7" s="5">
        <v>205.3230205035652</v>
      </c>
      <c r="K7" s="5">
        <v>4785.6499999999996</v>
      </c>
      <c r="M7" s="3" t="s">
        <v>8</v>
      </c>
      <c r="N7" s="4">
        <v>114.3</v>
      </c>
      <c r="O7" s="5">
        <v>182.30642529163021</v>
      </c>
      <c r="P7" s="5">
        <v>173.59753924347072</v>
      </c>
      <c r="Q7" s="5">
        <v>64899.5</v>
      </c>
      <c r="S7" s="3" t="s">
        <v>8</v>
      </c>
      <c r="T7" s="4">
        <v>168.3</v>
      </c>
      <c r="U7" s="5">
        <v>227.61122119903999</v>
      </c>
      <c r="V7" s="5">
        <v>220.18883490302051</v>
      </c>
      <c r="W7" s="5">
        <v>62913.830000000009</v>
      </c>
      <c r="Y7" s="3" t="s">
        <v>8</v>
      </c>
      <c r="Z7" s="4">
        <v>168.3</v>
      </c>
      <c r="AA7" s="5">
        <v>267.54513613165778</v>
      </c>
      <c r="AB7" s="5">
        <v>242.90548760379357</v>
      </c>
      <c r="AC7" s="5">
        <v>61474.2</v>
      </c>
      <c r="AE7" s="3" t="s">
        <v>9</v>
      </c>
      <c r="AF7" s="4">
        <v>114.3</v>
      </c>
      <c r="AG7" s="5">
        <v>482.83287142308779</v>
      </c>
      <c r="AH7" s="5">
        <v>747.51087598670631</v>
      </c>
      <c r="AI7" s="5">
        <v>13881.6</v>
      </c>
      <c r="AK7" s="3" t="s">
        <v>8</v>
      </c>
      <c r="AL7" s="4">
        <v>114.3</v>
      </c>
      <c r="AM7" s="5">
        <v>208.24041740440018</v>
      </c>
      <c r="AN7" s="5">
        <v>205.90043891795884</v>
      </c>
      <c r="AO7" s="5">
        <v>1982985.5507060003</v>
      </c>
    </row>
    <row r="8" spans="1:41" x14ac:dyDescent="0.25">
      <c r="A8" s="3" t="s">
        <v>9</v>
      </c>
      <c r="B8" s="4">
        <v>168.3</v>
      </c>
      <c r="C8" s="5">
        <v>462.70958991571069</v>
      </c>
      <c r="D8" s="5">
        <v>344.53195903515223</v>
      </c>
      <c r="E8" s="5">
        <v>527991.72243299999</v>
      </c>
      <c r="G8" s="3" t="s">
        <v>9</v>
      </c>
      <c r="H8" s="4">
        <v>114.3</v>
      </c>
      <c r="I8" s="5">
        <v>341.54350244900485</v>
      </c>
      <c r="J8" s="5">
        <v>283.45342330688442</v>
      </c>
      <c r="K8" s="5">
        <v>27622.3</v>
      </c>
      <c r="M8" s="3" t="s">
        <v>8</v>
      </c>
      <c r="N8" s="4">
        <v>168.3</v>
      </c>
      <c r="O8" s="5">
        <v>215.22826592645069</v>
      </c>
      <c r="P8" s="5">
        <v>206.80035707904099</v>
      </c>
      <c r="Q8" s="5">
        <v>20471</v>
      </c>
      <c r="S8" s="3" t="s">
        <v>9</v>
      </c>
      <c r="T8" s="4">
        <v>114.3</v>
      </c>
      <c r="U8" s="5">
        <v>473.81479017042039</v>
      </c>
      <c r="V8" s="5">
        <v>439.02962914746496</v>
      </c>
      <c r="W8" s="5">
        <v>94091.016822999998</v>
      </c>
      <c r="Y8" s="3" t="s">
        <v>8</v>
      </c>
      <c r="Z8" s="4">
        <v>219.1</v>
      </c>
      <c r="AA8" s="5">
        <v>406.26710995170873</v>
      </c>
      <c r="AB8" s="5">
        <v>391.66546887234557</v>
      </c>
      <c r="AC8" s="5">
        <v>3150.5</v>
      </c>
      <c r="AE8" s="3" t="s">
        <v>9</v>
      </c>
      <c r="AF8" s="4">
        <v>168.3</v>
      </c>
      <c r="AG8" s="5">
        <v>583.60460411625138</v>
      </c>
      <c r="AH8" s="5">
        <v>532.05910262646785</v>
      </c>
      <c r="AI8" s="5">
        <v>56774.176512999999</v>
      </c>
      <c r="AK8" s="3" t="s">
        <v>8</v>
      </c>
      <c r="AL8" s="4">
        <v>168.3</v>
      </c>
      <c r="AM8" s="5">
        <v>244.86736937636363</v>
      </c>
      <c r="AN8" s="5">
        <v>228.92722604966428</v>
      </c>
      <c r="AO8" s="5">
        <v>708511.55009199993</v>
      </c>
    </row>
    <row r="9" spans="1:41" x14ac:dyDescent="0.25">
      <c r="A9" s="3" t="s">
        <v>9</v>
      </c>
      <c r="B9" s="4">
        <v>219.1</v>
      </c>
      <c r="C9" s="5">
        <v>626.79588773021146</v>
      </c>
      <c r="D9" s="5">
        <v>442.45047669983558</v>
      </c>
      <c r="E9" s="5">
        <v>273289.04683299991</v>
      </c>
      <c r="G9" s="3" t="s">
        <v>9</v>
      </c>
      <c r="H9" s="4">
        <v>168.3</v>
      </c>
      <c r="I9" s="5">
        <v>336.9039356731447</v>
      </c>
      <c r="J9" s="5">
        <v>279.33436706144573</v>
      </c>
      <c r="K9" s="5">
        <v>10661.92</v>
      </c>
      <c r="M9" s="3" t="s">
        <v>8</v>
      </c>
      <c r="N9" s="4">
        <v>219.1</v>
      </c>
      <c r="O9" s="5">
        <v>210.13854001509981</v>
      </c>
      <c r="P9" s="5">
        <v>176.30311929294248</v>
      </c>
      <c r="Q9" s="5">
        <v>1749</v>
      </c>
      <c r="S9" s="3" t="s">
        <v>9</v>
      </c>
      <c r="T9" s="4">
        <v>168.3</v>
      </c>
      <c r="U9" s="5">
        <v>542.973162211371</v>
      </c>
      <c r="V9" s="5">
        <v>457.98056398218648</v>
      </c>
      <c r="W9" s="5">
        <v>124012.849696</v>
      </c>
      <c r="Y9" s="3" t="s">
        <v>9</v>
      </c>
      <c r="Z9" s="4">
        <v>114.3</v>
      </c>
      <c r="AA9" s="5">
        <v>649.62291447679343</v>
      </c>
      <c r="AB9" s="5">
        <v>364.38453627228517</v>
      </c>
      <c r="AC9" s="5">
        <v>46354.767520999994</v>
      </c>
      <c r="AE9" s="3" t="s">
        <v>9</v>
      </c>
      <c r="AF9" s="4">
        <v>219.1</v>
      </c>
      <c r="AG9" s="5">
        <v>603.90204645926804</v>
      </c>
      <c r="AH9" s="5">
        <v>635.88294775925044</v>
      </c>
      <c r="AI9" s="5">
        <v>40905</v>
      </c>
      <c r="AK9" s="3" t="s">
        <v>8</v>
      </c>
      <c r="AL9" s="4">
        <v>219.1</v>
      </c>
      <c r="AM9" s="5">
        <v>274.24699311127421</v>
      </c>
      <c r="AN9" s="5">
        <v>234.91341368796176</v>
      </c>
      <c r="AO9" s="5">
        <v>41995.7</v>
      </c>
    </row>
    <row r="10" spans="1:41" x14ac:dyDescent="0.25">
      <c r="A10" s="3" t="s">
        <v>9</v>
      </c>
      <c r="B10" s="4">
        <v>323.89999999999998</v>
      </c>
      <c r="C10" s="5">
        <v>740.45239758319588</v>
      </c>
      <c r="D10" s="5">
        <v>415.78058971849646</v>
      </c>
      <c r="E10" s="5">
        <v>143285.163138</v>
      </c>
      <c r="G10" s="3" t="s">
        <v>9</v>
      </c>
      <c r="H10" s="4">
        <v>219.1</v>
      </c>
      <c r="I10" s="5">
        <v>463.03289510637325</v>
      </c>
      <c r="J10" s="5">
        <v>364.3119911355891</v>
      </c>
      <c r="K10" s="5">
        <v>24050.49</v>
      </c>
      <c r="M10" s="3" t="s">
        <v>9</v>
      </c>
      <c r="N10" s="4">
        <v>88.9</v>
      </c>
      <c r="O10" s="5">
        <v>512.43536311290529</v>
      </c>
      <c r="P10" s="5">
        <v>624.85030123039849</v>
      </c>
      <c r="Q10" s="5">
        <v>5428.1</v>
      </c>
      <c r="S10" s="3" t="s">
        <v>9</v>
      </c>
      <c r="T10" s="4">
        <v>219.1</v>
      </c>
      <c r="U10" s="5">
        <v>794.95137203323804</v>
      </c>
      <c r="V10" s="5">
        <v>621.80576662332885</v>
      </c>
      <c r="W10" s="5">
        <v>84898.89</v>
      </c>
      <c r="Y10" s="3" t="s">
        <v>9</v>
      </c>
      <c r="Z10" s="4">
        <v>168.3</v>
      </c>
      <c r="AA10" s="5">
        <v>598.77966890169603</v>
      </c>
      <c r="AB10" s="5">
        <v>651.57962500394001</v>
      </c>
      <c r="AC10" s="5">
        <v>60171.869033999996</v>
      </c>
      <c r="AE10" s="3" t="s">
        <v>11</v>
      </c>
      <c r="AF10" s="4" t="s">
        <v>11</v>
      </c>
      <c r="AG10" s="5" t="s">
        <v>11</v>
      </c>
      <c r="AH10" s="5" t="s">
        <v>11</v>
      </c>
      <c r="AI10" s="5" t="s">
        <v>11</v>
      </c>
      <c r="AK10" s="3" t="s">
        <v>9</v>
      </c>
      <c r="AL10" s="4">
        <v>88.9</v>
      </c>
      <c r="AM10" s="5">
        <v>377.37398637993567</v>
      </c>
      <c r="AN10" s="5">
        <v>321.41866013302695</v>
      </c>
      <c r="AO10" s="5">
        <v>37296.452500000065</v>
      </c>
    </row>
    <row r="11" spans="1:41" x14ac:dyDescent="0.25">
      <c r="A11" s="3" t="s">
        <v>9</v>
      </c>
      <c r="B11" s="4">
        <v>406.4</v>
      </c>
      <c r="C11" s="5">
        <v>743.01009900864381</v>
      </c>
      <c r="D11" s="5">
        <v>476.74735965902283</v>
      </c>
      <c r="E11" s="5">
        <v>248294.13976499997</v>
      </c>
      <c r="G11" s="3" t="s">
        <v>11</v>
      </c>
      <c r="H11" s="4" t="s">
        <v>11</v>
      </c>
      <c r="I11" s="5" t="s">
        <v>11</v>
      </c>
      <c r="J11" s="5" t="s">
        <v>11</v>
      </c>
      <c r="K11" s="5" t="s">
        <v>11</v>
      </c>
      <c r="M11" s="3" t="s">
        <v>9</v>
      </c>
      <c r="N11" s="4">
        <v>114.3</v>
      </c>
      <c r="O11" s="5">
        <v>629.33256161473514</v>
      </c>
      <c r="P11" s="5">
        <v>557.04925249945472</v>
      </c>
      <c r="Q11" s="5">
        <v>19277.829999999998</v>
      </c>
      <c r="S11" s="3" t="s">
        <v>11</v>
      </c>
      <c r="T11" s="4" t="s">
        <v>11</v>
      </c>
      <c r="U11" s="5" t="s">
        <v>11</v>
      </c>
      <c r="V11" s="5" t="s">
        <v>11</v>
      </c>
      <c r="W11" s="5" t="s">
        <v>11</v>
      </c>
      <c r="Y11" s="3" t="s">
        <v>9</v>
      </c>
      <c r="Z11" s="4">
        <v>219.1</v>
      </c>
      <c r="AA11" s="5">
        <v>764.02886714040142</v>
      </c>
      <c r="AB11" s="5">
        <v>881.37249153036532</v>
      </c>
      <c r="AC11" s="5">
        <v>53851.3</v>
      </c>
      <c r="AE11" s="3" t="s">
        <v>11</v>
      </c>
      <c r="AF11" s="4" t="s">
        <v>11</v>
      </c>
      <c r="AG11" s="5" t="s">
        <v>11</v>
      </c>
      <c r="AH11" s="5" t="s">
        <v>11</v>
      </c>
      <c r="AI11" s="5" t="s">
        <v>11</v>
      </c>
      <c r="AK11" s="3" t="s">
        <v>9</v>
      </c>
      <c r="AL11" s="4">
        <v>114.3</v>
      </c>
      <c r="AM11" s="5">
        <v>502.07643449748787</v>
      </c>
      <c r="AN11" s="5">
        <v>370.26810418893052</v>
      </c>
      <c r="AO11" s="5">
        <v>648848.43671000004</v>
      </c>
    </row>
    <row r="12" spans="1:41" x14ac:dyDescent="0.25">
      <c r="A12" s="3" t="s">
        <v>11</v>
      </c>
      <c r="B12" s="4" t="s">
        <v>11</v>
      </c>
      <c r="C12" s="5" t="s">
        <v>11</v>
      </c>
      <c r="D12" s="5" t="s">
        <v>11</v>
      </c>
      <c r="E12" s="5" t="s">
        <v>11</v>
      </c>
      <c r="G12" s="3" t="s">
        <v>11</v>
      </c>
      <c r="H12" s="4" t="s">
        <v>11</v>
      </c>
      <c r="I12" s="5" t="s">
        <v>11</v>
      </c>
      <c r="J12" s="5" t="s">
        <v>11</v>
      </c>
      <c r="K12" s="5" t="s">
        <v>11</v>
      </c>
      <c r="M12" s="3" t="s">
        <v>9</v>
      </c>
      <c r="N12" s="4">
        <v>168.3</v>
      </c>
      <c r="O12" s="5">
        <v>546.63947069391293</v>
      </c>
      <c r="P12" s="5">
        <v>575.62618590592172</v>
      </c>
      <c r="Q12" s="5">
        <v>62035.470000000008</v>
      </c>
      <c r="S12" s="3" t="s">
        <v>11</v>
      </c>
      <c r="T12" s="4" t="s">
        <v>11</v>
      </c>
      <c r="U12" s="5" t="s">
        <v>11</v>
      </c>
      <c r="V12" s="5" t="s">
        <v>11</v>
      </c>
      <c r="W12" s="5" t="s">
        <v>11</v>
      </c>
      <c r="Y12" s="3" t="s">
        <v>11</v>
      </c>
      <c r="Z12" s="4" t="s">
        <v>11</v>
      </c>
      <c r="AA12" s="5" t="s">
        <v>11</v>
      </c>
      <c r="AB12" s="5" t="s">
        <v>11</v>
      </c>
      <c r="AC12" s="5" t="s">
        <v>11</v>
      </c>
      <c r="AE12" s="3" t="s">
        <v>11</v>
      </c>
      <c r="AF12" s="4" t="s">
        <v>11</v>
      </c>
      <c r="AG12" s="5" t="s">
        <v>11</v>
      </c>
      <c r="AH12" s="5" t="s">
        <v>11</v>
      </c>
      <c r="AI12" s="5" t="s">
        <v>11</v>
      </c>
      <c r="AK12" s="3" t="s">
        <v>9</v>
      </c>
      <c r="AL12" s="4">
        <v>168.3</v>
      </c>
      <c r="AM12" s="5">
        <v>500.3909562612136</v>
      </c>
      <c r="AN12" s="5">
        <v>412.05700850796632</v>
      </c>
      <c r="AO12" s="5">
        <v>841648.00767600001</v>
      </c>
    </row>
    <row r="13" spans="1:41" x14ac:dyDescent="0.25">
      <c r="A13" s="3" t="s">
        <v>11</v>
      </c>
      <c r="B13" s="4" t="s">
        <v>11</v>
      </c>
      <c r="C13" s="5"/>
      <c r="D13" s="5" t="s">
        <v>11</v>
      </c>
      <c r="E13" s="5" t="s">
        <v>11</v>
      </c>
      <c r="G13" s="3" t="s">
        <v>11</v>
      </c>
      <c r="H13" s="4" t="s">
        <v>11</v>
      </c>
      <c r="I13" s="5" t="s">
        <v>11</v>
      </c>
      <c r="J13" s="5" t="s">
        <v>11</v>
      </c>
      <c r="K13" s="5" t="s">
        <v>11</v>
      </c>
      <c r="M13" s="3" t="s">
        <v>9</v>
      </c>
      <c r="N13" s="4">
        <v>219.1</v>
      </c>
      <c r="O13" s="5">
        <v>814.92641595116459</v>
      </c>
      <c r="P13" s="5">
        <v>910.42403401545334</v>
      </c>
      <c r="Q13" s="5">
        <v>13144</v>
      </c>
      <c r="S13" s="3" t="s">
        <v>11</v>
      </c>
      <c r="T13" s="4" t="s">
        <v>11</v>
      </c>
      <c r="U13" s="5" t="s">
        <v>11</v>
      </c>
      <c r="V13" s="5" t="s">
        <v>11</v>
      </c>
      <c r="W13" s="5" t="s">
        <v>11</v>
      </c>
      <c r="Y13" s="3" t="s">
        <v>11</v>
      </c>
      <c r="Z13" s="4" t="s">
        <v>11</v>
      </c>
      <c r="AA13" s="5" t="s">
        <v>11</v>
      </c>
      <c r="AB13" s="5" t="s">
        <v>11</v>
      </c>
      <c r="AC13" s="5" t="s">
        <v>11</v>
      </c>
      <c r="AE13" s="3" t="s">
        <v>11</v>
      </c>
      <c r="AF13" s="4" t="s">
        <v>11</v>
      </c>
      <c r="AG13" s="5" t="s">
        <v>11</v>
      </c>
      <c r="AH13" s="5" t="s">
        <v>11</v>
      </c>
      <c r="AI13" s="5" t="s">
        <v>11</v>
      </c>
      <c r="AK13" s="3" t="s">
        <v>9</v>
      </c>
      <c r="AL13" s="4">
        <v>219.1</v>
      </c>
      <c r="AM13" s="5">
        <v>654.34917594321166</v>
      </c>
      <c r="AN13" s="5">
        <v>546.60000444187187</v>
      </c>
      <c r="AO13" s="5">
        <v>490138.72683299996</v>
      </c>
    </row>
    <row r="14" spans="1:41" x14ac:dyDescent="0.25">
      <c r="A14" s="3" t="s">
        <v>11</v>
      </c>
      <c r="B14" s="4" t="s">
        <v>11</v>
      </c>
      <c r="C14" s="5" t="s">
        <v>11</v>
      </c>
      <c r="D14" s="5" t="s">
        <v>11</v>
      </c>
      <c r="E14" s="5" t="s">
        <v>11</v>
      </c>
      <c r="G14" s="3" t="s">
        <v>11</v>
      </c>
      <c r="H14" s="4" t="s">
        <v>11</v>
      </c>
      <c r="I14" s="5" t="s">
        <v>11</v>
      </c>
      <c r="J14" s="5" t="s">
        <v>11</v>
      </c>
      <c r="K14" s="5" t="s">
        <v>11</v>
      </c>
      <c r="M14" s="3" t="s">
        <v>11</v>
      </c>
      <c r="N14" s="4" t="s">
        <v>11</v>
      </c>
      <c r="O14" s="5" t="s">
        <v>11</v>
      </c>
      <c r="P14" s="5" t="s">
        <v>11</v>
      </c>
      <c r="Q14" s="5" t="s">
        <v>11</v>
      </c>
      <c r="S14" s="3" t="s">
        <v>11</v>
      </c>
      <c r="T14" s="4" t="s">
        <v>11</v>
      </c>
      <c r="U14" s="5" t="s">
        <v>11</v>
      </c>
      <c r="V14" s="5" t="s">
        <v>11</v>
      </c>
      <c r="W14" s="5" t="s">
        <v>11</v>
      </c>
      <c r="Y14" s="3" t="s">
        <v>11</v>
      </c>
      <c r="Z14" s="4" t="s">
        <v>11</v>
      </c>
      <c r="AA14" s="5" t="s">
        <v>11</v>
      </c>
      <c r="AB14" s="5" t="s">
        <v>11</v>
      </c>
      <c r="AC14" s="5" t="s">
        <v>11</v>
      </c>
      <c r="AE14" s="3" t="s">
        <v>11</v>
      </c>
      <c r="AF14" s="4" t="s">
        <v>11</v>
      </c>
      <c r="AG14" s="5" t="s">
        <v>11</v>
      </c>
      <c r="AH14" s="5" t="s">
        <v>11</v>
      </c>
      <c r="AI14" s="5" t="s">
        <v>11</v>
      </c>
      <c r="AK14" s="3" t="s">
        <v>9</v>
      </c>
      <c r="AL14" s="4">
        <v>323.89999999999998</v>
      </c>
      <c r="AM14" s="5">
        <v>759.67150454211151</v>
      </c>
      <c r="AN14" s="5">
        <v>508.03881167260289</v>
      </c>
      <c r="AO14" s="5">
        <v>194196.163138</v>
      </c>
    </row>
    <row r="15" spans="1:41" x14ac:dyDescent="0.25">
      <c r="A15" s="3" t="s">
        <v>11</v>
      </c>
      <c r="B15" s="4" t="s">
        <v>11</v>
      </c>
      <c r="C15" s="5" t="s">
        <v>11</v>
      </c>
      <c r="D15" s="5" t="s">
        <v>11</v>
      </c>
      <c r="E15" s="5" t="s">
        <v>11</v>
      </c>
      <c r="G15" s="3" t="s">
        <v>11</v>
      </c>
      <c r="H15" s="4" t="s">
        <v>11</v>
      </c>
      <c r="I15" s="5" t="s">
        <v>11</v>
      </c>
      <c r="J15" s="5" t="s">
        <v>11</v>
      </c>
      <c r="K15" s="5" t="s">
        <v>11</v>
      </c>
      <c r="M15" s="3" t="s">
        <v>11</v>
      </c>
      <c r="N15" s="4" t="s">
        <v>11</v>
      </c>
      <c r="O15" s="5" t="s">
        <v>11</v>
      </c>
      <c r="P15" s="5" t="s">
        <v>11</v>
      </c>
      <c r="Q15" s="5" t="s">
        <v>11</v>
      </c>
      <c r="S15" s="3" t="s">
        <v>11</v>
      </c>
      <c r="T15" s="4" t="s">
        <v>11</v>
      </c>
      <c r="U15" s="5" t="s">
        <v>11</v>
      </c>
      <c r="V15" s="5" t="s">
        <v>11</v>
      </c>
      <c r="W15" s="5" t="s">
        <v>11</v>
      </c>
      <c r="Y15" s="3" t="s">
        <v>11</v>
      </c>
      <c r="Z15" s="4" t="s">
        <v>11</v>
      </c>
      <c r="AA15" s="5" t="s">
        <v>11</v>
      </c>
      <c r="AB15" s="5" t="s">
        <v>11</v>
      </c>
      <c r="AC15" s="5" t="s">
        <v>11</v>
      </c>
      <c r="AE15" s="3" t="s">
        <v>11</v>
      </c>
      <c r="AF15" s="4" t="s">
        <v>11</v>
      </c>
      <c r="AG15" s="5" t="s">
        <v>11</v>
      </c>
      <c r="AH15" s="5" t="s">
        <v>11</v>
      </c>
      <c r="AI15" s="5" t="s">
        <v>11</v>
      </c>
      <c r="AK15" s="3" t="s">
        <v>9</v>
      </c>
      <c r="AL15" s="4">
        <v>406.4</v>
      </c>
      <c r="AM15" s="5">
        <v>917.88671250846289</v>
      </c>
      <c r="AN15" s="5">
        <v>603.3535620275602</v>
      </c>
      <c r="AO15" s="5">
        <v>342762.13976499997</v>
      </c>
    </row>
    <row r="16" spans="1:41" x14ac:dyDescent="0.25">
      <c r="A16" s="3"/>
      <c r="B16" s="4"/>
      <c r="C16" s="5"/>
      <c r="D16" s="5"/>
      <c r="E16" s="5"/>
      <c r="G16" s="3"/>
      <c r="H16" s="4"/>
      <c r="I16" s="5"/>
      <c r="J16" s="5"/>
      <c r="K16" s="5"/>
      <c r="M16" s="3"/>
      <c r="N16" s="4"/>
      <c r="O16" s="5"/>
      <c r="P16" s="5"/>
      <c r="Q16" s="5"/>
      <c r="S16" s="3"/>
      <c r="T16" s="4"/>
      <c r="U16" s="5"/>
      <c r="V16" s="5"/>
      <c r="W16" s="5"/>
      <c r="Y16" s="3"/>
      <c r="Z16" s="4"/>
      <c r="AA16" s="5"/>
      <c r="AB16" s="5"/>
      <c r="AC16" s="5"/>
      <c r="AE16" s="3"/>
      <c r="AF16" s="4"/>
      <c r="AG16" s="5"/>
      <c r="AH16" s="5"/>
      <c r="AI16" s="5"/>
      <c r="AK16" s="3"/>
      <c r="AL16" s="4"/>
      <c r="AM16" s="5"/>
      <c r="AN16" s="5"/>
      <c r="AO16" s="5"/>
    </row>
    <row r="17" spans="1:41" x14ac:dyDescent="0.25">
      <c r="A17" s="1" t="s">
        <v>49</v>
      </c>
      <c r="B17" s="6"/>
      <c r="C17" s="6"/>
      <c r="D17" s="6"/>
      <c r="E17" s="6"/>
      <c r="G17" s="1" t="s">
        <v>50</v>
      </c>
      <c r="M17" s="1" t="s">
        <v>51</v>
      </c>
      <c r="S17" s="1" t="s">
        <v>52</v>
      </c>
      <c r="Y17" s="1" t="s">
        <v>53</v>
      </c>
      <c r="AE17" s="1" t="s">
        <v>54</v>
      </c>
      <c r="AK17" s="1" t="s">
        <v>12</v>
      </c>
    </row>
    <row r="18" spans="1:41" x14ac:dyDescent="0.25">
      <c r="A18" s="3" t="s">
        <v>0</v>
      </c>
      <c r="B18" s="3" t="s">
        <v>1</v>
      </c>
      <c r="C18" s="3" t="s">
        <v>5</v>
      </c>
      <c r="D18" s="3" t="s">
        <v>6</v>
      </c>
      <c r="E18" s="3" t="s">
        <v>7</v>
      </c>
      <c r="G18" s="3" t="s">
        <v>0</v>
      </c>
      <c r="H18" s="3" t="s">
        <v>1</v>
      </c>
      <c r="I18" s="3" t="s">
        <v>5</v>
      </c>
      <c r="J18" s="3" t="s">
        <v>6</v>
      </c>
      <c r="K18" s="3" t="s">
        <v>7</v>
      </c>
      <c r="M18" s="3" t="s">
        <v>0</v>
      </c>
      <c r="N18" s="3" t="s">
        <v>1</v>
      </c>
      <c r="O18" s="3" t="s">
        <v>5</v>
      </c>
      <c r="P18" s="3" t="s">
        <v>6</v>
      </c>
      <c r="Q18" s="3" t="s">
        <v>7</v>
      </c>
      <c r="S18" s="3" t="s">
        <v>0</v>
      </c>
      <c r="T18" s="3" t="s">
        <v>1</v>
      </c>
      <c r="U18" s="3" t="s">
        <v>5</v>
      </c>
      <c r="V18" s="3" t="s">
        <v>6</v>
      </c>
      <c r="W18" s="3" t="s">
        <v>7</v>
      </c>
      <c r="Y18" s="3" t="s">
        <v>0</v>
      </c>
      <c r="Z18" s="3" t="s">
        <v>1</v>
      </c>
      <c r="AA18" s="3" t="s">
        <v>5</v>
      </c>
      <c r="AB18" s="3" t="s">
        <v>6</v>
      </c>
      <c r="AC18" s="3" t="s">
        <v>7</v>
      </c>
      <c r="AE18" s="3" t="s">
        <v>0</v>
      </c>
      <c r="AF18" s="3" t="s">
        <v>1</v>
      </c>
      <c r="AG18" s="3" t="s">
        <v>5</v>
      </c>
      <c r="AH18" s="3" t="s">
        <v>6</v>
      </c>
      <c r="AI18" s="3" t="s">
        <v>7</v>
      </c>
      <c r="AK18" s="3" t="s">
        <v>0</v>
      </c>
      <c r="AL18" s="3" t="s">
        <v>1</v>
      </c>
      <c r="AM18" s="3" t="s">
        <v>5</v>
      </c>
      <c r="AN18" s="3" t="s">
        <v>6</v>
      </c>
      <c r="AO18" s="3" t="s">
        <v>7</v>
      </c>
    </row>
    <row r="19" spans="1:41" x14ac:dyDescent="0.25">
      <c r="A19" s="3" t="s">
        <v>8</v>
      </c>
      <c r="B19" s="7">
        <v>26.7</v>
      </c>
      <c r="C19" s="5">
        <v>348.25</v>
      </c>
      <c r="D19" s="8">
        <f>C19*E19</f>
        <v>53105.219230745337</v>
      </c>
      <c r="E19" s="8">
        <f>IF(SUMIFS(D$4:D$11,A$4:A$11,A19,B$4:B$11,B19)&gt;0,SUMIFS(D$4:D$11,A$4:A$11,A19,B$4:B$11,B19),IF(A19="Plastique",INDEX(LINEST(D$4:D$6,B$4:B$6,TRUE,TRUE),1,2)+INDEX(LINEST(D$4:D$6,B$4:B$6,TRUE,TRUE),1,1)*B19,INDEX(LINEST(D$7:D$11,B$7:B$11,TRUE,TRUE),1,2)+INDEX(LINEST(D$7:D$11,B$7:B$11,TRUE,TRUE),1,1)*B19))</f>
        <v>152.49165608254225</v>
      </c>
      <c r="G19" s="3" t="s">
        <v>8</v>
      </c>
      <c r="H19" s="7">
        <v>26.7</v>
      </c>
      <c r="I19" s="5">
        <v>0</v>
      </c>
      <c r="J19" s="8">
        <f>I19*K19</f>
        <v>0</v>
      </c>
      <c r="K19" s="8">
        <f>IF(SUMIFS(J$4:J$10,G$4:G$10,G19,H$4:H$10,H19)&gt;0,SUMIFS(J$4:J$10,G$4:G$10,G19,H$4:H$10,H19),IF(G19="Plastique",INDEX(LINEST(J$4:J$6,H$4:H$6,TRUE,TRUE),1,2)+INDEX(LINEST(J$4:J$6,H$4:H$6,TRUE,TRUE),1,1)*H19,INDEX(LINEST(J$7:J$10,H$7:H$10,TRUE,TRUE),1,2)+INDEX(LINEST(J$7:J$10,H$7:H$10,TRUE,TRUE),1,1)*H19))</f>
        <v>169.03366392194485</v>
      </c>
      <c r="M19" s="3" t="s">
        <v>8</v>
      </c>
      <c r="N19" s="7">
        <v>26.7</v>
      </c>
      <c r="O19" s="5">
        <v>0</v>
      </c>
      <c r="P19" s="8">
        <f>O19*Q19</f>
        <v>0</v>
      </c>
      <c r="Q19" s="8">
        <f>IF(SUMIFS(P$4:P$13,M$4:M$13,M19,N$4:N$13,N19)&gt;0,SUMIFS(P$4:P$13,M$4:M$13,M19,N$4:N$13,N19),IF(M19="Plastique",INDEX(LINEST(P$4:P$9,N$4:N$9,TRUE,TRUE),1,2)+INDEX(LINEST(P$4:P$9,N$4:N$9,TRUE,TRUE),1,1)*N19,INDEX(LINEST(P$10:P$13,N$10:N$13,TRUE,TRUE),1,2)+INDEX(LINEST(P$10:P$13,N$10:N$13,TRUE,TRUE),1,1)*N19))</f>
        <v>144.77108032951867</v>
      </c>
      <c r="S19" s="3" t="s">
        <v>8</v>
      </c>
      <c r="T19" s="7">
        <v>26.7</v>
      </c>
      <c r="U19" s="5">
        <v>3.55</v>
      </c>
      <c r="V19" s="8">
        <f>U19*W19</f>
        <v>611.78451416530993</v>
      </c>
      <c r="W19" s="8">
        <f>IF(SUMIFS(V$4:V$10,S$4:S$10,S19,T$4:T$10,T19)&gt;0,SUMIFS(V$4:V$10,S$4:S$10,S19,T$4:T$10,T19),IF(S19="Plastique",INDEX(LINEST(V$4:V$7,T$4:T$7,TRUE,TRUE),1,2)+INDEX(LINEST(V$4:V$7,T$4:T$7,TRUE,TRUE),1,1)*T19,INDEX(LINEST(V$8:V$10,T$8:T$10,TRUE,TRUE),1,2)+INDEX(LINEST(V$8:V$10,T$8:T$10,TRUE,TRUE),1,1)*T19))</f>
        <v>172.33366596205914</v>
      </c>
      <c r="Y19" s="3" t="s">
        <v>8</v>
      </c>
      <c r="Z19" s="7">
        <v>26.7</v>
      </c>
      <c r="AA19" s="5">
        <v>0.5</v>
      </c>
      <c r="AB19" s="8">
        <f>AA19*AC19</f>
        <v>82.535414977434698</v>
      </c>
      <c r="AC19" s="8">
        <f>IF(SUMIFS(AB$4:AB$11,Y$4:Y$11,Y19,Z$4:Z$11,Z19)&gt;0,SUMIFS(AB$4:AB$11,Y$4:Y$11,Y19,Z$4:Z$11,Z19),IF(Y19="Plastique",INDEX(LINEST(AB$4:AB$8,Z$4:Z$8,TRUE,TRUE),1,2)+INDEX(LINEST(AB$4:AB$8,Z$4:Z$8,TRUE,TRUE),1,1)*Z19,INDEX(LINEST(AB$9:AB$11,Z$9:Z$11,TRUE,TRUE),1,2)+INDEX(LINEST(AB$9:AB$11,Z$9:Z$11,TRUE,TRUE),1,1)*Z19))</f>
        <v>165.0708299548694</v>
      </c>
      <c r="AE19" s="3" t="s">
        <v>8</v>
      </c>
      <c r="AF19" s="7">
        <v>26.7</v>
      </c>
      <c r="AG19" s="5">
        <v>9.35</v>
      </c>
      <c r="AH19" s="8">
        <f>AG19*AI19</f>
        <v>1705.3786727029174</v>
      </c>
      <c r="AI19" s="8">
        <f>IF(SUMIFS(AH$4:AH$9,AE$4:AE$9,AE19,AF$4:AF$9,AF19)&gt;0,SUMIFS(AH$4:AH$9,AE$4:AE$9,AE19,AF$4:AF$9,AF19),IF(AE19="Plastique",INDEX(LINEST(AH$4:AH$6,AF$4:AF$6,TRUE,TRUE),1,2)+INDEX(LINEST(AH$4:AH$6,AF$4:AF$6,TRUE,TRUE),1,1)*AF19,INDEX(LINEST(AH$7:AH$9,AF$7:AF$9,TRUE,TRUE),1,2)+INDEX(LINEST(AH$7:AH$9,AF$7:AF$9,TRUE,TRUE),1,1)*AF19))</f>
        <v>182.3934409307933</v>
      </c>
      <c r="AK19" s="3" t="s">
        <v>8</v>
      </c>
      <c r="AL19" s="7">
        <v>26.7</v>
      </c>
      <c r="AM19" s="5">
        <v>361.65000000000003</v>
      </c>
      <c r="AN19" s="8">
        <f>AM19*AO19</f>
        <v>56317.098536376128</v>
      </c>
      <c r="AO19" s="8">
        <f>IF(SUMIFS(AN$4:AN$15,AK$4:AK$15,AK19,AL$4:AL$15,AL19)&gt;0,SUMIFS(AN$4:AN$15,AK$4:AK$15,AK19,AL$4:AL$15,AL19),IF(AK19="Plastique",INDEX(LINEST(AN$4:AN$9,AL$4:AL$9,TRUE,TRUE),1,2)+INDEX(LINEST(AN$4:AN$9,AL$4:AL$9,TRUE,TRUE),1,1)*AL19,INDEX(LINEST(AN$10:AN$15,AL$10:AL$15,TRUE,TRUE),1,2)+INDEX(LINEST(AN$10:AN$15,AL$10:AL$15,TRUE,TRUE),1,1)*AL19))</f>
        <v>155.72265598334334</v>
      </c>
    </row>
    <row r="20" spans="1:41" x14ac:dyDescent="0.25">
      <c r="A20" s="3" t="s">
        <v>8</v>
      </c>
      <c r="B20" s="7">
        <v>42.2</v>
      </c>
      <c r="C20" s="5">
        <v>553.57000000000005</v>
      </c>
      <c r="D20" s="8">
        <f t="shared" ref="D20:D41" si="0">C20*E20</f>
        <v>89245.472602548485</v>
      </c>
      <c r="E20" s="8">
        <f t="shared" ref="E20:E41" si="1">IF(SUMIFS(D$4:D$11,A$4:A$11,A20,B$4:B$11,B20)&gt;0,SUMIFS(D$4:D$11,A$4:A$11,A20,B$4:B$11,B20),IF(A20="Plastique",INDEX(LINEST(D$4:D$6,B$4:B$6,TRUE,TRUE),1,2)+INDEX(LINEST(D$4:D$6,B$4:B$6,TRUE,TRUE),1,1)*B20,INDEX(LINEST(D$7:D$11,B$7:B$11,TRUE,TRUE),1,2)+INDEX(LINEST(D$7:D$11,B$7:B$11,TRUE,TRUE),1,1)*B20))</f>
        <v>161.21804397374945</v>
      </c>
      <c r="G20" s="3" t="s">
        <v>8</v>
      </c>
      <c r="H20" s="7">
        <v>42.2</v>
      </c>
      <c r="I20" s="5">
        <v>0</v>
      </c>
      <c r="J20" s="8">
        <f t="shared" ref="J20:J41" si="2">I20*K20</f>
        <v>0</v>
      </c>
      <c r="K20" s="8">
        <f t="shared" ref="K20:K41" si="3">IF(SUMIFS(J$4:J$10,G$4:G$10,G20,H$4:H$10,H20)&gt;0,SUMIFS(J$4:J$10,G$4:G$10,G20,H$4:H$10,H20),IF(G20="Plastique",INDEX(LINEST(J$4:J$6,H$4:H$6,TRUE,TRUE),1,2)+INDEX(LINEST(J$4:J$6,H$4:H$6,TRUE,TRUE),1,1)*H20,INDEX(LINEST(J$7:J$10,H$7:H$10,TRUE,TRUE),1,2)+INDEX(LINEST(J$7:J$10,H$7:H$10,TRUE,TRUE),1,1)*H20))</f>
        <v>177.75187928412956</v>
      </c>
      <c r="M20" s="3" t="s">
        <v>8</v>
      </c>
      <c r="N20" s="7">
        <v>42.2</v>
      </c>
      <c r="O20" s="5">
        <v>125920.13</v>
      </c>
      <c r="P20" s="8">
        <f t="shared" ref="P20:P41" si="4">O20*Q20</f>
        <v>16013551.838514106</v>
      </c>
      <c r="Q20" s="8">
        <f t="shared" ref="Q20:Q41" si="5">IF(SUMIFS(P$4:P$13,M$4:M$13,M20,N$4:N$13,N20)&gt;0,SUMIFS(P$4:P$13,M$4:M$13,M20,N$4:N$13,N20),IF(M20="Plastique",INDEX(LINEST(P$4:P$9,N$4:N$9,TRUE,TRUE),1,2)+INDEX(LINEST(P$4:P$9,N$4:N$9,TRUE,TRUE),1,1)*N20,INDEX(LINEST(P$10:P$13,N$10:N$13,TRUE,TRUE),1,2)+INDEX(LINEST(P$10:P$13,N$10:N$13,TRUE,TRUE),1,1)*N20))</f>
        <v>127.17229436241931</v>
      </c>
      <c r="S20" s="3" t="s">
        <v>8</v>
      </c>
      <c r="T20" s="7">
        <v>42.2</v>
      </c>
      <c r="U20" s="5">
        <v>98415.35</v>
      </c>
      <c r="V20" s="8">
        <f t="shared" ref="V20:V41" si="6">U20*W20</f>
        <v>17478957.366402805</v>
      </c>
      <c r="W20" s="8">
        <f t="shared" ref="W20:W41" si="7">IF(SUMIFS(V$4:V$10,S$4:S$10,S20,T$4:T$10,T20)&gt;0,SUMIFS(V$4:V$10,S$4:S$10,S20,T$4:T$10,T20),IF(S20="Plastique",INDEX(LINEST(V$4:V$7,T$4:T$7,TRUE,TRUE),1,2)+INDEX(LINEST(V$4:V$7,T$4:T$7,TRUE,TRUE),1,1)*T20,INDEX(LINEST(V$8:V$10,T$8:T$10,TRUE,TRUE),1,2)+INDEX(LINEST(V$8:V$10,T$8:T$10,TRUE,TRUE),1,1)*T20))</f>
        <v>177.60397505473287</v>
      </c>
      <c r="Y20" s="3" t="s">
        <v>8</v>
      </c>
      <c r="Z20" s="7">
        <v>42.2</v>
      </c>
      <c r="AA20" s="5">
        <v>42861.86</v>
      </c>
      <c r="AB20" s="8">
        <f t="shared" ref="AB20:AB41" si="8">AA20*AC20</f>
        <v>8826715.6449695062</v>
      </c>
      <c r="AC20" s="8">
        <f t="shared" ref="AC20:AC41" si="9">IF(SUMIFS(AB$4:AB$11,Y$4:Y$11,Y20,Z$4:Z$11,Z20)&gt;0,SUMIFS(AB$4:AB$11,Y$4:Y$11,Y20,Z$4:Z$11,Z20),IF(Y20="Plastique",INDEX(LINEST(AB$4:AB$8,Z$4:Z$8,TRUE,TRUE),1,2)+INDEX(LINEST(AB$4:AB$8,Z$4:Z$8,TRUE,TRUE),1,1)*Z20,INDEX(LINEST(AB$9:AB$11,Z$9:Z$11,TRUE,TRUE),1,2)+INDEX(LINEST(AB$9:AB$11,Z$9:Z$11,TRUE,TRUE),1,1)*Z20))</f>
        <v>205.93403191017623</v>
      </c>
      <c r="AE20" s="3" t="s">
        <v>8</v>
      </c>
      <c r="AF20" s="7">
        <v>42.2</v>
      </c>
      <c r="AG20" s="5">
        <v>13381.64</v>
      </c>
      <c r="AH20" s="8">
        <f t="shared" ref="AH20:AH41" si="10">AG20*AI20</f>
        <v>2419887.3408200005</v>
      </c>
      <c r="AI20" s="8">
        <f t="shared" ref="AI20:AI41" si="11">IF(SUMIFS(AH$4:AH$9,AE$4:AE$9,AE20,AF$4:AF$9,AF20)&gt;0,SUMIFS(AH$4:AH$9,AE$4:AE$9,AE20,AF$4:AF$9,AF20),IF(AE20="Plastique",INDEX(LINEST(AH$4:AH$6,AF$4:AF$6,TRUE,TRUE),1,2)+INDEX(LINEST(AH$4:AH$6,AF$4:AF$6,TRUE,TRUE),1,1)*AF20,INDEX(LINEST(AH$7:AH$9,AF$7:AF$9,TRUE,TRUE),1,2)+INDEX(LINEST(AH$7:AH$9,AF$7:AF$9,TRUE,TRUE),1,1)*AF20))</f>
        <v>180.83638035547219</v>
      </c>
      <c r="AK20" s="3" t="s">
        <v>8</v>
      </c>
      <c r="AL20" s="7">
        <v>42.2</v>
      </c>
      <c r="AM20" s="5">
        <v>281132.55000000005</v>
      </c>
      <c r="AN20" s="8">
        <f t="shared" ref="AN20:AN41" si="12">AM20*AO20</f>
        <v>44206157.951895267</v>
      </c>
      <c r="AO20" s="8">
        <f t="shared" ref="AO20:AO41" si="13">IF(SUMIFS(AN$4:AN$15,AK$4:AK$15,AK20,AL$4:AL$15,AL20)&gt;0,SUMIFS(AN$4:AN$15,AK$4:AK$15,AK20,AL$4:AL$15,AL20),IF(AK20="Plastique",INDEX(LINEST(AN$4:AN$9,AL$4:AL$9,TRUE,TRUE),1,2)+INDEX(LINEST(AN$4:AN$9,AL$4:AL$9,TRUE,TRUE),1,1)*AL20,INDEX(LINEST(AN$10:AN$15,AL$10:AL$15,TRUE,TRUE),1,2)+INDEX(LINEST(AN$10:AN$15,AL$10:AL$15,TRUE,TRUE),1,1)*AL20))</f>
        <v>157.2431152205437</v>
      </c>
    </row>
    <row r="21" spans="1:41" x14ac:dyDescent="0.25">
      <c r="A21" s="3" t="s">
        <v>8</v>
      </c>
      <c r="B21" s="7">
        <v>60.3</v>
      </c>
      <c r="C21" s="5">
        <v>1824785.35</v>
      </c>
      <c r="D21" s="8">
        <f t="shared" si="0"/>
        <v>308830892.35311282</v>
      </c>
      <c r="E21" s="8">
        <f t="shared" si="1"/>
        <v>169.2423124468381</v>
      </c>
      <c r="G21" s="3" t="s">
        <v>8</v>
      </c>
      <c r="H21" s="7">
        <v>60.3</v>
      </c>
      <c r="I21" s="5">
        <v>10983.28</v>
      </c>
      <c r="J21" s="8">
        <f t="shared" si="2"/>
        <v>2125634.3556802296</v>
      </c>
      <c r="K21" s="8">
        <f t="shared" si="3"/>
        <v>193.53365804024205</v>
      </c>
      <c r="M21" s="3" t="s">
        <v>8</v>
      </c>
      <c r="N21" s="7">
        <v>60.3</v>
      </c>
      <c r="O21" s="5">
        <v>99655.76</v>
      </c>
      <c r="P21" s="8">
        <f t="shared" si="4"/>
        <v>15479088.112860233</v>
      </c>
      <c r="Q21" s="8">
        <f t="shared" si="5"/>
        <v>155.32557388414111</v>
      </c>
      <c r="S21" s="3" t="s">
        <v>8</v>
      </c>
      <c r="T21" s="7">
        <v>60.3</v>
      </c>
      <c r="U21" s="5">
        <v>148748.79999999999</v>
      </c>
      <c r="V21" s="8">
        <f t="shared" si="6"/>
        <v>27314950.890383337</v>
      </c>
      <c r="W21" s="8">
        <f t="shared" si="7"/>
        <v>183.63140334835197</v>
      </c>
      <c r="Y21" s="3" t="s">
        <v>8</v>
      </c>
      <c r="Z21" s="7">
        <v>60.3</v>
      </c>
      <c r="AA21" s="5">
        <v>113879.87</v>
      </c>
      <c r="AB21" s="8">
        <f t="shared" si="8"/>
        <v>22748244.085872035</v>
      </c>
      <c r="AC21" s="8">
        <f t="shared" si="9"/>
        <v>199.75649854422943</v>
      </c>
      <c r="AE21" s="3" t="s">
        <v>8</v>
      </c>
      <c r="AF21" s="7">
        <v>60.3</v>
      </c>
      <c r="AG21" s="5">
        <v>39116.660000000003</v>
      </c>
      <c r="AH21" s="8">
        <f t="shared" si="10"/>
        <v>6413848.7326895753</v>
      </c>
      <c r="AI21" s="8">
        <f t="shared" si="11"/>
        <v>163.96718770696614</v>
      </c>
      <c r="AK21" s="3" t="s">
        <v>8</v>
      </c>
      <c r="AL21" s="7">
        <v>60.3</v>
      </c>
      <c r="AM21" s="5">
        <v>2237169.7200000002</v>
      </c>
      <c r="AN21" s="8">
        <f t="shared" si="12"/>
        <v>382430716.07787919</v>
      </c>
      <c r="AO21" s="8">
        <f t="shared" si="13"/>
        <v>170.94398903176605</v>
      </c>
    </row>
    <row r="22" spans="1:41" x14ac:dyDescent="0.25">
      <c r="A22" s="3" t="s">
        <v>8</v>
      </c>
      <c r="B22" s="7">
        <v>88.9</v>
      </c>
      <c r="C22" s="5">
        <v>24859.809999999998</v>
      </c>
      <c r="D22" s="8">
        <f t="shared" si="0"/>
        <v>4661458.1552888583</v>
      </c>
      <c r="E22" s="8">
        <f t="shared" si="1"/>
        <v>187.509806200806</v>
      </c>
      <c r="G22" s="3" t="s">
        <v>8</v>
      </c>
      <c r="H22" s="7">
        <v>88.9</v>
      </c>
      <c r="I22" s="5">
        <v>0</v>
      </c>
      <c r="J22" s="8">
        <f t="shared" si="2"/>
        <v>0</v>
      </c>
      <c r="K22" s="8">
        <f t="shared" si="3"/>
        <v>204.01901847213117</v>
      </c>
      <c r="M22" s="3" t="s">
        <v>8</v>
      </c>
      <c r="N22" s="7">
        <v>88.9</v>
      </c>
      <c r="O22" s="5">
        <v>31691.02</v>
      </c>
      <c r="P22" s="8">
        <f t="shared" si="4"/>
        <v>5647214.9008551538</v>
      </c>
      <c r="Q22" s="8">
        <f t="shared" si="5"/>
        <v>178.19605998340077</v>
      </c>
      <c r="S22" s="3" t="s">
        <v>8</v>
      </c>
      <c r="T22" s="7">
        <v>88.9</v>
      </c>
      <c r="U22" s="5">
        <v>105293.23</v>
      </c>
      <c r="V22" s="8">
        <f t="shared" si="6"/>
        <v>20335566.820956931</v>
      </c>
      <c r="W22" s="8">
        <f t="shared" si="7"/>
        <v>193.13270968092564</v>
      </c>
      <c r="Y22" s="3" t="s">
        <v>8</v>
      </c>
      <c r="Z22" s="7">
        <v>88.9</v>
      </c>
      <c r="AA22" s="5">
        <v>23741.26</v>
      </c>
      <c r="AB22" s="8">
        <f t="shared" si="8"/>
        <v>5291994.8806026531</v>
      </c>
      <c r="AC22" s="8">
        <f t="shared" si="9"/>
        <v>222.90286533244881</v>
      </c>
      <c r="AE22" s="3" t="s">
        <v>8</v>
      </c>
      <c r="AF22" s="7">
        <v>88.9</v>
      </c>
      <c r="AG22" s="5">
        <v>10589.03</v>
      </c>
      <c r="AH22" s="8">
        <f t="shared" si="10"/>
        <v>1865205.8279387464</v>
      </c>
      <c r="AI22" s="8">
        <f t="shared" si="11"/>
        <v>176.14510752531123</v>
      </c>
      <c r="AK22" s="3" t="s">
        <v>8</v>
      </c>
      <c r="AL22" s="7">
        <v>88.9</v>
      </c>
      <c r="AM22" s="5">
        <v>196174.35</v>
      </c>
      <c r="AN22" s="8">
        <f t="shared" si="12"/>
        <v>35465496.159795925</v>
      </c>
      <c r="AO22" s="8">
        <f t="shared" si="13"/>
        <v>180.78559281473812</v>
      </c>
    </row>
    <row r="23" spans="1:41" x14ac:dyDescent="0.25">
      <c r="A23" s="3" t="s">
        <v>8</v>
      </c>
      <c r="B23" s="7">
        <v>114.3</v>
      </c>
      <c r="C23" s="5">
        <v>1549736.41</v>
      </c>
      <c r="D23" s="8">
        <f t="shared" si="0"/>
        <v>319465179.88391644</v>
      </c>
      <c r="E23" s="8">
        <f t="shared" si="1"/>
        <v>206.14162371258763</v>
      </c>
      <c r="G23" s="3" t="s">
        <v>8</v>
      </c>
      <c r="H23" s="7">
        <v>114.3</v>
      </c>
      <c r="I23" s="5">
        <v>33392.78</v>
      </c>
      <c r="J23" s="8">
        <f t="shared" si="2"/>
        <v>6915756.1431846349</v>
      </c>
      <c r="K23" s="8">
        <f t="shared" si="3"/>
        <v>207.10333620574971</v>
      </c>
      <c r="M23" s="3" t="s">
        <v>8</v>
      </c>
      <c r="N23" s="7">
        <v>114.3</v>
      </c>
      <c r="O23" s="5">
        <v>90081.61</v>
      </c>
      <c r="P23" s="8">
        <f t="shared" si="4"/>
        <v>15637945.827090025</v>
      </c>
      <c r="Q23" s="8">
        <f t="shared" si="5"/>
        <v>173.59753924347072</v>
      </c>
      <c r="S23" s="3" t="s">
        <v>8</v>
      </c>
      <c r="T23" s="7">
        <v>114.3</v>
      </c>
      <c r="U23" s="5">
        <v>356979.28</v>
      </c>
      <c r="V23" s="8">
        <f t="shared" si="6"/>
        <v>72426882.446774289</v>
      </c>
      <c r="W23" s="8">
        <f t="shared" si="7"/>
        <v>202.88819689135539</v>
      </c>
      <c r="Y23" s="3" t="s">
        <v>8</v>
      </c>
      <c r="Z23" s="7">
        <v>114.3</v>
      </c>
      <c r="AA23" s="5">
        <v>286983.90999999997</v>
      </c>
      <c r="AB23" s="8">
        <f t="shared" si="8"/>
        <v>63922217.905928537</v>
      </c>
      <c r="AC23" s="8">
        <f t="shared" si="9"/>
        <v>222.73798522686704</v>
      </c>
      <c r="AE23" s="3" t="s">
        <v>8</v>
      </c>
      <c r="AF23" s="7">
        <v>114.3</v>
      </c>
      <c r="AG23" s="5">
        <v>114596.89</v>
      </c>
      <c r="AH23" s="8">
        <f t="shared" si="10"/>
        <v>23342863.097997386</v>
      </c>
      <c r="AI23" s="8">
        <f t="shared" si="11"/>
        <v>203.69543272943434</v>
      </c>
      <c r="AK23" s="3" t="s">
        <v>8</v>
      </c>
      <c r="AL23" s="7">
        <v>114.3</v>
      </c>
      <c r="AM23" s="5">
        <v>2431770.8800000004</v>
      </c>
      <c r="AN23" s="8">
        <f t="shared" si="12"/>
        <v>500702691.53991109</v>
      </c>
      <c r="AO23" s="8">
        <f t="shared" si="13"/>
        <v>205.90043891795884</v>
      </c>
    </row>
    <row r="24" spans="1:41" x14ac:dyDescent="0.25">
      <c r="A24" s="3" t="s">
        <v>8</v>
      </c>
      <c r="B24" s="7">
        <v>168.3</v>
      </c>
      <c r="C24" s="5">
        <v>676839.8</v>
      </c>
      <c r="D24" s="8">
        <f t="shared" si="0"/>
        <v>155703971.39713719</v>
      </c>
      <c r="E24" s="8">
        <f t="shared" si="1"/>
        <v>230.0455313017012</v>
      </c>
      <c r="G24" s="3" t="s">
        <v>8</v>
      </c>
      <c r="H24" s="7">
        <v>168.3</v>
      </c>
      <c r="I24" s="5">
        <v>18077</v>
      </c>
      <c r="J24" s="8">
        <f t="shared" si="2"/>
        <v>4596618.3456217758</v>
      </c>
      <c r="K24" s="8">
        <f t="shared" si="3"/>
        <v>254.27993282191602</v>
      </c>
      <c r="M24" s="3" t="s">
        <v>8</v>
      </c>
      <c r="N24" s="7">
        <v>168.3</v>
      </c>
      <c r="O24" s="5">
        <v>24151.21</v>
      </c>
      <c r="P24" s="8">
        <f t="shared" si="4"/>
        <v>4994478.8518909058</v>
      </c>
      <c r="Q24" s="8">
        <f t="shared" si="5"/>
        <v>206.80035707904099</v>
      </c>
      <c r="S24" s="3" t="s">
        <v>8</v>
      </c>
      <c r="T24" s="7">
        <v>168.3</v>
      </c>
      <c r="U24" s="5">
        <v>88142.94</v>
      </c>
      <c r="V24" s="8">
        <f t="shared" si="6"/>
        <v>19408091.263526842</v>
      </c>
      <c r="W24" s="8">
        <f t="shared" si="7"/>
        <v>220.18883490302051</v>
      </c>
      <c r="Y24" s="3" t="s">
        <v>8</v>
      </c>
      <c r="Z24" s="7">
        <v>168.3</v>
      </c>
      <c r="AA24" s="5">
        <v>130893.31</v>
      </c>
      <c r="AB24" s="8">
        <f t="shared" si="8"/>
        <v>31794703.289624508</v>
      </c>
      <c r="AC24" s="8">
        <f t="shared" si="9"/>
        <v>242.90548760379357</v>
      </c>
      <c r="AE24" s="3" t="s">
        <v>8</v>
      </c>
      <c r="AF24" s="7">
        <v>168.3</v>
      </c>
      <c r="AG24" s="5">
        <v>15444.13</v>
      </c>
      <c r="AH24" s="8">
        <f t="shared" si="10"/>
        <v>2364774.1651415322</v>
      </c>
      <c r="AI24" s="8">
        <f t="shared" si="11"/>
        <v>153.11799144021271</v>
      </c>
      <c r="AK24" s="3" t="s">
        <v>8</v>
      </c>
      <c r="AL24" s="7">
        <v>168.3</v>
      </c>
      <c r="AM24" s="5">
        <v>953548.39</v>
      </c>
      <c r="AN24" s="8">
        <f t="shared" si="12"/>
        <v>218293187.82682344</v>
      </c>
      <c r="AO24" s="8">
        <f t="shared" si="13"/>
        <v>228.92722604966428</v>
      </c>
    </row>
    <row r="25" spans="1:41" x14ac:dyDescent="0.25">
      <c r="A25" s="3" t="s">
        <v>8</v>
      </c>
      <c r="B25" s="7">
        <v>219.1</v>
      </c>
      <c r="C25" s="5">
        <v>32924.06</v>
      </c>
      <c r="D25" s="8">
        <f t="shared" si="0"/>
        <v>8586972.3054560944</v>
      </c>
      <c r="E25" s="8">
        <f t="shared" si="1"/>
        <v>260.81146448694648</v>
      </c>
      <c r="G25" s="3" t="s">
        <v>8</v>
      </c>
      <c r="H25" s="7">
        <v>219.1</v>
      </c>
      <c r="I25" s="5">
        <v>10453.049999999999</v>
      </c>
      <c r="J25" s="8">
        <f t="shared" si="2"/>
        <v>2898129.3062102613</v>
      </c>
      <c r="K25" s="8">
        <f t="shared" si="3"/>
        <v>277.25202751448251</v>
      </c>
      <c r="M25" s="3" t="s">
        <v>8</v>
      </c>
      <c r="N25" s="7">
        <v>219.1</v>
      </c>
      <c r="O25" s="5">
        <v>1817.66</v>
      </c>
      <c r="P25" s="8">
        <f t="shared" si="4"/>
        <v>320459.12781400984</v>
      </c>
      <c r="Q25" s="8">
        <f t="shared" si="5"/>
        <v>176.30311929294248</v>
      </c>
      <c r="S25" s="3" t="s">
        <v>8</v>
      </c>
      <c r="T25" s="7">
        <v>219.1</v>
      </c>
      <c r="U25" s="5">
        <v>0</v>
      </c>
      <c r="V25" s="8">
        <f t="shared" si="6"/>
        <v>0</v>
      </c>
      <c r="W25" s="8">
        <f t="shared" si="7"/>
        <v>237.75350269950593</v>
      </c>
      <c r="Y25" s="3" t="s">
        <v>8</v>
      </c>
      <c r="Z25" s="7">
        <v>219.1</v>
      </c>
      <c r="AA25" s="5">
        <v>17015.39</v>
      </c>
      <c r="AB25" s="8">
        <f t="shared" si="8"/>
        <v>6664340.7023958201</v>
      </c>
      <c r="AC25" s="8">
        <f t="shared" si="9"/>
        <v>391.66546887234557</v>
      </c>
      <c r="AE25" s="3" t="s">
        <v>8</v>
      </c>
      <c r="AF25" s="7">
        <v>219.1</v>
      </c>
      <c r="AG25" s="5">
        <v>2264.65</v>
      </c>
      <c r="AH25" s="8">
        <f t="shared" si="10"/>
        <v>369286.96100922831</v>
      </c>
      <c r="AI25" s="8">
        <f t="shared" si="11"/>
        <v>163.06579869261401</v>
      </c>
      <c r="AK25" s="3" t="s">
        <v>8</v>
      </c>
      <c r="AL25" s="7">
        <v>219.1</v>
      </c>
      <c r="AM25" s="5">
        <v>64474.810000000005</v>
      </c>
      <c r="AN25" s="8">
        <f t="shared" si="12"/>
        <v>15145997.713982735</v>
      </c>
      <c r="AO25" s="8">
        <f t="shared" si="13"/>
        <v>234.91341368796176</v>
      </c>
    </row>
    <row r="26" spans="1:41" x14ac:dyDescent="0.25">
      <c r="A26" s="3" t="s">
        <v>9</v>
      </c>
      <c r="B26" s="7">
        <v>21.3</v>
      </c>
      <c r="C26" s="5">
        <v>11.2</v>
      </c>
      <c r="D26" s="8">
        <f t="shared" si="0"/>
        <v>3430.8866152870905</v>
      </c>
      <c r="E26" s="8">
        <f t="shared" si="1"/>
        <v>306.32916207920454</v>
      </c>
      <c r="G26" s="3" t="s">
        <v>9</v>
      </c>
      <c r="H26" s="7">
        <v>21.3</v>
      </c>
      <c r="I26" s="5">
        <v>0</v>
      </c>
      <c r="J26" s="8">
        <f t="shared" si="2"/>
        <v>0</v>
      </c>
      <c r="K26" s="8">
        <f t="shared" si="3"/>
        <v>154.41354350405243</v>
      </c>
      <c r="M26" s="3" t="s">
        <v>9</v>
      </c>
      <c r="N26" s="7">
        <v>21.3</v>
      </c>
      <c r="O26" s="5">
        <v>0</v>
      </c>
      <c r="P26" s="8">
        <f t="shared" si="4"/>
        <v>0</v>
      </c>
      <c r="Q26" s="8">
        <f t="shared" si="5"/>
        <v>396.03565184583363</v>
      </c>
      <c r="S26" s="3" t="s">
        <v>9</v>
      </c>
      <c r="T26" s="7">
        <v>21.3</v>
      </c>
      <c r="U26" s="5">
        <v>0</v>
      </c>
      <c r="V26" s="8">
        <f t="shared" si="6"/>
        <v>0</v>
      </c>
      <c r="W26" s="8">
        <f t="shared" si="7"/>
        <v>253.88911162492502</v>
      </c>
      <c r="Y26" s="3" t="s">
        <v>9</v>
      </c>
      <c r="Z26" s="7">
        <v>21.3</v>
      </c>
      <c r="AA26" s="5">
        <v>0</v>
      </c>
      <c r="AB26" s="8">
        <f t="shared" si="8"/>
        <v>0</v>
      </c>
      <c r="AC26" s="8">
        <f t="shared" si="9"/>
        <v>-88.046531504880448</v>
      </c>
      <c r="AE26" s="3" t="s">
        <v>9</v>
      </c>
      <c r="AF26" s="7">
        <v>21.3</v>
      </c>
      <c r="AG26" s="5">
        <v>0</v>
      </c>
      <c r="AH26" s="8">
        <f t="shared" si="10"/>
        <v>0</v>
      </c>
      <c r="AI26" s="8">
        <f t="shared" si="11"/>
        <v>798.40087113062043</v>
      </c>
      <c r="AK26" s="3" t="s">
        <v>9</v>
      </c>
      <c r="AL26" s="7">
        <v>21.3</v>
      </c>
      <c r="AM26" s="5">
        <v>11.2</v>
      </c>
      <c r="AN26" s="8">
        <f t="shared" si="12"/>
        <v>3358.8071083940158</v>
      </c>
      <c r="AO26" s="8">
        <f t="shared" si="13"/>
        <v>299.89349182089427</v>
      </c>
    </row>
    <row r="27" spans="1:41" x14ac:dyDescent="0.25">
      <c r="A27" s="3" t="s">
        <v>9</v>
      </c>
      <c r="B27" s="7">
        <v>26.7</v>
      </c>
      <c r="C27" s="5">
        <v>5035.5499999999993</v>
      </c>
      <c r="D27" s="8">
        <f t="shared" si="0"/>
        <v>1554371.8011261106</v>
      </c>
      <c r="E27" s="8">
        <f t="shared" si="1"/>
        <v>308.67964792845089</v>
      </c>
      <c r="G27" s="3" t="s">
        <v>9</v>
      </c>
      <c r="H27" s="7">
        <v>26.7</v>
      </c>
      <c r="I27" s="5">
        <v>31.96</v>
      </c>
      <c r="J27" s="8">
        <f t="shared" si="2"/>
        <v>5110.840049624273</v>
      </c>
      <c r="K27" s="8">
        <f t="shared" si="3"/>
        <v>159.91364360526509</v>
      </c>
      <c r="M27" s="3" t="s">
        <v>9</v>
      </c>
      <c r="N27" s="7">
        <v>26.7</v>
      </c>
      <c r="O27" s="5">
        <v>23.89</v>
      </c>
      <c r="P27" s="8">
        <f t="shared" si="4"/>
        <v>9737.9391845905466</v>
      </c>
      <c r="Q27" s="8">
        <f t="shared" si="5"/>
        <v>407.6157046710149</v>
      </c>
      <c r="S27" s="3" t="s">
        <v>9</v>
      </c>
      <c r="T27" s="7">
        <v>26.7</v>
      </c>
      <c r="U27" s="5">
        <v>0</v>
      </c>
      <c r="V27" s="8">
        <f t="shared" si="6"/>
        <v>0</v>
      </c>
      <c r="W27" s="8">
        <f t="shared" si="7"/>
        <v>263.2280850702021</v>
      </c>
      <c r="Y27" s="3" t="s">
        <v>9</v>
      </c>
      <c r="Z27" s="7">
        <v>26.7</v>
      </c>
      <c r="AA27" s="5">
        <v>0</v>
      </c>
      <c r="AB27" s="8">
        <f t="shared" si="8"/>
        <v>0</v>
      </c>
      <c r="AC27" s="8">
        <f t="shared" si="9"/>
        <v>-61.386020459803603</v>
      </c>
      <c r="AE27" s="3" t="s">
        <v>9</v>
      </c>
      <c r="AF27" s="7">
        <v>26.7</v>
      </c>
      <c r="AG27" s="5">
        <v>0.64</v>
      </c>
      <c r="AH27" s="8">
        <f t="shared" si="10"/>
        <v>507.18940604269449</v>
      </c>
      <c r="AI27" s="8">
        <f t="shared" si="11"/>
        <v>792.4834469417101</v>
      </c>
      <c r="AK27" s="3" t="s">
        <v>9</v>
      </c>
      <c r="AL27" s="7">
        <v>26.7</v>
      </c>
      <c r="AM27" s="5">
        <v>5092.04</v>
      </c>
      <c r="AN27" s="8">
        <f t="shared" si="12"/>
        <v>1549249.2271868675</v>
      </c>
      <c r="AO27" s="8">
        <f t="shared" si="13"/>
        <v>304.24922569085624</v>
      </c>
    </row>
    <row r="28" spans="1:41" x14ac:dyDescent="0.25">
      <c r="A28" s="3" t="s">
        <v>9</v>
      </c>
      <c r="B28" s="7">
        <v>33.4</v>
      </c>
      <c r="C28" s="5">
        <v>5.9</v>
      </c>
      <c r="D28" s="8">
        <f t="shared" si="0"/>
        <v>1838.4163497446582</v>
      </c>
      <c r="E28" s="8">
        <f t="shared" si="1"/>
        <v>311.59599148214545</v>
      </c>
      <c r="G28" s="3" t="s">
        <v>9</v>
      </c>
      <c r="H28" s="7">
        <v>33.4</v>
      </c>
      <c r="I28" s="5">
        <v>28104.09</v>
      </c>
      <c r="J28" s="8">
        <f t="shared" si="2"/>
        <v>4686015.3145729583</v>
      </c>
      <c r="K28" s="8">
        <f t="shared" si="3"/>
        <v>166.73784187899193</v>
      </c>
      <c r="M28" s="3" t="s">
        <v>9</v>
      </c>
      <c r="N28" s="7">
        <v>33.4</v>
      </c>
      <c r="O28" s="5">
        <v>0</v>
      </c>
      <c r="P28" s="8">
        <f t="shared" si="4"/>
        <v>0</v>
      </c>
      <c r="Q28" s="8">
        <f t="shared" si="5"/>
        <v>421.98354799114725</v>
      </c>
      <c r="S28" s="3" t="s">
        <v>9</v>
      </c>
      <c r="T28" s="7">
        <v>33.4</v>
      </c>
      <c r="U28" s="5">
        <v>0</v>
      </c>
      <c r="V28" s="8">
        <f t="shared" si="6"/>
        <v>0</v>
      </c>
      <c r="W28" s="8">
        <f t="shared" si="7"/>
        <v>274.81532990045332</v>
      </c>
      <c r="Y28" s="3" t="s">
        <v>9</v>
      </c>
      <c r="Z28" s="7">
        <v>33.4</v>
      </c>
      <c r="AA28" s="5">
        <v>0</v>
      </c>
      <c r="AB28" s="8">
        <f t="shared" si="8"/>
        <v>0</v>
      </c>
      <c r="AC28" s="8">
        <f t="shared" si="9"/>
        <v>-28.307238237208225</v>
      </c>
      <c r="AE28" s="3" t="s">
        <v>9</v>
      </c>
      <c r="AF28" s="7">
        <v>33.4</v>
      </c>
      <c r="AG28" s="5">
        <v>0</v>
      </c>
      <c r="AH28" s="8">
        <f t="shared" si="10"/>
        <v>0</v>
      </c>
      <c r="AI28" s="8">
        <f t="shared" si="11"/>
        <v>785.14145767028424</v>
      </c>
      <c r="AK28" s="3" t="s">
        <v>9</v>
      </c>
      <c r="AL28" s="7">
        <v>33.4</v>
      </c>
      <c r="AM28" s="5">
        <v>28109.989999999998</v>
      </c>
      <c r="AN28" s="8">
        <f t="shared" si="12"/>
        <v>8704358.5357578676</v>
      </c>
      <c r="AO28" s="8">
        <f t="shared" si="13"/>
        <v>309.65356215914233</v>
      </c>
    </row>
    <row r="29" spans="1:41" x14ac:dyDescent="0.25">
      <c r="A29" s="3" t="s">
        <v>9</v>
      </c>
      <c r="B29" s="7">
        <v>42.2</v>
      </c>
      <c r="C29" s="5">
        <v>22054.34</v>
      </c>
      <c r="D29" s="8">
        <f t="shared" si="0"/>
        <v>6956521.3543294007</v>
      </c>
      <c r="E29" s="8">
        <f t="shared" si="1"/>
        <v>315.42641286610257</v>
      </c>
      <c r="G29" s="3" t="s">
        <v>9</v>
      </c>
      <c r="H29" s="7">
        <v>42.2</v>
      </c>
      <c r="I29" s="5">
        <v>4230.42</v>
      </c>
      <c r="J29" s="8">
        <f t="shared" si="2"/>
        <v>743288.88891904266</v>
      </c>
      <c r="K29" s="8">
        <f t="shared" si="3"/>
        <v>175.70096796985703</v>
      </c>
      <c r="M29" s="3" t="s">
        <v>9</v>
      </c>
      <c r="N29" s="7">
        <v>42.2</v>
      </c>
      <c r="O29" s="5">
        <v>36.5</v>
      </c>
      <c r="P29" s="8">
        <f t="shared" si="4"/>
        <v>16091.198199352473</v>
      </c>
      <c r="Q29" s="8">
        <f t="shared" si="5"/>
        <v>440.85474518773901</v>
      </c>
      <c r="S29" s="3" t="s">
        <v>9</v>
      </c>
      <c r="T29" s="7">
        <v>42.2</v>
      </c>
      <c r="U29" s="5">
        <v>54.29</v>
      </c>
      <c r="V29" s="8">
        <f t="shared" si="6"/>
        <v>15745.967453152651</v>
      </c>
      <c r="W29" s="8">
        <f t="shared" si="7"/>
        <v>290.03439773720118</v>
      </c>
      <c r="Y29" s="3" t="s">
        <v>9</v>
      </c>
      <c r="Z29" s="7">
        <v>42.2</v>
      </c>
      <c r="AA29" s="5">
        <v>19.77</v>
      </c>
      <c r="AB29" s="8">
        <f t="shared" si="8"/>
        <v>299.30832034266979</v>
      </c>
      <c r="AC29" s="8">
        <f t="shared" si="9"/>
        <v>15.139520502917037</v>
      </c>
      <c r="AE29" s="3" t="s">
        <v>9</v>
      </c>
      <c r="AF29" s="7">
        <v>42.2</v>
      </c>
      <c r="AG29" s="5">
        <v>30.41</v>
      </c>
      <c r="AH29" s="8">
        <f t="shared" si="10"/>
        <v>23582.901718059653</v>
      </c>
      <c r="AI29" s="8">
        <f t="shared" si="11"/>
        <v>775.49824788094884</v>
      </c>
      <c r="AK29" s="3" t="s">
        <v>9</v>
      </c>
      <c r="AL29" s="7">
        <v>42.2</v>
      </c>
      <c r="AM29" s="5">
        <v>26425.730000000003</v>
      </c>
      <c r="AN29" s="8">
        <f t="shared" si="12"/>
        <v>8370397.4151844792</v>
      </c>
      <c r="AO29" s="8">
        <f t="shared" si="13"/>
        <v>316.75179513241369</v>
      </c>
    </row>
    <row r="30" spans="1:41" x14ac:dyDescent="0.25">
      <c r="A30" s="3" t="s">
        <v>9</v>
      </c>
      <c r="B30" s="7">
        <v>48.3</v>
      </c>
      <c r="C30" s="5">
        <v>99494.159999999989</v>
      </c>
      <c r="D30" s="8">
        <f t="shared" si="0"/>
        <v>31647260.740387581</v>
      </c>
      <c r="E30" s="8">
        <f t="shared" si="1"/>
        <v>318.08159132543642</v>
      </c>
      <c r="G30" s="3" t="s">
        <v>9</v>
      </c>
      <c r="H30" s="7">
        <v>48.3</v>
      </c>
      <c r="I30" s="5">
        <v>0</v>
      </c>
      <c r="J30" s="8">
        <f t="shared" si="2"/>
        <v>0</v>
      </c>
      <c r="K30" s="8">
        <f t="shared" si="3"/>
        <v>181.91404401011579</v>
      </c>
      <c r="M30" s="3" t="s">
        <v>9</v>
      </c>
      <c r="N30" s="7">
        <v>48.3</v>
      </c>
      <c r="O30" s="5">
        <v>0</v>
      </c>
      <c r="P30" s="8">
        <f t="shared" si="4"/>
        <v>0</v>
      </c>
      <c r="Q30" s="8">
        <f t="shared" si="5"/>
        <v>453.93591597174009</v>
      </c>
      <c r="S30" s="3" t="s">
        <v>9</v>
      </c>
      <c r="T30" s="7">
        <v>48.3</v>
      </c>
      <c r="U30" s="5">
        <v>0</v>
      </c>
      <c r="V30" s="8">
        <f t="shared" si="6"/>
        <v>0</v>
      </c>
      <c r="W30" s="8">
        <f t="shared" si="7"/>
        <v>300.58397885131046</v>
      </c>
      <c r="Y30" s="3" t="s">
        <v>9</v>
      </c>
      <c r="Z30" s="7">
        <v>48.3</v>
      </c>
      <c r="AA30" s="5">
        <v>0</v>
      </c>
      <c r="AB30" s="8">
        <f t="shared" si="8"/>
        <v>0</v>
      </c>
      <c r="AC30" s="8">
        <f t="shared" si="9"/>
        <v>45.256023720503833</v>
      </c>
      <c r="AE30" s="3" t="s">
        <v>9</v>
      </c>
      <c r="AF30" s="7">
        <v>48.3</v>
      </c>
      <c r="AG30" s="5">
        <v>0</v>
      </c>
      <c r="AH30" s="8">
        <f t="shared" si="10"/>
        <v>0</v>
      </c>
      <c r="AI30" s="8">
        <f t="shared" si="11"/>
        <v>768.81375018606866</v>
      </c>
      <c r="AK30" s="3" t="s">
        <v>9</v>
      </c>
      <c r="AL30" s="7">
        <v>48.3</v>
      </c>
      <c r="AM30" s="5">
        <v>99494.159999999989</v>
      </c>
      <c r="AN30" s="8">
        <f t="shared" si="12"/>
        <v>32004501.471063811</v>
      </c>
      <c r="AO30" s="8">
        <f t="shared" si="13"/>
        <v>321.67216117070404</v>
      </c>
    </row>
    <row r="31" spans="1:41" x14ac:dyDescent="0.25">
      <c r="A31" s="3" t="s">
        <v>9</v>
      </c>
      <c r="B31" s="7">
        <v>60.3</v>
      </c>
      <c r="C31" s="5">
        <v>260210.59</v>
      </c>
      <c r="D31" s="8">
        <f t="shared" si="0"/>
        <v>84127357.012750804</v>
      </c>
      <c r="E31" s="8">
        <f t="shared" si="1"/>
        <v>323.3048932126506</v>
      </c>
      <c r="G31" s="3" t="s">
        <v>9</v>
      </c>
      <c r="H31" s="7">
        <v>60.3</v>
      </c>
      <c r="I31" s="5">
        <v>23498.22</v>
      </c>
      <c r="J31" s="8">
        <f t="shared" si="2"/>
        <v>4561861.9210178666</v>
      </c>
      <c r="K31" s="8">
        <f t="shared" si="3"/>
        <v>194.13648867947728</v>
      </c>
      <c r="M31" s="3" t="s">
        <v>9</v>
      </c>
      <c r="N31" s="7">
        <v>60.3</v>
      </c>
      <c r="O31" s="5">
        <v>20160.98</v>
      </c>
      <c r="P31" s="8">
        <f t="shared" si="4"/>
        <v>9670604.5085377619</v>
      </c>
      <c r="Q31" s="8">
        <f t="shared" si="5"/>
        <v>479.66936669436518</v>
      </c>
      <c r="S31" s="3" t="s">
        <v>9</v>
      </c>
      <c r="T31" s="7">
        <v>60.3</v>
      </c>
      <c r="U31" s="5">
        <v>7935.19</v>
      </c>
      <c r="V31" s="8">
        <f t="shared" si="6"/>
        <v>2549872.1580149704</v>
      </c>
      <c r="W31" s="8">
        <f t="shared" si="7"/>
        <v>321.33725317414837</v>
      </c>
      <c r="Y31" s="3" t="s">
        <v>9</v>
      </c>
      <c r="Z31" s="7">
        <v>60.3</v>
      </c>
      <c r="AA31" s="5">
        <v>1299.1100000000001</v>
      </c>
      <c r="AB31" s="8">
        <f t="shared" si="8"/>
        <v>135759.07853947664</v>
      </c>
      <c r="AC31" s="8">
        <f t="shared" si="9"/>
        <v>104.50160382067463</v>
      </c>
      <c r="AE31" s="3" t="s">
        <v>9</v>
      </c>
      <c r="AF31" s="7">
        <v>60.3</v>
      </c>
      <c r="AG31" s="5">
        <v>11079.33</v>
      </c>
      <c r="AH31" s="8">
        <f t="shared" si="10"/>
        <v>8372249.9238736369</v>
      </c>
      <c r="AI31" s="8">
        <f t="shared" si="11"/>
        <v>755.66391865515664</v>
      </c>
      <c r="AK31" s="3" t="s">
        <v>9</v>
      </c>
      <c r="AL31" s="7">
        <v>60.3</v>
      </c>
      <c r="AM31" s="5">
        <v>324183.42000000004</v>
      </c>
      <c r="AN31" s="8">
        <f t="shared" si="12"/>
        <v>107418685.11060804</v>
      </c>
      <c r="AO31" s="8">
        <f t="shared" si="13"/>
        <v>331.35156977061945</v>
      </c>
    </row>
    <row r="32" spans="1:41" x14ac:dyDescent="0.25">
      <c r="A32" s="3" t="s">
        <v>9</v>
      </c>
      <c r="B32" s="7">
        <v>88.9</v>
      </c>
      <c r="C32" s="5">
        <v>201338.08</v>
      </c>
      <c r="D32" s="8">
        <f t="shared" si="0"/>
        <v>67600017.936909884</v>
      </c>
      <c r="E32" s="8">
        <f t="shared" si="1"/>
        <v>335.75376271051107</v>
      </c>
      <c r="G32" s="3" t="s">
        <v>9</v>
      </c>
      <c r="H32" s="7">
        <v>88.9</v>
      </c>
      <c r="I32" s="5">
        <v>4823.3500000000004</v>
      </c>
      <c r="J32" s="8">
        <f t="shared" si="2"/>
        <v>990344.79094587127</v>
      </c>
      <c r="K32" s="8">
        <f t="shared" si="3"/>
        <v>205.3230205035652</v>
      </c>
      <c r="M32" s="3" t="s">
        <v>9</v>
      </c>
      <c r="N32" s="7">
        <v>88.9</v>
      </c>
      <c r="O32" s="5">
        <v>5658.76</v>
      </c>
      <c r="P32" s="8">
        <f t="shared" si="4"/>
        <v>3535877.8905905299</v>
      </c>
      <c r="Q32" s="8">
        <f t="shared" si="5"/>
        <v>624.85030123039849</v>
      </c>
      <c r="S32" s="3" t="s">
        <v>9</v>
      </c>
      <c r="T32" s="7">
        <v>88.9</v>
      </c>
      <c r="U32" s="5">
        <v>2682.09</v>
      </c>
      <c r="V32" s="8">
        <f t="shared" si="6"/>
        <v>994516.88974220655</v>
      </c>
      <c r="W32" s="8">
        <f t="shared" si="7"/>
        <v>370.7992236435789</v>
      </c>
      <c r="Y32" s="3" t="s">
        <v>9</v>
      </c>
      <c r="Z32" s="7">
        <v>88.9</v>
      </c>
      <c r="AA32" s="5">
        <v>2702.3500000000004</v>
      </c>
      <c r="AB32" s="8">
        <f t="shared" si="8"/>
        <v>663977.04164927709</v>
      </c>
      <c r="AC32" s="8">
        <f t="shared" si="9"/>
        <v>245.70356972608175</v>
      </c>
      <c r="AE32" s="3" t="s">
        <v>9</v>
      </c>
      <c r="AF32" s="7">
        <v>88.9</v>
      </c>
      <c r="AG32" s="5">
        <v>4021.96</v>
      </c>
      <c r="AH32" s="8">
        <f t="shared" si="10"/>
        <v>2913200.0911302683</v>
      </c>
      <c r="AI32" s="8">
        <f t="shared" si="11"/>
        <v>724.3234868398165</v>
      </c>
      <c r="AK32" s="3" t="s">
        <v>9</v>
      </c>
      <c r="AL32" s="7">
        <v>88.9</v>
      </c>
      <c r="AM32" s="5">
        <v>221226.58999999997</v>
      </c>
      <c r="AN32" s="8">
        <f t="shared" si="12"/>
        <v>71106354.143598482</v>
      </c>
      <c r="AO32" s="8">
        <f t="shared" si="13"/>
        <v>321.41866013302695</v>
      </c>
    </row>
    <row r="33" spans="1:41" x14ac:dyDescent="0.25">
      <c r="A33" s="3" t="s">
        <v>9</v>
      </c>
      <c r="B33" s="7">
        <v>114.3</v>
      </c>
      <c r="C33" s="5">
        <v>395841.41</v>
      </c>
      <c r="D33" s="8">
        <f t="shared" si="0"/>
        <v>135392651.71090856</v>
      </c>
      <c r="E33" s="8">
        <f t="shared" si="1"/>
        <v>342.03761478847946</v>
      </c>
      <c r="G33" s="3" t="s">
        <v>9</v>
      </c>
      <c r="H33" s="7">
        <v>114.3</v>
      </c>
      <c r="I33" s="5">
        <v>28117.54</v>
      </c>
      <c r="J33" s="8">
        <f t="shared" si="2"/>
        <v>7970012.9679682553</v>
      </c>
      <c r="K33" s="8">
        <f t="shared" si="3"/>
        <v>283.45342330688442</v>
      </c>
      <c r="M33" s="3" t="s">
        <v>9</v>
      </c>
      <c r="N33" s="7">
        <v>114.3</v>
      </c>
      <c r="O33" s="5">
        <v>21444.16</v>
      </c>
      <c r="P33" s="8">
        <f t="shared" si="4"/>
        <v>11945453.298478708</v>
      </c>
      <c r="Q33" s="8">
        <f t="shared" si="5"/>
        <v>557.04925249945472</v>
      </c>
      <c r="S33" s="3" t="s">
        <v>9</v>
      </c>
      <c r="T33" s="7">
        <v>114.3</v>
      </c>
      <c r="U33" s="5">
        <v>92823.71</v>
      </c>
      <c r="V33" s="8">
        <f t="shared" si="6"/>
        <v>40752358.977391839</v>
      </c>
      <c r="W33" s="8">
        <f t="shared" si="7"/>
        <v>439.02962914746496</v>
      </c>
      <c r="Y33" s="3" t="s">
        <v>9</v>
      </c>
      <c r="Z33" s="7">
        <v>114.3</v>
      </c>
      <c r="AA33" s="5">
        <v>36616.01</v>
      </c>
      <c r="AB33" s="8">
        <f t="shared" si="8"/>
        <v>13342307.823991358</v>
      </c>
      <c r="AC33" s="8">
        <f t="shared" si="9"/>
        <v>364.38453627228517</v>
      </c>
      <c r="AE33" s="3" t="s">
        <v>9</v>
      </c>
      <c r="AF33" s="7">
        <v>114.3</v>
      </c>
      <c r="AG33" s="5">
        <v>14696.33</v>
      </c>
      <c r="AH33" s="8">
        <f t="shared" si="10"/>
        <v>10985666.512089711</v>
      </c>
      <c r="AI33" s="8">
        <f t="shared" si="11"/>
        <v>747.51087598670631</v>
      </c>
      <c r="AK33" s="3" t="s">
        <v>9</v>
      </c>
      <c r="AL33" s="7">
        <v>114.3</v>
      </c>
      <c r="AM33" s="5">
        <v>589539.15999999992</v>
      </c>
      <c r="AN33" s="8">
        <f t="shared" si="12"/>
        <v>218287547.11833456</v>
      </c>
      <c r="AO33" s="8">
        <f t="shared" si="13"/>
        <v>370.26810418893052</v>
      </c>
    </row>
    <row r="34" spans="1:41" x14ac:dyDescent="0.25">
      <c r="A34" s="3" t="s">
        <v>9</v>
      </c>
      <c r="B34" s="7">
        <v>168.3</v>
      </c>
      <c r="C34" s="5">
        <v>487178.03</v>
      </c>
      <c r="D34" s="8">
        <f t="shared" si="0"/>
        <v>167848401.07478619</v>
      </c>
      <c r="E34" s="8">
        <f t="shared" si="1"/>
        <v>344.53195903515223</v>
      </c>
      <c r="G34" s="3" t="s">
        <v>9</v>
      </c>
      <c r="H34" s="7">
        <v>168.3</v>
      </c>
      <c r="I34" s="5">
        <v>9454.44</v>
      </c>
      <c r="J34" s="8">
        <f t="shared" si="2"/>
        <v>2640950.0133204153</v>
      </c>
      <c r="K34" s="8">
        <f t="shared" si="3"/>
        <v>279.33436706144573</v>
      </c>
      <c r="M34" s="3" t="s">
        <v>9</v>
      </c>
      <c r="N34" s="7">
        <v>168.3</v>
      </c>
      <c r="O34" s="5">
        <v>69895.5</v>
      </c>
      <c r="P34" s="8">
        <f t="shared" si="4"/>
        <v>40233680.076987348</v>
      </c>
      <c r="Q34" s="8">
        <f t="shared" si="5"/>
        <v>575.62618590592172</v>
      </c>
      <c r="S34" s="3" t="s">
        <v>9</v>
      </c>
      <c r="T34" s="7">
        <v>168.3</v>
      </c>
      <c r="U34" s="5">
        <v>141120.69999999998</v>
      </c>
      <c r="V34" s="8">
        <f t="shared" si="6"/>
        <v>64630537.775560938</v>
      </c>
      <c r="W34" s="8">
        <f t="shared" si="7"/>
        <v>457.98056398218648</v>
      </c>
      <c r="Y34" s="3" t="s">
        <v>9</v>
      </c>
      <c r="Z34" s="7">
        <v>168.3</v>
      </c>
      <c r="AA34" s="5">
        <v>55652.71</v>
      </c>
      <c r="AB34" s="8">
        <f t="shared" si="8"/>
        <v>36262171.912253022</v>
      </c>
      <c r="AC34" s="8">
        <f t="shared" si="9"/>
        <v>651.57962500394001</v>
      </c>
      <c r="AE34" s="3" t="s">
        <v>9</v>
      </c>
      <c r="AF34" s="7">
        <v>168.3</v>
      </c>
      <c r="AG34" s="5">
        <v>57114.450000000004</v>
      </c>
      <c r="AH34" s="8">
        <f t="shared" si="10"/>
        <v>30388263.014004268</v>
      </c>
      <c r="AI34" s="8">
        <f t="shared" si="11"/>
        <v>532.05910262646785</v>
      </c>
      <c r="AK34" s="3" t="s">
        <v>9</v>
      </c>
      <c r="AL34" s="7">
        <v>168.3</v>
      </c>
      <c r="AM34" s="5">
        <v>820415.83000000007</v>
      </c>
      <c r="AN34" s="8">
        <f t="shared" si="12"/>
        <v>338058092.6423803</v>
      </c>
      <c r="AO34" s="8">
        <f t="shared" si="13"/>
        <v>412.05700850796632</v>
      </c>
    </row>
    <row r="35" spans="1:41" x14ac:dyDescent="0.25">
      <c r="A35" s="3" t="s">
        <v>9</v>
      </c>
      <c r="B35" s="7">
        <v>219.1</v>
      </c>
      <c r="C35" s="5">
        <v>214465.40000000002</v>
      </c>
      <c r="D35" s="8">
        <f t="shared" si="0"/>
        <v>94890318.46562092</v>
      </c>
      <c r="E35" s="8">
        <f t="shared" si="1"/>
        <v>442.45047669983558</v>
      </c>
      <c r="G35" s="3" t="s">
        <v>9</v>
      </c>
      <c r="H35" s="7">
        <v>219.1</v>
      </c>
      <c r="I35" s="5">
        <v>26711.449999999997</v>
      </c>
      <c r="J35" s="8">
        <f t="shared" si="2"/>
        <v>9731301.5356187299</v>
      </c>
      <c r="K35" s="8">
        <f t="shared" si="3"/>
        <v>364.3119911355891</v>
      </c>
      <c r="M35" s="3" t="s">
        <v>9</v>
      </c>
      <c r="N35" s="7">
        <v>219.1</v>
      </c>
      <c r="O35" s="5">
        <v>13743.07</v>
      </c>
      <c r="P35" s="8">
        <f t="shared" si="4"/>
        <v>12512021.229156757</v>
      </c>
      <c r="Q35" s="8">
        <f t="shared" si="5"/>
        <v>910.42403401545334</v>
      </c>
      <c r="S35" s="3" t="s">
        <v>9</v>
      </c>
      <c r="T35" s="7">
        <v>219.1</v>
      </c>
      <c r="U35" s="5">
        <v>39691.06</v>
      </c>
      <c r="V35" s="8">
        <f t="shared" si="6"/>
        <v>24680129.991392542</v>
      </c>
      <c r="W35" s="8">
        <f t="shared" si="7"/>
        <v>621.80576662332885</v>
      </c>
      <c r="Y35" s="3" t="s">
        <v>9</v>
      </c>
      <c r="Z35" s="7">
        <v>219.1</v>
      </c>
      <c r="AA35" s="5">
        <v>35445.9</v>
      </c>
      <c r="AB35" s="8">
        <f t="shared" si="8"/>
        <v>31241041.197536178</v>
      </c>
      <c r="AC35" s="8">
        <f t="shared" si="9"/>
        <v>881.37249153036532</v>
      </c>
      <c r="AE35" s="3" t="s">
        <v>9</v>
      </c>
      <c r="AF35" s="7">
        <v>219.1</v>
      </c>
      <c r="AG35" s="5">
        <v>41705.380000000005</v>
      </c>
      <c r="AH35" s="8">
        <f t="shared" si="10"/>
        <v>26519739.971819691</v>
      </c>
      <c r="AI35" s="8">
        <f t="shared" si="11"/>
        <v>635.88294775925044</v>
      </c>
      <c r="AK35" s="3" t="s">
        <v>9</v>
      </c>
      <c r="AL35" s="7">
        <v>219.1</v>
      </c>
      <c r="AM35" s="5">
        <v>371762.26</v>
      </c>
      <c r="AN35" s="8">
        <f t="shared" si="12"/>
        <v>203205252.96732032</v>
      </c>
      <c r="AO35" s="8">
        <f t="shared" si="13"/>
        <v>546.60000444187187</v>
      </c>
    </row>
    <row r="36" spans="1:41" x14ac:dyDescent="0.25">
      <c r="A36" s="3" t="s">
        <v>9</v>
      </c>
      <c r="B36" s="7">
        <v>273.10000000000002</v>
      </c>
      <c r="C36" s="5">
        <v>35265</v>
      </c>
      <c r="D36" s="8">
        <f t="shared" si="0"/>
        <v>14667822.467143711</v>
      </c>
      <c r="E36" s="8">
        <f t="shared" si="1"/>
        <v>415.93144667924884</v>
      </c>
      <c r="G36" s="3" t="s">
        <v>9</v>
      </c>
      <c r="H36" s="7">
        <v>273.10000000000002</v>
      </c>
      <c r="I36" s="5">
        <v>81323.23</v>
      </c>
      <c r="J36" s="8">
        <f t="shared" si="2"/>
        <v>33414184.228028841</v>
      </c>
      <c r="K36" s="8">
        <f t="shared" si="3"/>
        <v>410.88117414948772</v>
      </c>
      <c r="M36" s="3" t="s">
        <v>9</v>
      </c>
      <c r="N36" s="7">
        <v>273.10000000000002</v>
      </c>
      <c r="O36" s="5">
        <v>11811.74</v>
      </c>
      <c r="P36" s="8">
        <f t="shared" si="4"/>
        <v>11055897.617187189</v>
      </c>
      <c r="Q36" s="8">
        <f t="shared" si="5"/>
        <v>936.00922617558376</v>
      </c>
      <c r="S36" s="3" t="s">
        <v>9</v>
      </c>
      <c r="T36" s="7">
        <v>273.10000000000002</v>
      </c>
      <c r="U36" s="5">
        <v>39359.03</v>
      </c>
      <c r="V36" s="8">
        <f t="shared" si="6"/>
        <v>27132619.028761253</v>
      </c>
      <c r="W36" s="8">
        <f t="shared" si="7"/>
        <v>689.36198449914173</v>
      </c>
      <c r="Y36" s="3" t="s">
        <v>9</v>
      </c>
      <c r="Z36" s="7">
        <v>273.10000000000002</v>
      </c>
      <c r="AA36" s="5">
        <v>26392.04</v>
      </c>
      <c r="AB36" s="8">
        <f t="shared" si="8"/>
        <v>30486058.339696642</v>
      </c>
      <c r="AC36" s="8">
        <f t="shared" si="9"/>
        <v>1155.1232242637038</v>
      </c>
      <c r="AE36" s="3" t="s">
        <v>9</v>
      </c>
      <c r="AF36" s="7">
        <v>273.10000000000002</v>
      </c>
      <c r="AG36" s="5">
        <v>19243.22</v>
      </c>
      <c r="AH36" s="8">
        <f t="shared" si="10"/>
        <v>10054073.906352272</v>
      </c>
      <c r="AI36" s="8">
        <f t="shared" si="11"/>
        <v>522.47357284031841</v>
      </c>
      <c r="AK36" s="3" t="s">
        <v>9</v>
      </c>
      <c r="AL36" s="7">
        <v>273.10000000000002</v>
      </c>
      <c r="AM36" s="5">
        <v>213394.25999999998</v>
      </c>
      <c r="AN36" s="8">
        <f t="shared" si="12"/>
        <v>107337259.20576061</v>
      </c>
      <c r="AO36" s="8">
        <f t="shared" si="13"/>
        <v>502.99974894245338</v>
      </c>
    </row>
    <row r="37" spans="1:41" x14ac:dyDescent="0.25">
      <c r="A37" s="3" t="s">
        <v>9</v>
      </c>
      <c r="B37" s="7">
        <v>323.89999999999998</v>
      </c>
      <c r="C37" s="5">
        <v>126443.01000000001</v>
      </c>
      <c r="D37" s="8">
        <f t="shared" si="0"/>
        <v>52572549.263581745</v>
      </c>
      <c r="E37" s="8">
        <f t="shared" si="1"/>
        <v>415.78058971849646</v>
      </c>
      <c r="G37" s="3" t="s">
        <v>9</v>
      </c>
      <c r="H37" s="7">
        <v>323.89999999999998</v>
      </c>
      <c r="I37" s="5">
        <v>7.89</v>
      </c>
      <c r="J37" s="8">
        <f t="shared" si="2"/>
        <v>3650.0943384408006</v>
      </c>
      <c r="K37" s="8">
        <f t="shared" si="3"/>
        <v>462.62285658311794</v>
      </c>
      <c r="M37" s="3" t="s">
        <v>9</v>
      </c>
      <c r="N37" s="7">
        <v>323.89999999999998</v>
      </c>
      <c r="O37" s="5">
        <v>2439.6799999999998</v>
      </c>
      <c r="P37" s="8">
        <f t="shared" si="4"/>
        <v>2549337.5189990378</v>
      </c>
      <c r="Q37" s="8">
        <f t="shared" si="5"/>
        <v>1044.9475009013634</v>
      </c>
      <c r="S37" s="3" t="s">
        <v>9</v>
      </c>
      <c r="T37" s="7">
        <v>323.89999999999998</v>
      </c>
      <c r="U37" s="5">
        <v>2855.29</v>
      </c>
      <c r="V37" s="8">
        <f t="shared" si="6"/>
        <v>2219181.391168538</v>
      </c>
      <c r="W37" s="8">
        <f t="shared" si="7"/>
        <v>777.21751246582232</v>
      </c>
      <c r="Y37" s="3" t="s">
        <v>9</v>
      </c>
      <c r="Z37" s="7">
        <v>323.89999999999998</v>
      </c>
      <c r="AA37" s="5">
        <v>6.6</v>
      </c>
      <c r="AB37" s="8">
        <f t="shared" si="8"/>
        <v>9279.1347881392139</v>
      </c>
      <c r="AC37" s="8">
        <f t="shared" si="9"/>
        <v>1405.9295133544265</v>
      </c>
      <c r="AE37" s="3" t="s">
        <v>9</v>
      </c>
      <c r="AF37" s="7">
        <v>323.89999999999998</v>
      </c>
      <c r="AG37" s="5">
        <v>20.46</v>
      </c>
      <c r="AH37" s="8">
        <f t="shared" si="10"/>
        <v>9550.8497920945083</v>
      </c>
      <c r="AI37" s="8">
        <f t="shared" si="11"/>
        <v>466.80595269279121</v>
      </c>
      <c r="AK37" s="3" t="s">
        <v>9</v>
      </c>
      <c r="AL37" s="7">
        <v>323.89999999999998</v>
      </c>
      <c r="AM37" s="5">
        <v>131772.93</v>
      </c>
      <c r="AN37" s="8">
        <f t="shared" si="12"/>
        <v>66945762.76781708</v>
      </c>
      <c r="AO37" s="8">
        <f t="shared" si="13"/>
        <v>508.03881167260289</v>
      </c>
    </row>
    <row r="38" spans="1:41" x14ac:dyDescent="0.25">
      <c r="A38" s="3" t="s">
        <v>9</v>
      </c>
      <c r="B38" s="7">
        <v>406.4</v>
      </c>
      <c r="C38" s="5">
        <v>99515.15</v>
      </c>
      <c r="D38" s="8">
        <f t="shared" si="0"/>
        <v>47443585.008571602</v>
      </c>
      <c r="E38" s="8">
        <f t="shared" si="1"/>
        <v>476.74735965902283</v>
      </c>
      <c r="G38" s="3" t="s">
        <v>9</v>
      </c>
      <c r="H38" s="7">
        <v>406.4</v>
      </c>
      <c r="I38" s="5">
        <v>65072.92</v>
      </c>
      <c r="J38" s="8">
        <f t="shared" si="2"/>
        <v>35572252.515299492</v>
      </c>
      <c r="K38" s="8">
        <f t="shared" si="3"/>
        <v>546.65216368497818</v>
      </c>
      <c r="M38" s="3" t="s">
        <v>9</v>
      </c>
      <c r="N38" s="7">
        <v>406.4</v>
      </c>
      <c r="O38" s="5">
        <v>3057.57</v>
      </c>
      <c r="P38" s="8">
        <f t="shared" si="4"/>
        <v>3735937.690447072</v>
      </c>
      <c r="Q38" s="8">
        <f t="shared" si="5"/>
        <v>1221.8649746194108</v>
      </c>
      <c r="S38" s="3" t="s">
        <v>9</v>
      </c>
      <c r="T38" s="7">
        <v>406.4</v>
      </c>
      <c r="U38" s="5">
        <v>0</v>
      </c>
      <c r="V38" s="8">
        <f t="shared" si="6"/>
        <v>0</v>
      </c>
      <c r="W38" s="8">
        <f t="shared" si="7"/>
        <v>919.89627343533323</v>
      </c>
      <c r="Y38" s="3" t="s">
        <v>9</v>
      </c>
      <c r="Z38" s="7">
        <v>406.4</v>
      </c>
      <c r="AA38" s="5">
        <v>11487.52</v>
      </c>
      <c r="AB38" s="8">
        <f t="shared" si="8"/>
        <v>20829663.809146404</v>
      </c>
      <c r="AC38" s="8">
        <f t="shared" si="9"/>
        <v>1813.2428765431009</v>
      </c>
      <c r="AE38" s="3" t="s">
        <v>9</v>
      </c>
      <c r="AF38" s="7">
        <v>406.4</v>
      </c>
      <c r="AG38" s="5">
        <v>0</v>
      </c>
      <c r="AH38" s="8">
        <f t="shared" si="10"/>
        <v>0</v>
      </c>
      <c r="AI38" s="8">
        <f t="shared" si="11"/>
        <v>376.40086091777164</v>
      </c>
      <c r="AK38" s="3" t="s">
        <v>9</v>
      </c>
      <c r="AL38" s="7">
        <v>406.4</v>
      </c>
      <c r="AM38" s="5">
        <v>179133.16</v>
      </c>
      <c r="AN38" s="8">
        <f t="shared" si="12"/>
        <v>108080630.16325288</v>
      </c>
      <c r="AO38" s="8">
        <f t="shared" si="13"/>
        <v>603.3535620275602</v>
      </c>
    </row>
    <row r="39" spans="1:41" x14ac:dyDescent="0.25">
      <c r="A39" s="3" t="s">
        <v>9</v>
      </c>
      <c r="B39" s="7">
        <v>508</v>
      </c>
      <c r="C39" s="5">
        <v>48879.15</v>
      </c>
      <c r="D39" s="8">
        <f t="shared" si="0"/>
        <v>25328079.714273334</v>
      </c>
      <c r="E39" s="8">
        <f t="shared" si="1"/>
        <v>518.17758112146657</v>
      </c>
      <c r="G39" s="3" t="s">
        <v>9</v>
      </c>
      <c r="H39" s="7">
        <v>508</v>
      </c>
      <c r="I39" s="5">
        <v>0</v>
      </c>
      <c r="J39" s="8">
        <f t="shared" si="2"/>
        <v>0</v>
      </c>
      <c r="K39" s="8">
        <f t="shared" si="3"/>
        <v>650.13552855223884</v>
      </c>
      <c r="M39" s="3" t="s">
        <v>9</v>
      </c>
      <c r="N39" s="7">
        <v>508</v>
      </c>
      <c r="O39" s="5">
        <v>2300.39</v>
      </c>
      <c r="P39" s="8">
        <f t="shared" si="4"/>
        <v>3311967.0045576184</v>
      </c>
      <c r="Q39" s="8">
        <f t="shared" si="5"/>
        <v>1439.7415240709699</v>
      </c>
      <c r="S39" s="3" t="s">
        <v>9</v>
      </c>
      <c r="T39" s="7">
        <v>508</v>
      </c>
      <c r="U39" s="5">
        <v>0</v>
      </c>
      <c r="V39" s="8">
        <f t="shared" si="6"/>
        <v>0</v>
      </c>
      <c r="W39" s="8">
        <f t="shared" si="7"/>
        <v>1095.6073293686948</v>
      </c>
      <c r="Y39" s="3" t="s">
        <v>9</v>
      </c>
      <c r="Z39" s="7">
        <v>508</v>
      </c>
      <c r="AA39" s="5">
        <v>0</v>
      </c>
      <c r="AB39" s="8">
        <f t="shared" si="8"/>
        <v>0</v>
      </c>
      <c r="AC39" s="8">
        <f t="shared" si="9"/>
        <v>2314.8554547245471</v>
      </c>
      <c r="AE39" s="3" t="s">
        <v>9</v>
      </c>
      <c r="AF39" s="7">
        <v>508</v>
      </c>
      <c r="AG39" s="5">
        <v>0</v>
      </c>
      <c r="AH39" s="8">
        <f t="shared" si="10"/>
        <v>0</v>
      </c>
      <c r="AI39" s="8">
        <f t="shared" si="11"/>
        <v>265.06562062271723</v>
      </c>
      <c r="AK39" s="3" t="s">
        <v>9</v>
      </c>
      <c r="AL39" s="7">
        <v>508</v>
      </c>
      <c r="AM39" s="5">
        <v>51179.54</v>
      </c>
      <c r="AN39" s="8">
        <f t="shared" si="12"/>
        <v>35440509.599467903</v>
      </c>
      <c r="AO39" s="8">
        <f t="shared" si="13"/>
        <v>692.4741722857982</v>
      </c>
    </row>
    <row r="40" spans="1:41" x14ac:dyDescent="0.25">
      <c r="A40" s="3" t="s">
        <v>9</v>
      </c>
      <c r="B40" s="7">
        <v>610</v>
      </c>
      <c r="C40" s="5">
        <v>18279.560000000001</v>
      </c>
      <c r="D40" s="8">
        <f t="shared" si="0"/>
        <v>10283635.296850998</v>
      </c>
      <c r="E40" s="8">
        <f t="shared" si="1"/>
        <v>562.57564716278716</v>
      </c>
      <c r="G40" s="3" t="s">
        <v>9</v>
      </c>
      <c r="H40" s="7">
        <v>610</v>
      </c>
      <c r="I40" s="5">
        <v>0</v>
      </c>
      <c r="J40" s="8">
        <f t="shared" si="2"/>
        <v>0</v>
      </c>
      <c r="K40" s="8">
        <f t="shared" si="3"/>
        <v>754.02630824181142</v>
      </c>
      <c r="M40" s="3" t="s">
        <v>9</v>
      </c>
      <c r="N40" s="7">
        <v>610</v>
      </c>
      <c r="O40" s="5">
        <v>0</v>
      </c>
      <c r="P40" s="8">
        <f t="shared" si="4"/>
        <v>0</v>
      </c>
      <c r="Q40" s="8">
        <f t="shared" si="5"/>
        <v>1658.4758552132835</v>
      </c>
      <c r="S40" s="3" t="s">
        <v>9</v>
      </c>
      <c r="T40" s="7">
        <v>610</v>
      </c>
      <c r="U40" s="5">
        <v>0</v>
      </c>
      <c r="V40" s="8">
        <f t="shared" si="6"/>
        <v>0</v>
      </c>
      <c r="W40" s="8">
        <f t="shared" si="7"/>
        <v>1272.0101611128173</v>
      </c>
      <c r="Y40" s="3" t="s">
        <v>9</v>
      </c>
      <c r="Z40" s="7">
        <v>610</v>
      </c>
      <c r="AA40" s="5">
        <v>0</v>
      </c>
      <c r="AB40" s="8">
        <f t="shared" si="8"/>
        <v>0</v>
      </c>
      <c r="AC40" s="8">
        <f t="shared" si="9"/>
        <v>2818.4428855759993</v>
      </c>
      <c r="AE40" s="3" t="s">
        <v>9</v>
      </c>
      <c r="AF40" s="7">
        <v>610</v>
      </c>
      <c r="AG40" s="5">
        <v>0</v>
      </c>
      <c r="AH40" s="8">
        <f t="shared" si="10"/>
        <v>0</v>
      </c>
      <c r="AI40" s="8">
        <f t="shared" si="11"/>
        <v>153.29205260996582</v>
      </c>
      <c r="AK40" s="3" t="s">
        <v>9</v>
      </c>
      <c r="AL40" s="7">
        <v>610</v>
      </c>
      <c r="AM40" s="5">
        <v>18279.560000000001</v>
      </c>
      <c r="AN40" s="8">
        <f t="shared" si="12"/>
        <v>14162073.488015287</v>
      </c>
      <c r="AO40" s="8">
        <f t="shared" si="13"/>
        <v>774.7491453850796</v>
      </c>
    </row>
    <row r="41" spans="1:41" x14ac:dyDescent="0.25">
      <c r="A41" s="3" t="s">
        <v>9</v>
      </c>
      <c r="B41" s="7">
        <v>762</v>
      </c>
      <c r="C41" s="5">
        <v>8104.32</v>
      </c>
      <c r="D41" s="8">
        <f t="shared" si="0"/>
        <v>5095489.6615217626</v>
      </c>
      <c r="E41" s="8">
        <f t="shared" si="1"/>
        <v>628.73747106750011</v>
      </c>
      <c r="G41" s="3" t="s">
        <v>9</v>
      </c>
      <c r="H41" s="7">
        <v>762</v>
      </c>
      <c r="I41" s="5">
        <v>0</v>
      </c>
      <c r="J41" s="8">
        <f t="shared" si="2"/>
        <v>0</v>
      </c>
      <c r="K41" s="8">
        <f t="shared" si="3"/>
        <v>908.84394072039038</v>
      </c>
      <c r="M41" s="3" t="s">
        <v>9</v>
      </c>
      <c r="N41" s="7">
        <v>762</v>
      </c>
      <c r="O41" s="5">
        <v>0</v>
      </c>
      <c r="P41" s="8">
        <f t="shared" si="4"/>
        <v>0</v>
      </c>
      <c r="Q41" s="8">
        <f t="shared" si="5"/>
        <v>1984.4328976998679</v>
      </c>
      <c r="S41" s="3" t="s">
        <v>9</v>
      </c>
      <c r="T41" s="7">
        <v>762</v>
      </c>
      <c r="U41" s="5">
        <v>0</v>
      </c>
      <c r="V41" s="8">
        <f t="shared" si="6"/>
        <v>0</v>
      </c>
      <c r="W41" s="8">
        <f t="shared" si="7"/>
        <v>1534.8849692020983</v>
      </c>
      <c r="Y41" s="3" t="s">
        <v>9</v>
      </c>
      <c r="Z41" s="7">
        <v>762</v>
      </c>
      <c r="AA41" s="5">
        <v>0</v>
      </c>
      <c r="AB41" s="8">
        <f t="shared" si="8"/>
        <v>0</v>
      </c>
      <c r="AC41" s="8">
        <f t="shared" si="9"/>
        <v>3568.8869001781627</v>
      </c>
      <c r="AE41" s="3" t="s">
        <v>9</v>
      </c>
      <c r="AF41" s="7">
        <v>762</v>
      </c>
      <c r="AG41" s="5">
        <v>0</v>
      </c>
      <c r="AH41" s="8">
        <f t="shared" si="10"/>
        <v>0</v>
      </c>
      <c r="AI41" s="8">
        <f t="shared" si="11"/>
        <v>-13.272480114918721</v>
      </c>
      <c r="AK41" s="3" t="s">
        <v>9</v>
      </c>
      <c r="AL41" s="7">
        <v>762</v>
      </c>
      <c r="AM41" s="5">
        <v>8104.32</v>
      </c>
      <c r="AN41" s="8">
        <f t="shared" si="12"/>
        <v>7272451.9735171199</v>
      </c>
      <c r="AO41" s="8">
        <f t="shared" si="13"/>
        <v>897.35498765067518</v>
      </c>
    </row>
    <row r="42" spans="1:41" x14ac:dyDescent="0.25">
      <c r="A42" s="9" t="s">
        <v>10</v>
      </c>
      <c r="B42" s="9"/>
      <c r="C42" s="10">
        <v>6132168.1000000015</v>
      </c>
      <c r="D42" s="11">
        <f>SUM(D19:D41)</f>
        <v>1542804155.5984726</v>
      </c>
      <c r="E42" s="11">
        <f>D42/C42</f>
        <v>251.59195417334894</v>
      </c>
      <c r="G42" s="9" t="s">
        <v>10</v>
      </c>
      <c r="H42" s="9"/>
      <c r="I42" s="10">
        <v>344281.62</v>
      </c>
      <c r="J42" s="11">
        <f>SUM(J19:J41)</f>
        <v>116855111.26077646</v>
      </c>
      <c r="K42" s="11">
        <f>J42/I42</f>
        <v>339.41722262366625</v>
      </c>
      <c r="M42" s="9" t="s">
        <v>10</v>
      </c>
      <c r="N42" s="9"/>
      <c r="O42" s="10">
        <v>523889.63</v>
      </c>
      <c r="P42" s="11">
        <f>SUM(P19:P41)</f>
        <v>156669344.6313504</v>
      </c>
      <c r="Q42" s="11">
        <f>P42/O42</f>
        <v>299.05028780842713</v>
      </c>
      <c r="S42" s="9" t="s">
        <v>10</v>
      </c>
      <c r="T42" s="9"/>
      <c r="U42" s="10">
        <v>1124104.5099999998</v>
      </c>
      <c r="V42" s="11">
        <f>SUM(V19:V41)</f>
        <v>319940022.75204384</v>
      </c>
      <c r="W42" s="11">
        <f>V42/U42</f>
        <v>284.61768448206288</v>
      </c>
      <c r="Y42" s="9" t="s">
        <v>10</v>
      </c>
      <c r="Z42" s="9"/>
      <c r="AA42" s="10">
        <v>784998.11</v>
      </c>
      <c r="AB42" s="11">
        <f>SUM(AB19:AB41)</f>
        <v>272218856.6907289</v>
      </c>
      <c r="AC42" s="11">
        <f>AB42/AA42</f>
        <v>346.77644853276007</v>
      </c>
      <c r="AE42" s="9" t="s">
        <v>10</v>
      </c>
      <c r="AF42" s="9"/>
      <c r="AG42" s="10">
        <v>343314.52999999997</v>
      </c>
      <c r="AH42" s="11">
        <f>SUM(AH19:AH41)</f>
        <v>126044405.86445521</v>
      </c>
      <c r="AI42" s="11">
        <f>AH42/AG42</f>
        <v>367.13973586977289</v>
      </c>
      <c r="AK42" s="9" t="s">
        <v>10</v>
      </c>
      <c r="AL42" s="9"/>
      <c r="AM42" s="10">
        <v>9252756.5</v>
      </c>
      <c r="AN42" s="11">
        <f>SUM(AN19:AN41)</f>
        <v>2524247049.0051975</v>
      </c>
      <c r="AO42" s="11">
        <f>AN42/AM42</f>
        <v>272.81027540335657</v>
      </c>
    </row>
    <row r="44" spans="1:41" x14ac:dyDescent="0.25">
      <c r="A44" s="50" t="s">
        <v>64</v>
      </c>
    </row>
    <row r="45" spans="1:41" x14ac:dyDescent="0.25">
      <c r="A45" s="1" t="s">
        <v>49</v>
      </c>
      <c r="G45" s="1" t="s">
        <v>50</v>
      </c>
      <c r="M45" s="1" t="s">
        <v>51</v>
      </c>
      <c r="S45" s="1" t="s">
        <v>52</v>
      </c>
      <c r="Y45" s="1" t="s">
        <v>53</v>
      </c>
      <c r="AE45" s="1" t="s">
        <v>54</v>
      </c>
      <c r="AK45" s="1" t="s">
        <v>12</v>
      </c>
    </row>
    <row r="46" spans="1:41" ht="26.25" x14ac:dyDescent="0.2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G46" s="2" t="s">
        <v>0</v>
      </c>
      <c r="H46" s="2" t="s">
        <v>1</v>
      </c>
      <c r="I46" s="2" t="s">
        <v>2</v>
      </c>
      <c r="J46" s="2" t="s">
        <v>3</v>
      </c>
      <c r="K46" s="2" t="s">
        <v>4</v>
      </c>
      <c r="M46" s="2" t="s">
        <v>0</v>
      </c>
      <c r="N46" s="2" t="s">
        <v>1</v>
      </c>
      <c r="O46" s="2" t="s">
        <v>2</v>
      </c>
      <c r="P46" s="2" t="s">
        <v>3</v>
      </c>
      <c r="Q46" s="2" t="s">
        <v>4</v>
      </c>
      <c r="S46" s="2" t="s">
        <v>0</v>
      </c>
      <c r="T46" s="2" t="s">
        <v>1</v>
      </c>
      <c r="U46" s="2" t="s">
        <v>2</v>
      </c>
      <c r="V46" s="2" t="s">
        <v>3</v>
      </c>
      <c r="W46" s="2" t="s">
        <v>4</v>
      </c>
      <c r="Y46" s="2" t="s">
        <v>0</v>
      </c>
      <c r="Z46" s="2" t="s">
        <v>1</v>
      </c>
      <c r="AA46" s="2" t="s">
        <v>2</v>
      </c>
      <c r="AB46" s="2" t="s">
        <v>3</v>
      </c>
      <c r="AC46" s="2" t="s">
        <v>4</v>
      </c>
      <c r="AE46" s="2" t="s">
        <v>0</v>
      </c>
      <c r="AF46" s="2" t="s">
        <v>1</v>
      </c>
      <c r="AG46" s="2" t="s">
        <v>2</v>
      </c>
      <c r="AH46" s="2" t="s">
        <v>3</v>
      </c>
      <c r="AI46" s="2" t="s">
        <v>4</v>
      </c>
      <c r="AK46" s="2" t="s">
        <v>0</v>
      </c>
      <c r="AL46" s="2" t="s">
        <v>1</v>
      </c>
      <c r="AM46" s="2" t="s">
        <v>2</v>
      </c>
      <c r="AN46" s="2" t="s">
        <v>3</v>
      </c>
      <c r="AO46" s="2" t="s">
        <v>4</v>
      </c>
    </row>
    <row r="47" spans="1:41" x14ac:dyDescent="0.25">
      <c r="A47" s="3" t="s">
        <v>8</v>
      </c>
      <c r="B47" s="4">
        <v>60.3</v>
      </c>
      <c r="C47" s="5">
        <v>141.18053328440479</v>
      </c>
      <c r="D47" s="5">
        <v>143.393719046277</v>
      </c>
      <c r="E47" s="5">
        <v>1345629.8150480005</v>
      </c>
      <c r="G47" s="3" t="s">
        <v>8</v>
      </c>
      <c r="H47" s="4">
        <v>60.3</v>
      </c>
      <c r="I47" s="5">
        <v>167.2934653151471</v>
      </c>
      <c r="J47" s="5">
        <v>162.89849759078965</v>
      </c>
      <c r="K47" s="5">
        <v>9049.56</v>
      </c>
      <c r="M47" s="3" t="s">
        <v>8</v>
      </c>
      <c r="N47" s="4">
        <v>42.2</v>
      </c>
      <c r="O47" s="5">
        <v>107.66415105861995</v>
      </c>
      <c r="P47" s="5">
        <v>107.93351609173666</v>
      </c>
      <c r="Q47" s="5">
        <v>123649.26999999999</v>
      </c>
      <c r="S47" s="3" t="s">
        <v>8</v>
      </c>
      <c r="T47" s="4">
        <v>60.3</v>
      </c>
      <c r="U47" s="5">
        <v>148.33981323688957</v>
      </c>
      <c r="V47" s="5">
        <v>154.20529178876259</v>
      </c>
      <c r="W47" s="5">
        <v>117448.10634000001</v>
      </c>
      <c r="Y47" s="3" t="s">
        <v>8</v>
      </c>
      <c r="Z47" s="4">
        <v>42.2</v>
      </c>
      <c r="AA47" s="5">
        <v>165.74484141913825</v>
      </c>
      <c r="AB47" s="5">
        <v>174.63007045132676</v>
      </c>
      <c r="AC47" s="5">
        <v>41971.501447000002</v>
      </c>
      <c r="AE47" s="3" t="s">
        <v>8</v>
      </c>
      <c r="AF47" s="4">
        <v>60.3</v>
      </c>
      <c r="AG47" s="5">
        <v>139.92255567300458</v>
      </c>
      <c r="AH47" s="5">
        <v>138.8108904590201</v>
      </c>
      <c r="AI47" s="5">
        <v>27645.599999999999</v>
      </c>
      <c r="AK47" s="3" t="s">
        <v>8</v>
      </c>
      <c r="AL47" s="4">
        <v>42.2</v>
      </c>
      <c r="AM47" s="5">
        <v>142.68042585415731</v>
      </c>
      <c r="AN47" s="5">
        <v>133.31800155263821</v>
      </c>
      <c r="AO47" s="5">
        <v>273026.48880599998</v>
      </c>
    </row>
    <row r="48" spans="1:41" x14ac:dyDescent="0.25">
      <c r="A48" s="3" t="s">
        <v>8</v>
      </c>
      <c r="B48" s="4">
        <v>114.3</v>
      </c>
      <c r="C48" s="5">
        <v>176.25435651415177</v>
      </c>
      <c r="D48" s="5">
        <v>174.13427600616737</v>
      </c>
      <c r="E48" s="5">
        <v>1325039.3982959997</v>
      </c>
      <c r="G48" s="3" t="s">
        <v>8</v>
      </c>
      <c r="H48" s="4">
        <v>114.3</v>
      </c>
      <c r="I48" s="5">
        <v>188.860782698295</v>
      </c>
      <c r="J48" s="5">
        <v>171.17344306311333</v>
      </c>
      <c r="K48" s="5">
        <v>27677.783776999997</v>
      </c>
      <c r="M48" s="3" t="s">
        <v>8</v>
      </c>
      <c r="N48" s="4">
        <v>60.3</v>
      </c>
      <c r="O48" s="5">
        <v>140.28421325707339</v>
      </c>
      <c r="P48" s="5">
        <v>130.47807246700179</v>
      </c>
      <c r="Q48" s="5">
        <v>70274.498090000008</v>
      </c>
      <c r="S48" s="3" t="s">
        <v>8</v>
      </c>
      <c r="T48" s="4">
        <v>88.9</v>
      </c>
      <c r="U48" s="5">
        <v>168.5419334692144</v>
      </c>
      <c r="V48" s="5">
        <v>160.92458815057515</v>
      </c>
      <c r="W48" s="5">
        <v>103407.48431699999</v>
      </c>
      <c r="Y48" s="3" t="s">
        <v>8</v>
      </c>
      <c r="Z48" s="4">
        <v>60.3</v>
      </c>
      <c r="AA48" s="5">
        <v>169.42482298520389</v>
      </c>
      <c r="AB48" s="5">
        <v>167.64590761542027</v>
      </c>
      <c r="AC48" s="5">
        <v>65448.708682999997</v>
      </c>
      <c r="AE48" s="3" t="s">
        <v>8</v>
      </c>
      <c r="AF48" s="4">
        <v>114.3</v>
      </c>
      <c r="AG48" s="5">
        <v>186.57192279645531</v>
      </c>
      <c r="AH48" s="5">
        <v>171.77649953422568</v>
      </c>
      <c r="AI48" s="5">
        <v>50989.486818999998</v>
      </c>
      <c r="AK48" s="3" t="s">
        <v>8</v>
      </c>
      <c r="AL48" s="4">
        <v>60.3</v>
      </c>
      <c r="AM48" s="5">
        <v>145.88208118990508</v>
      </c>
      <c r="AN48" s="5">
        <v>144.61612916184149</v>
      </c>
      <c r="AO48" s="5">
        <v>1635496.2881610007</v>
      </c>
    </row>
    <row r="49" spans="1:41" x14ac:dyDescent="0.25">
      <c r="A49" s="3" t="s">
        <v>8</v>
      </c>
      <c r="B49" s="4">
        <v>168.3</v>
      </c>
      <c r="C49" s="5">
        <v>211.36475755598332</v>
      </c>
      <c r="D49" s="5">
        <v>192.58046108963836</v>
      </c>
      <c r="E49" s="5">
        <v>533844.62009199988</v>
      </c>
      <c r="G49" s="3" t="s">
        <v>8</v>
      </c>
      <c r="H49" s="4">
        <v>168.3</v>
      </c>
      <c r="I49" s="5">
        <v>206.0606219005941</v>
      </c>
      <c r="J49" s="5">
        <v>214.04892117567911</v>
      </c>
      <c r="K49" s="5">
        <v>17853.900000000001</v>
      </c>
      <c r="M49" s="3" t="s">
        <v>8</v>
      </c>
      <c r="N49" s="4">
        <v>88.9</v>
      </c>
      <c r="O49" s="5">
        <v>158.1059768706792</v>
      </c>
      <c r="P49" s="5">
        <v>150.12168631957309</v>
      </c>
      <c r="Q49" s="5">
        <v>33852.18</v>
      </c>
      <c r="S49" s="3" t="s">
        <v>8</v>
      </c>
      <c r="T49" s="4">
        <v>114.3</v>
      </c>
      <c r="U49" s="5">
        <v>176.49347095520278</v>
      </c>
      <c r="V49" s="5">
        <v>169.68300343266594</v>
      </c>
      <c r="W49" s="5">
        <v>342819.03975</v>
      </c>
      <c r="Y49" s="3" t="s">
        <v>8</v>
      </c>
      <c r="Z49" s="4">
        <v>114.3</v>
      </c>
      <c r="AA49" s="5">
        <v>195.49861276267686</v>
      </c>
      <c r="AB49" s="5">
        <v>190.96069689697978</v>
      </c>
      <c r="AC49" s="5">
        <v>171560.342064</v>
      </c>
      <c r="AE49" s="3" t="s">
        <v>8</v>
      </c>
      <c r="AF49" s="4">
        <v>168.3</v>
      </c>
      <c r="AG49" s="5">
        <v>133.94901754016831</v>
      </c>
      <c r="AH49" s="5">
        <v>127.639319980678</v>
      </c>
      <c r="AI49" s="5">
        <v>11954</v>
      </c>
      <c r="AK49" s="3" t="s">
        <v>8</v>
      </c>
      <c r="AL49" s="4">
        <v>88.9</v>
      </c>
      <c r="AM49" s="5">
        <v>157.38260097140284</v>
      </c>
      <c r="AN49" s="5">
        <v>150.79782751985178</v>
      </c>
      <c r="AO49" s="5">
        <v>181767.86986699997</v>
      </c>
    </row>
    <row r="50" spans="1:41" x14ac:dyDescent="0.25">
      <c r="A50" s="3" t="s">
        <v>9</v>
      </c>
      <c r="B50" s="4">
        <v>114.3</v>
      </c>
      <c r="C50" s="5">
        <v>259.00058458592889</v>
      </c>
      <c r="D50" s="5">
        <v>190.54784689808642</v>
      </c>
      <c r="E50" s="5">
        <v>447620.92236600001</v>
      </c>
      <c r="G50" s="3" t="s">
        <v>9</v>
      </c>
      <c r="H50" s="4">
        <v>88.9</v>
      </c>
      <c r="I50" s="5">
        <v>159.16068309874362</v>
      </c>
      <c r="J50" s="5">
        <v>111.17631316183855</v>
      </c>
      <c r="K50" s="5">
        <v>4785.6499999999996</v>
      </c>
      <c r="M50" s="3" t="s">
        <v>8</v>
      </c>
      <c r="N50" s="4">
        <v>114.3</v>
      </c>
      <c r="O50" s="5">
        <v>155.92931863484674</v>
      </c>
      <c r="P50" s="5">
        <v>147.23731279290519</v>
      </c>
      <c r="Q50" s="5">
        <v>64899.5</v>
      </c>
      <c r="S50" s="3" t="s">
        <v>8</v>
      </c>
      <c r="T50" s="4">
        <v>168.3</v>
      </c>
      <c r="U50" s="5">
        <v>189.86011837220767</v>
      </c>
      <c r="V50" s="5">
        <v>182.11119243464944</v>
      </c>
      <c r="W50" s="5">
        <v>62913.830000000009</v>
      </c>
      <c r="Y50" s="3" t="s">
        <v>8</v>
      </c>
      <c r="Z50" s="4">
        <v>168.3</v>
      </c>
      <c r="AA50" s="5">
        <v>226.54630318223462</v>
      </c>
      <c r="AB50" s="5">
        <v>202.83830099803367</v>
      </c>
      <c r="AC50" s="5">
        <v>61474.2</v>
      </c>
      <c r="AE50" s="3" t="s">
        <v>9</v>
      </c>
      <c r="AF50" s="4">
        <v>114.3</v>
      </c>
      <c r="AG50" s="5">
        <v>272.78107093527638</v>
      </c>
      <c r="AH50" s="5">
        <v>407.9585704355876</v>
      </c>
      <c r="AI50" s="5">
        <v>13881.6</v>
      </c>
      <c r="AK50" s="3" t="s">
        <v>8</v>
      </c>
      <c r="AL50" s="4">
        <v>114.3</v>
      </c>
      <c r="AM50" s="5">
        <v>177.35155503822426</v>
      </c>
      <c r="AN50" s="5">
        <v>173.83825517245086</v>
      </c>
      <c r="AO50" s="5">
        <v>1982985.5507060003</v>
      </c>
    </row>
    <row r="51" spans="1:41" x14ac:dyDescent="0.25">
      <c r="A51" s="3" t="s">
        <v>9</v>
      </c>
      <c r="B51" s="4">
        <v>168.3</v>
      </c>
      <c r="C51" s="5">
        <v>255.23634739295406</v>
      </c>
      <c r="D51" s="5">
        <v>190.53788591434105</v>
      </c>
      <c r="E51" s="5">
        <v>527991.72243299999</v>
      </c>
      <c r="G51" s="3" t="s">
        <v>9</v>
      </c>
      <c r="H51" s="4">
        <v>114.3</v>
      </c>
      <c r="I51" s="5">
        <v>199.71878593714777</v>
      </c>
      <c r="J51" s="5">
        <v>157.40367720661743</v>
      </c>
      <c r="K51" s="5">
        <v>27622.3</v>
      </c>
      <c r="M51" s="3" t="s">
        <v>8</v>
      </c>
      <c r="N51" s="4">
        <v>168.3</v>
      </c>
      <c r="O51" s="5">
        <v>177.28449759260397</v>
      </c>
      <c r="P51" s="5">
        <v>166.85135160364521</v>
      </c>
      <c r="Q51" s="5">
        <v>20471</v>
      </c>
      <c r="S51" s="3" t="s">
        <v>9</v>
      </c>
      <c r="T51" s="4">
        <v>114.3</v>
      </c>
      <c r="U51" s="5">
        <v>274.05540093716468</v>
      </c>
      <c r="V51" s="5">
        <v>234.88394215102096</v>
      </c>
      <c r="W51" s="5">
        <v>94091.016822999998</v>
      </c>
      <c r="Y51" s="3" t="s">
        <v>8</v>
      </c>
      <c r="Z51" s="4">
        <v>219.1</v>
      </c>
      <c r="AA51" s="5">
        <v>376.12418846178753</v>
      </c>
      <c r="AB51" s="5">
        <v>325.54641394450834</v>
      </c>
      <c r="AC51" s="5">
        <v>3150.5</v>
      </c>
      <c r="AE51" s="3" t="s">
        <v>9</v>
      </c>
      <c r="AF51" s="4">
        <v>168.3</v>
      </c>
      <c r="AG51" s="5">
        <v>315.77708510096909</v>
      </c>
      <c r="AH51" s="5">
        <v>292.41540413056555</v>
      </c>
      <c r="AI51" s="5">
        <v>56774.176512999999</v>
      </c>
      <c r="AK51" s="3" t="s">
        <v>8</v>
      </c>
      <c r="AL51" s="4">
        <v>168.3</v>
      </c>
      <c r="AM51" s="5">
        <v>205.38331541146567</v>
      </c>
      <c r="AN51" s="5">
        <v>191.24275453038925</v>
      </c>
      <c r="AO51" s="5">
        <v>708511.55009199993</v>
      </c>
    </row>
    <row r="52" spans="1:41" x14ac:dyDescent="0.25">
      <c r="A52" s="3" t="s">
        <v>9</v>
      </c>
      <c r="B52" s="4">
        <v>219.1</v>
      </c>
      <c r="C52" s="5">
        <v>338.2425148843904</v>
      </c>
      <c r="D52" s="5">
        <v>242.73781414128428</v>
      </c>
      <c r="E52" s="5">
        <v>273289.04683299991</v>
      </c>
      <c r="G52" s="3" t="s">
        <v>9</v>
      </c>
      <c r="H52" s="4">
        <v>168.3</v>
      </c>
      <c r="I52" s="5">
        <v>179.26201374675125</v>
      </c>
      <c r="J52" s="5">
        <v>150.43831892584132</v>
      </c>
      <c r="K52" s="5">
        <v>10661.92</v>
      </c>
      <c r="M52" s="3" t="s">
        <v>8</v>
      </c>
      <c r="N52" s="4">
        <v>219.1</v>
      </c>
      <c r="O52" s="5">
        <v>199.30647161097994</v>
      </c>
      <c r="P52" s="5">
        <v>154.03498833718146</v>
      </c>
      <c r="Q52" s="5">
        <v>1749</v>
      </c>
      <c r="S52" s="3" t="s">
        <v>9</v>
      </c>
      <c r="T52" s="4">
        <v>168.3</v>
      </c>
      <c r="U52" s="5">
        <v>292.38282500517903</v>
      </c>
      <c r="V52" s="5">
        <v>245.59113713068683</v>
      </c>
      <c r="W52" s="5">
        <v>124012.849696</v>
      </c>
      <c r="Y52" s="3" t="s">
        <v>9</v>
      </c>
      <c r="Z52" s="4">
        <v>114.3</v>
      </c>
      <c r="AA52" s="5">
        <v>376.96175966809182</v>
      </c>
      <c r="AB52" s="5">
        <v>189.81712641349029</v>
      </c>
      <c r="AC52" s="5">
        <v>46354.767520999994</v>
      </c>
      <c r="AE52" s="3" t="s">
        <v>9</v>
      </c>
      <c r="AF52" s="4">
        <v>219.1</v>
      </c>
      <c r="AG52" s="5">
        <v>335.07045215547186</v>
      </c>
      <c r="AH52" s="5">
        <v>350.51584618064004</v>
      </c>
      <c r="AI52" s="5">
        <v>40905</v>
      </c>
      <c r="AK52" s="3" t="s">
        <v>8</v>
      </c>
      <c r="AL52" s="4">
        <v>219.1</v>
      </c>
      <c r="AM52" s="5">
        <v>241.4395567721634</v>
      </c>
      <c r="AN52" s="5">
        <v>196.25051832472661</v>
      </c>
      <c r="AO52" s="5">
        <v>41995.7</v>
      </c>
    </row>
    <row r="53" spans="1:41" x14ac:dyDescent="0.25">
      <c r="A53" s="3" t="s">
        <v>9</v>
      </c>
      <c r="B53" s="4">
        <v>323.89999999999998</v>
      </c>
      <c r="C53" s="5">
        <v>425.44871992230509</v>
      </c>
      <c r="D53" s="5">
        <v>234.62096044015971</v>
      </c>
      <c r="E53" s="5">
        <v>143285.163138</v>
      </c>
      <c r="G53" s="3" t="s">
        <v>9</v>
      </c>
      <c r="H53" s="4">
        <v>219.1</v>
      </c>
      <c r="I53" s="5">
        <v>286.11448323978937</v>
      </c>
      <c r="J53" s="5">
        <v>203.85323764304164</v>
      </c>
      <c r="K53" s="5">
        <v>24050.49</v>
      </c>
      <c r="M53" s="3" t="s">
        <v>9</v>
      </c>
      <c r="N53" s="4">
        <v>88.9</v>
      </c>
      <c r="O53" s="5">
        <v>278.55217817678022</v>
      </c>
      <c r="P53" s="5">
        <v>339.29733968820602</v>
      </c>
      <c r="Q53" s="5">
        <v>5428.1</v>
      </c>
      <c r="S53" s="3" t="s">
        <v>9</v>
      </c>
      <c r="T53" s="4">
        <v>219.1</v>
      </c>
      <c r="U53" s="5">
        <v>421.86753518934097</v>
      </c>
      <c r="V53" s="5">
        <v>322.79203404508075</v>
      </c>
      <c r="W53" s="5">
        <v>84898.89</v>
      </c>
      <c r="Y53" s="3" t="s">
        <v>9</v>
      </c>
      <c r="Z53" s="4">
        <v>168.3</v>
      </c>
      <c r="AA53" s="5">
        <v>329.71165986254852</v>
      </c>
      <c r="AB53" s="5">
        <v>340.59686520259601</v>
      </c>
      <c r="AC53" s="5">
        <v>60171.869033999996</v>
      </c>
      <c r="AE53" s="3" t="s">
        <v>11</v>
      </c>
      <c r="AF53" s="4" t="s">
        <v>11</v>
      </c>
      <c r="AG53" s="5" t="s">
        <v>11</v>
      </c>
      <c r="AH53" s="5" t="s">
        <v>11</v>
      </c>
      <c r="AI53" s="5" t="s">
        <v>11</v>
      </c>
      <c r="AK53" s="3" t="s">
        <v>9</v>
      </c>
      <c r="AL53" s="4">
        <v>88.9</v>
      </c>
      <c r="AM53" s="5">
        <v>204.50417951292383</v>
      </c>
      <c r="AN53" s="5">
        <v>170.15396311533274</v>
      </c>
      <c r="AO53" s="5">
        <v>37296.452500000065</v>
      </c>
    </row>
    <row r="54" spans="1:41" x14ac:dyDescent="0.25">
      <c r="A54" s="3" t="s">
        <v>9</v>
      </c>
      <c r="B54" s="4">
        <v>406.4</v>
      </c>
      <c r="C54" s="5">
        <v>382.36536568134454</v>
      </c>
      <c r="D54" s="5">
        <v>265.55561909175339</v>
      </c>
      <c r="E54" s="5">
        <v>248294.13976499997</v>
      </c>
      <c r="G54" s="3" t="s">
        <v>11</v>
      </c>
      <c r="H54" s="4" t="s">
        <v>11</v>
      </c>
      <c r="I54" s="5" t="s">
        <v>11</v>
      </c>
      <c r="J54" s="5" t="s">
        <v>11</v>
      </c>
      <c r="K54" s="5" t="s">
        <v>11</v>
      </c>
      <c r="M54" s="3" t="s">
        <v>9</v>
      </c>
      <c r="N54" s="4">
        <v>114.3</v>
      </c>
      <c r="O54" s="5">
        <v>358.99486815552365</v>
      </c>
      <c r="P54" s="5">
        <v>302.09838620338371</v>
      </c>
      <c r="Q54" s="5">
        <v>19277.829999999998</v>
      </c>
      <c r="S54" s="3" t="s">
        <v>11</v>
      </c>
      <c r="T54" s="4" t="s">
        <v>11</v>
      </c>
      <c r="U54" s="5" t="s">
        <v>11</v>
      </c>
      <c r="V54" s="5" t="s">
        <v>11</v>
      </c>
      <c r="W54" s="5" t="s">
        <v>11</v>
      </c>
      <c r="Y54" s="3" t="s">
        <v>9</v>
      </c>
      <c r="Z54" s="4">
        <v>219.1</v>
      </c>
      <c r="AA54" s="5">
        <v>404.64953745160415</v>
      </c>
      <c r="AB54" s="5">
        <v>478.89033675388572</v>
      </c>
      <c r="AC54" s="5">
        <v>53851.3</v>
      </c>
      <c r="AE54" s="3" t="s">
        <v>11</v>
      </c>
      <c r="AF54" s="4" t="s">
        <v>11</v>
      </c>
      <c r="AG54" s="5" t="s">
        <v>11</v>
      </c>
      <c r="AH54" s="5" t="s">
        <v>11</v>
      </c>
      <c r="AI54" s="5" t="s">
        <v>11</v>
      </c>
      <c r="AK54" s="3" t="s">
        <v>9</v>
      </c>
      <c r="AL54" s="4">
        <v>114.3</v>
      </c>
      <c r="AM54" s="5">
        <v>282.33342164010736</v>
      </c>
      <c r="AN54" s="5">
        <v>203.47952441463295</v>
      </c>
      <c r="AO54" s="5">
        <v>648848.43671000004</v>
      </c>
    </row>
    <row r="55" spans="1:41" x14ac:dyDescent="0.25">
      <c r="A55" s="3" t="s">
        <v>11</v>
      </c>
      <c r="B55" s="4" t="s">
        <v>11</v>
      </c>
      <c r="C55" s="5" t="s">
        <v>11</v>
      </c>
      <c r="D55" s="5" t="s">
        <v>11</v>
      </c>
      <c r="E55" s="5" t="s">
        <v>11</v>
      </c>
      <c r="G55" s="3" t="s">
        <v>11</v>
      </c>
      <c r="H55" s="4" t="s">
        <v>11</v>
      </c>
      <c r="I55" s="5" t="s">
        <v>11</v>
      </c>
      <c r="J55" s="5" t="s">
        <v>11</v>
      </c>
      <c r="K55" s="5" t="s">
        <v>11</v>
      </c>
      <c r="M55" s="3" t="s">
        <v>9</v>
      </c>
      <c r="N55" s="4">
        <v>168.3</v>
      </c>
      <c r="O55" s="5">
        <v>299.08581518360489</v>
      </c>
      <c r="P55" s="5">
        <v>303.8991749042803</v>
      </c>
      <c r="Q55" s="5">
        <v>62035.470000000008</v>
      </c>
      <c r="S55" s="3" t="s">
        <v>11</v>
      </c>
      <c r="T55" s="4" t="s">
        <v>11</v>
      </c>
      <c r="U55" s="5" t="s">
        <v>11</v>
      </c>
      <c r="V55" s="5" t="s">
        <v>11</v>
      </c>
      <c r="W55" s="5" t="s">
        <v>11</v>
      </c>
      <c r="Y55" s="3" t="s">
        <v>11</v>
      </c>
      <c r="Z55" s="4" t="s">
        <v>11</v>
      </c>
      <c r="AA55" s="5" t="s">
        <v>11</v>
      </c>
      <c r="AB55" s="5" t="s">
        <v>11</v>
      </c>
      <c r="AC55" s="5" t="s">
        <v>11</v>
      </c>
      <c r="AE55" s="3" t="s">
        <v>11</v>
      </c>
      <c r="AF55" s="4" t="s">
        <v>11</v>
      </c>
      <c r="AG55" s="5" t="s">
        <v>11</v>
      </c>
      <c r="AH55" s="5" t="s">
        <v>11</v>
      </c>
      <c r="AI55" s="5" t="s">
        <v>11</v>
      </c>
      <c r="AK55" s="3" t="s">
        <v>9</v>
      </c>
      <c r="AL55" s="4">
        <v>168.3</v>
      </c>
      <c r="AM55" s="5">
        <v>273.47003699416337</v>
      </c>
      <c r="AN55" s="5">
        <v>224.09768077967354</v>
      </c>
      <c r="AO55" s="5">
        <v>841648.00767600001</v>
      </c>
    </row>
    <row r="56" spans="1:41" x14ac:dyDescent="0.25">
      <c r="A56" s="3" t="s">
        <v>11</v>
      </c>
      <c r="B56" s="4" t="s">
        <v>11</v>
      </c>
      <c r="C56" s="5" t="s">
        <v>11</v>
      </c>
      <c r="D56" s="5" t="s">
        <v>11</v>
      </c>
      <c r="E56" s="5" t="s">
        <v>11</v>
      </c>
      <c r="G56" s="3" t="s">
        <v>11</v>
      </c>
      <c r="H56" s="4" t="s">
        <v>11</v>
      </c>
      <c r="I56" s="5" t="s">
        <v>11</v>
      </c>
      <c r="J56" s="5" t="s">
        <v>11</v>
      </c>
      <c r="K56" s="5" t="s">
        <v>11</v>
      </c>
      <c r="M56" s="3" t="s">
        <v>9</v>
      </c>
      <c r="N56" s="4">
        <v>219.1</v>
      </c>
      <c r="O56" s="5">
        <v>444.14795319100358</v>
      </c>
      <c r="P56" s="5">
        <v>494.52728417775603</v>
      </c>
      <c r="Q56" s="5">
        <v>13144</v>
      </c>
      <c r="S56" s="3" t="s">
        <v>11</v>
      </c>
      <c r="T56" s="4" t="s">
        <v>11</v>
      </c>
      <c r="U56" s="5" t="s">
        <v>11</v>
      </c>
      <c r="V56" s="5" t="s">
        <v>11</v>
      </c>
      <c r="W56" s="5" t="s">
        <v>11</v>
      </c>
      <c r="Y56" s="3" t="s">
        <v>11</v>
      </c>
      <c r="Z56" s="4" t="s">
        <v>11</v>
      </c>
      <c r="AA56" s="5" t="s">
        <v>11</v>
      </c>
      <c r="AB56" s="5" t="s">
        <v>11</v>
      </c>
      <c r="AC56" s="5" t="s">
        <v>11</v>
      </c>
      <c r="AE56" s="3" t="s">
        <v>11</v>
      </c>
      <c r="AF56" s="4" t="s">
        <v>11</v>
      </c>
      <c r="AG56" s="5" t="s">
        <v>11</v>
      </c>
      <c r="AH56" s="5" t="s">
        <v>11</v>
      </c>
      <c r="AI56" s="5" t="s">
        <v>11</v>
      </c>
      <c r="AK56" s="3" t="s">
        <v>9</v>
      </c>
      <c r="AL56" s="4">
        <v>219.1</v>
      </c>
      <c r="AM56" s="5">
        <v>355.15534139706386</v>
      </c>
      <c r="AN56" s="5">
        <v>296.3892017739941</v>
      </c>
      <c r="AO56" s="5">
        <v>490138.72683299996</v>
      </c>
    </row>
    <row r="57" spans="1:41" x14ac:dyDescent="0.25">
      <c r="A57" s="3" t="s">
        <v>11</v>
      </c>
      <c r="B57" s="4" t="s">
        <v>11</v>
      </c>
      <c r="C57" s="5" t="s">
        <v>11</v>
      </c>
      <c r="D57" s="5" t="s">
        <v>11</v>
      </c>
      <c r="E57" s="5" t="s">
        <v>11</v>
      </c>
      <c r="G57" s="3" t="s">
        <v>11</v>
      </c>
      <c r="H57" s="4" t="s">
        <v>11</v>
      </c>
      <c r="I57" s="5" t="s">
        <v>11</v>
      </c>
      <c r="J57" s="5" t="s">
        <v>11</v>
      </c>
      <c r="K57" s="5" t="s">
        <v>11</v>
      </c>
      <c r="M57" s="3" t="s">
        <v>11</v>
      </c>
      <c r="N57" s="4" t="s">
        <v>11</v>
      </c>
      <c r="O57" s="5" t="s">
        <v>11</v>
      </c>
      <c r="P57" s="5" t="s">
        <v>11</v>
      </c>
      <c r="Q57" s="5" t="s">
        <v>11</v>
      </c>
      <c r="S57" s="3" t="s">
        <v>11</v>
      </c>
      <c r="T57" s="4" t="s">
        <v>11</v>
      </c>
      <c r="U57" s="5" t="s">
        <v>11</v>
      </c>
      <c r="V57" s="5" t="s">
        <v>11</v>
      </c>
      <c r="W57" s="5" t="s">
        <v>11</v>
      </c>
      <c r="Y57" s="3" t="s">
        <v>11</v>
      </c>
      <c r="Z57" s="4" t="s">
        <v>11</v>
      </c>
      <c r="AA57" s="5" t="s">
        <v>11</v>
      </c>
      <c r="AB57" s="5" t="s">
        <v>11</v>
      </c>
      <c r="AC57" s="5" t="s">
        <v>11</v>
      </c>
      <c r="AE57" s="3" t="s">
        <v>11</v>
      </c>
      <c r="AF57" s="4" t="s">
        <v>11</v>
      </c>
      <c r="AG57" s="5" t="s">
        <v>11</v>
      </c>
      <c r="AH57" s="5" t="s">
        <v>11</v>
      </c>
      <c r="AI57" s="5" t="s">
        <v>11</v>
      </c>
      <c r="AK57" s="3" t="s">
        <v>9</v>
      </c>
      <c r="AL57" s="4">
        <v>323.89999999999998</v>
      </c>
      <c r="AM57" s="5">
        <v>432.38781883276573</v>
      </c>
      <c r="AN57" s="5">
        <v>282.49551923826709</v>
      </c>
      <c r="AO57" s="5">
        <v>194196.163138</v>
      </c>
    </row>
    <row r="58" spans="1:41" x14ac:dyDescent="0.25">
      <c r="A58" s="3" t="s">
        <v>11</v>
      </c>
      <c r="B58" s="4" t="s">
        <v>11</v>
      </c>
      <c r="C58" s="5" t="s">
        <v>11</v>
      </c>
      <c r="D58" s="5" t="s">
        <v>11</v>
      </c>
      <c r="E58" s="5" t="s">
        <v>11</v>
      </c>
      <c r="G58" s="3" t="s">
        <v>11</v>
      </c>
      <c r="H58" s="4" t="s">
        <v>11</v>
      </c>
      <c r="I58" s="5" t="s">
        <v>11</v>
      </c>
      <c r="J58" s="5" t="s">
        <v>11</v>
      </c>
      <c r="K58" s="5" t="s">
        <v>11</v>
      </c>
      <c r="M58" s="3" t="s">
        <v>11</v>
      </c>
      <c r="N58" s="4" t="s">
        <v>11</v>
      </c>
      <c r="O58" s="5" t="s">
        <v>11</v>
      </c>
      <c r="P58" s="5" t="s">
        <v>11</v>
      </c>
      <c r="Q58" s="5" t="s">
        <v>11</v>
      </c>
      <c r="S58" s="3" t="s">
        <v>11</v>
      </c>
      <c r="T58" s="4" t="s">
        <v>11</v>
      </c>
      <c r="U58" s="5" t="s">
        <v>11</v>
      </c>
      <c r="V58" s="5" t="s">
        <v>11</v>
      </c>
      <c r="W58" s="5" t="s">
        <v>11</v>
      </c>
      <c r="Y58" s="3" t="s">
        <v>11</v>
      </c>
      <c r="Z58" s="4" t="s">
        <v>11</v>
      </c>
      <c r="AA58" s="5" t="s">
        <v>11</v>
      </c>
      <c r="AB58" s="5" t="s">
        <v>11</v>
      </c>
      <c r="AC58" s="5" t="s">
        <v>11</v>
      </c>
      <c r="AE58" s="3" t="s">
        <v>11</v>
      </c>
      <c r="AF58" s="4" t="s">
        <v>11</v>
      </c>
      <c r="AG58" s="5" t="s">
        <v>11</v>
      </c>
      <c r="AH58" s="5" t="s">
        <v>11</v>
      </c>
      <c r="AI58" s="5" t="s">
        <v>11</v>
      </c>
      <c r="AK58" s="3" t="s">
        <v>9</v>
      </c>
      <c r="AL58" s="4">
        <v>406.4</v>
      </c>
      <c r="AM58" s="5">
        <v>483.77524680189492</v>
      </c>
      <c r="AN58" s="5">
        <v>333.30959319291225</v>
      </c>
      <c r="AO58" s="5">
        <v>342762.13976499997</v>
      </c>
    </row>
    <row r="59" spans="1:41" x14ac:dyDescent="0.25">
      <c r="A59" s="3"/>
      <c r="B59" s="4"/>
      <c r="C59" s="5"/>
      <c r="D59" s="5"/>
      <c r="E59" s="5"/>
      <c r="G59" s="3"/>
      <c r="H59" s="4"/>
      <c r="I59" s="5"/>
      <c r="J59" s="5"/>
      <c r="K59" s="5"/>
      <c r="M59" s="3"/>
      <c r="N59" s="4"/>
      <c r="O59" s="5"/>
      <c r="P59" s="5"/>
      <c r="Q59" s="5"/>
      <c r="S59" s="3"/>
      <c r="T59" s="4"/>
      <c r="U59" s="5"/>
      <c r="V59" s="5"/>
      <c r="W59" s="5"/>
      <c r="Y59" s="3"/>
      <c r="Z59" s="4"/>
      <c r="AA59" s="5"/>
      <c r="AB59" s="5"/>
      <c r="AC59" s="5"/>
      <c r="AE59" s="3"/>
      <c r="AF59" s="4"/>
      <c r="AG59" s="5"/>
      <c r="AH59" s="5"/>
      <c r="AI59" s="5"/>
      <c r="AK59" s="3"/>
      <c r="AL59" s="4"/>
      <c r="AM59" s="5"/>
      <c r="AN59" s="5"/>
      <c r="AO59" s="5"/>
    </row>
    <row r="60" spans="1:41" x14ac:dyDescent="0.25">
      <c r="A60" s="1" t="s">
        <v>49</v>
      </c>
      <c r="B60" s="6"/>
      <c r="C60" s="6"/>
      <c r="D60" s="6"/>
      <c r="E60" s="6"/>
      <c r="G60" s="1" t="s">
        <v>50</v>
      </c>
      <c r="M60" s="1" t="s">
        <v>51</v>
      </c>
      <c r="S60" s="1" t="s">
        <v>52</v>
      </c>
      <c r="Y60" s="1" t="s">
        <v>53</v>
      </c>
      <c r="AE60" s="1" t="s">
        <v>54</v>
      </c>
      <c r="AK60" s="1" t="s">
        <v>12</v>
      </c>
    </row>
    <row r="61" spans="1:41" x14ac:dyDescent="0.25">
      <c r="A61" s="3" t="s">
        <v>0</v>
      </c>
      <c r="B61" s="3" t="s">
        <v>1</v>
      </c>
      <c r="C61" s="3" t="s">
        <v>5</v>
      </c>
      <c r="D61" s="3" t="s">
        <v>6</v>
      </c>
      <c r="E61" s="3" t="s">
        <v>7</v>
      </c>
      <c r="G61" s="3" t="s">
        <v>0</v>
      </c>
      <c r="H61" s="3" t="s">
        <v>1</v>
      </c>
      <c r="I61" s="3" t="s">
        <v>5</v>
      </c>
      <c r="J61" s="3" t="s">
        <v>6</v>
      </c>
      <c r="K61" s="3" t="s">
        <v>7</v>
      </c>
      <c r="M61" s="3" t="s">
        <v>0</v>
      </c>
      <c r="N61" s="3" t="s">
        <v>1</v>
      </c>
      <c r="O61" s="3" t="s">
        <v>5</v>
      </c>
      <c r="P61" s="3" t="s">
        <v>6</v>
      </c>
      <c r="Q61" s="3" t="s">
        <v>7</v>
      </c>
      <c r="S61" s="3" t="s">
        <v>0</v>
      </c>
      <c r="T61" s="3" t="s">
        <v>1</v>
      </c>
      <c r="U61" s="3" t="s">
        <v>5</v>
      </c>
      <c r="V61" s="3" t="s">
        <v>6</v>
      </c>
      <c r="W61" s="3" t="s">
        <v>7</v>
      </c>
      <c r="Y61" s="3" t="s">
        <v>0</v>
      </c>
      <c r="Z61" s="3" t="s">
        <v>1</v>
      </c>
      <c r="AA61" s="3" t="s">
        <v>5</v>
      </c>
      <c r="AB61" s="3" t="s">
        <v>6</v>
      </c>
      <c r="AC61" s="3" t="s">
        <v>7</v>
      </c>
      <c r="AE61" s="3" t="s">
        <v>0</v>
      </c>
      <c r="AF61" s="3" t="s">
        <v>1</v>
      </c>
      <c r="AG61" s="3" t="s">
        <v>5</v>
      </c>
      <c r="AH61" s="3" t="s">
        <v>6</v>
      </c>
      <c r="AI61" s="3" t="s">
        <v>7</v>
      </c>
      <c r="AK61" s="3" t="s">
        <v>0</v>
      </c>
      <c r="AL61" s="3" t="s">
        <v>1</v>
      </c>
      <c r="AM61" s="3" t="s">
        <v>5</v>
      </c>
      <c r="AN61" s="3" t="s">
        <v>6</v>
      </c>
      <c r="AO61" s="3" t="s">
        <v>7</v>
      </c>
    </row>
    <row r="62" spans="1:41" x14ac:dyDescent="0.25">
      <c r="A62" s="3" t="s">
        <v>8</v>
      </c>
      <c r="B62" s="7">
        <v>26.7</v>
      </c>
      <c r="C62" s="5">
        <v>348.25</v>
      </c>
      <c r="D62" s="8">
        <f>C62*E62</f>
        <v>45321.338251472953</v>
      </c>
      <c r="E62" s="8">
        <f>IF(SUMIFS(D$47:D$54,A$47:A$54,A62,B$47:B$54,B62)&gt;0,SUMIFS(D$47:D$54,A$47:A$54,A62,B$47:B$54,B62),IF(A62="Plastique",INDEX(LINEST(D$47:D$49,B$47:B$49,TRUE,TRUE),1,2)+INDEX(LINEST(D$47:D$49,B$47:B$49,TRUE,TRUE),1,1)*B62,INDEX(LINEST(D$50:D$54,B$50:B$54,TRUE,TRUE),1,2)+INDEX(LINEST(D$50:D$54,B$50:B$54,TRUE,TRUE),1,1)*B62))</f>
        <v>130.14023905663447</v>
      </c>
      <c r="G62" s="3" t="s">
        <v>8</v>
      </c>
      <c r="H62" s="7">
        <v>26.7</v>
      </c>
      <c r="I62" s="5">
        <v>0</v>
      </c>
      <c r="J62" s="8">
        <f>I62*K62</f>
        <v>0</v>
      </c>
      <c r="K62" s="8">
        <f>IF(SUMIFS(J$47:J$53,G$47:G$53,G62,H$47:H$53,H62)&gt;0,SUMIFS(J$47:J$53,G$47:G$53,G62,H$47:H$53,H62),IF(G62="Plastique",INDEX(LINEST(J$47:J$49,H$47:H$49,TRUE,TRUE),1,2)+INDEX(LINEST(J$47:J$49,H$47:H$49,TRUE,TRUE),1,1)*H62,INDEX(LINEST(J$50:J$53,H$50:H$53,TRUE,TRUE),1,2)+INDEX(LINEST(J$50:J$53,H$50:H$53,TRUE,TRUE),1,1)*H62))</f>
        <v>141.21827703545034</v>
      </c>
      <c r="M62" s="3" t="s">
        <v>8</v>
      </c>
      <c r="N62" s="7">
        <v>26.7</v>
      </c>
      <c r="O62" s="5">
        <v>0</v>
      </c>
      <c r="P62" s="8">
        <f>O62*Q62</f>
        <v>0</v>
      </c>
      <c r="Q62" s="8">
        <f>IF(SUMIFS(P$47:P$56,M$47:M$56,M62,N$47:N$56,N62)&gt;0,SUMIFS(P$47:P$56,M$47:M$56,M62,N$47:N$56,N62),IF(M62="Plastique",INDEX(LINEST(P$47:P$52,N$47:N$52,TRUE,TRUE),1,2)+INDEX(LINEST(P$47:P$52,N$47:N$52,TRUE,TRUE),1,1)*N62,INDEX(LINEST(P$53:P$56,N$53:N$56,TRUE,TRUE),1,2)+INDEX(LINEST(P$53:P$56,N$53:N$56,TRUE,TRUE),1,1)*N62))</f>
        <v>121.32790527444178</v>
      </c>
      <c r="S62" s="3" t="s">
        <v>8</v>
      </c>
      <c r="T62" s="7">
        <v>26.7</v>
      </c>
      <c r="U62" s="5">
        <v>3.55</v>
      </c>
      <c r="V62" s="8">
        <f>U62*W62</f>
        <v>516.3407486314901</v>
      </c>
      <c r="W62" s="8">
        <f>IF(SUMIFS(V$47:V$53,S$47:S$53,S62,T$47:T$53,T62)&gt;0,SUMIFS(V$47:V$53,S$47:S$53,S62,T$47:T$53,T62),IF(S62="Plastique",INDEX(LINEST(V$47:V$50,T$47:T$50,TRUE,TRUE),1,2)+INDEX(LINEST(V$47:V$50,T$47:T$50,TRUE,TRUE),1,1)*T62,INDEX(LINEST(V$51:V$53,T$51:T$53,TRUE,TRUE),1,2)+INDEX(LINEST(V$51:V$53,T$51:T$53,TRUE,TRUE),1,1)*T62))</f>
        <v>145.44809820605354</v>
      </c>
      <c r="Y62" s="3" t="s">
        <v>8</v>
      </c>
      <c r="Z62" s="7">
        <v>26.7</v>
      </c>
      <c r="AA62" s="5">
        <v>0.5</v>
      </c>
      <c r="AB62" s="8">
        <f>AA62*AC62</f>
        <v>70.570029016084277</v>
      </c>
      <c r="AC62" s="8">
        <f>IF(SUMIFS(AB$47:AB$54,Y$47:Y$54,Y62,Z$47:Z$54,Z62)&gt;0,SUMIFS(AB$47:AB$54,Y$47:Y$54,Y62,Z$47:Z$54,Z62),IF(Y62="Plastique",INDEX(LINEST(AB$47:AB$51,Z$47:Z$51,TRUE,TRUE),1,2)+INDEX(LINEST(AB$47:AB$51,Z$47:Z$51,TRUE,TRUE),1,1)*Z62,INDEX(LINEST(AB$52:AB$54,Z$52:Z$54,TRUE,TRUE),1,2)+INDEX(LINEST(AB$52:AB$54,Z$52:Z$54,TRUE,TRUE),1,1)*Z62))</f>
        <v>141.14005803216855</v>
      </c>
      <c r="AE62" s="3" t="s">
        <v>8</v>
      </c>
      <c r="AF62" s="7">
        <v>26.7</v>
      </c>
      <c r="AG62" s="5">
        <v>9.35</v>
      </c>
      <c r="AH62" s="8">
        <f>AG62*AI62</f>
        <v>1450.530528640867</v>
      </c>
      <c r="AI62" s="8">
        <f>IF(SUMIFS(AH$47:AH$52,AE$47:AE$52,AE62,AF$47:AF$52,AF62)&gt;0,SUMIFS(AH$47:AH$52,AE$47:AE$52,AE62,AF$47:AF$52,AF62),IF(AE62="Plastique",INDEX(LINEST(AH$47:AH$49,AF$47:AF$49,TRUE,TRUE),1,2)+INDEX(LINEST(AH$47:AH$49,AF$47:AF$49,TRUE,TRUE),1,1)*AF62,INDEX(LINEST(AH$50:AH$52,AF$50:AF$52,TRUE,TRUE),1,2)+INDEX(LINEST(AH$50:AH$52,AF$50:AF$52,TRUE,TRUE),1,1)*AF62))</f>
        <v>155.1369549348521</v>
      </c>
      <c r="AK62" s="3" t="s">
        <v>8</v>
      </c>
      <c r="AL62" s="7">
        <v>26.7</v>
      </c>
      <c r="AM62" s="5">
        <v>361.65000000000003</v>
      </c>
      <c r="AN62" s="8">
        <f>AM62*AO62</f>
        <v>47710.040568062963</v>
      </c>
      <c r="AO62" s="8">
        <f>IF(SUMIFS(AN$47:AN$58,AK$47:AK$58,AK62,AL$47:AL$58,AL62)&gt;0,SUMIFS(AN$47:AN$58,AK$47:AK$58,AK62,AL$47:AL$58,AL62),IF(AK62="Plastique",INDEX(LINEST(AN$47:AN$52,AL$47:AL$52,TRUE,TRUE),1,2)+INDEX(LINEST(AN$47:AN$52,AL$47:AL$52,TRUE,TRUE),1,1)*AL62,INDEX(LINEST(AN$53:AN$58,AL$53:AL$58,TRUE,TRUE),1,2)+INDEX(LINEST(AN$53:AN$58,AL$53:AL$58,TRUE,TRUE),1,1)*AL62))</f>
        <v>131.9232422730899</v>
      </c>
    </row>
    <row r="63" spans="1:41" x14ac:dyDescent="0.25">
      <c r="A63" s="3" t="s">
        <v>8</v>
      </c>
      <c r="B63" s="7">
        <v>42.2</v>
      </c>
      <c r="C63" s="5">
        <v>553.57000000000005</v>
      </c>
      <c r="D63" s="8">
        <f t="shared" ref="D63:D84" si="14">C63*E63</f>
        <v>75949.498100235083</v>
      </c>
      <c r="E63" s="8">
        <f t="shared" ref="E63:E84" si="15">IF(SUMIFS(D$47:D$54,A$47:A$54,A63,B$47:B$54,B63)&gt;0,SUMIFS(D$47:D$54,A$47:A$54,A63,B$47:B$54,B63),IF(A63="Plastique",INDEX(LINEST(D$47:D$49,B$47:B$49,TRUE,TRUE),1,2)+INDEX(LINEST(D$47:D$49,B$47:B$49,TRUE,TRUE),1,1)*B63,INDEX(LINEST(D$50:D$54,B$50:B$54,TRUE,TRUE),1,2)+INDEX(LINEST(D$50:D$54,B$50:B$54,TRUE,TRUE),1,1)*B63))</f>
        <v>137.19944740545023</v>
      </c>
      <c r="G63" s="3" t="s">
        <v>8</v>
      </c>
      <c r="H63" s="7">
        <v>42.2</v>
      </c>
      <c r="I63" s="5">
        <v>0</v>
      </c>
      <c r="J63" s="8">
        <f t="shared" ref="J63:J84" si="16">I63*K63</f>
        <v>0</v>
      </c>
      <c r="K63" s="8">
        <f t="shared" ref="K63:K84" si="17">IF(SUMIFS(J$47:J$53,G$47:G$53,G63,H$47:H$53,H63)&gt;0,SUMIFS(J$47:J$53,G$47:G$53,G63,H$47:H$53,H63),IF(G63="Plastique",INDEX(LINEST(J$47:J$49,H$47:H$49,TRUE,TRUE),1,2)+INDEX(LINEST(J$47:J$49,H$47:H$49,TRUE,TRUE),1,1)*H63,INDEX(LINEST(J$50:J$53,H$50:H$53,TRUE,TRUE),1,2)+INDEX(LINEST(J$50:J$53,H$50:H$53,TRUE,TRUE),1,1)*H63))</f>
        <v>148.55931004994835</v>
      </c>
      <c r="M63" s="3" t="s">
        <v>8</v>
      </c>
      <c r="N63" s="7">
        <v>42.2</v>
      </c>
      <c r="O63" s="5">
        <v>125920.13</v>
      </c>
      <c r="P63" s="8">
        <f t="shared" ref="P63:P84" si="18">O63*Q63</f>
        <v>13591002.377628572</v>
      </c>
      <c r="Q63" s="8">
        <f t="shared" ref="Q63:Q84" si="19">IF(SUMIFS(P$47:P$56,M$47:M$56,M63,N$47:N$56,N63)&gt;0,SUMIFS(P$47:P$56,M$47:M$56,M63,N$47:N$56,N63),IF(M63="Plastique",INDEX(LINEST(P$47:P$52,N$47:N$52,TRUE,TRUE),1,2)+INDEX(LINEST(P$47:P$52,N$47:N$52,TRUE,TRUE),1,1)*N63,INDEX(LINEST(P$53:P$56,N$53:N$56,TRUE,TRUE),1,2)+INDEX(LINEST(P$53:P$56,N$53:N$56,TRUE,TRUE),1,1)*N63))</f>
        <v>107.93351609173666</v>
      </c>
      <c r="S63" s="3" t="s">
        <v>8</v>
      </c>
      <c r="T63" s="7">
        <v>42.2</v>
      </c>
      <c r="U63" s="5">
        <v>98415.35</v>
      </c>
      <c r="V63" s="8">
        <f t="shared" ref="V63:V84" si="20">U63*W63</f>
        <v>14713904.254369255</v>
      </c>
      <c r="W63" s="8">
        <f t="shared" ref="W63:W84" si="21">IF(SUMIFS(V$47:V$53,S$47:S$53,S63,T$47:T$53,T63)&gt;0,SUMIFS(V$47:V$53,S$47:S$53,S63,T$47:T$53,T63),IF(S63="Plastique",INDEX(LINEST(V$47:V$50,T$47:T$50,TRUE,TRUE),1,2)+INDEX(LINEST(V$47:V$50,T$47:T$50,TRUE,TRUE),1,1)*T63,INDEX(LINEST(V$51:V$53,T$51:T$53,TRUE,TRUE),1,2)+INDEX(LINEST(V$51:V$53,T$51:T$53,TRUE,TRUE),1,1)*T63))</f>
        <v>149.50822462521603</v>
      </c>
      <c r="Y63" s="3" t="s">
        <v>8</v>
      </c>
      <c r="Z63" s="7">
        <v>42.2</v>
      </c>
      <c r="AA63" s="5">
        <v>42861.86</v>
      </c>
      <c r="AB63" s="8">
        <f t="shared" ref="AB63:AB84" si="22">AA63*AC63</f>
        <v>7484969.6314749047</v>
      </c>
      <c r="AC63" s="8">
        <f t="shared" ref="AC63:AC84" si="23">IF(SUMIFS(AB$47:AB$54,Y$47:Y$54,Y63,Z$47:Z$54,Z63)&gt;0,SUMIFS(AB$47:AB$54,Y$47:Y$54,Y63,Z$47:Z$54,Z63),IF(Y63="Plastique",INDEX(LINEST(AB$47:AB$51,Z$47:Z$51,TRUE,TRUE),1,2)+INDEX(LINEST(AB$47:AB$51,Z$47:Z$51,TRUE,TRUE),1,1)*Z63,INDEX(LINEST(AB$52:AB$54,Z$52:Z$54,TRUE,TRUE),1,2)+INDEX(LINEST(AB$52:AB$54,Z$52:Z$54,TRUE,TRUE),1,1)*Z63))</f>
        <v>174.63007045132676</v>
      </c>
      <c r="AE63" s="3" t="s">
        <v>8</v>
      </c>
      <c r="AF63" s="7">
        <v>42.2</v>
      </c>
      <c r="AG63" s="5">
        <v>13381.64</v>
      </c>
      <c r="AH63" s="8">
        <f t="shared" ref="AH63:AH84" si="24">AG63*AI63</f>
        <v>2054531.7336452943</v>
      </c>
      <c r="AI63" s="8">
        <f t="shared" ref="AI63:AI84" si="25">IF(SUMIFS(AH$47:AH$52,AE$47:AE$52,AE63,AF$47:AF$52,AF63)&gt;0,SUMIFS(AH$47:AH$52,AE$47:AE$52,AE63,AF$47:AF$52,AF63),IF(AE63="Plastique",INDEX(LINEST(AH$47:AH$49,AF$47:AF$49,TRUE,TRUE),1,2)+INDEX(LINEST(AH$47:AH$49,AF$47:AF$49,TRUE,TRUE),1,1)*AF63,INDEX(LINEST(AH$50:AH$52,AF$50:AF$52,TRUE,TRUE),1,2)+INDEX(LINEST(AH$50:AH$52,AF$50:AF$52,TRUE,TRUE),1,1)*AF63))</f>
        <v>153.53362769027521</v>
      </c>
      <c r="AK63" s="3" t="s">
        <v>8</v>
      </c>
      <c r="AL63" s="7">
        <v>42.2</v>
      </c>
      <c r="AM63" s="5">
        <v>281132.55000000005</v>
      </c>
      <c r="AN63" s="8">
        <f t="shared" ref="AN63:AN84" si="26">AM63*AO63</f>
        <v>37480029.737397142</v>
      </c>
      <c r="AO63" s="8">
        <f t="shared" ref="AO63:AO84" si="27">IF(SUMIFS(AN$47:AN$58,AK$47:AK$58,AK63,AL$47:AL$58,AL63)&gt;0,SUMIFS(AN$47:AN$58,AK$47:AK$58,AK63,AL$47:AL$58,AL63),IF(AK63="Plastique",INDEX(LINEST(AN$47:AN$52,AL$47:AL$52,TRUE,TRUE),1,2)+INDEX(LINEST(AN$47:AN$52,AL$47:AL$52,TRUE,TRUE),1,1)*AL63,INDEX(LINEST(AN$53:AN$58,AL$53:AL$58,TRUE,TRUE),1,2)+INDEX(LINEST(AN$53:AN$58,AL$53:AL$58,TRUE,TRUE),1,1)*AL63))</f>
        <v>133.31800155263821</v>
      </c>
    </row>
    <row r="64" spans="1:41" x14ac:dyDescent="0.25">
      <c r="A64" s="3" t="s">
        <v>8</v>
      </c>
      <c r="B64" s="7">
        <v>60.3</v>
      </c>
      <c r="C64" s="5">
        <v>1824785.35</v>
      </c>
      <c r="D64" s="8">
        <f t="shared" si="14"/>
        <v>261662757.79766226</v>
      </c>
      <c r="E64" s="8">
        <f t="shared" si="15"/>
        <v>143.393719046277</v>
      </c>
      <c r="G64" s="3" t="s">
        <v>8</v>
      </c>
      <c r="H64" s="7">
        <v>60.3</v>
      </c>
      <c r="I64" s="5">
        <v>10983.28</v>
      </c>
      <c r="J64" s="8">
        <f t="shared" si="16"/>
        <v>1789159.8106189682</v>
      </c>
      <c r="K64" s="8">
        <f t="shared" si="17"/>
        <v>162.89849759078965</v>
      </c>
      <c r="M64" s="3" t="s">
        <v>8</v>
      </c>
      <c r="N64" s="7">
        <v>60.3</v>
      </c>
      <c r="O64" s="5">
        <v>99655.76</v>
      </c>
      <c r="P64" s="8">
        <f t="shared" si="18"/>
        <v>13002891.475034138</v>
      </c>
      <c r="Q64" s="8">
        <f t="shared" si="19"/>
        <v>130.47807246700179</v>
      </c>
      <c r="S64" s="3" t="s">
        <v>8</v>
      </c>
      <c r="T64" s="7">
        <v>60.3</v>
      </c>
      <c r="U64" s="5">
        <v>148748.79999999999</v>
      </c>
      <c r="V64" s="8">
        <f t="shared" si="20"/>
        <v>22937852.107228287</v>
      </c>
      <c r="W64" s="8">
        <f t="shared" si="21"/>
        <v>154.20529178876259</v>
      </c>
      <c r="Y64" s="3" t="s">
        <v>8</v>
      </c>
      <c r="Z64" s="7">
        <v>60.3</v>
      </c>
      <c r="AA64" s="5">
        <v>113879.87</v>
      </c>
      <c r="AB64" s="8">
        <f t="shared" si="22"/>
        <v>19091494.165276069</v>
      </c>
      <c r="AC64" s="8">
        <f t="shared" si="23"/>
        <v>167.64590761542027</v>
      </c>
      <c r="AE64" s="3" t="s">
        <v>8</v>
      </c>
      <c r="AF64" s="7">
        <v>60.3</v>
      </c>
      <c r="AG64" s="5">
        <v>39116.660000000003</v>
      </c>
      <c r="AH64" s="8">
        <f t="shared" si="24"/>
        <v>5429818.406382734</v>
      </c>
      <c r="AI64" s="8">
        <f t="shared" si="25"/>
        <v>138.8108904590201</v>
      </c>
      <c r="AK64" s="3" t="s">
        <v>8</v>
      </c>
      <c r="AL64" s="7">
        <v>60.3</v>
      </c>
      <c r="AM64" s="5">
        <v>2237169.7200000002</v>
      </c>
      <c r="AN64" s="8">
        <f t="shared" si="26"/>
        <v>323530825.18448079</v>
      </c>
      <c r="AO64" s="8">
        <f t="shared" si="27"/>
        <v>144.61612916184149</v>
      </c>
    </row>
    <row r="65" spans="1:41" x14ac:dyDescent="0.25">
      <c r="A65" s="3" t="s">
        <v>8</v>
      </c>
      <c r="B65" s="7">
        <v>88.9</v>
      </c>
      <c r="C65" s="5">
        <v>24859.809999999998</v>
      </c>
      <c r="D65" s="8">
        <f t="shared" si="14"/>
        <v>3939488.3240691405</v>
      </c>
      <c r="E65" s="8">
        <f t="shared" si="15"/>
        <v>158.46815901123705</v>
      </c>
      <c r="G65" s="3" t="s">
        <v>8</v>
      </c>
      <c r="H65" s="7">
        <v>88.9</v>
      </c>
      <c r="I65" s="5">
        <v>0</v>
      </c>
      <c r="J65" s="8">
        <f t="shared" si="16"/>
        <v>0</v>
      </c>
      <c r="K65" s="8">
        <f t="shared" si="17"/>
        <v>170.67713210008111</v>
      </c>
      <c r="M65" s="3" t="s">
        <v>8</v>
      </c>
      <c r="N65" s="7">
        <v>88.9</v>
      </c>
      <c r="O65" s="5">
        <v>31691.02</v>
      </c>
      <c r="P65" s="8">
        <f t="shared" si="18"/>
        <v>4757509.3635873171</v>
      </c>
      <c r="Q65" s="8">
        <f t="shared" si="19"/>
        <v>150.12168631957309</v>
      </c>
      <c r="S65" s="3" t="s">
        <v>8</v>
      </c>
      <c r="T65" s="7">
        <v>88.9</v>
      </c>
      <c r="U65" s="5">
        <v>105293.23</v>
      </c>
      <c r="V65" s="8">
        <f t="shared" si="20"/>
        <v>16944269.672793783</v>
      </c>
      <c r="W65" s="8">
        <f t="shared" si="21"/>
        <v>160.92458815057515</v>
      </c>
      <c r="Y65" s="3" t="s">
        <v>8</v>
      </c>
      <c r="Z65" s="7">
        <v>88.9</v>
      </c>
      <c r="AA65" s="5">
        <v>23741.26</v>
      </c>
      <c r="AB65" s="8">
        <f t="shared" si="22"/>
        <v>4467458.3992923833</v>
      </c>
      <c r="AC65" s="8">
        <f t="shared" si="23"/>
        <v>188.17275912451083</v>
      </c>
      <c r="AE65" s="3" t="s">
        <v>8</v>
      </c>
      <c r="AF65" s="7">
        <v>88.9</v>
      </c>
      <c r="AG65" s="5">
        <v>10589.03</v>
      </c>
      <c r="AH65" s="8">
        <f t="shared" si="24"/>
        <v>1574620.0819007435</v>
      </c>
      <c r="AI65" s="8">
        <f t="shared" si="25"/>
        <v>148.70295786306616</v>
      </c>
      <c r="AK65" s="3" t="s">
        <v>8</v>
      </c>
      <c r="AL65" s="7">
        <v>88.9</v>
      </c>
      <c r="AM65" s="5">
        <v>196174.35</v>
      </c>
      <c r="AN65" s="8">
        <f t="shared" si="26"/>
        <v>29582665.795119036</v>
      </c>
      <c r="AO65" s="8">
        <f t="shared" si="27"/>
        <v>150.79782751985178</v>
      </c>
    </row>
    <row r="66" spans="1:41" x14ac:dyDescent="0.25">
      <c r="A66" s="3" t="s">
        <v>8</v>
      </c>
      <c r="B66" s="7">
        <v>114.3</v>
      </c>
      <c r="C66" s="5">
        <v>1549736.41</v>
      </c>
      <c r="D66" s="8">
        <f t="shared" si="14"/>
        <v>269862227.75574696</v>
      </c>
      <c r="E66" s="8">
        <f t="shared" si="15"/>
        <v>174.13427600616737</v>
      </c>
      <c r="G66" s="3" t="s">
        <v>8</v>
      </c>
      <c r="H66" s="7">
        <v>114.3</v>
      </c>
      <c r="I66" s="5">
        <v>33392.78</v>
      </c>
      <c r="J66" s="8">
        <f t="shared" si="16"/>
        <v>5715957.1260490688</v>
      </c>
      <c r="K66" s="8">
        <f t="shared" si="17"/>
        <v>171.17344306311333</v>
      </c>
      <c r="M66" s="3" t="s">
        <v>8</v>
      </c>
      <c r="N66" s="7">
        <v>114.3</v>
      </c>
      <c r="O66" s="5">
        <v>90081.61</v>
      </c>
      <c r="P66" s="8">
        <f t="shared" si="18"/>
        <v>13263374.188458497</v>
      </c>
      <c r="Q66" s="8">
        <f t="shared" si="19"/>
        <v>147.23731279290519</v>
      </c>
      <c r="S66" s="3" t="s">
        <v>8</v>
      </c>
      <c r="T66" s="7">
        <v>114.3</v>
      </c>
      <c r="U66" s="5">
        <v>356979.28</v>
      </c>
      <c r="V66" s="8">
        <f t="shared" si="20"/>
        <v>60573316.393630624</v>
      </c>
      <c r="W66" s="8">
        <f t="shared" si="21"/>
        <v>169.68300343266594</v>
      </c>
      <c r="Y66" s="3" t="s">
        <v>8</v>
      </c>
      <c r="Z66" s="7">
        <v>114.3</v>
      </c>
      <c r="AA66" s="5">
        <v>286983.90999999997</v>
      </c>
      <c r="AB66" s="8">
        <f t="shared" si="22"/>
        <v>54802647.45182012</v>
      </c>
      <c r="AC66" s="8">
        <f t="shared" si="23"/>
        <v>190.96069689697978</v>
      </c>
      <c r="AE66" s="3" t="s">
        <v>8</v>
      </c>
      <c r="AF66" s="7">
        <v>114.3</v>
      </c>
      <c r="AG66" s="5">
        <v>114596.89</v>
      </c>
      <c r="AH66" s="8">
        <f t="shared" si="24"/>
        <v>19685052.62170871</v>
      </c>
      <c r="AI66" s="8">
        <f t="shared" si="25"/>
        <v>171.77649953422568</v>
      </c>
      <c r="AK66" s="3" t="s">
        <v>8</v>
      </c>
      <c r="AL66" s="7">
        <v>114.3</v>
      </c>
      <c r="AM66" s="5">
        <v>2431770.8800000004</v>
      </c>
      <c r="AN66" s="8">
        <f t="shared" si="26"/>
        <v>422734806.75837541</v>
      </c>
      <c r="AO66" s="8">
        <f t="shared" si="27"/>
        <v>173.83825517245086</v>
      </c>
    </row>
    <row r="67" spans="1:41" x14ac:dyDescent="0.25">
      <c r="A67" s="3" t="s">
        <v>8</v>
      </c>
      <c r="B67" s="7">
        <v>168.3</v>
      </c>
      <c r="C67" s="5">
        <v>676839.8</v>
      </c>
      <c r="D67" s="8">
        <f t="shared" si="14"/>
        <v>130346120.76781861</v>
      </c>
      <c r="E67" s="8">
        <f t="shared" si="15"/>
        <v>192.58046108963836</v>
      </c>
      <c r="G67" s="3" t="s">
        <v>8</v>
      </c>
      <c r="H67" s="7">
        <v>168.3</v>
      </c>
      <c r="I67" s="5">
        <v>18077</v>
      </c>
      <c r="J67" s="8">
        <f t="shared" si="16"/>
        <v>3869362.3480927511</v>
      </c>
      <c r="K67" s="8">
        <f t="shared" si="17"/>
        <v>214.04892117567911</v>
      </c>
      <c r="M67" s="3" t="s">
        <v>8</v>
      </c>
      <c r="N67" s="7">
        <v>168.3</v>
      </c>
      <c r="O67" s="5">
        <v>24151.21</v>
      </c>
      <c r="P67" s="8">
        <f t="shared" si="18"/>
        <v>4029662.0313634723</v>
      </c>
      <c r="Q67" s="8">
        <f t="shared" si="19"/>
        <v>166.85135160364521</v>
      </c>
      <c r="S67" s="3" t="s">
        <v>8</v>
      </c>
      <c r="T67" s="7">
        <v>168.3</v>
      </c>
      <c r="U67" s="5">
        <v>88142.94</v>
      </c>
      <c r="V67" s="8">
        <f t="shared" si="20"/>
        <v>16051815.90809576</v>
      </c>
      <c r="W67" s="8">
        <f t="shared" si="21"/>
        <v>182.11119243464944</v>
      </c>
      <c r="Y67" s="3" t="s">
        <v>8</v>
      </c>
      <c r="Z67" s="7">
        <v>168.3</v>
      </c>
      <c r="AA67" s="5">
        <v>130893.31</v>
      </c>
      <c r="AB67" s="8">
        <f t="shared" si="22"/>
        <v>26550176.612408932</v>
      </c>
      <c r="AC67" s="8">
        <f t="shared" si="23"/>
        <v>202.83830099803367</v>
      </c>
      <c r="AE67" s="3" t="s">
        <v>8</v>
      </c>
      <c r="AF67" s="7">
        <v>168.3</v>
      </c>
      <c r="AG67" s="5">
        <v>15444.13</v>
      </c>
      <c r="AH67" s="8">
        <f t="shared" si="24"/>
        <v>1971278.2508931884</v>
      </c>
      <c r="AI67" s="8">
        <f t="shared" si="25"/>
        <v>127.639319980678</v>
      </c>
      <c r="AK67" s="3" t="s">
        <v>8</v>
      </c>
      <c r="AL67" s="7">
        <v>168.3</v>
      </c>
      <c r="AM67" s="5">
        <v>953548.39</v>
      </c>
      <c r="AN67" s="8">
        <f t="shared" si="26"/>
        <v>182359220.68161789</v>
      </c>
      <c r="AO67" s="8">
        <f t="shared" si="27"/>
        <v>191.24275453038925</v>
      </c>
    </row>
    <row r="68" spans="1:41" x14ac:dyDescent="0.25">
      <c r="A68" s="3" t="s">
        <v>8</v>
      </c>
      <c r="B68" s="7">
        <v>219.1</v>
      </c>
      <c r="C68" s="5">
        <v>32924.06</v>
      </c>
      <c r="D68" s="8">
        <f t="shared" si="14"/>
        <v>7169724.6888983576</v>
      </c>
      <c r="E68" s="8">
        <f t="shared" si="15"/>
        <v>217.76550914128933</v>
      </c>
      <c r="G68" s="3" t="s">
        <v>8</v>
      </c>
      <c r="H68" s="7">
        <v>219.1</v>
      </c>
      <c r="I68" s="5">
        <v>10453.049999999999</v>
      </c>
      <c r="J68" s="8">
        <f t="shared" si="16"/>
        <v>2428680.5509772203</v>
      </c>
      <c r="K68" s="8">
        <f t="shared" si="17"/>
        <v>232.3418094218645</v>
      </c>
      <c r="M68" s="3" t="s">
        <v>8</v>
      </c>
      <c r="N68" s="7">
        <v>219.1</v>
      </c>
      <c r="O68" s="5">
        <v>1817.66</v>
      </c>
      <c r="P68" s="8">
        <f t="shared" si="18"/>
        <v>279983.23690096126</v>
      </c>
      <c r="Q68" s="8">
        <f t="shared" si="19"/>
        <v>154.03498833718146</v>
      </c>
      <c r="S68" s="3" t="s">
        <v>8</v>
      </c>
      <c r="T68" s="7">
        <v>219.1</v>
      </c>
      <c r="U68" s="5">
        <v>0</v>
      </c>
      <c r="V68" s="8">
        <f t="shared" si="20"/>
        <v>0</v>
      </c>
      <c r="W68" s="8">
        <f t="shared" si="21"/>
        <v>195.84605453165742</v>
      </c>
      <c r="Y68" s="3" t="s">
        <v>8</v>
      </c>
      <c r="Z68" s="7">
        <v>219.1</v>
      </c>
      <c r="AA68" s="5">
        <v>17015.39</v>
      </c>
      <c r="AB68" s="8">
        <f t="shared" si="22"/>
        <v>5539299.196367248</v>
      </c>
      <c r="AC68" s="8">
        <f t="shared" si="23"/>
        <v>325.54641394450834</v>
      </c>
      <c r="AE68" s="3" t="s">
        <v>8</v>
      </c>
      <c r="AF68" s="7">
        <v>219.1</v>
      </c>
      <c r="AG68" s="5">
        <v>2264.65</v>
      </c>
      <c r="AH68" s="8">
        <f t="shared" si="24"/>
        <v>306259.96315137221</v>
      </c>
      <c r="AI68" s="8">
        <f t="shared" si="25"/>
        <v>135.23500900862041</v>
      </c>
      <c r="AK68" s="3" t="s">
        <v>8</v>
      </c>
      <c r="AL68" s="7">
        <v>219.1</v>
      </c>
      <c r="AM68" s="5">
        <v>64474.810000000005</v>
      </c>
      <c r="AN68" s="8">
        <f t="shared" si="26"/>
        <v>12653214.881388268</v>
      </c>
      <c r="AO68" s="8">
        <f t="shared" si="27"/>
        <v>196.25051832472661</v>
      </c>
    </row>
    <row r="69" spans="1:41" x14ac:dyDescent="0.25">
      <c r="A69" s="3" t="s">
        <v>9</v>
      </c>
      <c r="B69" s="7">
        <v>21.3</v>
      </c>
      <c r="C69" s="5">
        <v>11.2</v>
      </c>
      <c r="D69" s="8">
        <f t="shared" si="14"/>
        <v>1886.6905184084555</v>
      </c>
      <c r="E69" s="8">
        <f t="shared" si="15"/>
        <v>168.45451057218355</v>
      </c>
      <c r="G69" s="3" t="s">
        <v>9</v>
      </c>
      <c r="H69" s="7">
        <v>21.3</v>
      </c>
      <c r="I69" s="5">
        <v>0</v>
      </c>
      <c r="J69" s="8">
        <f t="shared" si="16"/>
        <v>0</v>
      </c>
      <c r="K69" s="8">
        <f t="shared" si="17"/>
        <v>81.98977439300684</v>
      </c>
      <c r="M69" s="3" t="s">
        <v>9</v>
      </c>
      <c r="N69" s="7">
        <v>21.3</v>
      </c>
      <c r="O69" s="5">
        <v>0</v>
      </c>
      <c r="P69" s="8">
        <f t="shared" si="18"/>
        <v>0</v>
      </c>
      <c r="Q69" s="8">
        <f t="shared" si="19"/>
        <v>214.76335936368261</v>
      </c>
      <c r="S69" s="3" t="s">
        <v>9</v>
      </c>
      <c r="T69" s="7">
        <v>21.3</v>
      </c>
      <c r="U69" s="5">
        <v>0</v>
      </c>
      <c r="V69" s="8">
        <f t="shared" si="20"/>
        <v>0</v>
      </c>
      <c r="W69" s="8">
        <f t="shared" si="21"/>
        <v>146.32439717382789</v>
      </c>
      <c r="Y69" s="3" t="s">
        <v>9</v>
      </c>
      <c r="Z69" s="7">
        <v>21.3</v>
      </c>
      <c r="AA69" s="5">
        <v>0</v>
      </c>
      <c r="AB69" s="8">
        <f t="shared" si="22"/>
        <v>0</v>
      </c>
      <c r="AC69" s="8">
        <f t="shared" si="23"/>
        <v>-66.149681710709501</v>
      </c>
      <c r="AE69" s="3" t="s">
        <v>9</v>
      </c>
      <c r="AF69" s="7">
        <v>21.3</v>
      </c>
      <c r="AG69" s="5">
        <v>0</v>
      </c>
      <c r="AH69" s="8">
        <f t="shared" si="24"/>
        <v>0</v>
      </c>
      <c r="AI69" s="8">
        <f t="shared" si="25"/>
        <v>432.72066357791289</v>
      </c>
      <c r="AK69" s="3" t="s">
        <v>9</v>
      </c>
      <c r="AL69" s="7">
        <v>21.3</v>
      </c>
      <c r="AM69" s="5">
        <v>11.2</v>
      </c>
      <c r="AN69" s="8">
        <f t="shared" si="26"/>
        <v>1783.5134165050297</v>
      </c>
      <c r="AO69" s="8">
        <f t="shared" si="27"/>
        <v>159.24226933080624</v>
      </c>
    </row>
    <row r="70" spans="1:41" x14ac:dyDescent="0.25">
      <c r="A70" s="3" t="s">
        <v>9</v>
      </c>
      <c r="B70" s="7">
        <v>26.7</v>
      </c>
      <c r="C70" s="5">
        <v>5035.5499999999993</v>
      </c>
      <c r="D70" s="8">
        <f t="shared" si="14"/>
        <v>855067.62135607318</v>
      </c>
      <c r="E70" s="8">
        <f t="shared" si="15"/>
        <v>169.80620217375923</v>
      </c>
      <c r="G70" s="3" t="s">
        <v>9</v>
      </c>
      <c r="H70" s="7">
        <v>26.7</v>
      </c>
      <c r="I70" s="5">
        <v>31.96</v>
      </c>
      <c r="J70" s="8">
        <f t="shared" si="16"/>
        <v>2721.0998974779482</v>
      </c>
      <c r="K70" s="8">
        <f t="shared" si="17"/>
        <v>85.140797793427666</v>
      </c>
      <c r="M70" s="3" t="s">
        <v>9</v>
      </c>
      <c r="N70" s="7">
        <v>26.7</v>
      </c>
      <c r="O70" s="5">
        <v>23.89</v>
      </c>
      <c r="P70" s="8">
        <f t="shared" si="18"/>
        <v>5278.9409231889258</v>
      </c>
      <c r="Q70" s="8">
        <f t="shared" si="19"/>
        <v>220.9686447546641</v>
      </c>
      <c r="S70" s="3" t="s">
        <v>9</v>
      </c>
      <c r="T70" s="7">
        <v>26.7</v>
      </c>
      <c r="U70" s="5">
        <v>0</v>
      </c>
      <c r="V70" s="8">
        <f t="shared" si="20"/>
        <v>0</v>
      </c>
      <c r="W70" s="8">
        <f t="shared" si="21"/>
        <v>150.81774385667083</v>
      </c>
      <c r="Y70" s="3" t="s">
        <v>9</v>
      </c>
      <c r="Z70" s="7">
        <v>26.7</v>
      </c>
      <c r="AA70" s="5">
        <v>0</v>
      </c>
      <c r="AB70" s="8">
        <f t="shared" si="22"/>
        <v>0</v>
      </c>
      <c r="AC70" s="8">
        <f t="shared" si="23"/>
        <v>-51.252769383365191</v>
      </c>
      <c r="AE70" s="3" t="s">
        <v>9</v>
      </c>
      <c r="AF70" s="7">
        <v>26.7</v>
      </c>
      <c r="AG70" s="5">
        <v>0.64</v>
      </c>
      <c r="AH70" s="8">
        <f t="shared" si="24"/>
        <v>274.98925433930492</v>
      </c>
      <c r="AI70" s="8">
        <f t="shared" si="25"/>
        <v>429.6707099051639</v>
      </c>
      <c r="AK70" s="3" t="s">
        <v>9</v>
      </c>
      <c r="AL70" s="7">
        <v>26.7</v>
      </c>
      <c r="AM70" s="5">
        <v>5092.04</v>
      </c>
      <c r="AN70" s="8">
        <f t="shared" si="26"/>
        <v>823646.75106701918</v>
      </c>
      <c r="AO70" s="8">
        <f t="shared" si="27"/>
        <v>161.75182266184461</v>
      </c>
    </row>
    <row r="71" spans="1:41" x14ac:dyDescent="0.25">
      <c r="A71" s="3" t="s">
        <v>9</v>
      </c>
      <c r="B71" s="7">
        <v>33.4</v>
      </c>
      <c r="C71" s="5">
        <v>5.9</v>
      </c>
      <c r="D71" s="8">
        <f t="shared" si="14"/>
        <v>1011.7514759752326</v>
      </c>
      <c r="E71" s="8">
        <f t="shared" si="15"/>
        <v>171.48330101275127</v>
      </c>
      <c r="G71" s="3" t="s">
        <v>9</v>
      </c>
      <c r="H71" s="7">
        <v>33.4</v>
      </c>
      <c r="I71" s="5">
        <v>28104.09</v>
      </c>
      <c r="J71" s="8">
        <f t="shared" si="16"/>
        <v>2502680.4814678235</v>
      </c>
      <c r="K71" s="8">
        <f t="shared" si="17"/>
        <v>89.050400901357193</v>
      </c>
      <c r="M71" s="3" t="s">
        <v>9</v>
      </c>
      <c r="N71" s="7">
        <v>33.4</v>
      </c>
      <c r="O71" s="5">
        <v>0</v>
      </c>
      <c r="P71" s="8">
        <f t="shared" si="18"/>
        <v>0</v>
      </c>
      <c r="Q71" s="8">
        <f t="shared" si="19"/>
        <v>228.66779514717814</v>
      </c>
      <c r="S71" s="3" t="s">
        <v>9</v>
      </c>
      <c r="T71" s="7">
        <v>33.4</v>
      </c>
      <c r="U71" s="5">
        <v>0</v>
      </c>
      <c r="V71" s="8">
        <f t="shared" si="20"/>
        <v>0</v>
      </c>
      <c r="W71" s="8">
        <f t="shared" si="21"/>
        <v>156.39282214834637</v>
      </c>
      <c r="Y71" s="3" t="s">
        <v>9</v>
      </c>
      <c r="Z71" s="7">
        <v>33.4</v>
      </c>
      <c r="AA71" s="5">
        <v>0</v>
      </c>
      <c r="AB71" s="8">
        <f t="shared" si="22"/>
        <v>0</v>
      </c>
      <c r="AC71" s="8">
        <f t="shared" si="23"/>
        <v>-32.769563347586143</v>
      </c>
      <c r="AE71" s="3" t="s">
        <v>9</v>
      </c>
      <c r="AF71" s="7">
        <v>33.4</v>
      </c>
      <c r="AG71" s="5">
        <v>0</v>
      </c>
      <c r="AH71" s="8">
        <f t="shared" si="24"/>
        <v>0</v>
      </c>
      <c r="AI71" s="8">
        <f t="shared" si="25"/>
        <v>425.88650812601242</v>
      </c>
      <c r="AK71" s="3" t="s">
        <v>9</v>
      </c>
      <c r="AL71" s="7">
        <v>33.4</v>
      </c>
      <c r="AM71" s="5">
        <v>28109.989999999998</v>
      </c>
      <c r="AN71" s="8">
        <f t="shared" si="26"/>
        <v>4634368.3355743177</v>
      </c>
      <c r="AO71" s="8">
        <f t="shared" si="27"/>
        <v>164.86552772072554</v>
      </c>
    </row>
    <row r="72" spans="1:41" x14ac:dyDescent="0.25">
      <c r="A72" s="3" t="s">
        <v>9</v>
      </c>
      <c r="B72" s="7">
        <v>42.2</v>
      </c>
      <c r="C72" s="5">
        <v>22054.34</v>
      </c>
      <c r="D72" s="8">
        <f t="shared" si="14"/>
        <v>3830531.3697048551</v>
      </c>
      <c r="E72" s="8">
        <f t="shared" si="15"/>
        <v>173.6860576968005</v>
      </c>
      <c r="G72" s="3" t="s">
        <v>9</v>
      </c>
      <c r="H72" s="7">
        <v>42.2</v>
      </c>
      <c r="I72" s="5">
        <v>4230.42</v>
      </c>
      <c r="J72" s="8">
        <f t="shared" si="16"/>
        <v>398443.80832181446</v>
      </c>
      <c r="K72" s="8">
        <f t="shared" si="17"/>
        <v>94.185401998339273</v>
      </c>
      <c r="M72" s="3" t="s">
        <v>9</v>
      </c>
      <c r="N72" s="7">
        <v>42.2</v>
      </c>
      <c r="O72" s="5">
        <v>36.5</v>
      </c>
      <c r="P72" s="8">
        <f t="shared" si="18"/>
        <v>8715.4740909429747</v>
      </c>
      <c r="Q72" s="8">
        <f t="shared" si="19"/>
        <v>238.78011208062944</v>
      </c>
      <c r="S72" s="3" t="s">
        <v>9</v>
      </c>
      <c r="T72" s="7">
        <v>42.2</v>
      </c>
      <c r="U72" s="5">
        <v>54.29</v>
      </c>
      <c r="V72" s="8">
        <f t="shared" si="20"/>
        <v>8888.1043448821674</v>
      </c>
      <c r="W72" s="8">
        <f t="shared" si="21"/>
        <v>163.71531303890526</v>
      </c>
      <c r="Y72" s="3" t="s">
        <v>9</v>
      </c>
      <c r="Z72" s="7">
        <v>42.2</v>
      </c>
      <c r="AA72" s="5">
        <v>19.77</v>
      </c>
      <c r="AB72" s="8">
        <f t="shared" si="22"/>
        <v>-167.90885644436031</v>
      </c>
      <c r="AC72" s="8">
        <f t="shared" si="23"/>
        <v>-8.493113628950951</v>
      </c>
      <c r="AE72" s="3" t="s">
        <v>9</v>
      </c>
      <c r="AF72" s="7">
        <v>42.2</v>
      </c>
      <c r="AG72" s="5">
        <v>30.41</v>
      </c>
      <c r="AH72" s="8">
        <f t="shared" si="24"/>
        <v>12800.062044990369</v>
      </c>
      <c r="AI72" s="8">
        <f t="shared" si="25"/>
        <v>420.91621325190295</v>
      </c>
      <c r="AK72" s="3" t="s">
        <v>9</v>
      </c>
      <c r="AL72" s="7">
        <v>42.2</v>
      </c>
      <c r="AM72" s="5">
        <v>26425.730000000003</v>
      </c>
      <c r="AN72" s="8">
        <f t="shared" si="26"/>
        <v>4464763.7094424944</v>
      </c>
      <c r="AO72" s="8">
        <f t="shared" si="27"/>
        <v>168.95517018612139</v>
      </c>
    </row>
    <row r="73" spans="1:41" x14ac:dyDescent="0.25">
      <c r="A73" s="3" t="s">
        <v>9</v>
      </c>
      <c r="B73" s="7">
        <v>48.3</v>
      </c>
      <c r="C73" s="5">
        <v>99494.159999999989</v>
      </c>
      <c r="D73" s="8">
        <f t="shared" si="14"/>
        <v>17432667.129979648</v>
      </c>
      <c r="E73" s="8">
        <f t="shared" si="15"/>
        <v>175.2129685800619</v>
      </c>
      <c r="G73" s="3" t="s">
        <v>9</v>
      </c>
      <c r="H73" s="7">
        <v>48.3</v>
      </c>
      <c r="I73" s="5">
        <v>0</v>
      </c>
      <c r="J73" s="8">
        <f t="shared" si="16"/>
        <v>0</v>
      </c>
      <c r="K73" s="8">
        <f t="shared" si="17"/>
        <v>97.74489139511094</v>
      </c>
      <c r="M73" s="3" t="s">
        <v>9</v>
      </c>
      <c r="N73" s="7">
        <v>48.3</v>
      </c>
      <c r="O73" s="5">
        <v>0</v>
      </c>
      <c r="P73" s="8">
        <f t="shared" si="18"/>
        <v>0</v>
      </c>
      <c r="Q73" s="8">
        <f t="shared" si="19"/>
        <v>245.78978631858996</v>
      </c>
      <c r="S73" s="3" t="s">
        <v>9</v>
      </c>
      <c r="T73" s="7">
        <v>48.3</v>
      </c>
      <c r="U73" s="5">
        <v>0</v>
      </c>
      <c r="V73" s="8">
        <f t="shared" si="20"/>
        <v>0</v>
      </c>
      <c r="W73" s="8">
        <f t="shared" si="21"/>
        <v>168.79113058804268</v>
      </c>
      <c r="Y73" s="3" t="s">
        <v>9</v>
      </c>
      <c r="Z73" s="7">
        <v>48.3</v>
      </c>
      <c r="AA73" s="5">
        <v>0</v>
      </c>
      <c r="AB73" s="8">
        <f t="shared" si="22"/>
        <v>0</v>
      </c>
      <c r="AC73" s="8">
        <f t="shared" si="23"/>
        <v>8.3348799260120643</v>
      </c>
      <c r="AE73" s="3" t="s">
        <v>9</v>
      </c>
      <c r="AF73" s="7">
        <v>48.3</v>
      </c>
      <c r="AG73" s="5">
        <v>0</v>
      </c>
      <c r="AH73" s="8">
        <f t="shared" si="24"/>
        <v>0</v>
      </c>
      <c r="AI73" s="8">
        <f t="shared" si="25"/>
        <v>417.47089521416797</v>
      </c>
      <c r="AK73" s="3" t="s">
        <v>9</v>
      </c>
      <c r="AL73" s="7">
        <v>48.3</v>
      </c>
      <c r="AM73" s="5">
        <v>99494.159999999989</v>
      </c>
      <c r="AN73" s="8">
        <f t="shared" si="26"/>
        <v>17092105.326796643</v>
      </c>
      <c r="AO73" s="8">
        <f t="shared" si="27"/>
        <v>171.79003598599803</v>
      </c>
    </row>
    <row r="74" spans="1:41" x14ac:dyDescent="0.25">
      <c r="A74" s="3" t="s">
        <v>9</v>
      </c>
      <c r="B74" s="7">
        <v>60.3</v>
      </c>
      <c r="C74" s="5">
        <v>260210.59</v>
      </c>
      <c r="D74" s="8">
        <f t="shared" si="14"/>
        <v>46373879.861300595</v>
      </c>
      <c r="E74" s="8">
        <f t="shared" si="15"/>
        <v>178.21672769467452</v>
      </c>
      <c r="G74" s="3" t="s">
        <v>9</v>
      </c>
      <c r="H74" s="7">
        <v>60.3</v>
      </c>
      <c r="I74" s="5">
        <v>23498.22</v>
      </c>
      <c r="J74" s="8">
        <f t="shared" si="16"/>
        <v>2461371.9420745051</v>
      </c>
      <c r="K74" s="8">
        <f t="shared" si="17"/>
        <v>104.74716561826833</v>
      </c>
      <c r="M74" s="3" t="s">
        <v>9</v>
      </c>
      <c r="N74" s="7">
        <v>60.3</v>
      </c>
      <c r="O74" s="5">
        <v>20160.98</v>
      </c>
      <c r="P74" s="8">
        <f t="shared" si="18"/>
        <v>5233373.2654219652</v>
      </c>
      <c r="Q74" s="8">
        <f t="shared" si="19"/>
        <v>259.57930940965991</v>
      </c>
      <c r="S74" s="3" t="s">
        <v>9</v>
      </c>
      <c r="T74" s="7">
        <v>60.3</v>
      </c>
      <c r="U74" s="5">
        <v>7935.19</v>
      </c>
      <c r="V74" s="8">
        <f t="shared" si="20"/>
        <v>1418624.2685625493</v>
      </c>
      <c r="W74" s="8">
        <f t="shared" si="21"/>
        <v>178.77634543880478</v>
      </c>
      <c r="Y74" s="3" t="s">
        <v>9</v>
      </c>
      <c r="Z74" s="7">
        <v>60.3</v>
      </c>
      <c r="AA74" s="5">
        <v>1299.1100000000001</v>
      </c>
      <c r="AB74" s="8">
        <f t="shared" si="22"/>
        <v>53833.987579739907</v>
      </c>
      <c r="AC74" s="8">
        <f t="shared" si="23"/>
        <v>41.439129542332751</v>
      </c>
      <c r="AE74" s="3" t="s">
        <v>9</v>
      </c>
      <c r="AF74" s="7">
        <v>60.3</v>
      </c>
      <c r="AG74" s="5">
        <v>11079.33</v>
      </c>
      <c r="AH74" s="8">
        <f t="shared" si="24"/>
        <v>4550205.7174174143</v>
      </c>
      <c r="AI74" s="8">
        <f t="shared" si="25"/>
        <v>410.69322038583692</v>
      </c>
      <c r="AK74" s="3" t="s">
        <v>9</v>
      </c>
      <c r="AL74" s="7">
        <v>60.3</v>
      </c>
      <c r="AM74" s="5">
        <v>324183.42000000004</v>
      </c>
      <c r="AN74" s="8">
        <f t="shared" si="26"/>
        <v>57499382.680149272</v>
      </c>
      <c r="AO74" s="8">
        <f t="shared" si="27"/>
        <v>177.36682116608327</v>
      </c>
    </row>
    <row r="75" spans="1:41" x14ac:dyDescent="0.25">
      <c r="A75" s="3" t="s">
        <v>9</v>
      </c>
      <c r="B75" s="7">
        <v>88.9</v>
      </c>
      <c r="C75" s="5">
        <v>201338.08</v>
      </c>
      <c r="D75" s="8">
        <f t="shared" si="14"/>
        <v>37323184.882717922</v>
      </c>
      <c r="E75" s="8">
        <f t="shared" si="15"/>
        <v>185.37568691783454</v>
      </c>
      <c r="G75" s="3" t="s">
        <v>9</v>
      </c>
      <c r="H75" s="7">
        <v>88.9</v>
      </c>
      <c r="I75" s="5">
        <v>4823.3500000000004</v>
      </c>
      <c r="J75" s="8">
        <f t="shared" si="16"/>
        <v>536242.27008915402</v>
      </c>
      <c r="K75" s="8">
        <f t="shared" si="17"/>
        <v>111.17631316183855</v>
      </c>
      <c r="M75" s="3" t="s">
        <v>9</v>
      </c>
      <c r="N75" s="7">
        <v>88.9</v>
      </c>
      <c r="O75" s="5">
        <v>5658.76</v>
      </c>
      <c r="P75" s="8">
        <f t="shared" si="18"/>
        <v>1920002.2139340327</v>
      </c>
      <c r="Q75" s="8">
        <f t="shared" si="19"/>
        <v>339.29733968820602</v>
      </c>
      <c r="S75" s="3" t="s">
        <v>9</v>
      </c>
      <c r="T75" s="7">
        <v>88.9</v>
      </c>
      <c r="U75" s="5">
        <v>2682.09</v>
      </c>
      <c r="V75" s="8">
        <f t="shared" si="20"/>
        <v>543322.88201410603</v>
      </c>
      <c r="W75" s="8">
        <f t="shared" si="21"/>
        <v>202.5744408331212</v>
      </c>
      <c r="Y75" s="3" t="s">
        <v>9</v>
      </c>
      <c r="Z75" s="7">
        <v>88.9</v>
      </c>
      <c r="AA75" s="5">
        <v>2702.3500000000004</v>
      </c>
      <c r="AB75" s="8">
        <f t="shared" si="22"/>
        <v>325194.28938447282</v>
      </c>
      <c r="AC75" s="8">
        <f t="shared" si="23"/>
        <v>120.33759112789713</v>
      </c>
      <c r="AE75" s="3" t="s">
        <v>9</v>
      </c>
      <c r="AF75" s="7">
        <v>88.9</v>
      </c>
      <c r="AG75" s="5">
        <v>4021.96</v>
      </c>
      <c r="AH75" s="8">
        <f t="shared" si="24"/>
        <v>1586823.1413544323</v>
      </c>
      <c r="AI75" s="8">
        <f t="shared" si="25"/>
        <v>394.53976204498116</v>
      </c>
      <c r="AK75" s="3" t="s">
        <v>9</v>
      </c>
      <c r="AL75" s="7">
        <v>88.9</v>
      </c>
      <c r="AM75" s="5">
        <v>221226.58999999997</v>
      </c>
      <c r="AN75" s="8">
        <f t="shared" si="26"/>
        <v>37642581.034990832</v>
      </c>
      <c r="AO75" s="8">
        <f t="shared" si="27"/>
        <v>170.15396311533274</v>
      </c>
    </row>
    <row r="76" spans="1:41" x14ac:dyDescent="0.25">
      <c r="A76" s="3" t="s">
        <v>9</v>
      </c>
      <c r="B76" s="7">
        <v>114.3</v>
      </c>
      <c r="C76" s="5">
        <v>395841.41</v>
      </c>
      <c r="D76" s="8">
        <f t="shared" si="14"/>
        <v>75426728.388602644</v>
      </c>
      <c r="E76" s="8">
        <f t="shared" si="15"/>
        <v>190.54784689808642</v>
      </c>
      <c r="G76" s="3" t="s">
        <v>9</v>
      </c>
      <c r="H76" s="7">
        <v>114.3</v>
      </c>
      <c r="I76" s="5">
        <v>28117.54</v>
      </c>
      <c r="J76" s="8">
        <f t="shared" si="16"/>
        <v>4425804.1900041541</v>
      </c>
      <c r="K76" s="8">
        <f t="shared" si="17"/>
        <v>157.40367720661743</v>
      </c>
      <c r="M76" s="3" t="s">
        <v>9</v>
      </c>
      <c r="N76" s="7">
        <v>114.3</v>
      </c>
      <c r="O76" s="5">
        <v>21444.16</v>
      </c>
      <c r="P76" s="8">
        <f t="shared" si="18"/>
        <v>6478246.1294871531</v>
      </c>
      <c r="Q76" s="8">
        <f t="shared" si="19"/>
        <v>302.09838620338371</v>
      </c>
      <c r="S76" s="3" t="s">
        <v>9</v>
      </c>
      <c r="T76" s="7">
        <v>114.3</v>
      </c>
      <c r="U76" s="5">
        <v>92823.71</v>
      </c>
      <c r="V76" s="8">
        <f t="shared" si="20"/>
        <v>21802798.929883149</v>
      </c>
      <c r="W76" s="8">
        <f t="shared" si="21"/>
        <v>234.88394215102096</v>
      </c>
      <c r="Y76" s="3" t="s">
        <v>9</v>
      </c>
      <c r="Z76" s="7">
        <v>114.3</v>
      </c>
      <c r="AA76" s="5">
        <v>36616.01</v>
      </c>
      <c r="AB76" s="8">
        <f t="shared" si="22"/>
        <v>6950345.7989276247</v>
      </c>
      <c r="AC76" s="8">
        <f t="shared" si="23"/>
        <v>189.81712641349029</v>
      </c>
      <c r="AE76" s="3" t="s">
        <v>9</v>
      </c>
      <c r="AF76" s="7">
        <v>114.3</v>
      </c>
      <c r="AG76" s="5">
        <v>14696.33</v>
      </c>
      <c r="AH76" s="8">
        <f t="shared" si="24"/>
        <v>5995493.7774496395</v>
      </c>
      <c r="AI76" s="8">
        <f t="shared" si="25"/>
        <v>407.9585704355876</v>
      </c>
      <c r="AK76" s="3" t="s">
        <v>9</v>
      </c>
      <c r="AL76" s="7">
        <v>114.3</v>
      </c>
      <c r="AM76" s="5">
        <v>589539.15999999992</v>
      </c>
      <c r="AN76" s="8">
        <f t="shared" si="26"/>
        <v>119959147.90060218</v>
      </c>
      <c r="AO76" s="8">
        <f t="shared" si="27"/>
        <v>203.47952441463295</v>
      </c>
    </row>
    <row r="77" spans="1:41" x14ac:dyDescent="0.25">
      <c r="A77" s="3" t="s">
        <v>9</v>
      </c>
      <c r="B77" s="7">
        <v>168.3</v>
      </c>
      <c r="C77" s="5">
        <v>487178.03</v>
      </c>
      <c r="D77" s="8">
        <f t="shared" si="14"/>
        <v>92825871.900113419</v>
      </c>
      <c r="E77" s="8">
        <f t="shared" si="15"/>
        <v>190.53788591434105</v>
      </c>
      <c r="G77" s="3" t="s">
        <v>9</v>
      </c>
      <c r="H77" s="7">
        <v>168.3</v>
      </c>
      <c r="I77" s="5">
        <v>9454.44</v>
      </c>
      <c r="J77" s="8">
        <f t="shared" si="16"/>
        <v>1422310.0599852311</v>
      </c>
      <c r="K77" s="8">
        <f t="shared" si="17"/>
        <v>150.43831892584132</v>
      </c>
      <c r="M77" s="3" t="s">
        <v>9</v>
      </c>
      <c r="N77" s="7">
        <v>168.3</v>
      </c>
      <c r="O77" s="5">
        <v>69895.5</v>
      </c>
      <c r="P77" s="8">
        <f t="shared" si="18"/>
        <v>21241184.779522125</v>
      </c>
      <c r="Q77" s="8">
        <f t="shared" si="19"/>
        <v>303.8991749042803</v>
      </c>
      <c r="S77" s="3" t="s">
        <v>9</v>
      </c>
      <c r="T77" s="7">
        <v>168.3</v>
      </c>
      <c r="U77" s="5">
        <v>141120.69999999998</v>
      </c>
      <c r="V77" s="8">
        <f t="shared" si="20"/>
        <v>34657993.185678512</v>
      </c>
      <c r="W77" s="8">
        <f t="shared" si="21"/>
        <v>245.59113713068683</v>
      </c>
      <c r="Y77" s="3" t="s">
        <v>9</v>
      </c>
      <c r="Z77" s="7">
        <v>168.3</v>
      </c>
      <c r="AA77" s="5">
        <v>55652.71</v>
      </c>
      <c r="AB77" s="8">
        <f t="shared" si="22"/>
        <v>18955138.566029165</v>
      </c>
      <c r="AC77" s="8">
        <f t="shared" si="23"/>
        <v>340.59686520259601</v>
      </c>
      <c r="AE77" s="3" t="s">
        <v>9</v>
      </c>
      <c r="AF77" s="7">
        <v>168.3</v>
      </c>
      <c r="AG77" s="5">
        <v>57114.450000000004</v>
      </c>
      <c r="AH77" s="8">
        <f t="shared" si="24"/>
        <v>16701144.97844498</v>
      </c>
      <c r="AI77" s="8">
        <f t="shared" si="25"/>
        <v>292.41540413056555</v>
      </c>
      <c r="AK77" s="3" t="s">
        <v>9</v>
      </c>
      <c r="AL77" s="7">
        <v>168.3</v>
      </c>
      <c r="AM77" s="5">
        <v>820415.83000000007</v>
      </c>
      <c r="AN77" s="8">
        <f t="shared" si="26"/>
        <v>183853284.77793092</v>
      </c>
      <c r="AO77" s="8">
        <f t="shared" si="27"/>
        <v>224.09768077967354</v>
      </c>
    </row>
    <row r="78" spans="1:41" x14ac:dyDescent="0.25">
      <c r="A78" s="3" t="s">
        <v>9</v>
      </c>
      <c r="B78" s="7">
        <v>219.1</v>
      </c>
      <c r="C78" s="5">
        <v>214465.40000000002</v>
      </c>
      <c r="D78" s="8">
        <f t="shared" si="14"/>
        <v>52058862.404936194</v>
      </c>
      <c r="E78" s="8">
        <f t="shared" si="15"/>
        <v>242.73781414128428</v>
      </c>
      <c r="G78" s="3" t="s">
        <v>9</v>
      </c>
      <c r="H78" s="7">
        <v>219.1</v>
      </c>
      <c r="I78" s="5">
        <v>26711.449999999997</v>
      </c>
      <c r="J78" s="8">
        <f t="shared" si="16"/>
        <v>5445215.564640224</v>
      </c>
      <c r="K78" s="8">
        <f t="shared" si="17"/>
        <v>203.85323764304164</v>
      </c>
      <c r="M78" s="3" t="s">
        <v>9</v>
      </c>
      <c r="N78" s="7">
        <v>219.1</v>
      </c>
      <c r="O78" s="5">
        <v>13743.07</v>
      </c>
      <c r="P78" s="8">
        <f t="shared" si="18"/>
        <v>6796323.0833647931</v>
      </c>
      <c r="Q78" s="8">
        <f t="shared" si="19"/>
        <v>494.52728417775603</v>
      </c>
      <c r="S78" s="3" t="s">
        <v>9</v>
      </c>
      <c r="T78" s="7">
        <v>219.1</v>
      </c>
      <c r="U78" s="5">
        <v>39691.06</v>
      </c>
      <c r="V78" s="8">
        <f t="shared" si="20"/>
        <v>12811957.990805343</v>
      </c>
      <c r="W78" s="8">
        <f t="shared" si="21"/>
        <v>322.79203404508075</v>
      </c>
      <c r="Y78" s="3" t="s">
        <v>9</v>
      </c>
      <c r="Z78" s="7">
        <v>219.1</v>
      </c>
      <c r="AA78" s="5">
        <v>35445.9</v>
      </c>
      <c r="AB78" s="8">
        <f t="shared" si="22"/>
        <v>16974698.987544559</v>
      </c>
      <c r="AC78" s="8">
        <f t="shared" si="23"/>
        <v>478.89033675388572</v>
      </c>
      <c r="AE78" s="3" t="s">
        <v>9</v>
      </c>
      <c r="AF78" s="7">
        <v>219.1</v>
      </c>
      <c r="AG78" s="5">
        <v>41705.380000000005</v>
      </c>
      <c r="AH78" s="8">
        <f t="shared" si="24"/>
        <v>14618396.560985142</v>
      </c>
      <c r="AI78" s="8">
        <f t="shared" si="25"/>
        <v>350.51584618064004</v>
      </c>
      <c r="AK78" s="3" t="s">
        <v>9</v>
      </c>
      <c r="AL78" s="7">
        <v>219.1</v>
      </c>
      <c r="AM78" s="5">
        <v>371762.26</v>
      </c>
      <c r="AN78" s="8">
        <f t="shared" si="26"/>
        <v>110186319.49109606</v>
      </c>
      <c r="AO78" s="8">
        <f t="shared" si="27"/>
        <v>296.3892017739941</v>
      </c>
    </row>
    <row r="79" spans="1:41" x14ac:dyDescent="0.25">
      <c r="A79" s="3" t="s">
        <v>9</v>
      </c>
      <c r="B79" s="7">
        <v>273.10000000000002</v>
      </c>
      <c r="C79" s="5">
        <v>35265</v>
      </c>
      <c r="D79" s="8">
        <f t="shared" si="14"/>
        <v>8163261.7246215222</v>
      </c>
      <c r="E79" s="8">
        <f t="shared" si="15"/>
        <v>231.48338932713801</v>
      </c>
      <c r="G79" s="3" t="s">
        <v>9</v>
      </c>
      <c r="H79" s="7">
        <v>273.10000000000002</v>
      </c>
      <c r="I79" s="5">
        <v>81323.23</v>
      </c>
      <c r="J79" s="8">
        <f t="shared" si="16"/>
        <v>18616581.188621931</v>
      </c>
      <c r="K79" s="8">
        <f t="shared" si="17"/>
        <v>228.92082850892581</v>
      </c>
      <c r="M79" s="3" t="s">
        <v>9</v>
      </c>
      <c r="N79" s="7">
        <v>273.10000000000002</v>
      </c>
      <c r="O79" s="5">
        <v>11811.74</v>
      </c>
      <c r="P79" s="8">
        <f t="shared" si="18"/>
        <v>5954457.8156291256</v>
      </c>
      <c r="Q79" s="8">
        <f t="shared" si="19"/>
        <v>504.11351889130015</v>
      </c>
      <c r="S79" s="3" t="s">
        <v>9</v>
      </c>
      <c r="T79" s="7">
        <v>273.10000000000002</v>
      </c>
      <c r="U79" s="5">
        <v>39359.03</v>
      </c>
      <c r="V79" s="8">
        <f t="shared" si="20"/>
        <v>14005811.98680158</v>
      </c>
      <c r="W79" s="8">
        <f t="shared" si="21"/>
        <v>355.84748879231984</v>
      </c>
      <c r="Y79" s="3" t="s">
        <v>9</v>
      </c>
      <c r="Z79" s="7">
        <v>273.10000000000002</v>
      </c>
      <c r="AA79" s="5">
        <v>26392.04</v>
      </c>
      <c r="AB79" s="8">
        <f t="shared" si="22"/>
        <v>16587075.75722529</v>
      </c>
      <c r="AC79" s="8">
        <f t="shared" si="23"/>
        <v>628.48782273841994</v>
      </c>
      <c r="AE79" s="3" t="s">
        <v>9</v>
      </c>
      <c r="AF79" s="7">
        <v>273.10000000000002</v>
      </c>
      <c r="AG79" s="5">
        <v>19243.22</v>
      </c>
      <c r="AH79" s="8">
        <f t="shared" si="24"/>
        <v>5590202.621895154</v>
      </c>
      <c r="AI79" s="8">
        <f t="shared" si="25"/>
        <v>290.50245343009919</v>
      </c>
      <c r="AK79" s="3" t="s">
        <v>9</v>
      </c>
      <c r="AL79" s="7">
        <v>273.10000000000002</v>
      </c>
      <c r="AM79" s="5">
        <v>213394.25999999998</v>
      </c>
      <c r="AN79" s="8">
        <f t="shared" si="26"/>
        <v>58952684.87247175</v>
      </c>
      <c r="AO79" s="8">
        <f t="shared" si="27"/>
        <v>276.26181169292818</v>
      </c>
    </row>
    <row r="80" spans="1:41" x14ac:dyDescent="0.25">
      <c r="A80" s="3" t="s">
        <v>9</v>
      </c>
      <c r="B80" s="7">
        <v>323.89999999999998</v>
      </c>
      <c r="C80" s="5">
        <v>126443.01000000001</v>
      </c>
      <c r="D80" s="8">
        <f t="shared" si="14"/>
        <v>29666180.447144721</v>
      </c>
      <c r="E80" s="8">
        <f t="shared" si="15"/>
        <v>234.62096044015971</v>
      </c>
      <c r="G80" s="3" t="s">
        <v>9</v>
      </c>
      <c r="H80" s="7">
        <v>323.89999999999998</v>
      </c>
      <c r="I80" s="5">
        <v>7.89</v>
      </c>
      <c r="J80" s="8">
        <f t="shared" si="16"/>
        <v>2040.0682982631042</v>
      </c>
      <c r="K80" s="8">
        <f t="shared" si="17"/>
        <v>258.56378938695872</v>
      </c>
      <c r="M80" s="3" t="s">
        <v>9</v>
      </c>
      <c r="N80" s="7">
        <v>323.89999999999998</v>
      </c>
      <c r="O80" s="5">
        <v>2439.6799999999998</v>
      </c>
      <c r="P80" s="8">
        <f t="shared" si="18"/>
        <v>1372293.5700768048</v>
      </c>
      <c r="Q80" s="8">
        <f t="shared" si="19"/>
        <v>562.48916664349622</v>
      </c>
      <c r="S80" s="3" t="s">
        <v>9</v>
      </c>
      <c r="T80" s="7">
        <v>323.89999999999998</v>
      </c>
      <c r="U80" s="5">
        <v>2855.29</v>
      </c>
      <c r="V80" s="8">
        <f t="shared" si="20"/>
        <v>1136743.0056780407</v>
      </c>
      <c r="W80" s="8">
        <f t="shared" si="21"/>
        <v>398.11823166054614</v>
      </c>
      <c r="Y80" s="3" t="s">
        <v>9</v>
      </c>
      <c r="Z80" s="7">
        <v>323.89999999999998</v>
      </c>
      <c r="AA80" s="5">
        <v>6.6</v>
      </c>
      <c r="AB80" s="8">
        <f t="shared" si="22"/>
        <v>5072.9523643535704</v>
      </c>
      <c r="AC80" s="8">
        <f t="shared" si="23"/>
        <v>768.62914611417739</v>
      </c>
      <c r="AE80" s="3" t="s">
        <v>9</v>
      </c>
      <c r="AF80" s="7">
        <v>323.89999999999998</v>
      </c>
      <c r="AG80" s="5">
        <v>20.46</v>
      </c>
      <c r="AH80" s="8">
        <f t="shared" si="24"/>
        <v>5356.638669598763</v>
      </c>
      <c r="AI80" s="8">
        <f t="shared" si="25"/>
        <v>261.81029665683104</v>
      </c>
      <c r="AK80" s="3" t="s">
        <v>9</v>
      </c>
      <c r="AL80" s="7">
        <v>323.89999999999998</v>
      </c>
      <c r="AM80" s="5">
        <v>131772.93</v>
      </c>
      <c r="AN80" s="8">
        <f t="shared" si="26"/>
        <v>37225262.281897821</v>
      </c>
      <c r="AO80" s="8">
        <f t="shared" si="27"/>
        <v>282.49551923826709</v>
      </c>
    </row>
    <row r="81" spans="1:41" x14ac:dyDescent="0.25">
      <c r="A81" s="3" t="s">
        <v>9</v>
      </c>
      <c r="B81" s="7">
        <v>406.4</v>
      </c>
      <c r="C81" s="5">
        <v>99515.15</v>
      </c>
      <c r="D81" s="8">
        <f t="shared" si="14"/>
        <v>26426807.2672587</v>
      </c>
      <c r="E81" s="8">
        <f t="shared" si="15"/>
        <v>265.55561909175339</v>
      </c>
      <c r="G81" s="3" t="s">
        <v>9</v>
      </c>
      <c r="H81" s="7">
        <v>406.4</v>
      </c>
      <c r="I81" s="5">
        <v>65072.92</v>
      </c>
      <c r="J81" s="8">
        <f t="shared" si="16"/>
        <v>19958152.49027279</v>
      </c>
      <c r="K81" s="8">
        <f t="shared" si="17"/>
        <v>306.70442467116567</v>
      </c>
      <c r="M81" s="3" t="s">
        <v>9</v>
      </c>
      <c r="N81" s="7">
        <v>406.4</v>
      </c>
      <c r="O81" s="5">
        <v>3057.57</v>
      </c>
      <c r="P81" s="8">
        <f t="shared" si="18"/>
        <v>2009716.7220623982</v>
      </c>
      <c r="Q81" s="8">
        <f t="shared" si="19"/>
        <v>657.29213789460198</v>
      </c>
      <c r="S81" s="3" t="s">
        <v>9</v>
      </c>
      <c r="T81" s="7">
        <v>406.4</v>
      </c>
      <c r="U81" s="5">
        <v>0</v>
      </c>
      <c r="V81" s="8">
        <f t="shared" si="20"/>
        <v>0</v>
      </c>
      <c r="W81" s="8">
        <f t="shared" si="21"/>
        <v>466.76658375953571</v>
      </c>
      <c r="Y81" s="3" t="s">
        <v>9</v>
      </c>
      <c r="Z81" s="7">
        <v>406.4</v>
      </c>
      <c r="AA81" s="5">
        <v>11487.52</v>
      </c>
      <c r="AB81" s="8">
        <f t="shared" si="22"/>
        <v>11444107.079242811</v>
      </c>
      <c r="AC81" s="8">
        <f t="shared" si="23"/>
        <v>996.22086222638222</v>
      </c>
      <c r="AE81" s="3" t="s">
        <v>9</v>
      </c>
      <c r="AF81" s="7">
        <v>406.4</v>
      </c>
      <c r="AG81" s="5">
        <v>0</v>
      </c>
      <c r="AH81" s="8">
        <f t="shared" si="24"/>
        <v>0</v>
      </c>
      <c r="AI81" s="8">
        <f t="shared" si="25"/>
        <v>215.21378221205489</v>
      </c>
      <c r="AK81" s="3" t="s">
        <v>9</v>
      </c>
      <c r="AL81" s="7">
        <v>406.4</v>
      </c>
      <c r="AM81" s="5">
        <v>179133.16</v>
      </c>
      <c r="AN81" s="8">
        <f t="shared" si="26"/>
        <v>59706800.686960861</v>
      </c>
      <c r="AO81" s="8">
        <f t="shared" si="27"/>
        <v>333.30959319291225</v>
      </c>
    </row>
    <row r="82" spans="1:41" x14ac:dyDescent="0.25">
      <c r="A82" s="3" t="s">
        <v>9</v>
      </c>
      <c r="B82" s="7">
        <v>508</v>
      </c>
      <c r="C82" s="5">
        <v>48879.15</v>
      </c>
      <c r="D82" s="8">
        <f t="shared" si="14"/>
        <v>14188736.149230929</v>
      </c>
      <c r="E82" s="8">
        <f t="shared" si="15"/>
        <v>290.28197399567972</v>
      </c>
      <c r="G82" s="3" t="s">
        <v>9</v>
      </c>
      <c r="H82" s="7">
        <v>508</v>
      </c>
      <c r="I82" s="5">
        <v>0</v>
      </c>
      <c r="J82" s="8">
        <f t="shared" si="16"/>
        <v>0</v>
      </c>
      <c r="K82" s="8">
        <f t="shared" si="17"/>
        <v>365.99034642723149</v>
      </c>
      <c r="M82" s="3" t="s">
        <v>9</v>
      </c>
      <c r="N82" s="7">
        <v>508</v>
      </c>
      <c r="O82" s="5">
        <v>2300.39</v>
      </c>
      <c r="P82" s="8">
        <f t="shared" si="18"/>
        <v>1780601.7737567122</v>
      </c>
      <c r="Q82" s="8">
        <f t="shared" si="19"/>
        <v>774.04343339899424</v>
      </c>
      <c r="S82" s="3" t="s">
        <v>9</v>
      </c>
      <c r="T82" s="7">
        <v>508</v>
      </c>
      <c r="U82" s="5">
        <v>0</v>
      </c>
      <c r="V82" s="8">
        <f t="shared" si="20"/>
        <v>0</v>
      </c>
      <c r="W82" s="8">
        <f t="shared" si="21"/>
        <v>551.30806949598843</v>
      </c>
      <c r="Y82" s="3" t="s">
        <v>9</v>
      </c>
      <c r="Z82" s="7">
        <v>508</v>
      </c>
      <c r="AA82" s="5">
        <v>0</v>
      </c>
      <c r="AB82" s="8">
        <f t="shared" si="22"/>
        <v>0</v>
      </c>
      <c r="AC82" s="8">
        <f t="shared" si="23"/>
        <v>1276.5035089778976</v>
      </c>
      <c r="AE82" s="3" t="s">
        <v>9</v>
      </c>
      <c r="AF82" s="7">
        <v>508</v>
      </c>
      <c r="AG82" s="5">
        <v>0</v>
      </c>
      <c r="AH82" s="8">
        <f t="shared" si="24"/>
        <v>0</v>
      </c>
      <c r="AI82" s="8">
        <f t="shared" si="25"/>
        <v>157.82946866551845</v>
      </c>
      <c r="AK82" s="3" t="s">
        <v>9</v>
      </c>
      <c r="AL82" s="7">
        <v>508</v>
      </c>
      <c r="AM82" s="5">
        <v>51179.54</v>
      </c>
      <c r="AN82" s="8">
        <f t="shared" si="26"/>
        <v>19725996.093339164</v>
      </c>
      <c r="AO82" s="8">
        <f t="shared" si="27"/>
        <v>385.42738159309681</v>
      </c>
    </row>
    <row r="83" spans="1:41" x14ac:dyDescent="0.25">
      <c r="A83" s="3" t="s">
        <v>9</v>
      </c>
      <c r="B83" s="7">
        <v>610</v>
      </c>
      <c r="C83" s="5">
        <v>18279.560000000001</v>
      </c>
      <c r="D83" s="8">
        <f t="shared" si="14"/>
        <v>5772939.6177418847</v>
      </c>
      <c r="E83" s="8">
        <f t="shared" si="15"/>
        <v>315.81392646988684</v>
      </c>
      <c r="G83" s="3" t="s">
        <v>9</v>
      </c>
      <c r="H83" s="7">
        <v>610</v>
      </c>
      <c r="I83" s="5">
        <v>0</v>
      </c>
      <c r="J83" s="8">
        <f t="shared" si="16"/>
        <v>0</v>
      </c>
      <c r="K83" s="8">
        <f t="shared" si="17"/>
        <v>425.50967732406923</v>
      </c>
      <c r="M83" s="3" t="s">
        <v>9</v>
      </c>
      <c r="N83" s="7">
        <v>610</v>
      </c>
      <c r="O83" s="5">
        <v>0</v>
      </c>
      <c r="P83" s="8">
        <f t="shared" si="18"/>
        <v>0</v>
      </c>
      <c r="Q83" s="8">
        <f t="shared" si="19"/>
        <v>891.25437967308869</v>
      </c>
      <c r="S83" s="3" t="s">
        <v>9</v>
      </c>
      <c r="T83" s="7">
        <v>610</v>
      </c>
      <c r="U83" s="5">
        <v>0</v>
      </c>
      <c r="V83" s="8">
        <f t="shared" si="20"/>
        <v>0</v>
      </c>
      <c r="W83" s="8">
        <f t="shared" si="21"/>
        <v>636.18239572746654</v>
      </c>
      <c r="Y83" s="3" t="s">
        <v>9</v>
      </c>
      <c r="Z83" s="7">
        <v>610</v>
      </c>
      <c r="AA83" s="5">
        <v>0</v>
      </c>
      <c r="AB83" s="8">
        <f t="shared" si="22"/>
        <v>0</v>
      </c>
      <c r="AC83" s="8">
        <f t="shared" si="23"/>
        <v>1557.8896307166235</v>
      </c>
      <c r="AE83" s="3" t="s">
        <v>9</v>
      </c>
      <c r="AF83" s="7">
        <v>610</v>
      </c>
      <c r="AG83" s="5">
        <v>0</v>
      </c>
      <c r="AH83" s="8">
        <f t="shared" si="24"/>
        <v>0</v>
      </c>
      <c r="AI83" s="8">
        <f t="shared" si="25"/>
        <v>100.21923262470438</v>
      </c>
      <c r="AK83" s="3" t="s">
        <v>9</v>
      </c>
      <c r="AL83" s="7">
        <v>610</v>
      </c>
      <c r="AM83" s="5">
        <v>18279.560000000001</v>
      </c>
      <c r="AN83" s="8">
        <f t="shared" si="26"/>
        <v>7911942.9715789789</v>
      </c>
      <c r="AO83" s="8">
        <f t="shared" si="27"/>
        <v>432.83005562382129</v>
      </c>
    </row>
    <row r="84" spans="1:41" x14ac:dyDescent="0.25">
      <c r="A84" s="3" t="s">
        <v>9</v>
      </c>
      <c r="B84" s="7">
        <v>762</v>
      </c>
      <c r="C84" s="5">
        <v>8104.32</v>
      </c>
      <c r="D84" s="8">
        <f t="shared" si="14"/>
        <v>2867807.1714264378</v>
      </c>
      <c r="E84" s="8">
        <f t="shared" si="15"/>
        <v>353.86154192164645</v>
      </c>
      <c r="G84" s="3" t="s">
        <v>9</v>
      </c>
      <c r="H84" s="7">
        <v>762</v>
      </c>
      <c r="I84" s="5">
        <v>0</v>
      </c>
      <c r="J84" s="8">
        <f t="shared" si="16"/>
        <v>0</v>
      </c>
      <c r="K84" s="8">
        <f t="shared" si="17"/>
        <v>514.20515081739597</v>
      </c>
      <c r="M84" s="3" t="s">
        <v>9</v>
      </c>
      <c r="N84" s="7">
        <v>762</v>
      </c>
      <c r="O84" s="5">
        <v>0</v>
      </c>
      <c r="P84" s="8">
        <f t="shared" si="18"/>
        <v>0</v>
      </c>
      <c r="Q84" s="8">
        <f t="shared" si="19"/>
        <v>1065.9216721599746</v>
      </c>
      <c r="S84" s="3" t="s">
        <v>9</v>
      </c>
      <c r="T84" s="7">
        <v>762</v>
      </c>
      <c r="U84" s="5">
        <v>0</v>
      </c>
      <c r="V84" s="8">
        <f t="shared" si="20"/>
        <v>0</v>
      </c>
      <c r="W84" s="8">
        <f t="shared" si="21"/>
        <v>762.6617838371202</v>
      </c>
      <c r="Y84" s="3" t="s">
        <v>9</v>
      </c>
      <c r="Z84" s="7">
        <v>762</v>
      </c>
      <c r="AA84" s="5">
        <v>0</v>
      </c>
      <c r="AB84" s="8">
        <f t="shared" si="22"/>
        <v>0</v>
      </c>
      <c r="AC84" s="8">
        <f t="shared" si="23"/>
        <v>1977.2101258566856</v>
      </c>
      <c r="AE84" s="3" t="s">
        <v>9</v>
      </c>
      <c r="AF84" s="7">
        <v>762</v>
      </c>
      <c r="AG84" s="5">
        <v>0</v>
      </c>
      <c r="AH84" s="8">
        <f t="shared" si="24"/>
        <v>0</v>
      </c>
      <c r="AI84" s="8">
        <f t="shared" si="25"/>
        <v>14.368684799177458</v>
      </c>
      <c r="AK84" s="3" t="s">
        <v>9</v>
      </c>
      <c r="AL84" s="7">
        <v>762</v>
      </c>
      <c r="AM84" s="5">
        <v>8104.32</v>
      </c>
      <c r="AN84" s="8">
        <f t="shared" si="26"/>
        <v>4080276.5975550474</v>
      </c>
      <c r="AO84" s="8">
        <f t="shared" si="27"/>
        <v>503.46933457156769</v>
      </c>
    </row>
    <row r="85" spans="1:41" x14ac:dyDescent="0.25">
      <c r="A85" s="9" t="s">
        <v>10</v>
      </c>
      <c r="B85" s="9"/>
      <c r="C85" s="10">
        <v>6132168.1000000015</v>
      </c>
      <c r="D85" s="11">
        <f>SUM(D62:D84)</f>
        <v>1086317014.548677</v>
      </c>
      <c r="E85" s="11">
        <f>D85/C85</f>
        <v>177.15056026410574</v>
      </c>
      <c r="G85" s="9" t="s">
        <v>10</v>
      </c>
      <c r="H85" s="9"/>
      <c r="I85" s="10">
        <v>344281.62</v>
      </c>
      <c r="J85" s="11">
        <f>SUM(J62:J84)</f>
        <v>69574722.999411374</v>
      </c>
      <c r="K85" s="11">
        <f>J85/I85</f>
        <v>202.08666091268938</v>
      </c>
      <c r="M85" s="9" t="s">
        <v>10</v>
      </c>
      <c r="N85" s="9"/>
      <c r="O85" s="10">
        <v>523889.63</v>
      </c>
      <c r="P85" s="11">
        <f>SUM(P62:P84)</f>
        <v>101724616.4412422</v>
      </c>
      <c r="Q85" s="11">
        <f>P85/O85</f>
        <v>194.17184577836022</v>
      </c>
      <c r="S85" s="9" t="s">
        <v>10</v>
      </c>
      <c r="T85" s="9"/>
      <c r="U85" s="10">
        <v>1124104.5099999998</v>
      </c>
      <c r="V85" s="11">
        <f>SUM(V62:V84)</f>
        <v>217607815.03063449</v>
      </c>
      <c r="W85" s="11">
        <f>V85/U85</f>
        <v>193.58325946991755</v>
      </c>
      <c r="Y85" s="9" t="s">
        <v>10</v>
      </c>
      <c r="Z85" s="9"/>
      <c r="AA85" s="10">
        <v>784998.11</v>
      </c>
      <c r="AB85" s="11">
        <f>SUM(AB62:AB84)</f>
        <v>189231415.53611022</v>
      </c>
      <c r="AC85" s="11">
        <f>AB85/AA85</f>
        <v>241.05970845727288</v>
      </c>
      <c r="AE85" s="9" t="s">
        <v>10</v>
      </c>
      <c r="AF85" s="9"/>
      <c r="AG85" s="10">
        <v>343314.52999999997</v>
      </c>
      <c r="AH85" s="11">
        <f>SUM(AH62:AH84)</f>
        <v>80083710.07572636</v>
      </c>
      <c r="AI85" s="11">
        <f>AH85/AG85</f>
        <v>233.26629978558253</v>
      </c>
      <c r="AK85" s="9" t="s">
        <v>10</v>
      </c>
      <c r="AL85" s="9"/>
      <c r="AM85" s="10">
        <v>9252756.5</v>
      </c>
      <c r="AN85" s="11">
        <f>SUM(AN62:AN84)</f>
        <v>1732148820.1038167</v>
      </c>
      <c r="AO85" s="11">
        <f>AN85/AM85</f>
        <v>187.20354524663182</v>
      </c>
    </row>
    <row r="87" spans="1:41" x14ac:dyDescent="0.25">
      <c r="A87" s="50" t="s">
        <v>65</v>
      </c>
    </row>
    <row r="88" spans="1:41" x14ac:dyDescent="0.25">
      <c r="A88" s="1" t="s">
        <v>49</v>
      </c>
      <c r="G88" s="1" t="s">
        <v>50</v>
      </c>
      <c r="M88" s="1" t="s">
        <v>51</v>
      </c>
      <c r="S88" s="1" t="s">
        <v>52</v>
      </c>
      <c r="Y88" s="1" t="s">
        <v>53</v>
      </c>
      <c r="AE88" s="1" t="s">
        <v>54</v>
      </c>
      <c r="AK88" s="1" t="s">
        <v>12</v>
      </c>
    </row>
    <row r="89" spans="1:41" ht="26.25" x14ac:dyDescent="0.25">
      <c r="A89" s="2" t="s">
        <v>0</v>
      </c>
      <c r="B89" s="2" t="s">
        <v>1</v>
      </c>
      <c r="C89" s="2" t="s">
        <v>2</v>
      </c>
      <c r="D89" s="2" t="s">
        <v>3</v>
      </c>
      <c r="E89" s="2" t="s">
        <v>4</v>
      </c>
      <c r="G89" s="2" t="s">
        <v>0</v>
      </c>
      <c r="H89" s="2" t="s">
        <v>1</v>
      </c>
      <c r="I89" s="2" t="s">
        <v>2</v>
      </c>
      <c r="J89" s="2" t="s">
        <v>3</v>
      </c>
      <c r="K89" s="2" t="s">
        <v>4</v>
      </c>
      <c r="M89" s="2" t="s">
        <v>0</v>
      </c>
      <c r="N89" s="2" t="s">
        <v>1</v>
      </c>
      <c r="O89" s="2" t="s">
        <v>2</v>
      </c>
      <c r="P89" s="2" t="s">
        <v>3</v>
      </c>
      <c r="Q89" s="2" t="s">
        <v>4</v>
      </c>
      <c r="S89" s="2" t="s">
        <v>0</v>
      </c>
      <c r="T89" s="2" t="s">
        <v>1</v>
      </c>
      <c r="U89" s="2" t="s">
        <v>2</v>
      </c>
      <c r="V89" s="2" t="s">
        <v>3</v>
      </c>
      <c r="W89" s="2" t="s">
        <v>4</v>
      </c>
      <c r="Y89" s="2" t="s">
        <v>0</v>
      </c>
      <c r="Z89" s="2" t="s">
        <v>1</v>
      </c>
      <c r="AA89" s="2" t="s">
        <v>2</v>
      </c>
      <c r="AB89" s="2" t="s">
        <v>3</v>
      </c>
      <c r="AC89" s="2" t="s">
        <v>4</v>
      </c>
      <c r="AE89" s="2" t="s">
        <v>0</v>
      </c>
      <c r="AF89" s="2" t="s">
        <v>1</v>
      </c>
      <c r="AG89" s="2" t="s">
        <v>2</v>
      </c>
      <c r="AH89" s="2" t="s">
        <v>3</v>
      </c>
      <c r="AI89" s="2" t="s">
        <v>4</v>
      </c>
      <c r="AK89" s="2" t="s">
        <v>0</v>
      </c>
      <c r="AL89" s="2" t="s">
        <v>1</v>
      </c>
      <c r="AM89" s="2" t="s">
        <v>2</v>
      </c>
      <c r="AN89" s="2" t="s">
        <v>3</v>
      </c>
      <c r="AO89" s="2" t="s">
        <v>4</v>
      </c>
    </row>
    <row r="90" spans="1:41" x14ac:dyDescent="0.25">
      <c r="A90" s="3" t="s">
        <v>8</v>
      </c>
      <c r="B90" s="4">
        <v>60.3</v>
      </c>
      <c r="C90" s="5">
        <v>166.07891626964886</v>
      </c>
      <c r="D90" s="5">
        <v>169.2423124468381</v>
      </c>
      <c r="E90" s="5">
        <v>1345629.8150480005</v>
      </c>
      <c r="G90" s="3" t="s">
        <v>8</v>
      </c>
      <c r="H90" s="4">
        <v>60.3</v>
      </c>
      <c r="I90" s="5">
        <v>194.24848662766712</v>
      </c>
      <c r="J90" s="5">
        <v>193.53365804024205</v>
      </c>
      <c r="K90" s="5">
        <v>9049.56</v>
      </c>
      <c r="M90" s="3" t="s">
        <v>8</v>
      </c>
      <c r="N90" s="4">
        <v>42.2</v>
      </c>
      <c r="O90" s="5">
        <v>126.82448724392911</v>
      </c>
      <c r="P90" s="5">
        <v>127.17229436241931</v>
      </c>
      <c r="Q90" s="5">
        <v>123649.26999999999</v>
      </c>
      <c r="S90" s="3" t="s">
        <v>8</v>
      </c>
      <c r="T90" s="4">
        <v>60.3</v>
      </c>
      <c r="U90" s="5">
        <v>176.02626339505059</v>
      </c>
      <c r="V90" s="5">
        <v>183.63140334835197</v>
      </c>
      <c r="W90" s="5">
        <v>117448.10634000001</v>
      </c>
      <c r="Y90" s="3" t="s">
        <v>8</v>
      </c>
      <c r="Z90" s="4">
        <v>42.2</v>
      </c>
      <c r="AA90" s="5">
        <v>187.90658499064961</v>
      </c>
      <c r="AB90" s="5">
        <v>205.93403191017623</v>
      </c>
      <c r="AC90" s="5">
        <v>41971.501447000002</v>
      </c>
      <c r="AE90" s="3" t="s">
        <v>8</v>
      </c>
      <c r="AF90" s="4">
        <v>60.3</v>
      </c>
      <c r="AG90" s="5">
        <v>160.81743805670047</v>
      </c>
      <c r="AH90" s="5">
        <v>163.96718770696614</v>
      </c>
      <c r="AI90" s="5">
        <v>27645.599999999999</v>
      </c>
      <c r="AK90" s="3" t="s">
        <v>8</v>
      </c>
      <c r="AL90" s="4">
        <v>42.2</v>
      </c>
      <c r="AM90" s="5">
        <v>166.68816091217496</v>
      </c>
      <c r="AN90" s="5">
        <v>157.2431152205437</v>
      </c>
      <c r="AO90" s="5">
        <v>273026.48880599998</v>
      </c>
    </row>
    <row r="91" spans="1:41" x14ac:dyDescent="0.25">
      <c r="A91" s="3" t="s">
        <v>8</v>
      </c>
      <c r="B91" s="4">
        <v>114.3</v>
      </c>
      <c r="C91" s="5">
        <v>208.92856646138924</v>
      </c>
      <c r="D91" s="5">
        <v>206.14162371258763</v>
      </c>
      <c r="E91" s="5">
        <v>1325039.3982959997</v>
      </c>
      <c r="G91" s="3" t="s">
        <v>8</v>
      </c>
      <c r="H91" s="4">
        <v>114.3</v>
      </c>
      <c r="I91" s="5">
        <v>218.88711088265208</v>
      </c>
      <c r="J91" s="5">
        <v>207.10333620574971</v>
      </c>
      <c r="K91" s="5">
        <v>27677.783776999997</v>
      </c>
      <c r="M91" s="3" t="s">
        <v>8</v>
      </c>
      <c r="N91" s="4">
        <v>60.3</v>
      </c>
      <c r="O91" s="5">
        <v>166.74167673451697</v>
      </c>
      <c r="P91" s="5">
        <v>155.32557388414111</v>
      </c>
      <c r="Q91" s="5">
        <v>70274.498090000008</v>
      </c>
      <c r="S91" s="3" t="s">
        <v>8</v>
      </c>
      <c r="T91" s="4">
        <v>88.9</v>
      </c>
      <c r="U91" s="5">
        <v>204.71685549717529</v>
      </c>
      <c r="V91" s="5">
        <v>193.13270968092564</v>
      </c>
      <c r="W91" s="5">
        <v>103407.48431699999</v>
      </c>
      <c r="Y91" s="3" t="s">
        <v>8</v>
      </c>
      <c r="Z91" s="4">
        <v>60.3</v>
      </c>
      <c r="AA91" s="5">
        <v>199.17748319885652</v>
      </c>
      <c r="AB91" s="5">
        <v>199.75649854422943</v>
      </c>
      <c r="AC91" s="5">
        <v>65448.708682999997</v>
      </c>
      <c r="AE91" s="3" t="s">
        <v>8</v>
      </c>
      <c r="AF91" s="4">
        <v>114.3</v>
      </c>
      <c r="AG91" s="5">
        <v>211.99774866796645</v>
      </c>
      <c r="AH91" s="5">
        <v>203.69543272943434</v>
      </c>
      <c r="AI91" s="5">
        <v>50989.486818999998</v>
      </c>
      <c r="AK91" s="3" t="s">
        <v>8</v>
      </c>
      <c r="AL91" s="4">
        <v>60.3</v>
      </c>
      <c r="AM91" s="5">
        <v>171.62278022632077</v>
      </c>
      <c r="AN91" s="5">
        <v>170.94398903176605</v>
      </c>
      <c r="AO91" s="5">
        <v>1635496.2881610007</v>
      </c>
    </row>
    <row r="92" spans="1:41" x14ac:dyDescent="0.25">
      <c r="A92" s="3" t="s">
        <v>8</v>
      </c>
      <c r="B92" s="4">
        <v>168.3</v>
      </c>
      <c r="C92" s="5">
        <v>252.21134123345709</v>
      </c>
      <c r="D92" s="5">
        <v>230.0455313017012</v>
      </c>
      <c r="E92" s="5">
        <v>533844.62009199988</v>
      </c>
      <c r="G92" s="3" t="s">
        <v>8</v>
      </c>
      <c r="H92" s="4">
        <v>168.3</v>
      </c>
      <c r="I92" s="5">
        <v>235.9206090732371</v>
      </c>
      <c r="J92" s="5">
        <v>254.27993282191602</v>
      </c>
      <c r="K92" s="5">
        <v>17853.900000000001</v>
      </c>
      <c r="M92" s="3" t="s">
        <v>8</v>
      </c>
      <c r="N92" s="4">
        <v>88.9</v>
      </c>
      <c r="O92" s="5">
        <v>190.83136284828285</v>
      </c>
      <c r="P92" s="5">
        <v>178.19605998340077</v>
      </c>
      <c r="Q92" s="5">
        <v>33852.18</v>
      </c>
      <c r="S92" s="3" t="s">
        <v>8</v>
      </c>
      <c r="T92" s="4">
        <v>114.3</v>
      </c>
      <c r="U92" s="5">
        <v>207.43615527311931</v>
      </c>
      <c r="V92" s="5">
        <v>202.88819689135539</v>
      </c>
      <c r="W92" s="5">
        <v>342819.03975</v>
      </c>
      <c r="Y92" s="3" t="s">
        <v>8</v>
      </c>
      <c r="Z92" s="4">
        <v>114.3</v>
      </c>
      <c r="AA92" s="5">
        <v>223.88361363779052</v>
      </c>
      <c r="AB92" s="5">
        <v>222.73798522686704</v>
      </c>
      <c r="AC92" s="5">
        <v>171560.342064</v>
      </c>
      <c r="AE92" s="3" t="s">
        <v>8</v>
      </c>
      <c r="AF92" s="4">
        <v>168.3</v>
      </c>
      <c r="AG92" s="5">
        <v>160.49750037227952</v>
      </c>
      <c r="AH92" s="5">
        <v>153.11799144021271</v>
      </c>
      <c r="AI92" s="5">
        <v>11954</v>
      </c>
      <c r="AK92" s="3" t="s">
        <v>8</v>
      </c>
      <c r="AL92" s="4">
        <v>88.9</v>
      </c>
      <c r="AM92" s="5">
        <v>190.73100053772478</v>
      </c>
      <c r="AN92" s="5">
        <v>180.78559281473812</v>
      </c>
      <c r="AO92" s="5">
        <v>181767.86986699997</v>
      </c>
    </row>
    <row r="93" spans="1:41" x14ac:dyDescent="0.25">
      <c r="A93" s="3" t="s">
        <v>9</v>
      </c>
      <c r="B93" s="4">
        <v>114.3</v>
      </c>
      <c r="C93" s="5">
        <v>481.19073660209972</v>
      </c>
      <c r="D93" s="5">
        <v>342.03761478847946</v>
      </c>
      <c r="E93" s="5">
        <v>447620.92236600001</v>
      </c>
      <c r="G93" s="3" t="s">
        <v>9</v>
      </c>
      <c r="H93" s="4">
        <v>88.9</v>
      </c>
      <c r="I93" s="5">
        <v>282.35732148147525</v>
      </c>
      <c r="J93" s="5">
        <v>205.3230205035652</v>
      </c>
      <c r="K93" s="5">
        <v>4785.6499999999996</v>
      </c>
      <c r="M93" s="3" t="s">
        <v>8</v>
      </c>
      <c r="N93" s="4">
        <v>114.3</v>
      </c>
      <c r="O93" s="5">
        <v>182.30642529163021</v>
      </c>
      <c r="P93" s="5">
        <v>173.59753924347072</v>
      </c>
      <c r="Q93" s="5">
        <v>64899.5</v>
      </c>
      <c r="S93" s="3" t="s">
        <v>8</v>
      </c>
      <c r="T93" s="4">
        <v>168.3</v>
      </c>
      <c r="U93" s="5">
        <v>227.61122119903999</v>
      </c>
      <c r="V93" s="5">
        <v>220.18883490302051</v>
      </c>
      <c r="W93" s="5">
        <v>62913.830000000009</v>
      </c>
      <c r="Y93" s="3" t="s">
        <v>8</v>
      </c>
      <c r="Z93" s="4">
        <v>168.3</v>
      </c>
      <c r="AA93" s="5">
        <v>267.54513613165778</v>
      </c>
      <c r="AB93" s="5">
        <v>242.90548760379357</v>
      </c>
      <c r="AC93" s="5">
        <v>61474.2</v>
      </c>
      <c r="AE93" s="3" t="s">
        <v>9</v>
      </c>
      <c r="AF93" s="4">
        <v>114.3</v>
      </c>
      <c r="AG93" s="5">
        <v>482.83287142308779</v>
      </c>
      <c r="AH93" s="5">
        <v>747.51087598670631</v>
      </c>
      <c r="AI93" s="5">
        <v>13881.6</v>
      </c>
      <c r="AK93" s="3" t="s">
        <v>8</v>
      </c>
      <c r="AL93" s="4">
        <v>114.3</v>
      </c>
      <c r="AM93" s="5">
        <v>208.24041740440018</v>
      </c>
      <c r="AN93" s="5">
        <v>205.90043891795884</v>
      </c>
      <c r="AO93" s="5">
        <v>1982985.5507060003</v>
      </c>
    </row>
    <row r="94" spans="1:41" x14ac:dyDescent="0.25">
      <c r="A94" s="3" t="s">
        <v>9</v>
      </c>
      <c r="B94" s="4">
        <v>168.3</v>
      </c>
      <c r="C94" s="5">
        <v>462.70958991571069</v>
      </c>
      <c r="D94" s="5">
        <v>344.53195903515223</v>
      </c>
      <c r="E94" s="5">
        <v>527991.72243299999</v>
      </c>
      <c r="G94" s="3" t="s">
        <v>9</v>
      </c>
      <c r="H94" s="4">
        <v>114.3</v>
      </c>
      <c r="I94" s="5">
        <v>341.54350244900485</v>
      </c>
      <c r="J94" s="5">
        <v>283.45342330688442</v>
      </c>
      <c r="K94" s="5">
        <v>27622.3</v>
      </c>
      <c r="M94" s="3" t="s">
        <v>8</v>
      </c>
      <c r="N94" s="4">
        <v>168.3</v>
      </c>
      <c r="O94" s="5">
        <v>215.22826592645069</v>
      </c>
      <c r="P94" s="5">
        <v>206.80035707904099</v>
      </c>
      <c r="Q94" s="5">
        <v>20471</v>
      </c>
      <c r="S94" s="3" t="s">
        <v>9</v>
      </c>
      <c r="T94" s="4">
        <v>114.3</v>
      </c>
      <c r="U94" s="5">
        <v>473.81479017042039</v>
      </c>
      <c r="V94" s="5">
        <v>439.02962914746496</v>
      </c>
      <c r="W94" s="5">
        <v>94091.016822999998</v>
      </c>
      <c r="Y94" s="3" t="s">
        <v>8</v>
      </c>
      <c r="Z94" s="4">
        <v>219.1</v>
      </c>
      <c r="AA94" s="5">
        <v>406.26710995170873</v>
      </c>
      <c r="AB94" s="5">
        <v>391.66546887234557</v>
      </c>
      <c r="AC94" s="5">
        <v>3150.5</v>
      </c>
      <c r="AE94" s="3" t="s">
        <v>9</v>
      </c>
      <c r="AF94" s="4">
        <v>168.3</v>
      </c>
      <c r="AG94" s="5">
        <v>583.60460411625138</v>
      </c>
      <c r="AH94" s="5">
        <v>532.05910262646785</v>
      </c>
      <c r="AI94" s="5">
        <v>56774.176512999999</v>
      </c>
      <c r="AK94" s="3" t="s">
        <v>8</v>
      </c>
      <c r="AL94" s="4">
        <v>168.3</v>
      </c>
      <c r="AM94" s="5">
        <v>244.86736937636363</v>
      </c>
      <c r="AN94" s="5">
        <v>228.92722604966428</v>
      </c>
      <c r="AO94" s="5">
        <v>708511.55009199993</v>
      </c>
    </row>
    <row r="95" spans="1:41" x14ac:dyDescent="0.25">
      <c r="A95" s="3" t="s">
        <v>9</v>
      </c>
      <c r="B95" s="4">
        <v>219.1</v>
      </c>
      <c r="C95" s="5">
        <v>626.79588773021146</v>
      </c>
      <c r="D95" s="5">
        <v>442.45047669983558</v>
      </c>
      <c r="E95" s="5">
        <v>273289.04683299991</v>
      </c>
      <c r="G95" s="3" t="s">
        <v>9</v>
      </c>
      <c r="H95" s="4">
        <v>168.3</v>
      </c>
      <c r="I95" s="5">
        <v>336.9039356731447</v>
      </c>
      <c r="J95" s="5">
        <v>279.33436706144573</v>
      </c>
      <c r="K95" s="5">
        <v>10661.92</v>
      </c>
      <c r="M95" s="3" t="s">
        <v>8</v>
      </c>
      <c r="N95" s="4">
        <v>219.1</v>
      </c>
      <c r="O95" s="5">
        <v>210.13854001509981</v>
      </c>
      <c r="P95" s="5">
        <v>176.30311929294248</v>
      </c>
      <c r="Q95" s="5">
        <v>1749</v>
      </c>
      <c r="S95" s="3" t="s">
        <v>9</v>
      </c>
      <c r="T95" s="4">
        <v>168.3</v>
      </c>
      <c r="U95" s="5">
        <v>542.973162211371</v>
      </c>
      <c r="V95" s="5">
        <v>457.98056398218648</v>
      </c>
      <c r="W95" s="5">
        <v>124012.849696</v>
      </c>
      <c r="Y95" s="3" t="s">
        <v>9</v>
      </c>
      <c r="Z95" s="4">
        <v>114.3</v>
      </c>
      <c r="AA95" s="5">
        <v>649.62291447679343</v>
      </c>
      <c r="AB95" s="5">
        <v>364.38453627228517</v>
      </c>
      <c r="AC95" s="5">
        <v>46354.767520999994</v>
      </c>
      <c r="AE95" s="3" t="s">
        <v>9</v>
      </c>
      <c r="AF95" s="4">
        <v>219.1</v>
      </c>
      <c r="AG95" s="5">
        <v>603.90204645926804</v>
      </c>
      <c r="AH95" s="5">
        <v>635.88294775925044</v>
      </c>
      <c r="AI95" s="5">
        <v>40905</v>
      </c>
      <c r="AK95" s="3" t="s">
        <v>8</v>
      </c>
      <c r="AL95" s="4">
        <v>219.1</v>
      </c>
      <c r="AM95" s="5">
        <v>274.24699311127421</v>
      </c>
      <c r="AN95" s="5">
        <v>234.91341368796176</v>
      </c>
      <c r="AO95" s="5">
        <v>41995.7</v>
      </c>
    </row>
    <row r="96" spans="1:41" x14ac:dyDescent="0.25">
      <c r="A96" s="3" t="s">
        <v>9</v>
      </c>
      <c r="B96" s="4">
        <v>323.89999999999998</v>
      </c>
      <c r="C96" s="5">
        <v>740.45239758319588</v>
      </c>
      <c r="D96" s="5">
        <v>415.78058971849646</v>
      </c>
      <c r="E96" s="5">
        <v>143285.163138</v>
      </c>
      <c r="G96" s="3" t="s">
        <v>9</v>
      </c>
      <c r="H96" s="4">
        <v>219.1</v>
      </c>
      <c r="I96" s="5">
        <v>463.03289510637325</v>
      </c>
      <c r="J96" s="5">
        <v>364.3119911355891</v>
      </c>
      <c r="K96" s="5">
        <v>24050.49</v>
      </c>
      <c r="M96" s="3" t="s">
        <v>9</v>
      </c>
      <c r="N96" s="4">
        <v>88.9</v>
      </c>
      <c r="O96" s="5">
        <v>512.43536311290529</v>
      </c>
      <c r="P96" s="5">
        <v>624.85030123039849</v>
      </c>
      <c r="Q96" s="5">
        <v>5428.1</v>
      </c>
      <c r="S96" s="3" t="s">
        <v>9</v>
      </c>
      <c r="T96" s="4">
        <v>219.1</v>
      </c>
      <c r="U96" s="5">
        <v>794.95137203323804</v>
      </c>
      <c r="V96" s="5">
        <v>621.80576662332885</v>
      </c>
      <c r="W96" s="5">
        <v>84898.89</v>
      </c>
      <c r="Y96" s="3" t="s">
        <v>9</v>
      </c>
      <c r="Z96" s="4">
        <v>168.3</v>
      </c>
      <c r="AA96" s="5">
        <v>598.77966890169603</v>
      </c>
      <c r="AB96" s="5">
        <v>651.57962500394001</v>
      </c>
      <c r="AC96" s="5">
        <v>60171.869033999996</v>
      </c>
      <c r="AE96" s="3" t="s">
        <v>11</v>
      </c>
      <c r="AF96" s="4" t="s">
        <v>11</v>
      </c>
      <c r="AG96" s="5" t="s">
        <v>11</v>
      </c>
      <c r="AH96" s="5" t="s">
        <v>11</v>
      </c>
      <c r="AI96" s="5" t="s">
        <v>11</v>
      </c>
      <c r="AK96" s="3" t="s">
        <v>9</v>
      </c>
      <c r="AL96" s="4">
        <v>88.9</v>
      </c>
      <c r="AM96" s="5">
        <v>377.37398637993567</v>
      </c>
      <c r="AN96" s="5">
        <v>321.41866013302695</v>
      </c>
      <c r="AO96" s="5">
        <v>37296.452500000065</v>
      </c>
    </row>
    <row r="97" spans="1:41" x14ac:dyDescent="0.25">
      <c r="A97" s="3" t="s">
        <v>9</v>
      </c>
      <c r="B97" s="4">
        <v>406.4</v>
      </c>
      <c r="C97" s="5">
        <v>743.01009900864381</v>
      </c>
      <c r="D97" s="5">
        <v>476.74735965902283</v>
      </c>
      <c r="E97" s="5">
        <v>248294.13976499997</v>
      </c>
      <c r="G97" s="3" t="s">
        <v>11</v>
      </c>
      <c r="H97" s="4" t="s">
        <v>11</v>
      </c>
      <c r="I97" s="5" t="s">
        <v>11</v>
      </c>
      <c r="J97" s="5" t="s">
        <v>11</v>
      </c>
      <c r="K97" s="5" t="s">
        <v>11</v>
      </c>
      <c r="M97" s="3" t="s">
        <v>9</v>
      </c>
      <c r="N97" s="4">
        <v>114.3</v>
      </c>
      <c r="O97" s="5">
        <v>629.33256161473514</v>
      </c>
      <c r="P97" s="5">
        <v>557.04925249945472</v>
      </c>
      <c r="Q97" s="5">
        <v>19277.829999999998</v>
      </c>
      <c r="S97" s="3" t="s">
        <v>11</v>
      </c>
      <c r="T97" s="4" t="s">
        <v>11</v>
      </c>
      <c r="U97" s="5" t="s">
        <v>11</v>
      </c>
      <c r="V97" s="5" t="s">
        <v>11</v>
      </c>
      <c r="W97" s="5" t="s">
        <v>11</v>
      </c>
      <c r="Y97" s="3" t="s">
        <v>9</v>
      </c>
      <c r="Z97" s="4">
        <v>219.1</v>
      </c>
      <c r="AA97" s="5">
        <v>764.02886714040142</v>
      </c>
      <c r="AB97" s="5">
        <v>881.37249153036532</v>
      </c>
      <c r="AC97" s="5">
        <v>53851.3</v>
      </c>
      <c r="AE97" s="3" t="s">
        <v>11</v>
      </c>
      <c r="AF97" s="4" t="s">
        <v>11</v>
      </c>
      <c r="AG97" s="5" t="s">
        <v>11</v>
      </c>
      <c r="AH97" s="5" t="s">
        <v>11</v>
      </c>
      <c r="AI97" s="5" t="s">
        <v>11</v>
      </c>
      <c r="AK97" s="3" t="s">
        <v>9</v>
      </c>
      <c r="AL97" s="4">
        <v>114.3</v>
      </c>
      <c r="AM97" s="5">
        <v>502.07643449748787</v>
      </c>
      <c r="AN97" s="5">
        <v>370.26810418893052</v>
      </c>
      <c r="AO97" s="5">
        <v>648848.43671000004</v>
      </c>
    </row>
    <row r="98" spans="1:41" x14ac:dyDescent="0.25">
      <c r="A98" s="3" t="s">
        <v>11</v>
      </c>
      <c r="B98" s="4" t="s">
        <v>11</v>
      </c>
      <c r="C98" s="5" t="s">
        <v>11</v>
      </c>
      <c r="D98" s="5" t="s">
        <v>11</v>
      </c>
      <c r="E98" s="5" t="s">
        <v>11</v>
      </c>
      <c r="G98" s="3" t="s">
        <v>11</v>
      </c>
      <c r="H98" s="4" t="s">
        <v>11</v>
      </c>
      <c r="I98" s="5" t="s">
        <v>11</v>
      </c>
      <c r="J98" s="5" t="s">
        <v>11</v>
      </c>
      <c r="K98" s="5" t="s">
        <v>11</v>
      </c>
      <c r="M98" s="3" t="s">
        <v>9</v>
      </c>
      <c r="N98" s="4">
        <v>168.3</v>
      </c>
      <c r="O98" s="5">
        <v>546.63947069391293</v>
      </c>
      <c r="P98" s="5">
        <v>575.62618590592172</v>
      </c>
      <c r="Q98" s="5">
        <v>62035.470000000008</v>
      </c>
      <c r="S98" s="3" t="s">
        <v>11</v>
      </c>
      <c r="T98" s="4" t="s">
        <v>11</v>
      </c>
      <c r="U98" s="5" t="s">
        <v>11</v>
      </c>
      <c r="V98" s="5" t="s">
        <v>11</v>
      </c>
      <c r="W98" s="5" t="s">
        <v>11</v>
      </c>
      <c r="Y98" s="3" t="s">
        <v>11</v>
      </c>
      <c r="Z98" s="4" t="s">
        <v>11</v>
      </c>
      <c r="AA98" s="5" t="s">
        <v>11</v>
      </c>
      <c r="AB98" s="5" t="s">
        <v>11</v>
      </c>
      <c r="AC98" s="5" t="s">
        <v>11</v>
      </c>
      <c r="AE98" s="3" t="s">
        <v>11</v>
      </c>
      <c r="AF98" s="4" t="s">
        <v>11</v>
      </c>
      <c r="AG98" s="5" t="s">
        <v>11</v>
      </c>
      <c r="AH98" s="5" t="s">
        <v>11</v>
      </c>
      <c r="AI98" s="5" t="s">
        <v>11</v>
      </c>
      <c r="AK98" s="3" t="s">
        <v>9</v>
      </c>
      <c r="AL98" s="4">
        <v>168.3</v>
      </c>
      <c r="AM98" s="5">
        <v>500.3909562612136</v>
      </c>
      <c r="AN98" s="5">
        <v>412.05700850796632</v>
      </c>
      <c r="AO98" s="5">
        <v>841648.00767600001</v>
      </c>
    </row>
    <row r="99" spans="1:41" x14ac:dyDescent="0.25">
      <c r="A99" s="3" t="s">
        <v>11</v>
      </c>
      <c r="B99" s="4" t="s">
        <v>11</v>
      </c>
      <c r="C99" s="5" t="s">
        <v>11</v>
      </c>
      <c r="D99" s="5" t="s">
        <v>11</v>
      </c>
      <c r="E99" s="5" t="s">
        <v>11</v>
      </c>
      <c r="G99" s="3" t="s">
        <v>11</v>
      </c>
      <c r="H99" s="4" t="s">
        <v>11</v>
      </c>
      <c r="I99" s="5" t="s">
        <v>11</v>
      </c>
      <c r="J99" s="5" t="s">
        <v>11</v>
      </c>
      <c r="K99" s="5" t="s">
        <v>11</v>
      </c>
      <c r="M99" s="3" t="s">
        <v>9</v>
      </c>
      <c r="N99" s="4">
        <v>219.1</v>
      </c>
      <c r="O99" s="5">
        <v>814.92641595116459</v>
      </c>
      <c r="P99" s="5">
        <v>910.42403401545334</v>
      </c>
      <c r="Q99" s="5">
        <v>13144</v>
      </c>
      <c r="S99" s="3" t="s">
        <v>11</v>
      </c>
      <c r="T99" s="4" t="s">
        <v>11</v>
      </c>
      <c r="U99" s="5" t="s">
        <v>11</v>
      </c>
      <c r="V99" s="5" t="s">
        <v>11</v>
      </c>
      <c r="W99" s="5" t="s">
        <v>11</v>
      </c>
      <c r="Y99" s="3" t="s">
        <v>11</v>
      </c>
      <c r="Z99" s="4" t="s">
        <v>11</v>
      </c>
      <c r="AA99" s="5" t="s">
        <v>11</v>
      </c>
      <c r="AB99" s="5" t="s">
        <v>11</v>
      </c>
      <c r="AC99" s="5" t="s">
        <v>11</v>
      </c>
      <c r="AE99" s="3" t="s">
        <v>11</v>
      </c>
      <c r="AF99" s="4" t="s">
        <v>11</v>
      </c>
      <c r="AG99" s="5" t="s">
        <v>11</v>
      </c>
      <c r="AH99" s="5" t="s">
        <v>11</v>
      </c>
      <c r="AI99" s="5" t="s">
        <v>11</v>
      </c>
      <c r="AK99" s="3" t="s">
        <v>9</v>
      </c>
      <c r="AL99" s="4">
        <v>219.1</v>
      </c>
      <c r="AM99" s="5">
        <v>654.34917594321166</v>
      </c>
      <c r="AN99" s="5">
        <v>546.60000444187187</v>
      </c>
      <c r="AO99" s="5">
        <v>490138.72683299996</v>
      </c>
    </row>
    <row r="100" spans="1:41" x14ac:dyDescent="0.25">
      <c r="A100" s="3" t="s">
        <v>11</v>
      </c>
      <c r="B100" s="4" t="s">
        <v>11</v>
      </c>
      <c r="C100" s="5" t="s">
        <v>11</v>
      </c>
      <c r="D100" s="5" t="s">
        <v>11</v>
      </c>
      <c r="E100" s="5" t="s">
        <v>11</v>
      </c>
      <c r="G100" s="3" t="s">
        <v>11</v>
      </c>
      <c r="H100" s="4" t="s">
        <v>11</v>
      </c>
      <c r="I100" s="5" t="s">
        <v>11</v>
      </c>
      <c r="J100" s="5" t="s">
        <v>11</v>
      </c>
      <c r="K100" s="5" t="s">
        <v>11</v>
      </c>
      <c r="M100" s="3" t="s">
        <v>11</v>
      </c>
      <c r="N100" s="4" t="s">
        <v>11</v>
      </c>
      <c r="O100" s="5" t="s">
        <v>11</v>
      </c>
      <c r="P100" s="5" t="s">
        <v>11</v>
      </c>
      <c r="Q100" s="5" t="s">
        <v>11</v>
      </c>
      <c r="S100" s="3" t="s">
        <v>11</v>
      </c>
      <c r="T100" s="4" t="s">
        <v>11</v>
      </c>
      <c r="U100" s="5" t="s">
        <v>11</v>
      </c>
      <c r="V100" s="5" t="s">
        <v>11</v>
      </c>
      <c r="W100" s="5" t="s">
        <v>11</v>
      </c>
      <c r="Y100" s="3" t="s">
        <v>11</v>
      </c>
      <c r="Z100" s="4" t="s">
        <v>11</v>
      </c>
      <c r="AA100" s="5" t="s">
        <v>11</v>
      </c>
      <c r="AB100" s="5" t="s">
        <v>11</v>
      </c>
      <c r="AC100" s="5" t="s">
        <v>11</v>
      </c>
      <c r="AE100" s="3" t="s">
        <v>11</v>
      </c>
      <c r="AF100" s="4" t="s">
        <v>11</v>
      </c>
      <c r="AG100" s="5" t="s">
        <v>11</v>
      </c>
      <c r="AH100" s="5" t="s">
        <v>11</v>
      </c>
      <c r="AI100" s="5" t="s">
        <v>11</v>
      </c>
      <c r="AK100" s="3" t="s">
        <v>9</v>
      </c>
      <c r="AL100" s="4">
        <v>323.89999999999998</v>
      </c>
      <c r="AM100" s="5">
        <v>759.67150454211151</v>
      </c>
      <c r="AN100" s="5">
        <v>508.03881167260289</v>
      </c>
      <c r="AO100" s="5">
        <v>194196.163138</v>
      </c>
    </row>
    <row r="101" spans="1:41" x14ac:dyDescent="0.25">
      <c r="A101" s="3" t="s">
        <v>11</v>
      </c>
      <c r="B101" s="4" t="s">
        <v>11</v>
      </c>
      <c r="C101" s="5" t="s">
        <v>11</v>
      </c>
      <c r="D101" s="5" t="s">
        <v>11</v>
      </c>
      <c r="E101" s="5" t="s">
        <v>11</v>
      </c>
      <c r="G101" s="3" t="s">
        <v>11</v>
      </c>
      <c r="H101" s="4" t="s">
        <v>11</v>
      </c>
      <c r="I101" s="5" t="s">
        <v>11</v>
      </c>
      <c r="J101" s="5" t="s">
        <v>11</v>
      </c>
      <c r="K101" s="5" t="s">
        <v>11</v>
      </c>
      <c r="M101" s="3" t="s">
        <v>11</v>
      </c>
      <c r="N101" s="4" t="s">
        <v>11</v>
      </c>
      <c r="O101" s="5" t="s">
        <v>11</v>
      </c>
      <c r="P101" s="5" t="s">
        <v>11</v>
      </c>
      <c r="Q101" s="5" t="s">
        <v>11</v>
      </c>
      <c r="S101" s="3" t="s">
        <v>11</v>
      </c>
      <c r="T101" s="4" t="s">
        <v>11</v>
      </c>
      <c r="U101" s="5" t="s">
        <v>11</v>
      </c>
      <c r="V101" s="5" t="s">
        <v>11</v>
      </c>
      <c r="W101" s="5" t="s">
        <v>11</v>
      </c>
      <c r="Y101" s="3" t="s">
        <v>11</v>
      </c>
      <c r="Z101" s="4" t="s">
        <v>11</v>
      </c>
      <c r="AA101" s="5" t="s">
        <v>11</v>
      </c>
      <c r="AB101" s="5" t="s">
        <v>11</v>
      </c>
      <c r="AC101" s="5" t="s">
        <v>11</v>
      </c>
      <c r="AE101" s="3" t="s">
        <v>11</v>
      </c>
      <c r="AF101" s="4" t="s">
        <v>11</v>
      </c>
      <c r="AG101" s="5" t="s">
        <v>11</v>
      </c>
      <c r="AH101" s="5" t="s">
        <v>11</v>
      </c>
      <c r="AI101" s="5" t="s">
        <v>11</v>
      </c>
      <c r="AK101" s="3" t="s">
        <v>9</v>
      </c>
      <c r="AL101" s="4">
        <v>406.4</v>
      </c>
      <c r="AM101" s="5">
        <v>917.88671250846289</v>
      </c>
      <c r="AN101" s="5">
        <v>603.3535620275602</v>
      </c>
      <c r="AO101" s="5">
        <v>342762.13976499997</v>
      </c>
    </row>
    <row r="102" spans="1:41" x14ac:dyDescent="0.25">
      <c r="A102" s="3"/>
      <c r="B102" s="4"/>
      <c r="C102" s="5"/>
      <c r="D102" s="5"/>
      <c r="E102" s="5"/>
      <c r="G102" s="3"/>
      <c r="H102" s="4"/>
      <c r="I102" s="5"/>
      <c r="J102" s="5"/>
      <c r="K102" s="5"/>
      <c r="M102" s="3"/>
      <c r="N102" s="4"/>
      <c r="O102" s="5"/>
      <c r="P102" s="5"/>
      <c r="Q102" s="5"/>
      <c r="S102" s="3"/>
      <c r="T102" s="4"/>
      <c r="U102" s="5"/>
      <c r="V102" s="5"/>
      <c r="W102" s="5"/>
      <c r="Y102" s="3"/>
      <c r="Z102" s="4"/>
      <c r="AA102" s="5"/>
      <c r="AB102" s="5"/>
      <c r="AC102" s="5"/>
      <c r="AE102" s="3"/>
      <c r="AF102" s="4"/>
      <c r="AG102" s="5"/>
      <c r="AH102" s="5"/>
      <c r="AI102" s="5"/>
      <c r="AK102" s="3"/>
      <c r="AL102" s="4"/>
      <c r="AM102" s="5"/>
      <c r="AN102" s="5"/>
      <c r="AO102" s="5"/>
    </row>
    <row r="103" spans="1:41" x14ac:dyDescent="0.25">
      <c r="A103" s="1" t="s">
        <v>49</v>
      </c>
      <c r="B103" s="6"/>
      <c r="C103" s="6"/>
      <c r="D103" s="6"/>
      <c r="E103" s="6"/>
      <c r="G103" s="1" t="s">
        <v>50</v>
      </c>
      <c r="M103" s="1" t="s">
        <v>51</v>
      </c>
      <c r="S103" s="1" t="s">
        <v>52</v>
      </c>
      <c r="Y103" s="1" t="s">
        <v>53</v>
      </c>
      <c r="AE103" s="1" t="s">
        <v>54</v>
      </c>
      <c r="AK103" s="1" t="s">
        <v>12</v>
      </c>
    </row>
    <row r="104" spans="1:41" x14ac:dyDescent="0.25">
      <c r="A104" s="3" t="s">
        <v>0</v>
      </c>
      <c r="B104" s="3" t="s">
        <v>1</v>
      </c>
      <c r="C104" s="3" t="s">
        <v>5</v>
      </c>
      <c r="D104" s="3" t="s">
        <v>6</v>
      </c>
      <c r="E104" s="3" t="s">
        <v>7</v>
      </c>
      <c r="G104" s="3" t="s">
        <v>0</v>
      </c>
      <c r="H104" s="3" t="s">
        <v>1</v>
      </c>
      <c r="I104" s="3" t="s">
        <v>5</v>
      </c>
      <c r="J104" s="3" t="s">
        <v>6</v>
      </c>
      <c r="K104" s="3" t="s">
        <v>7</v>
      </c>
      <c r="M104" s="3" t="s">
        <v>0</v>
      </c>
      <c r="N104" s="3" t="s">
        <v>1</v>
      </c>
      <c r="O104" s="3" t="s">
        <v>5</v>
      </c>
      <c r="P104" s="3" t="s">
        <v>6</v>
      </c>
      <c r="Q104" s="3" t="s">
        <v>7</v>
      </c>
      <c r="S104" s="3" t="s">
        <v>0</v>
      </c>
      <c r="T104" s="3" t="s">
        <v>1</v>
      </c>
      <c r="U104" s="3" t="s">
        <v>5</v>
      </c>
      <c r="V104" s="3" t="s">
        <v>6</v>
      </c>
      <c r="W104" s="3" t="s">
        <v>7</v>
      </c>
      <c r="Y104" s="3" t="s">
        <v>0</v>
      </c>
      <c r="Z104" s="3" t="s">
        <v>1</v>
      </c>
      <c r="AA104" s="3" t="s">
        <v>5</v>
      </c>
      <c r="AB104" s="3" t="s">
        <v>6</v>
      </c>
      <c r="AC104" s="3" t="s">
        <v>7</v>
      </c>
      <c r="AE104" s="3" t="s">
        <v>0</v>
      </c>
      <c r="AF104" s="3" t="s">
        <v>1</v>
      </c>
      <c r="AG104" s="3" t="s">
        <v>5</v>
      </c>
      <c r="AH104" s="3" t="s">
        <v>6</v>
      </c>
      <c r="AI104" s="3" t="s">
        <v>7</v>
      </c>
      <c r="AK104" s="3" t="s">
        <v>0</v>
      </c>
      <c r="AL104" s="3" t="s">
        <v>1</v>
      </c>
      <c r="AM104" s="3" t="s">
        <v>5</v>
      </c>
      <c r="AN104" s="3" t="s">
        <v>6</v>
      </c>
      <c r="AO104" s="3" t="s">
        <v>7</v>
      </c>
    </row>
    <row r="105" spans="1:41" x14ac:dyDescent="0.25">
      <c r="A105" s="3" t="s">
        <v>8</v>
      </c>
      <c r="B105" s="7">
        <v>26.7</v>
      </c>
      <c r="C105" s="5">
        <v>348.25</v>
      </c>
      <c r="D105" s="8">
        <f>C105*E105</f>
        <v>53105.219230745337</v>
      </c>
      <c r="E105" s="8">
        <f>IF(SUMIFS(D$4:D$11,A$4:A$11,A105,B$4:B$11,B105)&gt;0,SUMIFS(D$4:D$11,A$4:A$11,A105,B$4:B$11,B105),IF(A105="Plastique",INDEX(LINEST(D$4:D$6,B$4:B$6,TRUE,TRUE),1,2)+INDEX(LINEST(D$4:D$6,B$4:B$6,TRUE,TRUE),1,1)*B105,INDEX(LINEST(D$7:D$11,B$7:B$11,TRUE,TRUE),1,2)+INDEX(LINEST(D$7:D$11,B$7:B$11,TRUE,TRUE),1,1)*B105))</f>
        <v>152.49165608254225</v>
      </c>
      <c r="G105" s="3" t="s">
        <v>8</v>
      </c>
      <c r="H105" s="7">
        <v>26.7</v>
      </c>
      <c r="I105" s="5">
        <v>0</v>
      </c>
      <c r="J105" s="8">
        <f>I105*K105</f>
        <v>0</v>
      </c>
      <c r="K105" s="8">
        <f>IF(SUMIFS(J$4:J$10,G$4:G$10,G105,H$4:H$10,H105)&gt;0,SUMIFS(J$4:J$10,G$4:G$10,G105,H$4:H$10,H105),IF(G105="Plastique",INDEX(LINEST(J$4:J$6,H$4:H$6,TRUE,TRUE),1,2)+INDEX(LINEST(J$4:J$6,H$4:H$6,TRUE,TRUE),1,1)*H105,INDEX(LINEST(J$7:J$10,H$7:H$10,TRUE,TRUE),1,2)+INDEX(LINEST(J$7:J$10,H$7:H$10,TRUE,TRUE),1,1)*H105))</f>
        <v>169.03366392194485</v>
      </c>
      <c r="M105" s="3" t="s">
        <v>8</v>
      </c>
      <c r="N105" s="7">
        <v>26.7</v>
      </c>
      <c r="O105" s="5">
        <v>0</v>
      </c>
      <c r="P105" s="8">
        <f>O105*Q105</f>
        <v>0</v>
      </c>
      <c r="Q105" s="8">
        <f>IF(SUMIFS(P$4:P$13,M$4:M$13,M105,N$4:N$13,N105)&gt;0,SUMIFS(P$4:P$13,M$4:M$13,M105,N$4:N$13,N105),IF(M105="Plastique",INDEX(LINEST(P$4:P$9,N$4:N$9,TRUE,TRUE),1,2)+INDEX(LINEST(P$4:P$9,N$4:N$9,TRUE,TRUE),1,1)*N105,INDEX(LINEST(P$10:P$13,N$10:N$13,TRUE,TRUE),1,2)+INDEX(LINEST(P$10:P$13,N$10:N$13,TRUE,TRUE),1,1)*N105))</f>
        <v>144.77108032951867</v>
      </c>
      <c r="S105" s="3" t="s">
        <v>8</v>
      </c>
      <c r="T105" s="7">
        <v>26.7</v>
      </c>
      <c r="U105" s="5">
        <v>3.55</v>
      </c>
      <c r="V105" s="8">
        <f>U105*W105</f>
        <v>611.78451416530993</v>
      </c>
      <c r="W105" s="8">
        <f>IF(SUMIFS(V$4:V$10,S$4:S$10,S105,T$4:T$10,T105)&gt;0,SUMIFS(V$4:V$10,S$4:S$10,S105,T$4:T$10,T105),IF(S105="Plastique",INDEX(LINEST(V$4:V$7,T$4:T$7,TRUE,TRUE),1,2)+INDEX(LINEST(V$4:V$7,T$4:T$7,TRUE,TRUE),1,1)*T105,INDEX(LINEST(V$8:V$10,T$8:T$10,TRUE,TRUE),1,2)+INDEX(LINEST(V$8:V$10,T$8:T$10,TRUE,TRUE),1,1)*T105))</f>
        <v>172.33366596205914</v>
      </c>
      <c r="Y105" s="3" t="s">
        <v>8</v>
      </c>
      <c r="Z105" s="7">
        <v>26.7</v>
      </c>
      <c r="AA105" s="5">
        <v>0.5</v>
      </c>
      <c r="AB105" s="8">
        <f>AA105*AC105</f>
        <v>82.535414977434698</v>
      </c>
      <c r="AC105" s="8">
        <f>IF(SUMIFS(AB$4:AB$11,Y$4:Y$11,Y105,Z$4:Z$11,Z105)&gt;0,SUMIFS(AB$4:AB$11,Y$4:Y$11,Y105,Z$4:Z$11,Z105),IF(Y105="Plastique",INDEX(LINEST(AB$4:AB$8,Z$4:Z$8,TRUE,TRUE),1,2)+INDEX(LINEST(AB$4:AB$8,Z$4:Z$8,TRUE,TRUE),1,1)*Z105,INDEX(LINEST(AB$9:AB$11,Z$9:Z$11,TRUE,TRUE),1,2)+INDEX(LINEST(AB$9:AB$11,Z$9:Z$11,TRUE,TRUE),1,1)*Z105))</f>
        <v>165.0708299548694</v>
      </c>
      <c r="AE105" s="3" t="s">
        <v>8</v>
      </c>
      <c r="AF105" s="7">
        <v>26.7</v>
      </c>
      <c r="AG105" s="5">
        <v>9.35</v>
      </c>
      <c r="AH105" s="8">
        <f>AG105*AI105</f>
        <v>1705.3786727029174</v>
      </c>
      <c r="AI105" s="8">
        <f>IF(SUMIFS(AH$4:AH$9,AE$4:AE$9,AE105,AF$4:AF$9,AF105)&gt;0,SUMIFS(AH$4:AH$9,AE$4:AE$9,AE105,AF$4:AF$9,AF105),IF(AE105="Plastique",INDEX(LINEST(AH$4:AH$6,AF$4:AF$6,TRUE,TRUE),1,2)+INDEX(LINEST(AH$4:AH$6,AF$4:AF$6,TRUE,TRUE),1,1)*AF105,INDEX(LINEST(AH$7:AH$9,AF$7:AF$9,TRUE,TRUE),1,2)+INDEX(LINEST(AH$7:AH$9,AF$7:AF$9,TRUE,TRUE),1,1)*AF105))</f>
        <v>182.3934409307933</v>
      </c>
      <c r="AK105" s="3" t="s">
        <v>8</v>
      </c>
      <c r="AL105" s="7">
        <v>26.7</v>
      </c>
      <c r="AM105" s="5">
        <v>361.65000000000003</v>
      </c>
      <c r="AN105" s="8">
        <f>AM105*AO105</f>
        <v>56317.098536376128</v>
      </c>
      <c r="AO105" s="8">
        <f>IF(SUMIFS(AN$4:AN$15,AK$4:AK$15,AK105,AL$4:AL$15,AL105)&gt;0,SUMIFS(AN$4:AN$15,AK$4:AK$15,AK105,AL$4:AL$15,AL105),IF(AK105="Plastique",INDEX(LINEST(AN$4:AN$9,AL$4:AL$9,TRUE,TRUE),1,2)+INDEX(LINEST(AN$4:AN$9,AL$4:AL$9,TRUE,TRUE),1,1)*AL105,INDEX(LINEST(AN$10:AN$15,AL$10:AL$15,TRUE,TRUE),1,2)+INDEX(LINEST(AN$10:AN$15,AL$10:AL$15,TRUE,TRUE),1,1)*AL105))</f>
        <v>155.72265598334334</v>
      </c>
    </row>
    <row r="106" spans="1:41" x14ac:dyDescent="0.25">
      <c r="A106" s="3" t="s">
        <v>8</v>
      </c>
      <c r="B106" s="7">
        <v>42.2</v>
      </c>
      <c r="C106" s="5">
        <v>553.57000000000005</v>
      </c>
      <c r="D106" s="8">
        <f t="shared" ref="D106:D127" si="28">C106*E106</f>
        <v>89245.472602548485</v>
      </c>
      <c r="E106" s="8">
        <f t="shared" ref="E106:E127" si="29">IF(SUMIFS(D$4:D$11,A$4:A$11,A106,B$4:B$11,B106)&gt;0,SUMIFS(D$4:D$11,A$4:A$11,A106,B$4:B$11,B106),IF(A106="Plastique",INDEX(LINEST(D$4:D$6,B$4:B$6,TRUE,TRUE),1,2)+INDEX(LINEST(D$4:D$6,B$4:B$6,TRUE,TRUE),1,1)*B106,INDEX(LINEST(D$7:D$11,B$7:B$11,TRUE,TRUE),1,2)+INDEX(LINEST(D$7:D$11,B$7:B$11,TRUE,TRUE),1,1)*B106))</f>
        <v>161.21804397374945</v>
      </c>
      <c r="G106" s="3" t="s">
        <v>8</v>
      </c>
      <c r="H106" s="7">
        <v>42.2</v>
      </c>
      <c r="I106" s="5">
        <v>0</v>
      </c>
      <c r="J106" s="8">
        <f t="shared" ref="J106:J127" si="30">I106*K106</f>
        <v>0</v>
      </c>
      <c r="K106" s="8">
        <f t="shared" ref="K106:K127" si="31">IF(SUMIFS(J$4:J$10,G$4:G$10,G106,H$4:H$10,H106)&gt;0,SUMIFS(J$4:J$10,G$4:G$10,G106,H$4:H$10,H106),IF(G106="Plastique",INDEX(LINEST(J$4:J$6,H$4:H$6,TRUE,TRUE),1,2)+INDEX(LINEST(J$4:J$6,H$4:H$6,TRUE,TRUE),1,1)*H106,INDEX(LINEST(J$7:J$10,H$7:H$10,TRUE,TRUE),1,2)+INDEX(LINEST(J$7:J$10,H$7:H$10,TRUE,TRUE),1,1)*H106))</f>
        <v>177.75187928412956</v>
      </c>
      <c r="M106" s="3" t="s">
        <v>8</v>
      </c>
      <c r="N106" s="7">
        <v>42.2</v>
      </c>
      <c r="O106" s="5">
        <v>125920.13</v>
      </c>
      <c r="P106" s="8">
        <f t="shared" ref="P106:P127" si="32">O106*Q106</f>
        <v>16013551.838514106</v>
      </c>
      <c r="Q106" s="8">
        <f t="shared" ref="Q106:Q127" si="33">IF(SUMIFS(P$4:P$13,M$4:M$13,M106,N$4:N$13,N106)&gt;0,SUMIFS(P$4:P$13,M$4:M$13,M106,N$4:N$13,N106),IF(M106="Plastique",INDEX(LINEST(P$4:P$9,N$4:N$9,TRUE,TRUE),1,2)+INDEX(LINEST(P$4:P$9,N$4:N$9,TRUE,TRUE),1,1)*N106,INDEX(LINEST(P$10:P$13,N$10:N$13,TRUE,TRUE),1,2)+INDEX(LINEST(P$10:P$13,N$10:N$13,TRUE,TRUE),1,1)*N106))</f>
        <v>127.17229436241931</v>
      </c>
      <c r="S106" s="3" t="s">
        <v>8</v>
      </c>
      <c r="T106" s="7">
        <v>42.2</v>
      </c>
      <c r="U106" s="5">
        <v>98415.35</v>
      </c>
      <c r="V106" s="8">
        <f t="shared" ref="V106:V127" si="34">U106*W106</f>
        <v>17478957.366402805</v>
      </c>
      <c r="W106" s="8">
        <f t="shared" ref="W106:W127" si="35">IF(SUMIFS(V$4:V$10,S$4:S$10,S106,T$4:T$10,T106)&gt;0,SUMIFS(V$4:V$10,S$4:S$10,S106,T$4:T$10,T106),IF(S106="Plastique",INDEX(LINEST(V$4:V$7,T$4:T$7,TRUE,TRUE),1,2)+INDEX(LINEST(V$4:V$7,T$4:T$7,TRUE,TRUE),1,1)*T106,INDEX(LINEST(V$8:V$10,T$8:T$10,TRUE,TRUE),1,2)+INDEX(LINEST(V$8:V$10,T$8:T$10,TRUE,TRUE),1,1)*T106))</f>
        <v>177.60397505473287</v>
      </c>
      <c r="Y106" s="3" t="s">
        <v>8</v>
      </c>
      <c r="Z106" s="7">
        <v>42.2</v>
      </c>
      <c r="AA106" s="5">
        <v>42861.86</v>
      </c>
      <c r="AB106" s="8">
        <f t="shared" ref="AB106:AB127" si="36">AA106*AC106</f>
        <v>8826715.6449695062</v>
      </c>
      <c r="AC106" s="8">
        <f t="shared" ref="AC106:AC127" si="37">IF(SUMIFS(AB$4:AB$11,Y$4:Y$11,Y106,Z$4:Z$11,Z106)&gt;0,SUMIFS(AB$4:AB$11,Y$4:Y$11,Y106,Z$4:Z$11,Z106),IF(Y106="Plastique",INDEX(LINEST(AB$4:AB$8,Z$4:Z$8,TRUE,TRUE),1,2)+INDEX(LINEST(AB$4:AB$8,Z$4:Z$8,TRUE,TRUE),1,1)*Z106,INDEX(LINEST(AB$9:AB$11,Z$9:Z$11,TRUE,TRUE),1,2)+INDEX(LINEST(AB$9:AB$11,Z$9:Z$11,TRUE,TRUE),1,1)*Z106))</f>
        <v>205.93403191017623</v>
      </c>
      <c r="AE106" s="3" t="s">
        <v>8</v>
      </c>
      <c r="AF106" s="7">
        <v>42.2</v>
      </c>
      <c r="AG106" s="5">
        <v>13381.64</v>
      </c>
      <c r="AH106" s="8">
        <f t="shared" ref="AH106:AH127" si="38">AG106*AI106</f>
        <v>2419887.3408200005</v>
      </c>
      <c r="AI106" s="8">
        <f t="shared" ref="AI106:AI127" si="39">IF(SUMIFS(AH$4:AH$9,AE$4:AE$9,AE106,AF$4:AF$9,AF106)&gt;0,SUMIFS(AH$4:AH$9,AE$4:AE$9,AE106,AF$4:AF$9,AF106),IF(AE106="Plastique",INDEX(LINEST(AH$4:AH$6,AF$4:AF$6,TRUE,TRUE),1,2)+INDEX(LINEST(AH$4:AH$6,AF$4:AF$6,TRUE,TRUE),1,1)*AF106,INDEX(LINEST(AH$7:AH$9,AF$7:AF$9,TRUE,TRUE),1,2)+INDEX(LINEST(AH$7:AH$9,AF$7:AF$9,TRUE,TRUE),1,1)*AF106))</f>
        <v>180.83638035547219</v>
      </c>
      <c r="AK106" s="3" t="s">
        <v>8</v>
      </c>
      <c r="AL106" s="7">
        <v>42.2</v>
      </c>
      <c r="AM106" s="5">
        <v>281132.55000000005</v>
      </c>
      <c r="AN106" s="8">
        <f t="shared" ref="AN106:AN127" si="40">AM106*AO106</f>
        <v>44206157.951895267</v>
      </c>
      <c r="AO106" s="8">
        <f t="shared" ref="AO106:AO127" si="41">IF(SUMIFS(AN$4:AN$15,AK$4:AK$15,AK106,AL$4:AL$15,AL106)&gt;0,SUMIFS(AN$4:AN$15,AK$4:AK$15,AK106,AL$4:AL$15,AL106),IF(AK106="Plastique",INDEX(LINEST(AN$4:AN$9,AL$4:AL$9,TRUE,TRUE),1,2)+INDEX(LINEST(AN$4:AN$9,AL$4:AL$9,TRUE,TRUE),1,1)*AL106,INDEX(LINEST(AN$10:AN$15,AL$10:AL$15,TRUE,TRUE),1,2)+INDEX(LINEST(AN$10:AN$15,AL$10:AL$15,TRUE,TRUE),1,1)*AL106))</f>
        <v>157.2431152205437</v>
      </c>
    </row>
    <row r="107" spans="1:41" x14ac:dyDescent="0.25">
      <c r="A107" s="3" t="s">
        <v>8</v>
      </c>
      <c r="B107" s="7">
        <v>60.3</v>
      </c>
      <c r="C107" s="5">
        <v>1824785.35</v>
      </c>
      <c r="D107" s="8">
        <f t="shared" si="28"/>
        <v>308830892.35311282</v>
      </c>
      <c r="E107" s="8">
        <f t="shared" si="29"/>
        <v>169.2423124468381</v>
      </c>
      <c r="G107" s="3" t="s">
        <v>8</v>
      </c>
      <c r="H107" s="7">
        <v>60.3</v>
      </c>
      <c r="I107" s="5">
        <v>10983.28</v>
      </c>
      <c r="J107" s="8">
        <f t="shared" si="30"/>
        <v>2125634.3556802296</v>
      </c>
      <c r="K107" s="8">
        <f t="shared" si="31"/>
        <v>193.53365804024205</v>
      </c>
      <c r="M107" s="3" t="s">
        <v>8</v>
      </c>
      <c r="N107" s="7">
        <v>60.3</v>
      </c>
      <c r="O107" s="5">
        <v>99655.76</v>
      </c>
      <c r="P107" s="8">
        <f t="shared" si="32"/>
        <v>15479088.112860233</v>
      </c>
      <c r="Q107" s="8">
        <f t="shared" si="33"/>
        <v>155.32557388414111</v>
      </c>
      <c r="S107" s="3" t="s">
        <v>8</v>
      </c>
      <c r="T107" s="7">
        <v>60.3</v>
      </c>
      <c r="U107" s="5">
        <v>148748.79999999999</v>
      </c>
      <c r="V107" s="8">
        <f t="shared" si="34"/>
        <v>27314950.890383337</v>
      </c>
      <c r="W107" s="8">
        <f t="shared" si="35"/>
        <v>183.63140334835197</v>
      </c>
      <c r="Y107" s="3" t="s">
        <v>8</v>
      </c>
      <c r="Z107" s="7">
        <v>60.3</v>
      </c>
      <c r="AA107" s="5">
        <v>113879.87</v>
      </c>
      <c r="AB107" s="8">
        <f t="shared" si="36"/>
        <v>22748244.085872035</v>
      </c>
      <c r="AC107" s="8">
        <f t="shared" si="37"/>
        <v>199.75649854422943</v>
      </c>
      <c r="AE107" s="3" t="s">
        <v>8</v>
      </c>
      <c r="AF107" s="7">
        <v>60.3</v>
      </c>
      <c r="AG107" s="5">
        <v>39116.660000000003</v>
      </c>
      <c r="AH107" s="8">
        <f t="shared" si="38"/>
        <v>6413848.7326895753</v>
      </c>
      <c r="AI107" s="8">
        <f t="shared" si="39"/>
        <v>163.96718770696614</v>
      </c>
      <c r="AK107" s="3" t="s">
        <v>8</v>
      </c>
      <c r="AL107" s="7">
        <v>60.3</v>
      </c>
      <c r="AM107" s="5">
        <v>2237169.7200000002</v>
      </c>
      <c r="AN107" s="8">
        <f t="shared" si="40"/>
        <v>382430716.07787919</v>
      </c>
      <c r="AO107" s="8">
        <f t="shared" si="41"/>
        <v>170.94398903176605</v>
      </c>
    </row>
    <row r="108" spans="1:41" x14ac:dyDescent="0.25">
      <c r="A108" s="3" t="s">
        <v>8</v>
      </c>
      <c r="B108" s="7">
        <v>88.9</v>
      </c>
      <c r="C108" s="5">
        <v>24859.809999999998</v>
      </c>
      <c r="D108" s="8">
        <f t="shared" si="28"/>
        <v>4661458.1552888583</v>
      </c>
      <c r="E108" s="8">
        <f t="shared" si="29"/>
        <v>187.509806200806</v>
      </c>
      <c r="G108" s="3" t="s">
        <v>8</v>
      </c>
      <c r="H108" s="7">
        <v>88.9</v>
      </c>
      <c r="I108" s="5">
        <v>0</v>
      </c>
      <c r="J108" s="8">
        <f t="shared" si="30"/>
        <v>0</v>
      </c>
      <c r="K108" s="8">
        <f t="shared" si="31"/>
        <v>204.01901847213117</v>
      </c>
      <c r="M108" s="3" t="s">
        <v>8</v>
      </c>
      <c r="N108" s="7">
        <v>88.9</v>
      </c>
      <c r="O108" s="5">
        <v>31691.02</v>
      </c>
      <c r="P108" s="8">
        <f t="shared" si="32"/>
        <v>5647214.9008551538</v>
      </c>
      <c r="Q108" s="8">
        <f t="shared" si="33"/>
        <v>178.19605998340077</v>
      </c>
      <c r="S108" s="3" t="s">
        <v>8</v>
      </c>
      <c r="T108" s="7">
        <v>88.9</v>
      </c>
      <c r="U108" s="5">
        <v>105293.23</v>
      </c>
      <c r="V108" s="8">
        <f t="shared" si="34"/>
        <v>20335566.820956931</v>
      </c>
      <c r="W108" s="8">
        <f t="shared" si="35"/>
        <v>193.13270968092564</v>
      </c>
      <c r="Y108" s="3" t="s">
        <v>8</v>
      </c>
      <c r="Z108" s="7">
        <v>88.9</v>
      </c>
      <c r="AA108" s="5">
        <v>23741.26</v>
      </c>
      <c r="AB108" s="8">
        <f t="shared" si="36"/>
        <v>5291994.8806026531</v>
      </c>
      <c r="AC108" s="8">
        <f t="shared" si="37"/>
        <v>222.90286533244881</v>
      </c>
      <c r="AE108" s="3" t="s">
        <v>8</v>
      </c>
      <c r="AF108" s="7">
        <v>88.9</v>
      </c>
      <c r="AG108" s="5">
        <v>10589.03</v>
      </c>
      <c r="AH108" s="8">
        <f t="shared" si="38"/>
        <v>1865205.8279387464</v>
      </c>
      <c r="AI108" s="8">
        <f t="shared" si="39"/>
        <v>176.14510752531123</v>
      </c>
      <c r="AK108" s="3" t="s">
        <v>8</v>
      </c>
      <c r="AL108" s="7">
        <v>88.9</v>
      </c>
      <c r="AM108" s="5">
        <v>196174.35</v>
      </c>
      <c r="AN108" s="8">
        <f t="shared" si="40"/>
        <v>35465496.159795925</v>
      </c>
      <c r="AO108" s="8">
        <f t="shared" si="41"/>
        <v>180.78559281473812</v>
      </c>
    </row>
    <row r="109" spans="1:41" x14ac:dyDescent="0.25">
      <c r="A109" s="3" t="s">
        <v>8</v>
      </c>
      <c r="B109" s="7">
        <v>114.3</v>
      </c>
      <c r="C109" s="5">
        <v>1549736.41</v>
      </c>
      <c r="D109" s="8">
        <f t="shared" si="28"/>
        <v>319465179.88391644</v>
      </c>
      <c r="E109" s="8">
        <f t="shared" si="29"/>
        <v>206.14162371258763</v>
      </c>
      <c r="G109" s="3" t="s">
        <v>8</v>
      </c>
      <c r="H109" s="7">
        <v>114.3</v>
      </c>
      <c r="I109" s="5">
        <v>33392.78</v>
      </c>
      <c r="J109" s="8">
        <f t="shared" si="30"/>
        <v>6915756.1431846349</v>
      </c>
      <c r="K109" s="8">
        <f t="shared" si="31"/>
        <v>207.10333620574971</v>
      </c>
      <c r="M109" s="3" t="s">
        <v>8</v>
      </c>
      <c r="N109" s="7">
        <v>114.3</v>
      </c>
      <c r="O109" s="5">
        <v>90081.61</v>
      </c>
      <c r="P109" s="8">
        <f t="shared" si="32"/>
        <v>15637945.827090025</v>
      </c>
      <c r="Q109" s="8">
        <f t="shared" si="33"/>
        <v>173.59753924347072</v>
      </c>
      <c r="S109" s="3" t="s">
        <v>8</v>
      </c>
      <c r="T109" s="7">
        <v>114.3</v>
      </c>
      <c r="U109" s="5">
        <v>356979.28</v>
      </c>
      <c r="V109" s="8">
        <f t="shared" si="34"/>
        <v>72426882.446774289</v>
      </c>
      <c r="W109" s="8">
        <f t="shared" si="35"/>
        <v>202.88819689135539</v>
      </c>
      <c r="Y109" s="3" t="s">
        <v>8</v>
      </c>
      <c r="Z109" s="7">
        <v>114.3</v>
      </c>
      <c r="AA109" s="5">
        <v>286983.90999999997</v>
      </c>
      <c r="AB109" s="8">
        <f t="shared" si="36"/>
        <v>63922217.905928537</v>
      </c>
      <c r="AC109" s="8">
        <f t="shared" si="37"/>
        <v>222.73798522686704</v>
      </c>
      <c r="AE109" s="3" t="s">
        <v>8</v>
      </c>
      <c r="AF109" s="7">
        <v>114.3</v>
      </c>
      <c r="AG109" s="5">
        <v>114596.89</v>
      </c>
      <c r="AH109" s="8">
        <f t="shared" si="38"/>
        <v>23342863.097997386</v>
      </c>
      <c r="AI109" s="8">
        <f t="shared" si="39"/>
        <v>203.69543272943434</v>
      </c>
      <c r="AK109" s="3" t="s">
        <v>8</v>
      </c>
      <c r="AL109" s="7">
        <v>114.3</v>
      </c>
      <c r="AM109" s="5">
        <v>2431770.8800000004</v>
      </c>
      <c r="AN109" s="8">
        <f t="shared" si="40"/>
        <v>500702691.53991109</v>
      </c>
      <c r="AO109" s="8">
        <f t="shared" si="41"/>
        <v>205.90043891795884</v>
      </c>
    </row>
    <row r="110" spans="1:41" x14ac:dyDescent="0.25">
      <c r="A110" s="3" t="s">
        <v>8</v>
      </c>
      <c r="B110" s="7">
        <v>168.3</v>
      </c>
      <c r="C110" s="5">
        <v>676839.8</v>
      </c>
      <c r="D110" s="8">
        <f t="shared" si="28"/>
        <v>155703971.39713719</v>
      </c>
      <c r="E110" s="8">
        <f t="shared" si="29"/>
        <v>230.0455313017012</v>
      </c>
      <c r="G110" s="3" t="s">
        <v>8</v>
      </c>
      <c r="H110" s="7">
        <v>168.3</v>
      </c>
      <c r="I110" s="5">
        <v>18077</v>
      </c>
      <c r="J110" s="8">
        <f t="shared" si="30"/>
        <v>4596618.3456217758</v>
      </c>
      <c r="K110" s="8">
        <f t="shared" si="31"/>
        <v>254.27993282191602</v>
      </c>
      <c r="M110" s="3" t="s">
        <v>8</v>
      </c>
      <c r="N110" s="7">
        <v>168.3</v>
      </c>
      <c r="O110" s="5">
        <v>24151.21</v>
      </c>
      <c r="P110" s="8">
        <f t="shared" si="32"/>
        <v>4994478.8518909058</v>
      </c>
      <c r="Q110" s="8">
        <f t="shared" si="33"/>
        <v>206.80035707904099</v>
      </c>
      <c r="S110" s="3" t="s">
        <v>8</v>
      </c>
      <c r="T110" s="7">
        <v>168.3</v>
      </c>
      <c r="U110" s="5">
        <v>88142.94</v>
      </c>
      <c r="V110" s="8">
        <f t="shared" si="34"/>
        <v>19408091.263526842</v>
      </c>
      <c r="W110" s="8">
        <f t="shared" si="35"/>
        <v>220.18883490302051</v>
      </c>
      <c r="Y110" s="3" t="s">
        <v>8</v>
      </c>
      <c r="Z110" s="7">
        <v>168.3</v>
      </c>
      <c r="AA110" s="5">
        <v>130893.31</v>
      </c>
      <c r="AB110" s="8">
        <f t="shared" si="36"/>
        <v>31794703.289624508</v>
      </c>
      <c r="AC110" s="8">
        <f t="shared" si="37"/>
        <v>242.90548760379357</v>
      </c>
      <c r="AE110" s="3" t="s">
        <v>8</v>
      </c>
      <c r="AF110" s="7">
        <v>168.3</v>
      </c>
      <c r="AG110" s="5">
        <v>15444.13</v>
      </c>
      <c r="AH110" s="8">
        <f t="shared" si="38"/>
        <v>2364774.1651415322</v>
      </c>
      <c r="AI110" s="8">
        <f t="shared" si="39"/>
        <v>153.11799144021271</v>
      </c>
      <c r="AK110" s="3" t="s">
        <v>8</v>
      </c>
      <c r="AL110" s="7">
        <v>168.3</v>
      </c>
      <c r="AM110" s="5">
        <v>953548.39</v>
      </c>
      <c r="AN110" s="8">
        <f t="shared" si="40"/>
        <v>218293187.82682344</v>
      </c>
      <c r="AO110" s="8">
        <f t="shared" si="41"/>
        <v>228.92722604966428</v>
      </c>
    </row>
    <row r="111" spans="1:41" x14ac:dyDescent="0.25">
      <c r="A111" s="3" t="s">
        <v>8</v>
      </c>
      <c r="B111" s="7">
        <v>219.1</v>
      </c>
      <c r="C111" s="5">
        <v>32924.06</v>
      </c>
      <c r="D111" s="8">
        <f t="shared" si="28"/>
        <v>8586972.3054560944</v>
      </c>
      <c r="E111" s="8">
        <f t="shared" si="29"/>
        <v>260.81146448694648</v>
      </c>
      <c r="G111" s="3" t="s">
        <v>8</v>
      </c>
      <c r="H111" s="7">
        <v>219.1</v>
      </c>
      <c r="I111" s="5">
        <v>10453.049999999999</v>
      </c>
      <c r="J111" s="8">
        <f t="shared" si="30"/>
        <v>2898129.3062102613</v>
      </c>
      <c r="K111" s="8">
        <f t="shared" si="31"/>
        <v>277.25202751448251</v>
      </c>
      <c r="M111" s="3" t="s">
        <v>8</v>
      </c>
      <c r="N111" s="7">
        <v>219.1</v>
      </c>
      <c r="O111" s="5">
        <v>1817.66</v>
      </c>
      <c r="P111" s="8">
        <f t="shared" si="32"/>
        <v>320459.12781400984</v>
      </c>
      <c r="Q111" s="8">
        <f t="shared" si="33"/>
        <v>176.30311929294248</v>
      </c>
      <c r="S111" s="3" t="s">
        <v>8</v>
      </c>
      <c r="T111" s="7">
        <v>219.1</v>
      </c>
      <c r="U111" s="5">
        <v>0</v>
      </c>
      <c r="V111" s="8">
        <f t="shared" si="34"/>
        <v>0</v>
      </c>
      <c r="W111" s="8">
        <f t="shared" si="35"/>
        <v>237.75350269950593</v>
      </c>
      <c r="Y111" s="3" t="s">
        <v>8</v>
      </c>
      <c r="Z111" s="7">
        <v>219.1</v>
      </c>
      <c r="AA111" s="5">
        <v>17015.39</v>
      </c>
      <c r="AB111" s="8">
        <f t="shared" si="36"/>
        <v>6664340.7023958201</v>
      </c>
      <c r="AC111" s="8">
        <f t="shared" si="37"/>
        <v>391.66546887234557</v>
      </c>
      <c r="AE111" s="3" t="s">
        <v>8</v>
      </c>
      <c r="AF111" s="7">
        <v>219.1</v>
      </c>
      <c r="AG111" s="5">
        <v>2264.65</v>
      </c>
      <c r="AH111" s="8">
        <f t="shared" si="38"/>
        <v>369286.96100922831</v>
      </c>
      <c r="AI111" s="8">
        <f t="shared" si="39"/>
        <v>163.06579869261401</v>
      </c>
      <c r="AK111" s="3" t="s">
        <v>8</v>
      </c>
      <c r="AL111" s="7">
        <v>219.1</v>
      </c>
      <c r="AM111" s="5">
        <v>64474.810000000005</v>
      </c>
      <c r="AN111" s="8">
        <f t="shared" si="40"/>
        <v>15145997.713982735</v>
      </c>
      <c r="AO111" s="8">
        <f t="shared" si="41"/>
        <v>234.91341368796176</v>
      </c>
    </row>
    <row r="112" spans="1:41" x14ac:dyDescent="0.25">
      <c r="A112" s="3" t="s">
        <v>9</v>
      </c>
      <c r="B112" s="7">
        <v>21.3</v>
      </c>
      <c r="C112" s="5">
        <v>0</v>
      </c>
      <c r="D112" s="8">
        <f t="shared" si="28"/>
        <v>0</v>
      </c>
      <c r="E112" s="8">
        <f t="shared" si="29"/>
        <v>306.32916207920454</v>
      </c>
      <c r="G112" s="3" t="s">
        <v>9</v>
      </c>
      <c r="H112" s="7">
        <v>21.3</v>
      </c>
      <c r="I112" s="5">
        <v>0</v>
      </c>
      <c r="J112" s="8">
        <f t="shared" si="30"/>
        <v>0</v>
      </c>
      <c r="K112" s="8">
        <f t="shared" si="31"/>
        <v>154.41354350405243</v>
      </c>
      <c r="M112" s="3" t="s">
        <v>9</v>
      </c>
      <c r="N112" s="7">
        <v>21.3</v>
      </c>
      <c r="O112" s="5">
        <v>0</v>
      </c>
      <c r="P112" s="8">
        <f t="shared" si="32"/>
        <v>0</v>
      </c>
      <c r="Q112" s="8">
        <f t="shared" si="33"/>
        <v>396.03565184583363</v>
      </c>
      <c r="S112" s="3" t="s">
        <v>9</v>
      </c>
      <c r="T112" s="7">
        <v>21.3</v>
      </c>
      <c r="U112" s="5">
        <v>0</v>
      </c>
      <c r="V112" s="8">
        <f t="shared" si="34"/>
        <v>0</v>
      </c>
      <c r="W112" s="8">
        <f t="shared" si="35"/>
        <v>253.88911162492502</v>
      </c>
      <c r="Y112" s="3" t="s">
        <v>9</v>
      </c>
      <c r="Z112" s="7">
        <v>21.3</v>
      </c>
      <c r="AA112" s="5">
        <v>0</v>
      </c>
      <c r="AB112" s="8">
        <f t="shared" si="36"/>
        <v>0</v>
      </c>
      <c r="AC112" s="8">
        <f t="shared" si="37"/>
        <v>-88.046531504880448</v>
      </c>
      <c r="AE112" s="3" t="s">
        <v>9</v>
      </c>
      <c r="AF112" s="7">
        <v>21.3</v>
      </c>
      <c r="AG112" s="5">
        <v>0</v>
      </c>
      <c r="AH112" s="8">
        <f t="shared" si="38"/>
        <v>0</v>
      </c>
      <c r="AI112" s="8">
        <f t="shared" si="39"/>
        <v>798.40087113062043</v>
      </c>
      <c r="AK112" s="3" t="s">
        <v>9</v>
      </c>
      <c r="AL112" s="7">
        <v>21.3</v>
      </c>
      <c r="AM112" s="5">
        <v>0</v>
      </c>
      <c r="AN112" s="8">
        <f t="shared" si="40"/>
        <v>0</v>
      </c>
      <c r="AO112" s="8">
        <f t="shared" si="41"/>
        <v>299.89349182089427</v>
      </c>
    </row>
    <row r="113" spans="1:41" x14ac:dyDescent="0.25">
      <c r="A113" s="3" t="s">
        <v>9</v>
      </c>
      <c r="B113" s="7">
        <v>26.7</v>
      </c>
      <c r="C113" s="5">
        <v>4998.0599999999995</v>
      </c>
      <c r="D113" s="8">
        <f t="shared" si="28"/>
        <v>1542799.4011252732</v>
      </c>
      <c r="E113" s="8">
        <f t="shared" si="29"/>
        <v>308.67964792845089</v>
      </c>
      <c r="G113" s="3" t="s">
        <v>9</v>
      </c>
      <c r="H113" s="7">
        <v>26.7</v>
      </c>
      <c r="I113" s="5">
        <v>31.96</v>
      </c>
      <c r="J113" s="8">
        <f t="shared" si="30"/>
        <v>5110.840049624273</v>
      </c>
      <c r="K113" s="8">
        <f t="shared" si="31"/>
        <v>159.91364360526509</v>
      </c>
      <c r="M113" s="3" t="s">
        <v>9</v>
      </c>
      <c r="N113" s="7">
        <v>26.7</v>
      </c>
      <c r="O113" s="5">
        <v>0</v>
      </c>
      <c r="P113" s="8">
        <f t="shared" si="32"/>
        <v>0</v>
      </c>
      <c r="Q113" s="8">
        <f t="shared" si="33"/>
        <v>407.6157046710149</v>
      </c>
      <c r="S113" s="3" t="s">
        <v>9</v>
      </c>
      <c r="T113" s="7">
        <v>26.7</v>
      </c>
      <c r="U113" s="5">
        <v>0</v>
      </c>
      <c r="V113" s="8">
        <f t="shared" si="34"/>
        <v>0</v>
      </c>
      <c r="W113" s="8">
        <f t="shared" si="35"/>
        <v>263.2280850702021</v>
      </c>
      <c r="Y113" s="3" t="s">
        <v>9</v>
      </c>
      <c r="Z113" s="7">
        <v>26.7</v>
      </c>
      <c r="AA113" s="5">
        <v>0</v>
      </c>
      <c r="AB113" s="8">
        <f t="shared" si="36"/>
        <v>0</v>
      </c>
      <c r="AC113" s="8">
        <f t="shared" si="37"/>
        <v>-61.386020459803603</v>
      </c>
      <c r="AE113" s="3" t="s">
        <v>9</v>
      </c>
      <c r="AF113" s="7">
        <v>26.7</v>
      </c>
      <c r="AG113" s="5">
        <v>0.64</v>
      </c>
      <c r="AH113" s="8">
        <f t="shared" si="38"/>
        <v>507.18940604269449</v>
      </c>
      <c r="AI113" s="8">
        <f t="shared" si="39"/>
        <v>792.4834469417101</v>
      </c>
      <c r="AK113" s="3" t="s">
        <v>9</v>
      </c>
      <c r="AL113" s="7">
        <v>26.7</v>
      </c>
      <c r="AM113" s="5">
        <v>5030.66</v>
      </c>
      <c r="AN113" s="8">
        <f t="shared" si="40"/>
        <v>1530574.4097139628</v>
      </c>
      <c r="AO113" s="8">
        <f t="shared" si="41"/>
        <v>304.24922569085624</v>
      </c>
    </row>
    <row r="114" spans="1:41" x14ac:dyDescent="0.25">
      <c r="A114" s="3" t="s">
        <v>9</v>
      </c>
      <c r="B114" s="7">
        <v>33.4</v>
      </c>
      <c r="C114" s="5">
        <v>2.1</v>
      </c>
      <c r="D114" s="8">
        <f t="shared" si="28"/>
        <v>654.35158211250553</v>
      </c>
      <c r="E114" s="8">
        <f t="shared" si="29"/>
        <v>311.59599148214545</v>
      </c>
      <c r="G114" s="3" t="s">
        <v>9</v>
      </c>
      <c r="H114" s="7">
        <v>33.4</v>
      </c>
      <c r="I114" s="5">
        <v>28104.09</v>
      </c>
      <c r="J114" s="8">
        <f t="shared" si="30"/>
        <v>4686015.3145729583</v>
      </c>
      <c r="K114" s="8">
        <f t="shared" si="31"/>
        <v>166.73784187899193</v>
      </c>
      <c r="M114" s="3" t="s">
        <v>9</v>
      </c>
      <c r="N114" s="7">
        <v>33.4</v>
      </c>
      <c r="O114" s="5">
        <v>0</v>
      </c>
      <c r="P114" s="8">
        <f t="shared" si="32"/>
        <v>0</v>
      </c>
      <c r="Q114" s="8">
        <f t="shared" si="33"/>
        <v>421.98354799114725</v>
      </c>
      <c r="S114" s="3" t="s">
        <v>9</v>
      </c>
      <c r="T114" s="7">
        <v>33.4</v>
      </c>
      <c r="U114" s="5">
        <v>0</v>
      </c>
      <c r="V114" s="8">
        <f t="shared" si="34"/>
        <v>0</v>
      </c>
      <c r="W114" s="8">
        <f t="shared" si="35"/>
        <v>274.81532990045332</v>
      </c>
      <c r="Y114" s="3" t="s">
        <v>9</v>
      </c>
      <c r="Z114" s="7">
        <v>33.4</v>
      </c>
      <c r="AA114" s="5">
        <v>0</v>
      </c>
      <c r="AB114" s="8">
        <f t="shared" si="36"/>
        <v>0</v>
      </c>
      <c r="AC114" s="8">
        <f t="shared" si="37"/>
        <v>-28.307238237208225</v>
      </c>
      <c r="AE114" s="3" t="s">
        <v>9</v>
      </c>
      <c r="AF114" s="7">
        <v>33.4</v>
      </c>
      <c r="AG114" s="5">
        <v>0</v>
      </c>
      <c r="AH114" s="8">
        <f t="shared" si="38"/>
        <v>0</v>
      </c>
      <c r="AI114" s="8">
        <f t="shared" si="39"/>
        <v>785.14145767028424</v>
      </c>
      <c r="AK114" s="3" t="s">
        <v>9</v>
      </c>
      <c r="AL114" s="7">
        <v>33.4</v>
      </c>
      <c r="AM114" s="5">
        <v>28106.19</v>
      </c>
      <c r="AN114" s="8">
        <f t="shared" si="40"/>
        <v>8703181.852221664</v>
      </c>
      <c r="AO114" s="8">
        <f t="shared" si="41"/>
        <v>309.65356215914233</v>
      </c>
    </row>
    <row r="115" spans="1:41" x14ac:dyDescent="0.25">
      <c r="A115" s="3" t="s">
        <v>9</v>
      </c>
      <c r="B115" s="7">
        <v>42.2</v>
      </c>
      <c r="C115" s="5">
        <v>22051.02</v>
      </c>
      <c r="D115" s="8">
        <f t="shared" si="28"/>
        <v>6955474.1386386855</v>
      </c>
      <c r="E115" s="8">
        <f t="shared" si="29"/>
        <v>315.42641286610257</v>
      </c>
      <c r="G115" s="3" t="s">
        <v>9</v>
      </c>
      <c r="H115" s="7">
        <v>42.2</v>
      </c>
      <c r="I115" s="5">
        <v>4150.95</v>
      </c>
      <c r="J115" s="8">
        <f t="shared" si="30"/>
        <v>729325.93299447803</v>
      </c>
      <c r="K115" s="8">
        <f t="shared" si="31"/>
        <v>175.70096796985703</v>
      </c>
      <c r="M115" s="3" t="s">
        <v>9</v>
      </c>
      <c r="N115" s="7">
        <v>42.2</v>
      </c>
      <c r="O115" s="5">
        <v>36.5</v>
      </c>
      <c r="P115" s="8">
        <f t="shared" si="32"/>
        <v>16091.198199352473</v>
      </c>
      <c r="Q115" s="8">
        <f t="shared" si="33"/>
        <v>440.85474518773901</v>
      </c>
      <c r="S115" s="3" t="s">
        <v>9</v>
      </c>
      <c r="T115" s="7">
        <v>42.2</v>
      </c>
      <c r="U115" s="5">
        <v>54.29</v>
      </c>
      <c r="V115" s="8">
        <f t="shared" si="34"/>
        <v>15745.967453152651</v>
      </c>
      <c r="W115" s="8">
        <f t="shared" si="35"/>
        <v>290.03439773720118</v>
      </c>
      <c r="Y115" s="3" t="s">
        <v>9</v>
      </c>
      <c r="Z115" s="7">
        <v>42.2</v>
      </c>
      <c r="AA115" s="5">
        <v>2.36</v>
      </c>
      <c r="AB115" s="8">
        <f t="shared" si="36"/>
        <v>35.729268386884208</v>
      </c>
      <c r="AC115" s="8">
        <f t="shared" si="37"/>
        <v>15.139520502917037</v>
      </c>
      <c r="AE115" s="3" t="s">
        <v>9</v>
      </c>
      <c r="AF115" s="7">
        <v>42.2</v>
      </c>
      <c r="AG115" s="5">
        <v>30.41</v>
      </c>
      <c r="AH115" s="8">
        <f t="shared" si="38"/>
        <v>23582.901718059653</v>
      </c>
      <c r="AI115" s="8">
        <f t="shared" si="39"/>
        <v>775.49824788094884</v>
      </c>
      <c r="AK115" s="3" t="s">
        <v>9</v>
      </c>
      <c r="AL115" s="7">
        <v>42.2</v>
      </c>
      <c r="AM115" s="5">
        <v>26325.530000000002</v>
      </c>
      <c r="AN115" s="8">
        <f t="shared" si="40"/>
        <v>8338658.8853122117</v>
      </c>
      <c r="AO115" s="8">
        <f t="shared" si="41"/>
        <v>316.75179513241369</v>
      </c>
    </row>
    <row r="116" spans="1:41" x14ac:dyDescent="0.25">
      <c r="A116" s="3" t="s">
        <v>9</v>
      </c>
      <c r="B116" s="7">
        <v>48.3</v>
      </c>
      <c r="C116" s="5">
        <v>97293.43</v>
      </c>
      <c r="D116" s="8">
        <f t="shared" si="28"/>
        <v>30947249.039909955</v>
      </c>
      <c r="E116" s="8">
        <f t="shared" si="29"/>
        <v>318.08159132543642</v>
      </c>
      <c r="G116" s="3" t="s">
        <v>9</v>
      </c>
      <c r="H116" s="7">
        <v>48.3</v>
      </c>
      <c r="I116" s="5">
        <v>0</v>
      </c>
      <c r="J116" s="8">
        <f t="shared" si="30"/>
        <v>0</v>
      </c>
      <c r="K116" s="8">
        <f t="shared" si="31"/>
        <v>181.91404401011579</v>
      </c>
      <c r="M116" s="3" t="s">
        <v>9</v>
      </c>
      <c r="N116" s="7">
        <v>48.3</v>
      </c>
      <c r="O116" s="5">
        <v>0</v>
      </c>
      <c r="P116" s="8">
        <f t="shared" si="32"/>
        <v>0</v>
      </c>
      <c r="Q116" s="8">
        <f t="shared" si="33"/>
        <v>453.93591597174009</v>
      </c>
      <c r="S116" s="3" t="s">
        <v>9</v>
      </c>
      <c r="T116" s="7">
        <v>48.3</v>
      </c>
      <c r="U116" s="5">
        <v>0</v>
      </c>
      <c r="V116" s="8">
        <f t="shared" si="34"/>
        <v>0</v>
      </c>
      <c r="W116" s="8">
        <f t="shared" si="35"/>
        <v>300.58397885131046</v>
      </c>
      <c r="Y116" s="3" t="s">
        <v>9</v>
      </c>
      <c r="Z116" s="7">
        <v>48.3</v>
      </c>
      <c r="AA116" s="5">
        <v>0</v>
      </c>
      <c r="AB116" s="8">
        <f t="shared" si="36"/>
        <v>0</v>
      </c>
      <c r="AC116" s="8">
        <f t="shared" si="37"/>
        <v>45.256023720503833</v>
      </c>
      <c r="AE116" s="3" t="s">
        <v>9</v>
      </c>
      <c r="AF116" s="7">
        <v>48.3</v>
      </c>
      <c r="AG116" s="5">
        <v>0</v>
      </c>
      <c r="AH116" s="8">
        <f t="shared" si="38"/>
        <v>0</v>
      </c>
      <c r="AI116" s="8">
        <f t="shared" si="39"/>
        <v>768.81375018606866</v>
      </c>
      <c r="AK116" s="3" t="s">
        <v>9</v>
      </c>
      <c r="AL116" s="7">
        <v>48.3</v>
      </c>
      <c r="AM116" s="5">
        <v>97293.43</v>
      </c>
      <c r="AN116" s="8">
        <f t="shared" si="40"/>
        <v>31296587.895810612</v>
      </c>
      <c r="AO116" s="8">
        <f t="shared" si="41"/>
        <v>321.67216117070404</v>
      </c>
    </row>
    <row r="117" spans="1:41" x14ac:dyDescent="0.25">
      <c r="A117" s="3" t="s">
        <v>9</v>
      </c>
      <c r="B117" s="7">
        <v>60.3</v>
      </c>
      <c r="C117" s="5">
        <v>255124.11000000002</v>
      </c>
      <c r="D117" s="8">
        <f t="shared" si="28"/>
        <v>82482873.139522523</v>
      </c>
      <c r="E117" s="8">
        <f t="shared" si="29"/>
        <v>323.3048932126506</v>
      </c>
      <c r="G117" s="3" t="s">
        <v>9</v>
      </c>
      <c r="H117" s="7">
        <v>60.3</v>
      </c>
      <c r="I117" s="5">
        <v>23071.99</v>
      </c>
      <c r="J117" s="8">
        <f t="shared" si="30"/>
        <v>4479115.1254480137</v>
      </c>
      <c r="K117" s="8">
        <f t="shared" si="31"/>
        <v>194.13648867947728</v>
      </c>
      <c r="M117" s="3" t="s">
        <v>9</v>
      </c>
      <c r="N117" s="7">
        <v>60.3</v>
      </c>
      <c r="O117" s="5">
        <v>20083.89</v>
      </c>
      <c r="P117" s="8">
        <f t="shared" si="32"/>
        <v>9633626.7970592938</v>
      </c>
      <c r="Q117" s="8">
        <f t="shared" si="33"/>
        <v>479.66936669436518</v>
      </c>
      <c r="S117" s="3" t="s">
        <v>9</v>
      </c>
      <c r="T117" s="7">
        <v>60.3</v>
      </c>
      <c r="U117" s="5">
        <v>7813.03</v>
      </c>
      <c r="V117" s="8">
        <f t="shared" si="34"/>
        <v>2510617.5991672166</v>
      </c>
      <c r="W117" s="8">
        <f t="shared" si="35"/>
        <v>321.33725317414837</v>
      </c>
      <c r="Y117" s="3" t="s">
        <v>9</v>
      </c>
      <c r="Z117" s="7">
        <v>60.3</v>
      </c>
      <c r="AA117" s="5">
        <v>1032.6600000000001</v>
      </c>
      <c r="AB117" s="8">
        <f t="shared" si="36"/>
        <v>107914.62620145787</v>
      </c>
      <c r="AC117" s="8">
        <f t="shared" si="37"/>
        <v>104.50160382067463</v>
      </c>
      <c r="AE117" s="3" t="s">
        <v>9</v>
      </c>
      <c r="AF117" s="7">
        <v>60.3</v>
      </c>
      <c r="AG117" s="5">
        <v>10721.33</v>
      </c>
      <c r="AH117" s="8">
        <f t="shared" si="38"/>
        <v>8101722.2409950905</v>
      </c>
      <c r="AI117" s="8">
        <f t="shared" si="39"/>
        <v>755.66391865515664</v>
      </c>
      <c r="AK117" s="3" t="s">
        <v>9</v>
      </c>
      <c r="AL117" s="7">
        <v>60.3</v>
      </c>
      <c r="AM117" s="5">
        <v>317847.01000000007</v>
      </c>
      <c r="AN117" s="8">
        <f t="shared" si="40"/>
        <v>105319105.71039779</v>
      </c>
      <c r="AO117" s="8">
        <f t="shared" si="41"/>
        <v>331.35156977061945</v>
      </c>
    </row>
    <row r="118" spans="1:41" x14ac:dyDescent="0.25">
      <c r="A118" s="3" t="s">
        <v>9</v>
      </c>
      <c r="B118" s="7">
        <v>88.9</v>
      </c>
      <c r="C118" s="5">
        <v>182017.47999999998</v>
      </c>
      <c r="D118" s="8">
        <f t="shared" si="28"/>
        <v>61113053.789085187</v>
      </c>
      <c r="E118" s="8">
        <f t="shared" si="29"/>
        <v>335.75376271051107</v>
      </c>
      <c r="G118" s="3" t="s">
        <v>9</v>
      </c>
      <c r="H118" s="7">
        <v>88.9</v>
      </c>
      <c r="I118" s="5">
        <v>4823.3500000000004</v>
      </c>
      <c r="J118" s="8">
        <f t="shared" si="30"/>
        <v>990344.79094587127</v>
      </c>
      <c r="K118" s="8">
        <f t="shared" si="31"/>
        <v>205.3230205035652</v>
      </c>
      <c r="M118" s="3" t="s">
        <v>9</v>
      </c>
      <c r="N118" s="7">
        <v>88.9</v>
      </c>
      <c r="O118" s="5">
        <v>5624.74</v>
      </c>
      <c r="P118" s="8">
        <f t="shared" si="32"/>
        <v>3514620.4833426713</v>
      </c>
      <c r="Q118" s="8">
        <f t="shared" si="33"/>
        <v>624.85030123039849</v>
      </c>
      <c r="S118" s="3" t="s">
        <v>9</v>
      </c>
      <c r="T118" s="7">
        <v>88.9</v>
      </c>
      <c r="U118" s="5">
        <v>2507.94</v>
      </c>
      <c r="V118" s="8">
        <f t="shared" si="34"/>
        <v>929942.2049446773</v>
      </c>
      <c r="W118" s="8">
        <f t="shared" si="35"/>
        <v>370.7992236435789</v>
      </c>
      <c r="Y118" s="3" t="s">
        <v>9</v>
      </c>
      <c r="Z118" s="7">
        <v>88.9</v>
      </c>
      <c r="AA118" s="5">
        <v>2697.84</v>
      </c>
      <c r="AB118" s="8">
        <f t="shared" si="36"/>
        <v>662868.9185498124</v>
      </c>
      <c r="AC118" s="8">
        <f t="shared" si="37"/>
        <v>245.70356972608175</v>
      </c>
      <c r="AE118" s="3" t="s">
        <v>9</v>
      </c>
      <c r="AF118" s="7">
        <v>88.9</v>
      </c>
      <c r="AG118" s="5">
        <v>3996.93</v>
      </c>
      <c r="AH118" s="8">
        <f t="shared" si="38"/>
        <v>2895070.2742546676</v>
      </c>
      <c r="AI118" s="8">
        <f t="shared" si="39"/>
        <v>724.3234868398165</v>
      </c>
      <c r="AK118" s="3" t="s">
        <v>9</v>
      </c>
      <c r="AL118" s="7">
        <v>88.9</v>
      </c>
      <c r="AM118" s="5">
        <v>201668.27999999997</v>
      </c>
      <c r="AN118" s="8">
        <f t="shared" si="40"/>
        <v>64819948.348932102</v>
      </c>
      <c r="AO118" s="8">
        <f t="shared" si="41"/>
        <v>321.41866013302695</v>
      </c>
    </row>
    <row r="119" spans="1:41" x14ac:dyDescent="0.25">
      <c r="A119" s="3" t="s">
        <v>9</v>
      </c>
      <c r="B119" s="7">
        <v>114.3</v>
      </c>
      <c r="C119" s="5">
        <v>293037.86</v>
      </c>
      <c r="D119" s="8">
        <f t="shared" si="28"/>
        <v>100229970.67712037</v>
      </c>
      <c r="E119" s="8">
        <f t="shared" si="29"/>
        <v>342.03761478847946</v>
      </c>
      <c r="G119" s="3" t="s">
        <v>9</v>
      </c>
      <c r="H119" s="7">
        <v>114.3</v>
      </c>
      <c r="I119" s="5">
        <v>13052.98</v>
      </c>
      <c r="J119" s="8">
        <f t="shared" si="30"/>
        <v>3699911.8653562958</v>
      </c>
      <c r="K119" s="8">
        <f t="shared" si="31"/>
        <v>283.45342330688442</v>
      </c>
      <c r="M119" s="3" t="s">
        <v>9</v>
      </c>
      <c r="N119" s="7">
        <v>114.3</v>
      </c>
      <c r="O119" s="5">
        <v>5355.04</v>
      </c>
      <c r="P119" s="8">
        <f t="shared" si="32"/>
        <v>2983021.0291046798</v>
      </c>
      <c r="Q119" s="8">
        <f t="shared" si="33"/>
        <v>557.04925249945472</v>
      </c>
      <c r="S119" s="3" t="s">
        <v>9</v>
      </c>
      <c r="T119" s="7">
        <v>114.3</v>
      </c>
      <c r="U119" s="5">
        <v>26145.97</v>
      </c>
      <c r="V119" s="8">
        <f t="shared" si="34"/>
        <v>11478855.512800746</v>
      </c>
      <c r="W119" s="8">
        <f t="shared" si="35"/>
        <v>439.02962914746496</v>
      </c>
      <c r="Y119" s="3" t="s">
        <v>9</v>
      </c>
      <c r="Z119" s="7">
        <v>114.3</v>
      </c>
      <c r="AA119" s="5">
        <v>6899.11</v>
      </c>
      <c r="AB119" s="8">
        <f t="shared" si="36"/>
        <v>2513928.9980414854</v>
      </c>
      <c r="AC119" s="8">
        <f t="shared" si="37"/>
        <v>364.38453627228517</v>
      </c>
      <c r="AE119" s="3" t="s">
        <v>9</v>
      </c>
      <c r="AF119" s="7">
        <v>114.3</v>
      </c>
      <c r="AG119" s="5">
        <v>4498.43</v>
      </c>
      <c r="AH119" s="8">
        <f t="shared" si="38"/>
        <v>3362625.3498648796</v>
      </c>
      <c r="AI119" s="8">
        <f t="shared" si="39"/>
        <v>747.51087598670631</v>
      </c>
      <c r="AK119" s="3" t="s">
        <v>9</v>
      </c>
      <c r="AL119" s="7">
        <v>114.3</v>
      </c>
      <c r="AM119" s="5">
        <v>348989.38999999996</v>
      </c>
      <c r="AN119" s="8">
        <f t="shared" si="40"/>
        <v>129219639.8173513</v>
      </c>
      <c r="AO119" s="8">
        <f t="shared" si="41"/>
        <v>370.26810418893052</v>
      </c>
    </row>
    <row r="120" spans="1:41" x14ac:dyDescent="0.25">
      <c r="A120" s="3" t="s">
        <v>9</v>
      </c>
      <c r="B120" s="7">
        <v>168.3</v>
      </c>
      <c r="C120" s="5">
        <v>212937.38999999998</v>
      </c>
      <c r="D120" s="8">
        <f t="shared" si="28"/>
        <v>73363736.128532231</v>
      </c>
      <c r="E120" s="8">
        <f t="shared" si="29"/>
        <v>344.53195903515223</v>
      </c>
      <c r="G120" s="3" t="s">
        <v>9</v>
      </c>
      <c r="H120" s="7">
        <v>168.3</v>
      </c>
      <c r="I120" s="5">
        <v>3764.07</v>
      </c>
      <c r="J120" s="8">
        <f t="shared" si="30"/>
        <v>1051434.111024976</v>
      </c>
      <c r="K120" s="8">
        <f t="shared" si="31"/>
        <v>279.33436706144573</v>
      </c>
      <c r="M120" s="3" t="s">
        <v>9</v>
      </c>
      <c r="N120" s="7">
        <v>168.3</v>
      </c>
      <c r="O120" s="5">
        <v>17574.54</v>
      </c>
      <c r="P120" s="8">
        <f t="shared" si="32"/>
        <v>10116365.429251058</v>
      </c>
      <c r="Q120" s="8">
        <f t="shared" si="33"/>
        <v>575.62618590592172</v>
      </c>
      <c r="S120" s="3" t="s">
        <v>9</v>
      </c>
      <c r="T120" s="7">
        <v>168.3</v>
      </c>
      <c r="U120" s="5">
        <v>52548.77</v>
      </c>
      <c r="V120" s="8">
        <f t="shared" si="34"/>
        <v>24066315.3211702</v>
      </c>
      <c r="W120" s="8">
        <f t="shared" si="35"/>
        <v>457.98056398218648</v>
      </c>
      <c r="Y120" s="3" t="s">
        <v>9</v>
      </c>
      <c r="Z120" s="7">
        <v>168.3</v>
      </c>
      <c r="AA120" s="5">
        <v>16239.51</v>
      </c>
      <c r="AB120" s="8">
        <f t="shared" si="36"/>
        <v>10581333.836047733</v>
      </c>
      <c r="AC120" s="8">
        <f t="shared" si="37"/>
        <v>651.57962500394001</v>
      </c>
      <c r="AE120" s="3" t="s">
        <v>9</v>
      </c>
      <c r="AF120" s="7">
        <v>168.3</v>
      </c>
      <c r="AG120" s="5">
        <v>7316.79</v>
      </c>
      <c r="AH120" s="8">
        <f t="shared" si="38"/>
        <v>3892964.7215063139</v>
      </c>
      <c r="AI120" s="8">
        <f t="shared" si="39"/>
        <v>532.05910262646785</v>
      </c>
      <c r="AK120" s="3" t="s">
        <v>9</v>
      </c>
      <c r="AL120" s="7">
        <v>168.3</v>
      </c>
      <c r="AM120" s="5">
        <v>310381.07</v>
      </c>
      <c r="AN120" s="8">
        <f t="shared" si="40"/>
        <v>127894695.20170169</v>
      </c>
      <c r="AO120" s="8">
        <f t="shared" si="41"/>
        <v>412.05700850796632</v>
      </c>
    </row>
    <row r="121" spans="1:41" x14ac:dyDescent="0.25">
      <c r="A121" s="3" t="s">
        <v>9</v>
      </c>
      <c r="B121" s="7">
        <v>219.1</v>
      </c>
      <c r="C121" s="5">
        <v>122021.89</v>
      </c>
      <c r="D121" s="8">
        <f t="shared" si="28"/>
        <v>53988643.398314901</v>
      </c>
      <c r="E121" s="8">
        <f t="shared" si="29"/>
        <v>442.45047669983558</v>
      </c>
      <c r="G121" s="3" t="s">
        <v>9</v>
      </c>
      <c r="H121" s="7">
        <v>219.1</v>
      </c>
      <c r="I121" s="5">
        <v>2543.2600000000002</v>
      </c>
      <c r="J121" s="8">
        <f t="shared" si="30"/>
        <v>926540.11457549839</v>
      </c>
      <c r="K121" s="8">
        <f t="shared" si="31"/>
        <v>364.3119911355891</v>
      </c>
      <c r="M121" s="3" t="s">
        <v>9</v>
      </c>
      <c r="N121" s="7">
        <v>219.1</v>
      </c>
      <c r="O121" s="5">
        <v>629.15</v>
      </c>
      <c r="P121" s="8">
        <f t="shared" si="32"/>
        <v>572793.28100082243</v>
      </c>
      <c r="Q121" s="8">
        <f t="shared" si="33"/>
        <v>910.42403401545334</v>
      </c>
      <c r="S121" s="3" t="s">
        <v>9</v>
      </c>
      <c r="T121" s="7">
        <v>219.1</v>
      </c>
      <c r="U121" s="5">
        <v>1273.3900000000001</v>
      </c>
      <c r="V121" s="8">
        <f t="shared" si="34"/>
        <v>791801.24516048073</v>
      </c>
      <c r="W121" s="8">
        <f t="shared" si="35"/>
        <v>621.80576662332885</v>
      </c>
      <c r="Y121" s="3" t="s">
        <v>9</v>
      </c>
      <c r="Z121" s="7">
        <v>219.1</v>
      </c>
      <c r="AA121" s="5">
        <v>3111.31</v>
      </c>
      <c r="AB121" s="8">
        <f t="shared" si="36"/>
        <v>2742223.0466233408</v>
      </c>
      <c r="AC121" s="8">
        <f t="shared" si="37"/>
        <v>881.37249153036532</v>
      </c>
      <c r="AE121" s="3" t="s">
        <v>9</v>
      </c>
      <c r="AF121" s="7">
        <v>219.1</v>
      </c>
      <c r="AG121" s="5">
        <v>95.72</v>
      </c>
      <c r="AH121" s="8">
        <f t="shared" si="38"/>
        <v>60866.715759515449</v>
      </c>
      <c r="AI121" s="8">
        <f t="shared" si="39"/>
        <v>635.88294775925044</v>
      </c>
      <c r="AK121" s="3" t="s">
        <v>9</v>
      </c>
      <c r="AL121" s="7">
        <v>219.1</v>
      </c>
      <c r="AM121" s="5">
        <v>129674.71999999999</v>
      </c>
      <c r="AN121" s="8">
        <f t="shared" si="40"/>
        <v>70880202.527998477</v>
      </c>
      <c r="AO121" s="8">
        <f t="shared" si="41"/>
        <v>546.60000444187187</v>
      </c>
    </row>
    <row r="122" spans="1:41" x14ac:dyDescent="0.25">
      <c r="A122" s="3" t="s">
        <v>9</v>
      </c>
      <c r="B122" s="7">
        <v>273.10000000000002</v>
      </c>
      <c r="C122" s="5">
        <v>4122.0600000000004</v>
      </c>
      <c r="D122" s="8">
        <f t="shared" si="28"/>
        <v>1714494.3790986647</v>
      </c>
      <c r="E122" s="8">
        <f t="shared" si="29"/>
        <v>415.93144667924884</v>
      </c>
      <c r="G122" s="3" t="s">
        <v>9</v>
      </c>
      <c r="H122" s="7">
        <v>273.10000000000002</v>
      </c>
      <c r="I122" s="5">
        <v>1540.94</v>
      </c>
      <c r="J122" s="8">
        <f t="shared" si="30"/>
        <v>633143.23649391159</v>
      </c>
      <c r="K122" s="8">
        <f t="shared" si="31"/>
        <v>410.88117414948772</v>
      </c>
      <c r="M122" s="3" t="s">
        <v>9</v>
      </c>
      <c r="N122" s="7">
        <v>273.10000000000002</v>
      </c>
      <c r="O122" s="5">
        <v>0</v>
      </c>
      <c r="P122" s="8">
        <f t="shared" si="32"/>
        <v>0</v>
      </c>
      <c r="Q122" s="8">
        <f t="shared" si="33"/>
        <v>936.00922617558376</v>
      </c>
      <c r="S122" s="3" t="s">
        <v>9</v>
      </c>
      <c r="T122" s="7">
        <v>273.10000000000002</v>
      </c>
      <c r="U122" s="5">
        <v>0</v>
      </c>
      <c r="V122" s="8">
        <f t="shared" si="34"/>
        <v>0</v>
      </c>
      <c r="W122" s="8">
        <f t="shared" si="35"/>
        <v>689.36198449914173</v>
      </c>
      <c r="Y122" s="3" t="s">
        <v>9</v>
      </c>
      <c r="Z122" s="7">
        <v>273.10000000000002</v>
      </c>
      <c r="AA122" s="5">
        <v>1201.99</v>
      </c>
      <c r="AB122" s="8">
        <f t="shared" si="36"/>
        <v>1388446.5643327294</v>
      </c>
      <c r="AC122" s="8">
        <f t="shared" si="37"/>
        <v>1155.1232242637038</v>
      </c>
      <c r="AE122" s="3" t="s">
        <v>9</v>
      </c>
      <c r="AF122" s="7">
        <v>273.10000000000002</v>
      </c>
      <c r="AG122" s="5">
        <v>0</v>
      </c>
      <c r="AH122" s="8">
        <f t="shared" si="38"/>
        <v>0</v>
      </c>
      <c r="AI122" s="8">
        <f t="shared" si="39"/>
        <v>522.47357284031841</v>
      </c>
      <c r="AK122" s="3" t="s">
        <v>9</v>
      </c>
      <c r="AL122" s="7">
        <v>273.10000000000002</v>
      </c>
      <c r="AM122" s="5">
        <v>6864.99</v>
      </c>
      <c r="AN122" s="8">
        <f t="shared" si="40"/>
        <v>3453088.2464924529</v>
      </c>
      <c r="AO122" s="8">
        <f t="shared" si="41"/>
        <v>502.99974894245338</v>
      </c>
    </row>
    <row r="123" spans="1:41" x14ac:dyDescent="0.25">
      <c r="A123" s="3" t="s">
        <v>9</v>
      </c>
      <c r="B123" s="7">
        <v>323.89999999999998</v>
      </c>
      <c r="C123" s="5">
        <v>28777.21</v>
      </c>
      <c r="D123" s="8">
        <f t="shared" si="28"/>
        <v>11965005.344253013</v>
      </c>
      <c r="E123" s="8">
        <f t="shared" si="29"/>
        <v>415.78058971849646</v>
      </c>
      <c r="G123" s="3" t="s">
        <v>9</v>
      </c>
      <c r="H123" s="7">
        <v>323.89999999999998</v>
      </c>
      <c r="I123" s="5">
        <v>0</v>
      </c>
      <c r="J123" s="8">
        <f t="shared" si="30"/>
        <v>0</v>
      </c>
      <c r="K123" s="8">
        <f t="shared" si="31"/>
        <v>462.62285658311794</v>
      </c>
      <c r="M123" s="3" t="s">
        <v>9</v>
      </c>
      <c r="N123" s="7">
        <v>323.89999999999998</v>
      </c>
      <c r="O123" s="5">
        <v>0</v>
      </c>
      <c r="P123" s="8">
        <f t="shared" si="32"/>
        <v>0</v>
      </c>
      <c r="Q123" s="8">
        <f t="shared" si="33"/>
        <v>1044.9475009013634</v>
      </c>
      <c r="S123" s="3" t="s">
        <v>9</v>
      </c>
      <c r="T123" s="7">
        <v>323.89999999999998</v>
      </c>
      <c r="U123" s="5">
        <v>0</v>
      </c>
      <c r="V123" s="8">
        <f t="shared" si="34"/>
        <v>0</v>
      </c>
      <c r="W123" s="8">
        <f t="shared" si="35"/>
        <v>777.21751246582232</v>
      </c>
      <c r="Y123" s="3" t="s">
        <v>9</v>
      </c>
      <c r="Z123" s="7">
        <v>323.89999999999998</v>
      </c>
      <c r="AA123" s="5">
        <v>0</v>
      </c>
      <c r="AB123" s="8">
        <f t="shared" si="36"/>
        <v>0</v>
      </c>
      <c r="AC123" s="8">
        <f t="shared" si="37"/>
        <v>1405.9295133544265</v>
      </c>
      <c r="AE123" s="3" t="s">
        <v>9</v>
      </c>
      <c r="AF123" s="7">
        <v>323.89999999999998</v>
      </c>
      <c r="AG123" s="5">
        <v>0</v>
      </c>
      <c r="AH123" s="8">
        <f t="shared" si="38"/>
        <v>0</v>
      </c>
      <c r="AI123" s="8">
        <f t="shared" si="39"/>
        <v>466.80595269279121</v>
      </c>
      <c r="AK123" s="3" t="s">
        <v>9</v>
      </c>
      <c r="AL123" s="7">
        <v>323.89999999999998</v>
      </c>
      <c r="AM123" s="5">
        <v>28777.21</v>
      </c>
      <c r="AN123" s="8">
        <f t="shared" si="40"/>
        <v>14619939.571652943</v>
      </c>
      <c r="AO123" s="8">
        <f t="shared" si="41"/>
        <v>508.03881167260289</v>
      </c>
    </row>
    <row r="124" spans="1:41" x14ac:dyDescent="0.25">
      <c r="A124" s="3" t="s">
        <v>9</v>
      </c>
      <c r="B124" s="7">
        <v>406.4</v>
      </c>
      <c r="C124" s="5">
        <v>11269.87</v>
      </c>
      <c r="D124" s="8">
        <f t="shared" si="28"/>
        <v>5372880.7662004316</v>
      </c>
      <c r="E124" s="8">
        <f t="shared" si="29"/>
        <v>476.74735965902283</v>
      </c>
      <c r="G124" s="3" t="s">
        <v>9</v>
      </c>
      <c r="H124" s="7">
        <v>406.4</v>
      </c>
      <c r="I124" s="5">
        <v>0</v>
      </c>
      <c r="J124" s="8">
        <f t="shared" si="30"/>
        <v>0</v>
      </c>
      <c r="K124" s="8">
        <f t="shared" si="31"/>
        <v>546.65216368497818</v>
      </c>
      <c r="M124" s="3" t="s">
        <v>9</v>
      </c>
      <c r="N124" s="7">
        <v>406.4</v>
      </c>
      <c r="O124" s="5">
        <v>0</v>
      </c>
      <c r="P124" s="8">
        <f t="shared" si="32"/>
        <v>0</v>
      </c>
      <c r="Q124" s="8">
        <f t="shared" si="33"/>
        <v>1221.8649746194108</v>
      </c>
      <c r="S124" s="3" t="s">
        <v>9</v>
      </c>
      <c r="T124" s="7">
        <v>406.4</v>
      </c>
      <c r="U124" s="5">
        <v>0</v>
      </c>
      <c r="V124" s="8">
        <f t="shared" si="34"/>
        <v>0</v>
      </c>
      <c r="W124" s="8">
        <f t="shared" si="35"/>
        <v>919.89627343533323</v>
      </c>
      <c r="Y124" s="3" t="s">
        <v>9</v>
      </c>
      <c r="Z124" s="7">
        <v>406.4</v>
      </c>
      <c r="AA124" s="5">
        <v>0</v>
      </c>
      <c r="AB124" s="8">
        <f t="shared" si="36"/>
        <v>0</v>
      </c>
      <c r="AC124" s="8">
        <f t="shared" si="37"/>
        <v>1813.2428765431009</v>
      </c>
      <c r="AE124" s="3" t="s">
        <v>9</v>
      </c>
      <c r="AF124" s="7">
        <v>406.4</v>
      </c>
      <c r="AG124" s="5">
        <v>0</v>
      </c>
      <c r="AH124" s="8">
        <f t="shared" si="38"/>
        <v>0</v>
      </c>
      <c r="AI124" s="8">
        <f t="shared" si="39"/>
        <v>376.40086091777164</v>
      </c>
      <c r="AK124" s="3" t="s">
        <v>9</v>
      </c>
      <c r="AL124" s="7">
        <v>406.4</v>
      </c>
      <c r="AM124" s="5">
        <v>11269.87</v>
      </c>
      <c r="AN124" s="8">
        <f t="shared" si="40"/>
        <v>6799716.2080875402</v>
      </c>
      <c r="AO124" s="8">
        <f t="shared" si="41"/>
        <v>603.3535620275602</v>
      </c>
    </row>
    <row r="125" spans="1:41" x14ac:dyDescent="0.25">
      <c r="A125" s="3" t="s">
        <v>9</v>
      </c>
      <c r="B125" s="7">
        <v>508</v>
      </c>
      <c r="C125" s="5">
        <v>0</v>
      </c>
      <c r="D125" s="8">
        <f t="shared" si="28"/>
        <v>0</v>
      </c>
      <c r="E125" s="8">
        <f t="shared" si="29"/>
        <v>518.17758112146657</v>
      </c>
      <c r="G125" s="3" t="s">
        <v>9</v>
      </c>
      <c r="H125" s="7">
        <v>508</v>
      </c>
      <c r="I125" s="5">
        <v>0</v>
      </c>
      <c r="J125" s="8">
        <f t="shared" si="30"/>
        <v>0</v>
      </c>
      <c r="K125" s="8">
        <f t="shared" si="31"/>
        <v>650.13552855223884</v>
      </c>
      <c r="M125" s="3" t="s">
        <v>9</v>
      </c>
      <c r="N125" s="7">
        <v>508</v>
      </c>
      <c r="O125" s="5">
        <v>0</v>
      </c>
      <c r="P125" s="8">
        <f t="shared" si="32"/>
        <v>0</v>
      </c>
      <c r="Q125" s="8">
        <f t="shared" si="33"/>
        <v>1439.7415240709699</v>
      </c>
      <c r="S125" s="3" t="s">
        <v>9</v>
      </c>
      <c r="T125" s="7">
        <v>508</v>
      </c>
      <c r="U125" s="5">
        <v>0</v>
      </c>
      <c r="V125" s="8">
        <f t="shared" si="34"/>
        <v>0</v>
      </c>
      <c r="W125" s="8">
        <f t="shared" si="35"/>
        <v>1095.6073293686948</v>
      </c>
      <c r="Y125" s="3" t="s">
        <v>9</v>
      </c>
      <c r="Z125" s="7">
        <v>508</v>
      </c>
      <c r="AA125" s="5">
        <v>0</v>
      </c>
      <c r="AB125" s="8">
        <f t="shared" si="36"/>
        <v>0</v>
      </c>
      <c r="AC125" s="8">
        <f t="shared" si="37"/>
        <v>2314.8554547245471</v>
      </c>
      <c r="AE125" s="3" t="s">
        <v>9</v>
      </c>
      <c r="AF125" s="7">
        <v>508</v>
      </c>
      <c r="AG125" s="5">
        <v>0</v>
      </c>
      <c r="AH125" s="8">
        <f t="shared" si="38"/>
        <v>0</v>
      </c>
      <c r="AI125" s="8">
        <f t="shared" si="39"/>
        <v>265.06562062271723</v>
      </c>
      <c r="AK125" s="3" t="s">
        <v>9</v>
      </c>
      <c r="AL125" s="7">
        <v>508</v>
      </c>
      <c r="AM125" s="5">
        <v>0</v>
      </c>
      <c r="AN125" s="8">
        <f t="shared" si="40"/>
        <v>0</v>
      </c>
      <c r="AO125" s="8">
        <f t="shared" si="41"/>
        <v>692.4741722857982</v>
      </c>
    </row>
    <row r="126" spans="1:41" x14ac:dyDescent="0.25">
      <c r="A126" s="3" t="s">
        <v>9</v>
      </c>
      <c r="B126" s="7">
        <v>610</v>
      </c>
      <c r="C126" s="5">
        <v>0</v>
      </c>
      <c r="D126" s="8">
        <f t="shared" si="28"/>
        <v>0</v>
      </c>
      <c r="E126" s="8">
        <f t="shared" si="29"/>
        <v>562.57564716278716</v>
      </c>
      <c r="G126" s="3" t="s">
        <v>9</v>
      </c>
      <c r="H126" s="7">
        <v>610</v>
      </c>
      <c r="I126" s="5">
        <v>0</v>
      </c>
      <c r="J126" s="8">
        <f t="shared" si="30"/>
        <v>0</v>
      </c>
      <c r="K126" s="8">
        <f t="shared" si="31"/>
        <v>754.02630824181142</v>
      </c>
      <c r="M126" s="3" t="s">
        <v>9</v>
      </c>
      <c r="N126" s="7">
        <v>610</v>
      </c>
      <c r="O126" s="5">
        <v>0</v>
      </c>
      <c r="P126" s="8">
        <f t="shared" si="32"/>
        <v>0</v>
      </c>
      <c r="Q126" s="8">
        <f t="shared" si="33"/>
        <v>1658.4758552132835</v>
      </c>
      <c r="S126" s="3" t="s">
        <v>9</v>
      </c>
      <c r="T126" s="7">
        <v>610</v>
      </c>
      <c r="U126" s="5">
        <v>0</v>
      </c>
      <c r="V126" s="8">
        <f t="shared" si="34"/>
        <v>0</v>
      </c>
      <c r="W126" s="8">
        <f t="shared" si="35"/>
        <v>1272.0101611128173</v>
      </c>
      <c r="Y126" s="3" t="s">
        <v>9</v>
      </c>
      <c r="Z126" s="7">
        <v>610</v>
      </c>
      <c r="AA126" s="5">
        <v>0</v>
      </c>
      <c r="AB126" s="8">
        <f t="shared" si="36"/>
        <v>0</v>
      </c>
      <c r="AC126" s="8">
        <f t="shared" si="37"/>
        <v>2818.4428855759993</v>
      </c>
      <c r="AE126" s="3" t="s">
        <v>9</v>
      </c>
      <c r="AF126" s="7">
        <v>610</v>
      </c>
      <c r="AG126" s="5">
        <v>0</v>
      </c>
      <c r="AH126" s="8">
        <f t="shared" si="38"/>
        <v>0</v>
      </c>
      <c r="AI126" s="8">
        <f t="shared" si="39"/>
        <v>153.29205260996582</v>
      </c>
      <c r="AK126" s="3" t="s">
        <v>9</v>
      </c>
      <c r="AL126" s="7">
        <v>610</v>
      </c>
      <c r="AM126" s="5">
        <v>0</v>
      </c>
      <c r="AN126" s="8">
        <f t="shared" si="40"/>
        <v>0</v>
      </c>
      <c r="AO126" s="8">
        <f t="shared" si="41"/>
        <v>774.7491453850796</v>
      </c>
    </row>
    <row r="127" spans="1:41" x14ac:dyDescent="0.25">
      <c r="A127" s="3" t="s">
        <v>9</v>
      </c>
      <c r="B127" s="7">
        <v>762</v>
      </c>
      <c r="C127" s="5">
        <v>0</v>
      </c>
      <c r="D127" s="8">
        <f t="shared" si="28"/>
        <v>0</v>
      </c>
      <c r="E127" s="8">
        <f t="shared" si="29"/>
        <v>628.73747106750011</v>
      </c>
      <c r="G127" s="3" t="s">
        <v>9</v>
      </c>
      <c r="H127" s="7">
        <v>762</v>
      </c>
      <c r="I127" s="5">
        <v>0</v>
      </c>
      <c r="J127" s="8">
        <f t="shared" si="30"/>
        <v>0</v>
      </c>
      <c r="K127" s="8">
        <f t="shared" si="31"/>
        <v>908.84394072039038</v>
      </c>
      <c r="M127" s="3" t="s">
        <v>9</v>
      </c>
      <c r="N127" s="7">
        <v>762</v>
      </c>
      <c r="O127" s="5">
        <v>0</v>
      </c>
      <c r="P127" s="8">
        <f t="shared" si="32"/>
        <v>0</v>
      </c>
      <c r="Q127" s="8">
        <f t="shared" si="33"/>
        <v>1984.4328976998679</v>
      </c>
      <c r="S127" s="3" t="s">
        <v>9</v>
      </c>
      <c r="T127" s="7">
        <v>762</v>
      </c>
      <c r="U127" s="5">
        <v>0</v>
      </c>
      <c r="V127" s="8">
        <f t="shared" si="34"/>
        <v>0</v>
      </c>
      <c r="W127" s="8">
        <f t="shared" si="35"/>
        <v>1534.8849692020983</v>
      </c>
      <c r="Y127" s="3" t="s">
        <v>9</v>
      </c>
      <c r="Z127" s="7">
        <v>762</v>
      </c>
      <c r="AA127" s="5">
        <v>0</v>
      </c>
      <c r="AB127" s="8">
        <f t="shared" si="36"/>
        <v>0</v>
      </c>
      <c r="AC127" s="8">
        <f t="shared" si="37"/>
        <v>3568.8869001781627</v>
      </c>
      <c r="AE127" s="3" t="s">
        <v>9</v>
      </c>
      <c r="AF127" s="7">
        <v>762</v>
      </c>
      <c r="AG127" s="5">
        <v>0</v>
      </c>
      <c r="AH127" s="8">
        <f t="shared" si="38"/>
        <v>0</v>
      </c>
      <c r="AI127" s="8">
        <f t="shared" si="39"/>
        <v>-13.272480114918721</v>
      </c>
      <c r="AK127" s="3" t="s">
        <v>9</v>
      </c>
      <c r="AL127" s="7">
        <v>762</v>
      </c>
      <c r="AM127" s="5">
        <v>0</v>
      </c>
      <c r="AN127" s="8">
        <f t="shared" si="40"/>
        <v>0</v>
      </c>
      <c r="AO127" s="8">
        <f t="shared" si="41"/>
        <v>897.35498765067518</v>
      </c>
    </row>
    <row r="128" spans="1:41" x14ac:dyDescent="0.25">
      <c r="A128" s="9" t="s">
        <v>10</v>
      </c>
      <c r="B128" s="9"/>
      <c r="C128" s="10">
        <v>5343699.7300000004</v>
      </c>
      <c r="D128" s="11">
        <f>SUM(D105:D127)</f>
        <v>1227067659.3401284</v>
      </c>
      <c r="E128" s="11">
        <f>D128/C128</f>
        <v>229.62885666109992</v>
      </c>
      <c r="G128" s="9" t="s">
        <v>10</v>
      </c>
      <c r="H128" s="9"/>
      <c r="I128" s="10">
        <v>153989.70000000004</v>
      </c>
      <c r="J128" s="11">
        <f>SUM(J105:J127)</f>
        <v>33737079.482158527</v>
      </c>
      <c r="K128" s="11">
        <f>J128/I128</f>
        <v>219.08659788387482</v>
      </c>
      <c r="M128" s="9" t="s">
        <v>10</v>
      </c>
      <c r="N128" s="9"/>
      <c r="O128" s="10">
        <v>422621.25</v>
      </c>
      <c r="P128" s="11">
        <f>SUM(P105:P127)</f>
        <v>84929256.876982316</v>
      </c>
      <c r="Q128" s="11">
        <f>P128/O128</f>
        <v>200.95832113738322</v>
      </c>
      <c r="S128" s="9" t="s">
        <v>10</v>
      </c>
      <c r="T128" s="9"/>
      <c r="U128" s="10">
        <v>887926.53999999992</v>
      </c>
      <c r="V128" s="11">
        <f>SUM(V105:V127)</f>
        <v>196758338.42325491</v>
      </c>
      <c r="W128" s="11">
        <f>V128/U128</f>
        <v>221.59303676546816</v>
      </c>
      <c r="Y128" s="9" t="s">
        <v>10</v>
      </c>
      <c r="Z128" s="9"/>
      <c r="AA128" s="10">
        <v>646560.88</v>
      </c>
      <c r="AB128" s="11">
        <f>SUM(AB105:AB127)</f>
        <v>157245050.76387295</v>
      </c>
      <c r="AC128" s="11">
        <f>AB128/AA128</f>
        <v>243.20223451173376</v>
      </c>
      <c r="AE128" s="9" t="s">
        <v>10</v>
      </c>
      <c r="AF128" s="9"/>
      <c r="AG128" s="10">
        <v>222062.6</v>
      </c>
      <c r="AH128" s="11">
        <f>SUM(AH105:AH127)</f>
        <v>55114910.897773735</v>
      </c>
      <c r="AI128" s="11">
        <f>AH128/AG128</f>
        <v>248.19537777984107</v>
      </c>
      <c r="AK128" s="9" t="s">
        <v>10</v>
      </c>
      <c r="AL128" s="9"/>
      <c r="AM128" s="10">
        <v>7676860.7000000002</v>
      </c>
      <c r="AN128" s="11">
        <f>SUM(AN105:AN127)</f>
        <v>1769175903.0444968</v>
      </c>
      <c r="AO128" s="11">
        <f>AN128/AM128</f>
        <v>230.45564745554088</v>
      </c>
    </row>
    <row r="130" spans="1:41" x14ac:dyDescent="0.25">
      <c r="A130" s="50" t="s">
        <v>66</v>
      </c>
      <c r="E130" s="47"/>
    </row>
    <row r="131" spans="1:41" x14ac:dyDescent="0.25">
      <c r="A131" s="1" t="s">
        <v>49</v>
      </c>
      <c r="G131" s="1" t="s">
        <v>50</v>
      </c>
      <c r="M131" s="1" t="s">
        <v>51</v>
      </c>
      <c r="S131" s="1" t="s">
        <v>52</v>
      </c>
      <c r="Y131" s="1" t="s">
        <v>53</v>
      </c>
      <c r="AE131" s="1" t="s">
        <v>54</v>
      </c>
      <c r="AK131" s="1" t="s">
        <v>12</v>
      </c>
    </row>
    <row r="132" spans="1:41" ht="26.25" x14ac:dyDescent="0.25">
      <c r="A132" s="2" t="s">
        <v>0</v>
      </c>
      <c r="B132" s="2" t="s">
        <v>1</v>
      </c>
      <c r="C132" s="2" t="s">
        <v>2</v>
      </c>
      <c r="D132" s="2" t="s">
        <v>3</v>
      </c>
      <c r="E132" s="2" t="s">
        <v>4</v>
      </c>
      <c r="G132" s="2" t="s">
        <v>0</v>
      </c>
      <c r="H132" s="2" t="s">
        <v>1</v>
      </c>
      <c r="I132" s="2" t="s">
        <v>2</v>
      </c>
      <c r="J132" s="2" t="s">
        <v>3</v>
      </c>
      <c r="K132" s="2" t="s">
        <v>4</v>
      </c>
      <c r="M132" s="2" t="s">
        <v>0</v>
      </c>
      <c r="N132" s="2" t="s">
        <v>1</v>
      </c>
      <c r="O132" s="2" t="s">
        <v>2</v>
      </c>
      <c r="P132" s="2" t="s">
        <v>3</v>
      </c>
      <c r="Q132" s="2" t="s">
        <v>4</v>
      </c>
      <c r="S132" s="2" t="s">
        <v>0</v>
      </c>
      <c r="T132" s="2" t="s">
        <v>1</v>
      </c>
      <c r="U132" s="2" t="s">
        <v>2</v>
      </c>
      <c r="V132" s="2" t="s">
        <v>3</v>
      </c>
      <c r="W132" s="2" t="s">
        <v>4</v>
      </c>
      <c r="Y132" s="2" t="s">
        <v>0</v>
      </c>
      <c r="Z132" s="2" t="s">
        <v>1</v>
      </c>
      <c r="AA132" s="2" t="s">
        <v>2</v>
      </c>
      <c r="AB132" s="2" t="s">
        <v>3</v>
      </c>
      <c r="AC132" s="2" t="s">
        <v>4</v>
      </c>
      <c r="AE132" s="2" t="s">
        <v>0</v>
      </c>
      <c r="AF132" s="2" t="s">
        <v>1</v>
      </c>
      <c r="AG132" s="2" t="s">
        <v>2</v>
      </c>
      <c r="AH132" s="2" t="s">
        <v>3</v>
      </c>
      <c r="AI132" s="2" t="s">
        <v>4</v>
      </c>
      <c r="AK132" s="2" t="s">
        <v>0</v>
      </c>
      <c r="AL132" s="2" t="s">
        <v>1</v>
      </c>
      <c r="AM132" s="2" t="s">
        <v>2</v>
      </c>
      <c r="AN132" s="2" t="s">
        <v>3</v>
      </c>
      <c r="AO132" s="2" t="s">
        <v>4</v>
      </c>
    </row>
    <row r="133" spans="1:41" x14ac:dyDescent="0.25">
      <c r="A133" s="3" t="s">
        <v>8</v>
      </c>
      <c r="B133" s="4">
        <v>60.3</v>
      </c>
      <c r="C133" s="5">
        <v>141.18053328440479</v>
      </c>
      <c r="D133" s="5">
        <v>143.393719046277</v>
      </c>
      <c r="E133" s="5">
        <v>1345629.8150480005</v>
      </c>
      <c r="G133" s="3" t="s">
        <v>8</v>
      </c>
      <c r="H133" s="4">
        <v>60.3</v>
      </c>
      <c r="I133" s="5">
        <v>167.2934653151471</v>
      </c>
      <c r="J133" s="5">
        <v>162.89849759078965</v>
      </c>
      <c r="K133" s="5">
        <v>9049.56</v>
      </c>
      <c r="M133" s="3" t="s">
        <v>8</v>
      </c>
      <c r="N133" s="4">
        <v>42.2</v>
      </c>
      <c r="O133" s="5">
        <v>107.66415105861995</v>
      </c>
      <c r="P133" s="5">
        <v>107.93351609173666</v>
      </c>
      <c r="Q133" s="5">
        <v>123649.26999999999</v>
      </c>
      <c r="S133" s="3" t="s">
        <v>8</v>
      </c>
      <c r="T133" s="4">
        <v>60.3</v>
      </c>
      <c r="U133" s="5">
        <v>148.33981323688957</v>
      </c>
      <c r="V133" s="5">
        <v>154.20529178876259</v>
      </c>
      <c r="W133" s="5">
        <v>117448.10634000001</v>
      </c>
      <c r="Y133" s="3" t="s">
        <v>8</v>
      </c>
      <c r="Z133" s="4">
        <v>42.2</v>
      </c>
      <c r="AA133" s="5">
        <v>165.74484141913825</v>
      </c>
      <c r="AB133" s="5">
        <v>174.63007045132676</v>
      </c>
      <c r="AC133" s="5">
        <v>41971.501447000002</v>
      </c>
      <c r="AE133" s="3" t="s">
        <v>8</v>
      </c>
      <c r="AF133" s="4">
        <v>60.3</v>
      </c>
      <c r="AG133" s="5">
        <v>139.92255567300458</v>
      </c>
      <c r="AH133" s="5">
        <v>138.8108904590201</v>
      </c>
      <c r="AI133" s="5">
        <v>27645.599999999999</v>
      </c>
      <c r="AK133" s="3" t="s">
        <v>8</v>
      </c>
      <c r="AL133" s="4">
        <v>42.2</v>
      </c>
      <c r="AM133" s="5">
        <v>142.68042585415731</v>
      </c>
      <c r="AN133" s="5">
        <v>133.31800155263821</v>
      </c>
      <c r="AO133" s="5">
        <v>273026.48880599998</v>
      </c>
    </row>
    <row r="134" spans="1:41" x14ac:dyDescent="0.25">
      <c r="A134" s="3" t="s">
        <v>8</v>
      </c>
      <c r="B134" s="4">
        <v>114.3</v>
      </c>
      <c r="C134" s="5">
        <v>176.25435651415177</v>
      </c>
      <c r="D134" s="5">
        <v>174.13427600616737</v>
      </c>
      <c r="E134" s="5">
        <v>1325039.3982959997</v>
      </c>
      <c r="G134" s="3" t="s">
        <v>8</v>
      </c>
      <c r="H134" s="4">
        <v>114.3</v>
      </c>
      <c r="I134" s="5">
        <v>188.860782698295</v>
      </c>
      <c r="J134" s="5">
        <v>171.17344306311333</v>
      </c>
      <c r="K134" s="5">
        <v>27677.783776999997</v>
      </c>
      <c r="M134" s="3" t="s">
        <v>8</v>
      </c>
      <c r="N134" s="4">
        <v>60.3</v>
      </c>
      <c r="O134" s="5">
        <v>140.28421325707339</v>
      </c>
      <c r="P134" s="5">
        <v>130.47807246700179</v>
      </c>
      <c r="Q134" s="5">
        <v>70274.498090000008</v>
      </c>
      <c r="S134" s="3" t="s">
        <v>8</v>
      </c>
      <c r="T134" s="4">
        <v>88.9</v>
      </c>
      <c r="U134" s="5">
        <v>168.5419334692144</v>
      </c>
      <c r="V134" s="5">
        <v>160.92458815057515</v>
      </c>
      <c r="W134" s="5">
        <v>103407.48431699999</v>
      </c>
      <c r="Y134" s="3" t="s">
        <v>8</v>
      </c>
      <c r="Z134" s="4">
        <v>60.3</v>
      </c>
      <c r="AA134" s="5">
        <v>169.42482298520389</v>
      </c>
      <c r="AB134" s="5">
        <v>167.64590761542027</v>
      </c>
      <c r="AC134" s="5">
        <v>65448.708682999997</v>
      </c>
      <c r="AE134" s="3" t="s">
        <v>8</v>
      </c>
      <c r="AF134" s="4">
        <v>114.3</v>
      </c>
      <c r="AG134" s="5">
        <v>186.57192279645531</v>
      </c>
      <c r="AH134" s="5">
        <v>171.77649953422568</v>
      </c>
      <c r="AI134" s="5">
        <v>50989.486818999998</v>
      </c>
      <c r="AK134" s="3" t="s">
        <v>8</v>
      </c>
      <c r="AL134" s="4">
        <v>60.3</v>
      </c>
      <c r="AM134" s="5">
        <v>145.88208118990508</v>
      </c>
      <c r="AN134" s="5">
        <v>144.61612916184149</v>
      </c>
      <c r="AO134" s="5">
        <v>1635496.2881610007</v>
      </c>
    </row>
    <row r="135" spans="1:41" x14ac:dyDescent="0.25">
      <c r="A135" s="3" t="s">
        <v>8</v>
      </c>
      <c r="B135" s="4">
        <v>168.3</v>
      </c>
      <c r="C135" s="5">
        <v>211.36475755598332</v>
      </c>
      <c r="D135" s="5">
        <v>192.58046108963836</v>
      </c>
      <c r="E135" s="5">
        <v>533844.62009199988</v>
      </c>
      <c r="G135" s="3" t="s">
        <v>8</v>
      </c>
      <c r="H135" s="4">
        <v>168.3</v>
      </c>
      <c r="I135" s="5">
        <v>206.0606219005941</v>
      </c>
      <c r="J135" s="5">
        <v>214.04892117567911</v>
      </c>
      <c r="K135" s="5">
        <v>17853.900000000001</v>
      </c>
      <c r="M135" s="3" t="s">
        <v>8</v>
      </c>
      <c r="N135" s="4">
        <v>88.9</v>
      </c>
      <c r="O135" s="5">
        <v>158.1059768706792</v>
      </c>
      <c r="P135" s="5">
        <v>150.12168631957309</v>
      </c>
      <c r="Q135" s="5">
        <v>33852.18</v>
      </c>
      <c r="S135" s="3" t="s">
        <v>8</v>
      </c>
      <c r="T135" s="4">
        <v>114.3</v>
      </c>
      <c r="U135" s="5">
        <v>176.49347095520278</v>
      </c>
      <c r="V135" s="5">
        <v>169.68300343266594</v>
      </c>
      <c r="W135" s="5">
        <v>342819.03975</v>
      </c>
      <c r="Y135" s="3" t="s">
        <v>8</v>
      </c>
      <c r="Z135" s="4">
        <v>114.3</v>
      </c>
      <c r="AA135" s="5">
        <v>195.49861276267686</v>
      </c>
      <c r="AB135" s="5">
        <v>190.96069689697978</v>
      </c>
      <c r="AC135" s="5">
        <v>171560.342064</v>
      </c>
      <c r="AE135" s="3" t="s">
        <v>8</v>
      </c>
      <c r="AF135" s="4">
        <v>168.3</v>
      </c>
      <c r="AG135" s="5">
        <v>133.94901754016831</v>
      </c>
      <c r="AH135" s="5">
        <v>127.639319980678</v>
      </c>
      <c r="AI135" s="5">
        <v>11954</v>
      </c>
      <c r="AK135" s="3" t="s">
        <v>8</v>
      </c>
      <c r="AL135" s="4">
        <v>88.9</v>
      </c>
      <c r="AM135" s="5">
        <v>157.38260097140284</v>
      </c>
      <c r="AN135" s="5">
        <v>150.79782751985178</v>
      </c>
      <c r="AO135" s="5">
        <v>181767.86986699997</v>
      </c>
    </row>
    <row r="136" spans="1:41" x14ac:dyDescent="0.25">
      <c r="A136" s="3" t="s">
        <v>9</v>
      </c>
      <c r="B136" s="4">
        <v>114.3</v>
      </c>
      <c r="C136" s="5">
        <v>259.00058458592889</v>
      </c>
      <c r="D136" s="5">
        <v>190.54784689808642</v>
      </c>
      <c r="E136" s="5">
        <v>447620.92236600001</v>
      </c>
      <c r="G136" s="3" t="s">
        <v>9</v>
      </c>
      <c r="H136" s="4">
        <v>88.9</v>
      </c>
      <c r="I136" s="5">
        <v>159.16068309874362</v>
      </c>
      <c r="J136" s="5">
        <v>111.17631316183855</v>
      </c>
      <c r="K136" s="5">
        <v>4785.6499999999996</v>
      </c>
      <c r="M136" s="3" t="s">
        <v>8</v>
      </c>
      <c r="N136" s="4">
        <v>114.3</v>
      </c>
      <c r="O136" s="5">
        <v>155.92931863484674</v>
      </c>
      <c r="P136" s="5">
        <v>147.23731279290519</v>
      </c>
      <c r="Q136" s="5">
        <v>64899.5</v>
      </c>
      <c r="S136" s="3" t="s">
        <v>8</v>
      </c>
      <c r="T136" s="4">
        <v>168.3</v>
      </c>
      <c r="U136" s="5">
        <v>189.86011837220767</v>
      </c>
      <c r="V136" s="5">
        <v>182.11119243464944</v>
      </c>
      <c r="W136" s="5">
        <v>62913.830000000009</v>
      </c>
      <c r="Y136" s="3" t="s">
        <v>8</v>
      </c>
      <c r="Z136" s="4">
        <v>168.3</v>
      </c>
      <c r="AA136" s="5">
        <v>226.54630318223462</v>
      </c>
      <c r="AB136" s="5">
        <v>202.83830099803367</v>
      </c>
      <c r="AC136" s="5">
        <v>61474.2</v>
      </c>
      <c r="AE136" s="3" t="s">
        <v>9</v>
      </c>
      <c r="AF136" s="4">
        <v>114.3</v>
      </c>
      <c r="AG136" s="5">
        <v>272.78107093527638</v>
      </c>
      <c r="AH136" s="5">
        <v>407.9585704355876</v>
      </c>
      <c r="AI136" s="5">
        <v>13881.6</v>
      </c>
      <c r="AK136" s="3" t="s">
        <v>8</v>
      </c>
      <c r="AL136" s="4">
        <v>114.3</v>
      </c>
      <c r="AM136" s="5">
        <v>177.35155503822426</v>
      </c>
      <c r="AN136" s="5">
        <v>173.83825517245086</v>
      </c>
      <c r="AO136" s="5">
        <v>1982985.5507060003</v>
      </c>
    </row>
    <row r="137" spans="1:41" x14ac:dyDescent="0.25">
      <c r="A137" s="3" t="s">
        <v>9</v>
      </c>
      <c r="B137" s="4">
        <v>168.3</v>
      </c>
      <c r="C137" s="5">
        <v>255.23634739295406</v>
      </c>
      <c r="D137" s="5">
        <v>190.53788591434105</v>
      </c>
      <c r="E137" s="5">
        <v>527991.72243299999</v>
      </c>
      <c r="G137" s="3" t="s">
        <v>9</v>
      </c>
      <c r="H137" s="4">
        <v>114.3</v>
      </c>
      <c r="I137" s="5">
        <v>199.71878593714777</v>
      </c>
      <c r="J137" s="5">
        <v>157.40367720661743</v>
      </c>
      <c r="K137" s="5">
        <v>27622.3</v>
      </c>
      <c r="M137" s="3" t="s">
        <v>8</v>
      </c>
      <c r="N137" s="4">
        <v>168.3</v>
      </c>
      <c r="O137" s="5">
        <v>177.28449759260397</v>
      </c>
      <c r="P137" s="5">
        <v>166.85135160364521</v>
      </c>
      <c r="Q137" s="5">
        <v>20471</v>
      </c>
      <c r="S137" s="3" t="s">
        <v>9</v>
      </c>
      <c r="T137" s="4">
        <v>114.3</v>
      </c>
      <c r="U137" s="5">
        <v>274.05540093716468</v>
      </c>
      <c r="V137" s="5">
        <v>234.88394215102096</v>
      </c>
      <c r="W137" s="5">
        <v>94091.016822999998</v>
      </c>
      <c r="Y137" s="3" t="s">
        <v>8</v>
      </c>
      <c r="Z137" s="4">
        <v>219.1</v>
      </c>
      <c r="AA137" s="5">
        <v>376.12418846178753</v>
      </c>
      <c r="AB137" s="5">
        <v>325.54641394450834</v>
      </c>
      <c r="AC137" s="5">
        <v>3150.5</v>
      </c>
      <c r="AE137" s="3" t="s">
        <v>9</v>
      </c>
      <c r="AF137" s="4">
        <v>168.3</v>
      </c>
      <c r="AG137" s="5">
        <v>315.77708510096909</v>
      </c>
      <c r="AH137" s="5">
        <v>292.41540413056555</v>
      </c>
      <c r="AI137" s="5">
        <v>56774.176512999999</v>
      </c>
      <c r="AK137" s="3" t="s">
        <v>8</v>
      </c>
      <c r="AL137" s="4">
        <v>168.3</v>
      </c>
      <c r="AM137" s="5">
        <v>205.38331541146567</v>
      </c>
      <c r="AN137" s="5">
        <v>191.24275453038925</v>
      </c>
      <c r="AO137" s="5">
        <v>708511.55009199993</v>
      </c>
    </row>
    <row r="138" spans="1:41" x14ac:dyDescent="0.25">
      <c r="A138" s="3" t="s">
        <v>9</v>
      </c>
      <c r="B138" s="4">
        <v>219.1</v>
      </c>
      <c r="C138" s="5">
        <v>338.2425148843904</v>
      </c>
      <c r="D138" s="5">
        <v>242.73781414128428</v>
      </c>
      <c r="E138" s="5">
        <v>273289.04683299991</v>
      </c>
      <c r="G138" s="3" t="s">
        <v>9</v>
      </c>
      <c r="H138" s="4">
        <v>168.3</v>
      </c>
      <c r="I138" s="5">
        <v>179.26201374675125</v>
      </c>
      <c r="J138" s="5">
        <v>150.43831892584132</v>
      </c>
      <c r="K138" s="5">
        <v>10661.92</v>
      </c>
      <c r="M138" s="3" t="s">
        <v>8</v>
      </c>
      <c r="N138" s="4">
        <v>219.1</v>
      </c>
      <c r="O138" s="5">
        <v>199.30647161097994</v>
      </c>
      <c r="P138" s="5">
        <v>154.03498833718146</v>
      </c>
      <c r="Q138" s="5">
        <v>1749</v>
      </c>
      <c r="S138" s="3" t="s">
        <v>9</v>
      </c>
      <c r="T138" s="4">
        <v>168.3</v>
      </c>
      <c r="U138" s="5">
        <v>292.38282500517903</v>
      </c>
      <c r="V138" s="5">
        <v>245.59113713068683</v>
      </c>
      <c r="W138" s="5">
        <v>124012.849696</v>
      </c>
      <c r="Y138" s="3" t="s">
        <v>9</v>
      </c>
      <c r="Z138" s="4">
        <v>114.3</v>
      </c>
      <c r="AA138" s="5">
        <v>376.96175966809182</v>
      </c>
      <c r="AB138" s="5">
        <v>189.81712641349029</v>
      </c>
      <c r="AC138" s="5">
        <v>46354.767520999994</v>
      </c>
      <c r="AE138" s="3" t="s">
        <v>9</v>
      </c>
      <c r="AF138" s="4">
        <v>219.1</v>
      </c>
      <c r="AG138" s="5">
        <v>335.07045215547186</v>
      </c>
      <c r="AH138" s="5">
        <v>350.51584618064004</v>
      </c>
      <c r="AI138" s="5">
        <v>40905</v>
      </c>
      <c r="AK138" s="3" t="s">
        <v>8</v>
      </c>
      <c r="AL138" s="4">
        <v>219.1</v>
      </c>
      <c r="AM138" s="5">
        <v>241.4395567721634</v>
      </c>
      <c r="AN138" s="5">
        <v>196.25051832472661</v>
      </c>
      <c r="AO138" s="5">
        <v>41995.7</v>
      </c>
    </row>
    <row r="139" spans="1:41" x14ac:dyDescent="0.25">
      <c r="A139" s="3" t="s">
        <v>9</v>
      </c>
      <c r="B139" s="4">
        <v>323.89999999999998</v>
      </c>
      <c r="C139" s="5">
        <v>425.44871992230509</v>
      </c>
      <c r="D139" s="5">
        <v>234.62096044015971</v>
      </c>
      <c r="E139" s="5">
        <v>143285.163138</v>
      </c>
      <c r="G139" s="3" t="s">
        <v>9</v>
      </c>
      <c r="H139" s="4">
        <v>219.1</v>
      </c>
      <c r="I139" s="5">
        <v>286.11448323978937</v>
      </c>
      <c r="J139" s="5">
        <v>203.85323764304164</v>
      </c>
      <c r="K139" s="5">
        <v>24050.49</v>
      </c>
      <c r="M139" s="3" t="s">
        <v>9</v>
      </c>
      <c r="N139" s="4">
        <v>88.9</v>
      </c>
      <c r="O139" s="5">
        <v>278.55217817678022</v>
      </c>
      <c r="P139" s="5">
        <v>339.29733968820602</v>
      </c>
      <c r="Q139" s="5">
        <v>5428.1</v>
      </c>
      <c r="S139" s="3" t="s">
        <v>9</v>
      </c>
      <c r="T139" s="4">
        <v>219.1</v>
      </c>
      <c r="U139" s="5">
        <v>421.86753518934097</v>
      </c>
      <c r="V139" s="5">
        <v>322.79203404508075</v>
      </c>
      <c r="W139" s="5">
        <v>84898.89</v>
      </c>
      <c r="Y139" s="3" t="s">
        <v>9</v>
      </c>
      <c r="Z139" s="4">
        <v>168.3</v>
      </c>
      <c r="AA139" s="5">
        <v>329.71165986254852</v>
      </c>
      <c r="AB139" s="5">
        <v>340.59686520259601</v>
      </c>
      <c r="AC139" s="5">
        <v>60171.869033999996</v>
      </c>
      <c r="AE139" s="3" t="s">
        <v>11</v>
      </c>
      <c r="AF139" s="4" t="s">
        <v>11</v>
      </c>
      <c r="AG139" s="5" t="s">
        <v>11</v>
      </c>
      <c r="AH139" s="5" t="s">
        <v>11</v>
      </c>
      <c r="AI139" s="5" t="s">
        <v>11</v>
      </c>
      <c r="AK139" s="3" t="s">
        <v>9</v>
      </c>
      <c r="AL139" s="4">
        <v>88.9</v>
      </c>
      <c r="AM139" s="5">
        <v>204.50417951292383</v>
      </c>
      <c r="AN139" s="5">
        <v>170.15396311533274</v>
      </c>
      <c r="AO139" s="5">
        <v>37296.452500000065</v>
      </c>
    </row>
    <row r="140" spans="1:41" x14ac:dyDescent="0.25">
      <c r="A140" s="3" t="s">
        <v>9</v>
      </c>
      <c r="B140" s="4">
        <v>406.4</v>
      </c>
      <c r="C140" s="5">
        <v>382.36536568134454</v>
      </c>
      <c r="D140" s="5">
        <v>265.55561909175339</v>
      </c>
      <c r="E140" s="5">
        <v>248294.13976499997</v>
      </c>
      <c r="G140" s="3" t="s">
        <v>11</v>
      </c>
      <c r="H140" s="4" t="s">
        <v>11</v>
      </c>
      <c r="I140" s="5" t="s">
        <v>11</v>
      </c>
      <c r="J140" s="5" t="s">
        <v>11</v>
      </c>
      <c r="K140" s="5" t="s">
        <v>11</v>
      </c>
      <c r="M140" s="3" t="s">
        <v>9</v>
      </c>
      <c r="N140" s="4">
        <v>114.3</v>
      </c>
      <c r="O140" s="5">
        <v>358.99486815552365</v>
      </c>
      <c r="P140" s="5">
        <v>302.09838620338371</v>
      </c>
      <c r="Q140" s="5">
        <v>19277.829999999998</v>
      </c>
      <c r="S140" s="3" t="s">
        <v>11</v>
      </c>
      <c r="T140" s="4" t="s">
        <v>11</v>
      </c>
      <c r="U140" s="5" t="s">
        <v>11</v>
      </c>
      <c r="V140" s="5" t="s">
        <v>11</v>
      </c>
      <c r="W140" s="5" t="s">
        <v>11</v>
      </c>
      <c r="Y140" s="3" t="s">
        <v>9</v>
      </c>
      <c r="Z140" s="4">
        <v>219.1</v>
      </c>
      <c r="AA140" s="5">
        <v>404.64953745160415</v>
      </c>
      <c r="AB140" s="5">
        <v>478.89033675388572</v>
      </c>
      <c r="AC140" s="5">
        <v>53851.3</v>
      </c>
      <c r="AE140" s="3" t="s">
        <v>11</v>
      </c>
      <c r="AF140" s="4" t="s">
        <v>11</v>
      </c>
      <c r="AG140" s="5" t="s">
        <v>11</v>
      </c>
      <c r="AH140" s="5" t="s">
        <v>11</v>
      </c>
      <c r="AI140" s="5" t="s">
        <v>11</v>
      </c>
      <c r="AK140" s="3" t="s">
        <v>9</v>
      </c>
      <c r="AL140" s="4">
        <v>114.3</v>
      </c>
      <c r="AM140" s="5">
        <v>282.33342164010736</v>
      </c>
      <c r="AN140" s="5">
        <v>203.47952441463295</v>
      </c>
      <c r="AO140" s="5">
        <v>648848.43671000004</v>
      </c>
    </row>
    <row r="141" spans="1:41" x14ac:dyDescent="0.25">
      <c r="A141" s="3" t="s">
        <v>11</v>
      </c>
      <c r="B141" s="4" t="s">
        <v>11</v>
      </c>
      <c r="C141" s="5" t="s">
        <v>11</v>
      </c>
      <c r="D141" s="5" t="s">
        <v>11</v>
      </c>
      <c r="E141" s="5" t="s">
        <v>11</v>
      </c>
      <c r="G141" s="3" t="s">
        <v>11</v>
      </c>
      <c r="H141" s="4" t="s">
        <v>11</v>
      </c>
      <c r="I141" s="5" t="s">
        <v>11</v>
      </c>
      <c r="J141" s="5" t="s">
        <v>11</v>
      </c>
      <c r="K141" s="5" t="s">
        <v>11</v>
      </c>
      <c r="M141" s="3" t="s">
        <v>9</v>
      </c>
      <c r="N141" s="4">
        <v>168.3</v>
      </c>
      <c r="O141" s="5">
        <v>299.08581518360489</v>
      </c>
      <c r="P141" s="5">
        <v>303.8991749042803</v>
      </c>
      <c r="Q141" s="5">
        <v>62035.470000000008</v>
      </c>
      <c r="S141" s="3" t="s">
        <v>11</v>
      </c>
      <c r="T141" s="4" t="s">
        <v>11</v>
      </c>
      <c r="U141" s="5" t="s">
        <v>11</v>
      </c>
      <c r="V141" s="5" t="s">
        <v>11</v>
      </c>
      <c r="W141" s="5" t="s">
        <v>11</v>
      </c>
      <c r="Y141" s="3" t="s">
        <v>11</v>
      </c>
      <c r="Z141" s="4" t="s">
        <v>11</v>
      </c>
      <c r="AA141" s="5" t="s">
        <v>11</v>
      </c>
      <c r="AB141" s="5" t="s">
        <v>11</v>
      </c>
      <c r="AC141" s="5" t="s">
        <v>11</v>
      </c>
      <c r="AE141" s="3" t="s">
        <v>11</v>
      </c>
      <c r="AF141" s="4" t="s">
        <v>11</v>
      </c>
      <c r="AG141" s="5" t="s">
        <v>11</v>
      </c>
      <c r="AH141" s="5" t="s">
        <v>11</v>
      </c>
      <c r="AI141" s="5" t="s">
        <v>11</v>
      </c>
      <c r="AK141" s="3" t="s">
        <v>9</v>
      </c>
      <c r="AL141" s="4">
        <v>168.3</v>
      </c>
      <c r="AM141" s="5">
        <v>273.47003699416337</v>
      </c>
      <c r="AN141" s="5">
        <v>224.09768077967354</v>
      </c>
      <c r="AO141" s="5">
        <v>841648.00767600001</v>
      </c>
    </row>
    <row r="142" spans="1:41" x14ac:dyDescent="0.25">
      <c r="A142" s="3" t="s">
        <v>11</v>
      </c>
      <c r="B142" s="4" t="s">
        <v>11</v>
      </c>
      <c r="C142" s="5" t="s">
        <v>11</v>
      </c>
      <c r="D142" s="5" t="s">
        <v>11</v>
      </c>
      <c r="E142" s="5" t="s">
        <v>11</v>
      </c>
      <c r="G142" s="3" t="s">
        <v>11</v>
      </c>
      <c r="H142" s="4" t="s">
        <v>11</v>
      </c>
      <c r="I142" s="5" t="s">
        <v>11</v>
      </c>
      <c r="J142" s="5" t="s">
        <v>11</v>
      </c>
      <c r="K142" s="5" t="s">
        <v>11</v>
      </c>
      <c r="M142" s="3" t="s">
        <v>9</v>
      </c>
      <c r="N142" s="4">
        <v>219.1</v>
      </c>
      <c r="O142" s="5">
        <v>444.14795319100358</v>
      </c>
      <c r="P142" s="5">
        <v>494.52728417775603</v>
      </c>
      <c r="Q142" s="5">
        <v>13144</v>
      </c>
      <c r="S142" s="3" t="s">
        <v>11</v>
      </c>
      <c r="T142" s="4" t="s">
        <v>11</v>
      </c>
      <c r="U142" s="5" t="s">
        <v>11</v>
      </c>
      <c r="V142" s="5" t="s">
        <v>11</v>
      </c>
      <c r="W142" s="5" t="s">
        <v>11</v>
      </c>
      <c r="Y142" s="3" t="s">
        <v>11</v>
      </c>
      <c r="Z142" s="4" t="s">
        <v>11</v>
      </c>
      <c r="AA142" s="5" t="s">
        <v>11</v>
      </c>
      <c r="AB142" s="5" t="s">
        <v>11</v>
      </c>
      <c r="AC142" s="5" t="s">
        <v>11</v>
      </c>
      <c r="AE142" s="3" t="s">
        <v>11</v>
      </c>
      <c r="AF142" s="4" t="s">
        <v>11</v>
      </c>
      <c r="AG142" s="5" t="s">
        <v>11</v>
      </c>
      <c r="AH142" s="5" t="s">
        <v>11</v>
      </c>
      <c r="AI142" s="5" t="s">
        <v>11</v>
      </c>
      <c r="AK142" s="3" t="s">
        <v>9</v>
      </c>
      <c r="AL142" s="4">
        <v>219.1</v>
      </c>
      <c r="AM142" s="5">
        <v>355.15534139706386</v>
      </c>
      <c r="AN142" s="5">
        <v>296.3892017739941</v>
      </c>
      <c r="AO142" s="5">
        <v>490138.72683299996</v>
      </c>
    </row>
    <row r="143" spans="1:41" x14ac:dyDescent="0.25">
      <c r="A143" s="3" t="s">
        <v>11</v>
      </c>
      <c r="B143" s="4" t="s">
        <v>11</v>
      </c>
      <c r="C143" s="5" t="s">
        <v>11</v>
      </c>
      <c r="D143" s="5" t="s">
        <v>11</v>
      </c>
      <c r="E143" s="5" t="s">
        <v>11</v>
      </c>
      <c r="G143" s="3" t="s">
        <v>11</v>
      </c>
      <c r="H143" s="4" t="s">
        <v>11</v>
      </c>
      <c r="I143" s="5" t="s">
        <v>11</v>
      </c>
      <c r="J143" s="5" t="s">
        <v>11</v>
      </c>
      <c r="K143" s="5" t="s">
        <v>11</v>
      </c>
      <c r="M143" s="3" t="s">
        <v>11</v>
      </c>
      <c r="N143" s="4" t="s">
        <v>11</v>
      </c>
      <c r="O143" s="5" t="s">
        <v>11</v>
      </c>
      <c r="P143" s="5" t="s">
        <v>11</v>
      </c>
      <c r="Q143" s="5" t="s">
        <v>11</v>
      </c>
      <c r="S143" s="3" t="s">
        <v>11</v>
      </c>
      <c r="T143" s="4" t="s">
        <v>11</v>
      </c>
      <c r="U143" s="5" t="s">
        <v>11</v>
      </c>
      <c r="V143" s="5" t="s">
        <v>11</v>
      </c>
      <c r="W143" s="5" t="s">
        <v>11</v>
      </c>
      <c r="Y143" s="3" t="s">
        <v>11</v>
      </c>
      <c r="Z143" s="4" t="s">
        <v>11</v>
      </c>
      <c r="AA143" s="5" t="s">
        <v>11</v>
      </c>
      <c r="AB143" s="5" t="s">
        <v>11</v>
      </c>
      <c r="AC143" s="5" t="s">
        <v>11</v>
      </c>
      <c r="AE143" s="3" t="s">
        <v>11</v>
      </c>
      <c r="AF143" s="4" t="s">
        <v>11</v>
      </c>
      <c r="AG143" s="5" t="s">
        <v>11</v>
      </c>
      <c r="AH143" s="5" t="s">
        <v>11</v>
      </c>
      <c r="AI143" s="5" t="s">
        <v>11</v>
      </c>
      <c r="AK143" s="3" t="s">
        <v>9</v>
      </c>
      <c r="AL143" s="4">
        <v>323.89999999999998</v>
      </c>
      <c r="AM143" s="5">
        <v>432.38781883276573</v>
      </c>
      <c r="AN143" s="5">
        <v>282.49551923826709</v>
      </c>
      <c r="AO143" s="5">
        <v>194196.163138</v>
      </c>
    </row>
    <row r="144" spans="1:41" x14ac:dyDescent="0.25">
      <c r="A144" s="3" t="s">
        <v>11</v>
      </c>
      <c r="B144" s="4" t="s">
        <v>11</v>
      </c>
      <c r="C144" s="5" t="s">
        <v>11</v>
      </c>
      <c r="D144" s="5" t="s">
        <v>11</v>
      </c>
      <c r="E144" s="5" t="s">
        <v>11</v>
      </c>
      <c r="G144" s="3" t="s">
        <v>11</v>
      </c>
      <c r="H144" s="4" t="s">
        <v>11</v>
      </c>
      <c r="I144" s="5" t="s">
        <v>11</v>
      </c>
      <c r="J144" s="5" t="s">
        <v>11</v>
      </c>
      <c r="K144" s="5" t="s">
        <v>11</v>
      </c>
      <c r="M144" s="3" t="s">
        <v>11</v>
      </c>
      <c r="N144" s="4" t="s">
        <v>11</v>
      </c>
      <c r="O144" s="5" t="s">
        <v>11</v>
      </c>
      <c r="P144" s="5" t="s">
        <v>11</v>
      </c>
      <c r="Q144" s="5" t="s">
        <v>11</v>
      </c>
      <c r="S144" s="3" t="s">
        <v>11</v>
      </c>
      <c r="T144" s="4" t="s">
        <v>11</v>
      </c>
      <c r="U144" s="5" t="s">
        <v>11</v>
      </c>
      <c r="V144" s="5" t="s">
        <v>11</v>
      </c>
      <c r="W144" s="5" t="s">
        <v>11</v>
      </c>
      <c r="Y144" s="3" t="s">
        <v>11</v>
      </c>
      <c r="Z144" s="4" t="s">
        <v>11</v>
      </c>
      <c r="AA144" s="5" t="s">
        <v>11</v>
      </c>
      <c r="AB144" s="5" t="s">
        <v>11</v>
      </c>
      <c r="AC144" s="5" t="s">
        <v>11</v>
      </c>
      <c r="AE144" s="3" t="s">
        <v>11</v>
      </c>
      <c r="AF144" s="4" t="s">
        <v>11</v>
      </c>
      <c r="AG144" s="5" t="s">
        <v>11</v>
      </c>
      <c r="AH144" s="5" t="s">
        <v>11</v>
      </c>
      <c r="AI144" s="5" t="s">
        <v>11</v>
      </c>
      <c r="AK144" s="3" t="s">
        <v>9</v>
      </c>
      <c r="AL144" s="4">
        <v>406.4</v>
      </c>
      <c r="AM144" s="5">
        <v>483.77524680189492</v>
      </c>
      <c r="AN144" s="5">
        <v>333.30959319291225</v>
      </c>
      <c r="AO144" s="5">
        <v>342762.13976499997</v>
      </c>
    </row>
    <row r="145" spans="1:41" x14ac:dyDescent="0.25">
      <c r="A145" s="3"/>
      <c r="B145" s="4"/>
      <c r="C145" s="5"/>
      <c r="D145" s="5"/>
      <c r="E145" s="5"/>
      <c r="G145" s="3"/>
      <c r="H145" s="4"/>
      <c r="I145" s="5"/>
      <c r="J145" s="5"/>
      <c r="K145" s="5"/>
      <c r="M145" s="3"/>
      <c r="N145" s="4"/>
      <c r="O145" s="5"/>
      <c r="P145" s="5"/>
      <c r="Q145" s="5"/>
      <c r="S145" s="3"/>
      <c r="T145" s="4"/>
      <c r="U145" s="5"/>
      <c r="V145" s="5"/>
      <c r="W145" s="5"/>
      <c r="Y145" s="3"/>
      <c r="Z145" s="4"/>
      <c r="AA145" s="5"/>
      <c r="AB145" s="5"/>
      <c r="AC145" s="5"/>
      <c r="AE145" s="3"/>
      <c r="AF145" s="4"/>
      <c r="AG145" s="5"/>
      <c r="AH145" s="5"/>
      <c r="AI145" s="5"/>
      <c r="AK145" s="3"/>
      <c r="AL145" s="4"/>
      <c r="AM145" s="5"/>
      <c r="AN145" s="5"/>
      <c r="AO145" s="5"/>
    </row>
    <row r="146" spans="1:41" x14ac:dyDescent="0.25">
      <c r="A146" s="1" t="s">
        <v>49</v>
      </c>
      <c r="B146" s="6"/>
      <c r="C146" s="6"/>
      <c r="D146" s="6"/>
      <c r="E146" s="6"/>
      <c r="G146" s="1" t="s">
        <v>50</v>
      </c>
      <c r="M146" s="1" t="s">
        <v>51</v>
      </c>
      <c r="S146" s="1" t="s">
        <v>52</v>
      </c>
      <c r="Y146" s="1" t="s">
        <v>53</v>
      </c>
      <c r="AE146" s="1" t="s">
        <v>54</v>
      </c>
      <c r="AK146" s="1" t="s">
        <v>12</v>
      </c>
    </row>
    <row r="147" spans="1:41" x14ac:dyDescent="0.25">
      <c r="A147" s="3" t="s">
        <v>0</v>
      </c>
      <c r="B147" s="3" t="s">
        <v>1</v>
      </c>
      <c r="C147" s="3" t="s">
        <v>5</v>
      </c>
      <c r="D147" s="3" t="s">
        <v>6</v>
      </c>
      <c r="E147" s="3" t="s">
        <v>7</v>
      </c>
      <c r="G147" s="3" t="s">
        <v>0</v>
      </c>
      <c r="H147" s="3" t="s">
        <v>1</v>
      </c>
      <c r="I147" s="3" t="s">
        <v>5</v>
      </c>
      <c r="J147" s="3" t="s">
        <v>6</v>
      </c>
      <c r="K147" s="3" t="s">
        <v>7</v>
      </c>
      <c r="M147" s="3" t="s">
        <v>0</v>
      </c>
      <c r="N147" s="3" t="s">
        <v>1</v>
      </c>
      <c r="O147" s="3" t="s">
        <v>5</v>
      </c>
      <c r="P147" s="3" t="s">
        <v>6</v>
      </c>
      <c r="Q147" s="3" t="s">
        <v>7</v>
      </c>
      <c r="S147" s="3" t="s">
        <v>0</v>
      </c>
      <c r="T147" s="3" t="s">
        <v>1</v>
      </c>
      <c r="U147" s="3" t="s">
        <v>5</v>
      </c>
      <c r="V147" s="3" t="s">
        <v>6</v>
      </c>
      <c r="W147" s="3" t="s">
        <v>7</v>
      </c>
      <c r="Y147" s="3" t="s">
        <v>0</v>
      </c>
      <c r="Z147" s="3" t="s">
        <v>1</v>
      </c>
      <c r="AA147" s="3" t="s">
        <v>5</v>
      </c>
      <c r="AB147" s="3" t="s">
        <v>6</v>
      </c>
      <c r="AC147" s="3" t="s">
        <v>7</v>
      </c>
      <c r="AE147" s="3" t="s">
        <v>0</v>
      </c>
      <c r="AF147" s="3" t="s">
        <v>1</v>
      </c>
      <c r="AG147" s="3" t="s">
        <v>5</v>
      </c>
      <c r="AH147" s="3" t="s">
        <v>6</v>
      </c>
      <c r="AI147" s="3" t="s">
        <v>7</v>
      </c>
      <c r="AK147" s="3" t="s">
        <v>0</v>
      </c>
      <c r="AL147" s="3" t="s">
        <v>1</v>
      </c>
      <c r="AM147" s="3" t="s">
        <v>5</v>
      </c>
      <c r="AN147" s="3" t="s">
        <v>6</v>
      </c>
      <c r="AO147" s="3" t="s">
        <v>7</v>
      </c>
    </row>
    <row r="148" spans="1:41" x14ac:dyDescent="0.25">
      <c r="A148" s="3" t="s">
        <v>8</v>
      </c>
      <c r="B148" s="7">
        <v>26.7</v>
      </c>
      <c r="C148" s="5">
        <v>348.25</v>
      </c>
      <c r="D148" s="8">
        <f>C148*E148</f>
        <v>45321.338251472953</v>
      </c>
      <c r="E148" s="8">
        <f>IF(SUMIFS(D$47:D$54,A$47:A$54,A148,B$47:B$54,B148)&gt;0,SUMIFS(D$47:D$54,A$47:A$54,A148,B$47:B$54,B148),IF(A148="Plastique",INDEX(LINEST(D$47:D$49,B$47:B$49,TRUE,TRUE),1,2)+INDEX(LINEST(D$47:D$49,B$47:B$49,TRUE,TRUE),1,1)*B148,INDEX(LINEST(D$50:D$54,B$50:B$54,TRUE,TRUE),1,2)+INDEX(LINEST(D$50:D$54,B$50:B$54,TRUE,TRUE),1,1)*B148))</f>
        <v>130.14023905663447</v>
      </c>
      <c r="G148" s="3" t="s">
        <v>8</v>
      </c>
      <c r="H148" s="7">
        <v>26.7</v>
      </c>
      <c r="I148" s="5">
        <v>0</v>
      </c>
      <c r="J148" s="8">
        <f>I148*K148</f>
        <v>0</v>
      </c>
      <c r="K148" s="8">
        <f>IF(SUMIFS(J$47:J$53,G$47:G$53,G148,H$47:H$53,H148)&gt;0,SUMIFS(J$47:J$53,G$47:G$53,G148,H$47:H$53,H148),IF(G148="Plastique",INDEX(LINEST(J$47:J$49,H$47:H$49,TRUE,TRUE),1,2)+INDEX(LINEST(J$47:J$49,H$47:H$49,TRUE,TRUE),1,1)*H148,INDEX(LINEST(J$50:J$53,H$50:H$53,TRUE,TRUE),1,2)+INDEX(LINEST(J$50:J$53,H$50:H$53,TRUE,TRUE),1,1)*H148))</f>
        <v>141.21827703545034</v>
      </c>
      <c r="M148" s="3" t="s">
        <v>8</v>
      </c>
      <c r="N148" s="7">
        <v>26.7</v>
      </c>
      <c r="O148" s="5">
        <v>0</v>
      </c>
      <c r="P148" s="8">
        <f>O148*Q148</f>
        <v>0</v>
      </c>
      <c r="Q148" s="8">
        <f>IF(SUMIFS(P$47:P$56,M$47:M$56,M148,N$47:N$56,N148)&gt;0,SUMIFS(P$47:P$56,M$47:M$56,M148,N$47:N$56,N148),IF(M148="Plastique",INDEX(LINEST(P$47:P$52,N$47:N$52,TRUE,TRUE),1,2)+INDEX(LINEST(P$47:P$52,N$47:N$52,TRUE,TRUE),1,1)*N148,INDEX(LINEST(P$53:P$56,N$53:N$56,TRUE,TRUE),1,2)+INDEX(LINEST(P$53:P$56,N$53:N$56,TRUE,TRUE),1,1)*N148))</f>
        <v>121.32790527444178</v>
      </c>
      <c r="S148" s="3" t="s">
        <v>8</v>
      </c>
      <c r="T148" s="7">
        <v>26.7</v>
      </c>
      <c r="U148" s="5">
        <v>3.55</v>
      </c>
      <c r="V148" s="8">
        <f>U148*W148</f>
        <v>516.3407486314901</v>
      </c>
      <c r="W148" s="8">
        <f>IF(SUMIFS(V$47:V$53,S$47:S$53,S148,T$47:T$53,T148)&gt;0,SUMIFS(V$47:V$53,S$47:S$53,S148,T$47:T$53,T148),IF(S148="Plastique",INDEX(LINEST(V$47:V$50,T$47:T$50,TRUE,TRUE),1,2)+INDEX(LINEST(V$47:V$50,T$47:T$50,TRUE,TRUE),1,1)*T148,INDEX(LINEST(V$51:V$53,T$51:T$53,TRUE,TRUE),1,2)+INDEX(LINEST(V$51:V$53,T$51:T$53,TRUE,TRUE),1,1)*T148))</f>
        <v>145.44809820605354</v>
      </c>
      <c r="Y148" s="3" t="s">
        <v>8</v>
      </c>
      <c r="Z148" s="7">
        <v>26.7</v>
      </c>
      <c r="AA148" s="5">
        <v>0.5</v>
      </c>
      <c r="AB148" s="8">
        <f>AA148*AC148</f>
        <v>70.570029016084277</v>
      </c>
      <c r="AC148" s="8">
        <f>IF(SUMIFS(AB$47:AB$54,Y$47:Y$54,Y148,Z$47:Z$54,Z148)&gt;0,SUMIFS(AB$47:AB$54,Y$47:Y$54,Y148,Z$47:Z$54,Z148),IF(Y148="Plastique",INDEX(LINEST(AB$47:AB$51,Z$47:Z$51,TRUE,TRUE),1,2)+INDEX(LINEST(AB$47:AB$51,Z$47:Z$51,TRUE,TRUE),1,1)*Z148,INDEX(LINEST(AB$52:AB$54,Z$52:Z$54,TRUE,TRUE),1,2)+INDEX(LINEST(AB$52:AB$54,Z$52:Z$54,TRUE,TRUE),1,1)*Z148))</f>
        <v>141.14005803216855</v>
      </c>
      <c r="AE148" s="3" t="s">
        <v>8</v>
      </c>
      <c r="AF148" s="7">
        <v>26.7</v>
      </c>
      <c r="AG148" s="5">
        <v>9.35</v>
      </c>
      <c r="AH148" s="8">
        <f>AG148*AI148</f>
        <v>1450.530528640867</v>
      </c>
      <c r="AI148" s="8">
        <f>IF(SUMIFS(AH$47:AH$52,AE$47:AE$52,AE148,AF$47:AF$52,AF148)&gt;0,SUMIFS(AH$47:AH$52,AE$47:AE$52,AE148,AF$47:AF$52,AF148),IF(AE148="Plastique",INDEX(LINEST(AH$47:AH$49,AF$47:AF$49,TRUE,TRUE),1,2)+INDEX(LINEST(AH$47:AH$49,AF$47:AF$49,TRUE,TRUE),1,1)*AF148,INDEX(LINEST(AH$50:AH$52,AF$50:AF$52,TRUE,TRUE),1,2)+INDEX(LINEST(AH$50:AH$52,AF$50:AF$52,TRUE,TRUE),1,1)*AF148))</f>
        <v>155.1369549348521</v>
      </c>
      <c r="AK148" s="3" t="s">
        <v>8</v>
      </c>
      <c r="AL148" s="7">
        <v>26.7</v>
      </c>
      <c r="AM148" s="5">
        <v>361.65000000000003</v>
      </c>
      <c r="AN148" s="8">
        <f>AM148*AO148</f>
        <v>47710.040568062963</v>
      </c>
      <c r="AO148" s="8">
        <f>IF(SUMIFS(AN$47:AN$58,AK$47:AK$58,AK148,AL$47:AL$58,AL148)&gt;0,SUMIFS(AN$47:AN$58,AK$47:AK$58,AK148,AL$47:AL$58,AL148),IF(AK148="Plastique",INDEX(LINEST(AN$47:AN$52,AL$47:AL$52,TRUE,TRUE),1,2)+INDEX(LINEST(AN$47:AN$52,AL$47:AL$52,TRUE,TRUE),1,1)*AL148,INDEX(LINEST(AN$53:AN$58,AL$53:AL$58,TRUE,TRUE),1,2)+INDEX(LINEST(AN$53:AN$58,AL$53:AL$58,TRUE,TRUE),1,1)*AL148))</f>
        <v>131.9232422730899</v>
      </c>
    </row>
    <row r="149" spans="1:41" x14ac:dyDescent="0.25">
      <c r="A149" s="3" t="s">
        <v>8</v>
      </c>
      <c r="B149" s="7">
        <v>42.2</v>
      </c>
      <c r="C149" s="5">
        <v>553.57000000000005</v>
      </c>
      <c r="D149" s="8">
        <f t="shared" ref="D149:D170" si="42">C149*E149</f>
        <v>75949.498100235083</v>
      </c>
      <c r="E149" s="8">
        <f t="shared" ref="E149:E170" si="43">IF(SUMIFS(D$47:D$54,A$47:A$54,A149,B$47:B$54,B149)&gt;0,SUMIFS(D$47:D$54,A$47:A$54,A149,B$47:B$54,B149),IF(A149="Plastique",INDEX(LINEST(D$47:D$49,B$47:B$49,TRUE,TRUE),1,2)+INDEX(LINEST(D$47:D$49,B$47:B$49,TRUE,TRUE),1,1)*B149,INDEX(LINEST(D$50:D$54,B$50:B$54,TRUE,TRUE),1,2)+INDEX(LINEST(D$50:D$54,B$50:B$54,TRUE,TRUE),1,1)*B149))</f>
        <v>137.19944740545023</v>
      </c>
      <c r="G149" s="3" t="s">
        <v>8</v>
      </c>
      <c r="H149" s="7">
        <v>42.2</v>
      </c>
      <c r="I149" s="5">
        <v>0</v>
      </c>
      <c r="J149" s="8">
        <f t="shared" ref="J149:J170" si="44">I149*K149</f>
        <v>0</v>
      </c>
      <c r="K149" s="8">
        <f t="shared" ref="K149:K170" si="45">IF(SUMIFS(J$47:J$53,G$47:G$53,G149,H$47:H$53,H149)&gt;0,SUMIFS(J$47:J$53,G$47:G$53,G149,H$47:H$53,H149),IF(G149="Plastique",INDEX(LINEST(J$47:J$49,H$47:H$49,TRUE,TRUE),1,2)+INDEX(LINEST(J$47:J$49,H$47:H$49,TRUE,TRUE),1,1)*H149,INDEX(LINEST(J$50:J$53,H$50:H$53,TRUE,TRUE),1,2)+INDEX(LINEST(J$50:J$53,H$50:H$53,TRUE,TRUE),1,1)*H149))</f>
        <v>148.55931004994835</v>
      </c>
      <c r="M149" s="3" t="s">
        <v>8</v>
      </c>
      <c r="N149" s="7">
        <v>42.2</v>
      </c>
      <c r="O149" s="5">
        <v>125920.13</v>
      </c>
      <c r="P149" s="8">
        <f t="shared" ref="P149:P170" si="46">O149*Q149</f>
        <v>13591002.377628572</v>
      </c>
      <c r="Q149" s="8">
        <f t="shared" ref="Q149:Q170" si="47">IF(SUMIFS(P$47:P$56,M$47:M$56,M149,N$47:N$56,N149)&gt;0,SUMIFS(P$47:P$56,M$47:M$56,M149,N$47:N$56,N149),IF(M149="Plastique",INDEX(LINEST(P$47:P$52,N$47:N$52,TRUE,TRUE),1,2)+INDEX(LINEST(P$47:P$52,N$47:N$52,TRUE,TRUE),1,1)*N149,INDEX(LINEST(P$53:P$56,N$53:N$56,TRUE,TRUE),1,2)+INDEX(LINEST(P$53:P$56,N$53:N$56,TRUE,TRUE),1,1)*N149))</f>
        <v>107.93351609173666</v>
      </c>
      <c r="S149" s="3" t="s">
        <v>8</v>
      </c>
      <c r="T149" s="7">
        <v>42.2</v>
      </c>
      <c r="U149" s="5">
        <v>98415.35</v>
      </c>
      <c r="V149" s="8">
        <f t="shared" ref="V149:V170" si="48">U149*W149</f>
        <v>14713904.254369255</v>
      </c>
      <c r="W149" s="8">
        <f t="shared" ref="W149:W170" si="49">IF(SUMIFS(V$47:V$53,S$47:S$53,S149,T$47:T$53,T149)&gt;0,SUMIFS(V$47:V$53,S$47:S$53,S149,T$47:T$53,T149),IF(S149="Plastique",INDEX(LINEST(V$47:V$50,T$47:T$50,TRUE,TRUE),1,2)+INDEX(LINEST(V$47:V$50,T$47:T$50,TRUE,TRUE),1,1)*T149,INDEX(LINEST(V$51:V$53,T$51:T$53,TRUE,TRUE),1,2)+INDEX(LINEST(V$51:V$53,T$51:T$53,TRUE,TRUE),1,1)*T149))</f>
        <v>149.50822462521603</v>
      </c>
      <c r="Y149" s="3" t="s">
        <v>8</v>
      </c>
      <c r="Z149" s="7">
        <v>42.2</v>
      </c>
      <c r="AA149" s="5">
        <v>42861.86</v>
      </c>
      <c r="AB149" s="8">
        <f t="shared" ref="AB149:AB170" si="50">AA149*AC149</f>
        <v>7484969.6314749047</v>
      </c>
      <c r="AC149" s="8">
        <f t="shared" ref="AC149:AC170" si="51">IF(SUMIFS(AB$47:AB$54,Y$47:Y$54,Y149,Z$47:Z$54,Z149)&gt;0,SUMIFS(AB$47:AB$54,Y$47:Y$54,Y149,Z$47:Z$54,Z149),IF(Y149="Plastique",INDEX(LINEST(AB$47:AB$51,Z$47:Z$51,TRUE,TRUE),1,2)+INDEX(LINEST(AB$47:AB$51,Z$47:Z$51,TRUE,TRUE),1,1)*Z149,INDEX(LINEST(AB$52:AB$54,Z$52:Z$54,TRUE,TRUE),1,2)+INDEX(LINEST(AB$52:AB$54,Z$52:Z$54,TRUE,TRUE),1,1)*Z149))</f>
        <v>174.63007045132676</v>
      </c>
      <c r="AE149" s="3" t="s">
        <v>8</v>
      </c>
      <c r="AF149" s="7">
        <v>42.2</v>
      </c>
      <c r="AG149" s="5">
        <v>13381.64</v>
      </c>
      <c r="AH149" s="8">
        <f t="shared" ref="AH149:AH170" si="52">AG149*AI149</f>
        <v>2054531.7336452943</v>
      </c>
      <c r="AI149" s="8">
        <f t="shared" ref="AI149:AI170" si="53">IF(SUMIFS(AH$47:AH$52,AE$47:AE$52,AE149,AF$47:AF$52,AF149)&gt;0,SUMIFS(AH$47:AH$52,AE$47:AE$52,AE149,AF$47:AF$52,AF149),IF(AE149="Plastique",INDEX(LINEST(AH$47:AH$49,AF$47:AF$49,TRUE,TRUE),1,2)+INDEX(LINEST(AH$47:AH$49,AF$47:AF$49,TRUE,TRUE),1,1)*AF149,INDEX(LINEST(AH$50:AH$52,AF$50:AF$52,TRUE,TRUE),1,2)+INDEX(LINEST(AH$50:AH$52,AF$50:AF$52,TRUE,TRUE),1,1)*AF149))</f>
        <v>153.53362769027521</v>
      </c>
      <c r="AK149" s="3" t="s">
        <v>8</v>
      </c>
      <c r="AL149" s="7">
        <v>42.2</v>
      </c>
      <c r="AM149" s="5">
        <v>281132.55000000005</v>
      </c>
      <c r="AN149" s="8">
        <f t="shared" ref="AN149:AN170" si="54">AM149*AO149</f>
        <v>37480029.737397142</v>
      </c>
      <c r="AO149" s="8">
        <f t="shared" ref="AO149:AO170" si="55">IF(SUMIFS(AN$47:AN$58,AK$47:AK$58,AK149,AL$47:AL$58,AL149)&gt;0,SUMIFS(AN$47:AN$58,AK$47:AK$58,AK149,AL$47:AL$58,AL149),IF(AK149="Plastique",INDEX(LINEST(AN$47:AN$52,AL$47:AL$52,TRUE,TRUE),1,2)+INDEX(LINEST(AN$47:AN$52,AL$47:AL$52,TRUE,TRUE),1,1)*AL149,INDEX(LINEST(AN$53:AN$58,AL$53:AL$58,TRUE,TRUE),1,2)+INDEX(LINEST(AN$53:AN$58,AL$53:AL$58,TRUE,TRUE),1,1)*AL149))</f>
        <v>133.31800155263821</v>
      </c>
    </row>
    <row r="150" spans="1:41" x14ac:dyDescent="0.25">
      <c r="A150" s="3" t="s">
        <v>8</v>
      </c>
      <c r="B150" s="7">
        <v>60.3</v>
      </c>
      <c r="C150" s="5">
        <v>1824785.35</v>
      </c>
      <c r="D150" s="8">
        <f t="shared" si="42"/>
        <v>261662757.79766226</v>
      </c>
      <c r="E150" s="8">
        <f t="shared" si="43"/>
        <v>143.393719046277</v>
      </c>
      <c r="G150" s="3" t="s">
        <v>8</v>
      </c>
      <c r="H150" s="7">
        <v>60.3</v>
      </c>
      <c r="I150" s="5">
        <v>10983.28</v>
      </c>
      <c r="J150" s="8">
        <f t="shared" si="44"/>
        <v>1789159.8106189682</v>
      </c>
      <c r="K150" s="8">
        <f t="shared" si="45"/>
        <v>162.89849759078965</v>
      </c>
      <c r="M150" s="3" t="s">
        <v>8</v>
      </c>
      <c r="N150" s="7">
        <v>60.3</v>
      </c>
      <c r="O150" s="5">
        <v>99655.76</v>
      </c>
      <c r="P150" s="8">
        <f t="shared" si="46"/>
        <v>13002891.475034138</v>
      </c>
      <c r="Q150" s="8">
        <f t="shared" si="47"/>
        <v>130.47807246700179</v>
      </c>
      <c r="S150" s="3" t="s">
        <v>8</v>
      </c>
      <c r="T150" s="7">
        <v>60.3</v>
      </c>
      <c r="U150" s="5">
        <v>148748.79999999999</v>
      </c>
      <c r="V150" s="8">
        <f t="shared" si="48"/>
        <v>22937852.107228287</v>
      </c>
      <c r="W150" s="8">
        <f t="shared" si="49"/>
        <v>154.20529178876259</v>
      </c>
      <c r="Y150" s="3" t="s">
        <v>8</v>
      </c>
      <c r="Z150" s="7">
        <v>60.3</v>
      </c>
      <c r="AA150" s="5">
        <v>113879.87</v>
      </c>
      <c r="AB150" s="8">
        <f t="shared" si="50"/>
        <v>19091494.165276069</v>
      </c>
      <c r="AC150" s="8">
        <f t="shared" si="51"/>
        <v>167.64590761542027</v>
      </c>
      <c r="AE150" s="3" t="s">
        <v>8</v>
      </c>
      <c r="AF150" s="7">
        <v>60.3</v>
      </c>
      <c r="AG150" s="5">
        <v>39116.660000000003</v>
      </c>
      <c r="AH150" s="8">
        <f t="shared" si="52"/>
        <v>5429818.406382734</v>
      </c>
      <c r="AI150" s="8">
        <f t="shared" si="53"/>
        <v>138.8108904590201</v>
      </c>
      <c r="AK150" s="3" t="s">
        <v>8</v>
      </c>
      <c r="AL150" s="7">
        <v>60.3</v>
      </c>
      <c r="AM150" s="5">
        <v>2237169.7200000002</v>
      </c>
      <c r="AN150" s="8">
        <f t="shared" si="54"/>
        <v>323530825.18448079</v>
      </c>
      <c r="AO150" s="8">
        <f t="shared" si="55"/>
        <v>144.61612916184149</v>
      </c>
    </row>
    <row r="151" spans="1:41" x14ac:dyDescent="0.25">
      <c r="A151" s="3" t="s">
        <v>8</v>
      </c>
      <c r="B151" s="7">
        <v>88.9</v>
      </c>
      <c r="C151" s="5">
        <v>24859.809999999998</v>
      </c>
      <c r="D151" s="8">
        <f t="shared" si="42"/>
        <v>3939488.3240691405</v>
      </c>
      <c r="E151" s="8">
        <f t="shared" si="43"/>
        <v>158.46815901123705</v>
      </c>
      <c r="G151" s="3" t="s">
        <v>8</v>
      </c>
      <c r="H151" s="7">
        <v>88.9</v>
      </c>
      <c r="I151" s="5">
        <v>0</v>
      </c>
      <c r="J151" s="8">
        <f t="shared" si="44"/>
        <v>0</v>
      </c>
      <c r="K151" s="8">
        <f t="shared" si="45"/>
        <v>170.67713210008111</v>
      </c>
      <c r="M151" s="3" t="s">
        <v>8</v>
      </c>
      <c r="N151" s="7">
        <v>88.9</v>
      </c>
      <c r="O151" s="5">
        <v>31691.02</v>
      </c>
      <c r="P151" s="8">
        <f t="shared" si="46"/>
        <v>4757509.3635873171</v>
      </c>
      <c r="Q151" s="8">
        <f t="shared" si="47"/>
        <v>150.12168631957309</v>
      </c>
      <c r="S151" s="3" t="s">
        <v>8</v>
      </c>
      <c r="T151" s="7">
        <v>88.9</v>
      </c>
      <c r="U151" s="5">
        <v>105293.23</v>
      </c>
      <c r="V151" s="8">
        <f t="shared" si="48"/>
        <v>16944269.672793783</v>
      </c>
      <c r="W151" s="8">
        <f t="shared" si="49"/>
        <v>160.92458815057515</v>
      </c>
      <c r="Y151" s="3" t="s">
        <v>8</v>
      </c>
      <c r="Z151" s="7">
        <v>88.9</v>
      </c>
      <c r="AA151" s="5">
        <v>23741.26</v>
      </c>
      <c r="AB151" s="8">
        <f t="shared" si="50"/>
        <v>4467458.3992923833</v>
      </c>
      <c r="AC151" s="8">
        <f t="shared" si="51"/>
        <v>188.17275912451083</v>
      </c>
      <c r="AE151" s="3" t="s">
        <v>8</v>
      </c>
      <c r="AF151" s="7">
        <v>88.9</v>
      </c>
      <c r="AG151" s="5">
        <v>10589.03</v>
      </c>
      <c r="AH151" s="8">
        <f t="shared" si="52"/>
        <v>1574620.0819007435</v>
      </c>
      <c r="AI151" s="8">
        <f t="shared" si="53"/>
        <v>148.70295786306616</v>
      </c>
      <c r="AK151" s="3" t="s">
        <v>8</v>
      </c>
      <c r="AL151" s="7">
        <v>88.9</v>
      </c>
      <c r="AM151" s="5">
        <v>196174.35</v>
      </c>
      <c r="AN151" s="8">
        <f t="shared" si="54"/>
        <v>29582665.795119036</v>
      </c>
      <c r="AO151" s="8">
        <f t="shared" si="55"/>
        <v>150.79782751985178</v>
      </c>
    </row>
    <row r="152" spans="1:41" x14ac:dyDescent="0.25">
      <c r="A152" s="3" t="s">
        <v>8</v>
      </c>
      <c r="B152" s="7">
        <v>114.3</v>
      </c>
      <c r="C152" s="5">
        <v>1549736.41</v>
      </c>
      <c r="D152" s="8">
        <f t="shared" si="42"/>
        <v>269862227.75574696</v>
      </c>
      <c r="E152" s="8">
        <f t="shared" si="43"/>
        <v>174.13427600616737</v>
      </c>
      <c r="G152" s="3" t="s">
        <v>8</v>
      </c>
      <c r="H152" s="7">
        <v>114.3</v>
      </c>
      <c r="I152" s="5">
        <v>33392.78</v>
      </c>
      <c r="J152" s="8">
        <f t="shared" si="44"/>
        <v>5715957.1260490688</v>
      </c>
      <c r="K152" s="8">
        <f t="shared" si="45"/>
        <v>171.17344306311333</v>
      </c>
      <c r="M152" s="3" t="s">
        <v>8</v>
      </c>
      <c r="N152" s="7">
        <v>114.3</v>
      </c>
      <c r="O152" s="5">
        <v>90081.61</v>
      </c>
      <c r="P152" s="8">
        <f t="shared" si="46"/>
        <v>13263374.188458497</v>
      </c>
      <c r="Q152" s="8">
        <f t="shared" si="47"/>
        <v>147.23731279290519</v>
      </c>
      <c r="S152" s="3" t="s">
        <v>8</v>
      </c>
      <c r="T152" s="7">
        <v>114.3</v>
      </c>
      <c r="U152" s="5">
        <v>356979.28</v>
      </c>
      <c r="V152" s="8">
        <f t="shared" si="48"/>
        <v>60573316.393630624</v>
      </c>
      <c r="W152" s="8">
        <f t="shared" si="49"/>
        <v>169.68300343266594</v>
      </c>
      <c r="Y152" s="3" t="s">
        <v>8</v>
      </c>
      <c r="Z152" s="7">
        <v>114.3</v>
      </c>
      <c r="AA152" s="5">
        <v>286983.90999999997</v>
      </c>
      <c r="AB152" s="8">
        <f t="shared" si="50"/>
        <v>54802647.45182012</v>
      </c>
      <c r="AC152" s="8">
        <f t="shared" si="51"/>
        <v>190.96069689697978</v>
      </c>
      <c r="AE152" s="3" t="s">
        <v>8</v>
      </c>
      <c r="AF152" s="7">
        <v>114.3</v>
      </c>
      <c r="AG152" s="5">
        <v>114596.89</v>
      </c>
      <c r="AH152" s="8">
        <f t="shared" si="52"/>
        <v>19685052.62170871</v>
      </c>
      <c r="AI152" s="8">
        <f t="shared" si="53"/>
        <v>171.77649953422568</v>
      </c>
      <c r="AK152" s="3" t="s">
        <v>8</v>
      </c>
      <c r="AL152" s="7">
        <v>114.3</v>
      </c>
      <c r="AM152" s="5">
        <v>2431770.8800000004</v>
      </c>
      <c r="AN152" s="8">
        <f t="shared" si="54"/>
        <v>422734806.75837541</v>
      </c>
      <c r="AO152" s="8">
        <f t="shared" si="55"/>
        <v>173.83825517245086</v>
      </c>
    </row>
    <row r="153" spans="1:41" x14ac:dyDescent="0.25">
      <c r="A153" s="3" t="s">
        <v>8</v>
      </c>
      <c r="B153" s="7">
        <v>168.3</v>
      </c>
      <c r="C153" s="5">
        <v>676839.8</v>
      </c>
      <c r="D153" s="8">
        <f t="shared" si="42"/>
        <v>130346120.76781861</v>
      </c>
      <c r="E153" s="8">
        <f t="shared" si="43"/>
        <v>192.58046108963836</v>
      </c>
      <c r="G153" s="3" t="s">
        <v>8</v>
      </c>
      <c r="H153" s="7">
        <v>168.3</v>
      </c>
      <c r="I153" s="5">
        <v>18077</v>
      </c>
      <c r="J153" s="8">
        <f t="shared" si="44"/>
        <v>3869362.3480927511</v>
      </c>
      <c r="K153" s="8">
        <f t="shared" si="45"/>
        <v>214.04892117567911</v>
      </c>
      <c r="M153" s="3" t="s">
        <v>8</v>
      </c>
      <c r="N153" s="7">
        <v>168.3</v>
      </c>
      <c r="O153" s="5">
        <v>24151.21</v>
      </c>
      <c r="P153" s="8">
        <f t="shared" si="46"/>
        <v>4029662.0313634723</v>
      </c>
      <c r="Q153" s="8">
        <f t="shared" si="47"/>
        <v>166.85135160364521</v>
      </c>
      <c r="S153" s="3" t="s">
        <v>8</v>
      </c>
      <c r="T153" s="7">
        <v>168.3</v>
      </c>
      <c r="U153" s="5">
        <v>88142.94</v>
      </c>
      <c r="V153" s="8">
        <f t="shared" si="48"/>
        <v>16051815.90809576</v>
      </c>
      <c r="W153" s="8">
        <f t="shared" si="49"/>
        <v>182.11119243464944</v>
      </c>
      <c r="Y153" s="3" t="s">
        <v>8</v>
      </c>
      <c r="Z153" s="7">
        <v>168.3</v>
      </c>
      <c r="AA153" s="5">
        <v>130893.31</v>
      </c>
      <c r="AB153" s="8">
        <f t="shared" si="50"/>
        <v>26550176.612408932</v>
      </c>
      <c r="AC153" s="8">
        <f t="shared" si="51"/>
        <v>202.83830099803367</v>
      </c>
      <c r="AE153" s="3" t="s">
        <v>8</v>
      </c>
      <c r="AF153" s="7">
        <v>168.3</v>
      </c>
      <c r="AG153" s="5">
        <v>15444.13</v>
      </c>
      <c r="AH153" s="8">
        <f t="shared" si="52"/>
        <v>1971278.2508931884</v>
      </c>
      <c r="AI153" s="8">
        <f t="shared" si="53"/>
        <v>127.639319980678</v>
      </c>
      <c r="AK153" s="3" t="s">
        <v>8</v>
      </c>
      <c r="AL153" s="7">
        <v>168.3</v>
      </c>
      <c r="AM153" s="5">
        <v>953548.39</v>
      </c>
      <c r="AN153" s="8">
        <f t="shared" si="54"/>
        <v>182359220.68161789</v>
      </c>
      <c r="AO153" s="8">
        <f t="shared" si="55"/>
        <v>191.24275453038925</v>
      </c>
    </row>
    <row r="154" spans="1:41" x14ac:dyDescent="0.25">
      <c r="A154" s="3" t="s">
        <v>8</v>
      </c>
      <c r="B154" s="7">
        <v>219.1</v>
      </c>
      <c r="C154" s="5">
        <v>32924.06</v>
      </c>
      <c r="D154" s="8">
        <f t="shared" si="42"/>
        <v>7169724.6888983576</v>
      </c>
      <c r="E154" s="8">
        <f t="shared" si="43"/>
        <v>217.76550914128933</v>
      </c>
      <c r="G154" s="3" t="s">
        <v>8</v>
      </c>
      <c r="H154" s="7">
        <v>219.1</v>
      </c>
      <c r="I154" s="5">
        <v>10453.049999999999</v>
      </c>
      <c r="J154" s="8">
        <f t="shared" si="44"/>
        <v>2428680.5509772203</v>
      </c>
      <c r="K154" s="8">
        <f t="shared" si="45"/>
        <v>232.3418094218645</v>
      </c>
      <c r="M154" s="3" t="s">
        <v>8</v>
      </c>
      <c r="N154" s="7">
        <v>219.1</v>
      </c>
      <c r="O154" s="5">
        <v>1817.66</v>
      </c>
      <c r="P154" s="8">
        <f t="shared" si="46"/>
        <v>279983.23690096126</v>
      </c>
      <c r="Q154" s="8">
        <f t="shared" si="47"/>
        <v>154.03498833718146</v>
      </c>
      <c r="S154" s="3" t="s">
        <v>8</v>
      </c>
      <c r="T154" s="7">
        <v>219.1</v>
      </c>
      <c r="U154" s="5">
        <v>0</v>
      </c>
      <c r="V154" s="8">
        <f t="shared" si="48"/>
        <v>0</v>
      </c>
      <c r="W154" s="8">
        <f t="shared" si="49"/>
        <v>195.84605453165742</v>
      </c>
      <c r="Y154" s="3" t="s">
        <v>8</v>
      </c>
      <c r="Z154" s="7">
        <v>219.1</v>
      </c>
      <c r="AA154" s="5">
        <v>17015.39</v>
      </c>
      <c r="AB154" s="8">
        <f t="shared" si="50"/>
        <v>5539299.196367248</v>
      </c>
      <c r="AC154" s="8">
        <f t="shared" si="51"/>
        <v>325.54641394450834</v>
      </c>
      <c r="AE154" s="3" t="s">
        <v>8</v>
      </c>
      <c r="AF154" s="7">
        <v>219.1</v>
      </c>
      <c r="AG154" s="5">
        <v>2264.65</v>
      </c>
      <c r="AH154" s="8">
        <f t="shared" si="52"/>
        <v>306259.96315137221</v>
      </c>
      <c r="AI154" s="8">
        <f t="shared" si="53"/>
        <v>135.23500900862041</v>
      </c>
      <c r="AK154" s="3" t="s">
        <v>8</v>
      </c>
      <c r="AL154" s="7">
        <v>219.1</v>
      </c>
      <c r="AM154" s="5">
        <v>64474.810000000005</v>
      </c>
      <c r="AN154" s="8">
        <f t="shared" si="54"/>
        <v>12653214.881388268</v>
      </c>
      <c r="AO154" s="8">
        <f t="shared" si="55"/>
        <v>196.25051832472661</v>
      </c>
    </row>
    <row r="155" spans="1:41" x14ac:dyDescent="0.25">
      <c r="A155" s="3" t="s">
        <v>9</v>
      </c>
      <c r="B155" s="7">
        <v>21.3</v>
      </c>
      <c r="C155" s="5">
        <v>0</v>
      </c>
      <c r="D155" s="8">
        <f t="shared" si="42"/>
        <v>0</v>
      </c>
      <c r="E155" s="8">
        <f t="shared" si="43"/>
        <v>168.45451057218355</v>
      </c>
      <c r="G155" s="3" t="s">
        <v>9</v>
      </c>
      <c r="H155" s="7">
        <v>21.3</v>
      </c>
      <c r="I155" s="5">
        <v>0</v>
      </c>
      <c r="J155" s="8">
        <f t="shared" si="44"/>
        <v>0</v>
      </c>
      <c r="K155" s="8">
        <f t="shared" si="45"/>
        <v>81.98977439300684</v>
      </c>
      <c r="M155" s="3" t="s">
        <v>9</v>
      </c>
      <c r="N155" s="7">
        <v>21.3</v>
      </c>
      <c r="O155" s="5">
        <v>0</v>
      </c>
      <c r="P155" s="8">
        <f t="shared" si="46"/>
        <v>0</v>
      </c>
      <c r="Q155" s="8">
        <f t="shared" si="47"/>
        <v>214.76335936368261</v>
      </c>
      <c r="S155" s="3" t="s">
        <v>9</v>
      </c>
      <c r="T155" s="7">
        <v>21.3</v>
      </c>
      <c r="U155" s="5">
        <v>0</v>
      </c>
      <c r="V155" s="8">
        <f t="shared" si="48"/>
        <v>0</v>
      </c>
      <c r="W155" s="8">
        <f t="shared" si="49"/>
        <v>146.32439717382789</v>
      </c>
      <c r="Y155" s="3" t="s">
        <v>9</v>
      </c>
      <c r="Z155" s="7">
        <v>21.3</v>
      </c>
      <c r="AA155" s="5">
        <v>0</v>
      </c>
      <c r="AB155" s="8">
        <f t="shared" si="50"/>
        <v>0</v>
      </c>
      <c r="AC155" s="8">
        <f t="shared" si="51"/>
        <v>-66.149681710709501</v>
      </c>
      <c r="AE155" s="3" t="s">
        <v>9</v>
      </c>
      <c r="AF155" s="7">
        <v>21.3</v>
      </c>
      <c r="AG155" s="5">
        <v>0</v>
      </c>
      <c r="AH155" s="8">
        <f t="shared" si="52"/>
        <v>0</v>
      </c>
      <c r="AI155" s="8">
        <f t="shared" si="53"/>
        <v>432.72066357791289</v>
      </c>
      <c r="AK155" s="3" t="s">
        <v>9</v>
      </c>
      <c r="AL155" s="7">
        <v>21.3</v>
      </c>
      <c r="AM155" s="5">
        <v>0</v>
      </c>
      <c r="AN155" s="8">
        <f t="shared" si="54"/>
        <v>0</v>
      </c>
      <c r="AO155" s="8">
        <f t="shared" si="55"/>
        <v>159.24226933080624</v>
      </c>
    </row>
    <row r="156" spans="1:41" x14ac:dyDescent="0.25">
      <c r="A156" s="3" t="s">
        <v>9</v>
      </c>
      <c r="B156" s="7">
        <v>26.7</v>
      </c>
      <c r="C156" s="5">
        <v>4998.0599999999995</v>
      </c>
      <c r="D156" s="8">
        <f t="shared" si="42"/>
        <v>848701.58683657902</v>
      </c>
      <c r="E156" s="8">
        <f t="shared" si="43"/>
        <v>169.80620217375923</v>
      </c>
      <c r="G156" s="3" t="s">
        <v>9</v>
      </c>
      <c r="H156" s="7">
        <v>26.7</v>
      </c>
      <c r="I156" s="5">
        <v>31.96</v>
      </c>
      <c r="J156" s="8">
        <f t="shared" si="44"/>
        <v>2721.0998974779482</v>
      </c>
      <c r="K156" s="8">
        <f t="shared" si="45"/>
        <v>85.140797793427666</v>
      </c>
      <c r="M156" s="3" t="s">
        <v>9</v>
      </c>
      <c r="N156" s="7">
        <v>26.7</v>
      </c>
      <c r="O156" s="5">
        <v>0</v>
      </c>
      <c r="P156" s="8">
        <f t="shared" si="46"/>
        <v>0</v>
      </c>
      <c r="Q156" s="8">
        <f t="shared" si="47"/>
        <v>220.9686447546641</v>
      </c>
      <c r="S156" s="3" t="s">
        <v>9</v>
      </c>
      <c r="T156" s="7">
        <v>26.7</v>
      </c>
      <c r="U156" s="5">
        <v>0</v>
      </c>
      <c r="V156" s="8">
        <f t="shared" si="48"/>
        <v>0</v>
      </c>
      <c r="W156" s="8">
        <f t="shared" si="49"/>
        <v>150.81774385667083</v>
      </c>
      <c r="Y156" s="3" t="s">
        <v>9</v>
      </c>
      <c r="Z156" s="7">
        <v>26.7</v>
      </c>
      <c r="AA156" s="5">
        <v>0</v>
      </c>
      <c r="AB156" s="8">
        <f t="shared" si="50"/>
        <v>0</v>
      </c>
      <c r="AC156" s="8">
        <f t="shared" si="51"/>
        <v>-51.252769383365191</v>
      </c>
      <c r="AE156" s="3" t="s">
        <v>9</v>
      </c>
      <c r="AF156" s="7">
        <v>26.7</v>
      </c>
      <c r="AG156" s="5">
        <v>0.64</v>
      </c>
      <c r="AH156" s="8">
        <f t="shared" si="52"/>
        <v>274.98925433930492</v>
      </c>
      <c r="AI156" s="8">
        <f t="shared" si="53"/>
        <v>429.6707099051639</v>
      </c>
      <c r="AK156" s="3" t="s">
        <v>9</v>
      </c>
      <c r="AL156" s="7">
        <v>26.7</v>
      </c>
      <c r="AM156" s="5">
        <v>5030.66</v>
      </c>
      <c r="AN156" s="8">
        <f t="shared" si="54"/>
        <v>813718.42419203522</v>
      </c>
      <c r="AO156" s="8">
        <f t="shared" si="55"/>
        <v>161.75182266184461</v>
      </c>
    </row>
    <row r="157" spans="1:41" x14ac:dyDescent="0.25">
      <c r="A157" s="3" t="s">
        <v>9</v>
      </c>
      <c r="B157" s="7">
        <v>33.4</v>
      </c>
      <c r="C157" s="5">
        <v>2.1</v>
      </c>
      <c r="D157" s="8">
        <f t="shared" si="42"/>
        <v>360.11493212677766</v>
      </c>
      <c r="E157" s="8">
        <f t="shared" si="43"/>
        <v>171.48330101275127</v>
      </c>
      <c r="G157" s="3" t="s">
        <v>9</v>
      </c>
      <c r="H157" s="7">
        <v>33.4</v>
      </c>
      <c r="I157" s="5">
        <v>28104.09</v>
      </c>
      <c r="J157" s="8">
        <f t="shared" si="44"/>
        <v>2502680.4814678235</v>
      </c>
      <c r="K157" s="8">
        <f t="shared" si="45"/>
        <v>89.050400901357193</v>
      </c>
      <c r="M157" s="3" t="s">
        <v>9</v>
      </c>
      <c r="N157" s="7">
        <v>33.4</v>
      </c>
      <c r="O157" s="5">
        <v>0</v>
      </c>
      <c r="P157" s="8">
        <f t="shared" si="46"/>
        <v>0</v>
      </c>
      <c r="Q157" s="8">
        <f t="shared" si="47"/>
        <v>228.66779514717814</v>
      </c>
      <c r="S157" s="3" t="s">
        <v>9</v>
      </c>
      <c r="T157" s="7">
        <v>33.4</v>
      </c>
      <c r="U157" s="5">
        <v>0</v>
      </c>
      <c r="V157" s="8">
        <f t="shared" si="48"/>
        <v>0</v>
      </c>
      <c r="W157" s="8">
        <f t="shared" si="49"/>
        <v>156.39282214834637</v>
      </c>
      <c r="Y157" s="3" t="s">
        <v>9</v>
      </c>
      <c r="Z157" s="7">
        <v>33.4</v>
      </c>
      <c r="AA157" s="5">
        <v>0</v>
      </c>
      <c r="AB157" s="8">
        <f t="shared" si="50"/>
        <v>0</v>
      </c>
      <c r="AC157" s="8">
        <f t="shared" si="51"/>
        <v>-32.769563347586143</v>
      </c>
      <c r="AE157" s="3" t="s">
        <v>9</v>
      </c>
      <c r="AF157" s="7">
        <v>33.4</v>
      </c>
      <c r="AG157" s="5">
        <v>0</v>
      </c>
      <c r="AH157" s="8">
        <f t="shared" si="52"/>
        <v>0</v>
      </c>
      <c r="AI157" s="8">
        <f t="shared" si="53"/>
        <v>425.88650812601242</v>
      </c>
      <c r="AK157" s="3" t="s">
        <v>9</v>
      </c>
      <c r="AL157" s="7">
        <v>33.4</v>
      </c>
      <c r="AM157" s="5">
        <v>28106.19</v>
      </c>
      <c r="AN157" s="8">
        <f t="shared" si="54"/>
        <v>4633741.8465689784</v>
      </c>
      <c r="AO157" s="8">
        <f t="shared" si="55"/>
        <v>164.86552772072554</v>
      </c>
    </row>
    <row r="158" spans="1:41" x14ac:dyDescent="0.25">
      <c r="A158" s="3" t="s">
        <v>9</v>
      </c>
      <c r="B158" s="7">
        <v>42.2</v>
      </c>
      <c r="C158" s="5">
        <v>22051.02</v>
      </c>
      <c r="D158" s="8">
        <f t="shared" si="42"/>
        <v>3829954.7319933018</v>
      </c>
      <c r="E158" s="8">
        <f t="shared" si="43"/>
        <v>173.6860576968005</v>
      </c>
      <c r="G158" s="3" t="s">
        <v>9</v>
      </c>
      <c r="H158" s="7">
        <v>42.2</v>
      </c>
      <c r="I158" s="5">
        <v>4150.95</v>
      </c>
      <c r="J158" s="8">
        <f t="shared" si="44"/>
        <v>390958.89442500641</v>
      </c>
      <c r="K158" s="8">
        <f t="shared" si="45"/>
        <v>94.185401998339273</v>
      </c>
      <c r="M158" s="3" t="s">
        <v>9</v>
      </c>
      <c r="N158" s="7">
        <v>42.2</v>
      </c>
      <c r="O158" s="5">
        <v>36.5</v>
      </c>
      <c r="P158" s="8">
        <f t="shared" si="46"/>
        <v>8715.4740909429747</v>
      </c>
      <c r="Q158" s="8">
        <f t="shared" si="47"/>
        <v>238.78011208062944</v>
      </c>
      <c r="S158" s="3" t="s">
        <v>9</v>
      </c>
      <c r="T158" s="7">
        <v>42.2</v>
      </c>
      <c r="U158" s="5">
        <v>54.29</v>
      </c>
      <c r="V158" s="8">
        <f t="shared" si="48"/>
        <v>8888.1043448821674</v>
      </c>
      <c r="W158" s="8">
        <f t="shared" si="49"/>
        <v>163.71531303890526</v>
      </c>
      <c r="Y158" s="3" t="s">
        <v>9</v>
      </c>
      <c r="Z158" s="7">
        <v>42.2</v>
      </c>
      <c r="AA158" s="5">
        <v>2.36</v>
      </c>
      <c r="AB158" s="8">
        <f t="shared" si="50"/>
        <v>-20.043748164324242</v>
      </c>
      <c r="AC158" s="8">
        <f t="shared" si="51"/>
        <v>-8.493113628950951</v>
      </c>
      <c r="AE158" s="3" t="s">
        <v>9</v>
      </c>
      <c r="AF158" s="7">
        <v>42.2</v>
      </c>
      <c r="AG158" s="5">
        <v>30.41</v>
      </c>
      <c r="AH158" s="8">
        <f t="shared" si="52"/>
        <v>12800.062044990369</v>
      </c>
      <c r="AI158" s="8">
        <f t="shared" si="53"/>
        <v>420.91621325190295</v>
      </c>
      <c r="AK158" s="3" t="s">
        <v>9</v>
      </c>
      <c r="AL158" s="7">
        <v>42.2</v>
      </c>
      <c r="AM158" s="5">
        <v>26325.530000000002</v>
      </c>
      <c r="AN158" s="8">
        <f t="shared" si="54"/>
        <v>4447834.4013898447</v>
      </c>
      <c r="AO158" s="8">
        <f t="shared" si="55"/>
        <v>168.95517018612139</v>
      </c>
    </row>
    <row r="159" spans="1:41" x14ac:dyDescent="0.25">
      <c r="A159" s="3" t="s">
        <v>9</v>
      </c>
      <c r="B159" s="7">
        <v>48.3</v>
      </c>
      <c r="C159" s="5">
        <v>97293.43</v>
      </c>
      <c r="D159" s="8">
        <f t="shared" si="42"/>
        <v>17047070.693636451</v>
      </c>
      <c r="E159" s="8">
        <f t="shared" si="43"/>
        <v>175.2129685800619</v>
      </c>
      <c r="G159" s="3" t="s">
        <v>9</v>
      </c>
      <c r="H159" s="7">
        <v>48.3</v>
      </c>
      <c r="I159" s="5">
        <v>0</v>
      </c>
      <c r="J159" s="8">
        <f t="shared" si="44"/>
        <v>0</v>
      </c>
      <c r="K159" s="8">
        <f t="shared" si="45"/>
        <v>97.74489139511094</v>
      </c>
      <c r="M159" s="3" t="s">
        <v>9</v>
      </c>
      <c r="N159" s="7">
        <v>48.3</v>
      </c>
      <c r="O159" s="5">
        <v>0</v>
      </c>
      <c r="P159" s="8">
        <f t="shared" si="46"/>
        <v>0</v>
      </c>
      <c r="Q159" s="8">
        <f t="shared" si="47"/>
        <v>245.78978631858996</v>
      </c>
      <c r="S159" s="3" t="s">
        <v>9</v>
      </c>
      <c r="T159" s="7">
        <v>48.3</v>
      </c>
      <c r="U159" s="5">
        <v>0</v>
      </c>
      <c r="V159" s="8">
        <f t="shared" si="48"/>
        <v>0</v>
      </c>
      <c r="W159" s="8">
        <f t="shared" si="49"/>
        <v>168.79113058804268</v>
      </c>
      <c r="Y159" s="3" t="s">
        <v>9</v>
      </c>
      <c r="Z159" s="7">
        <v>48.3</v>
      </c>
      <c r="AA159" s="5">
        <v>0</v>
      </c>
      <c r="AB159" s="8">
        <f t="shared" si="50"/>
        <v>0</v>
      </c>
      <c r="AC159" s="8">
        <f t="shared" si="51"/>
        <v>8.3348799260120643</v>
      </c>
      <c r="AE159" s="3" t="s">
        <v>9</v>
      </c>
      <c r="AF159" s="7">
        <v>48.3</v>
      </c>
      <c r="AG159" s="5">
        <v>0</v>
      </c>
      <c r="AH159" s="8">
        <f t="shared" si="52"/>
        <v>0</v>
      </c>
      <c r="AI159" s="8">
        <f t="shared" si="53"/>
        <v>417.47089521416797</v>
      </c>
      <c r="AK159" s="3" t="s">
        <v>9</v>
      </c>
      <c r="AL159" s="7">
        <v>48.3</v>
      </c>
      <c r="AM159" s="5">
        <v>97293.43</v>
      </c>
      <c r="AN159" s="8">
        <f t="shared" si="54"/>
        <v>16714041.840901179</v>
      </c>
      <c r="AO159" s="8">
        <f t="shared" si="55"/>
        <v>171.79003598599803</v>
      </c>
    </row>
    <row r="160" spans="1:41" x14ac:dyDescent="0.25">
      <c r="A160" s="3" t="s">
        <v>9</v>
      </c>
      <c r="B160" s="7">
        <v>60.3</v>
      </c>
      <c r="C160" s="5">
        <v>255124.11000000002</v>
      </c>
      <c r="D160" s="8">
        <f t="shared" si="42"/>
        <v>45467384.040216193</v>
      </c>
      <c r="E160" s="8">
        <f t="shared" si="43"/>
        <v>178.21672769467452</v>
      </c>
      <c r="G160" s="3" t="s">
        <v>9</v>
      </c>
      <c r="H160" s="7">
        <v>60.3</v>
      </c>
      <c r="I160" s="5">
        <v>23071.99</v>
      </c>
      <c r="J160" s="8">
        <f t="shared" si="44"/>
        <v>2416725.557673031</v>
      </c>
      <c r="K160" s="8">
        <f t="shared" si="45"/>
        <v>104.74716561826833</v>
      </c>
      <c r="M160" s="3" t="s">
        <v>9</v>
      </c>
      <c r="N160" s="7">
        <v>60.3</v>
      </c>
      <c r="O160" s="5">
        <v>20083.89</v>
      </c>
      <c r="P160" s="8">
        <f t="shared" si="46"/>
        <v>5213362.2964595743</v>
      </c>
      <c r="Q160" s="8">
        <f t="shared" si="47"/>
        <v>259.57930940965991</v>
      </c>
      <c r="S160" s="3" t="s">
        <v>9</v>
      </c>
      <c r="T160" s="7">
        <v>60.3</v>
      </c>
      <c r="U160" s="5">
        <v>7813.03</v>
      </c>
      <c r="V160" s="8">
        <f t="shared" si="48"/>
        <v>1396784.9502037449</v>
      </c>
      <c r="W160" s="8">
        <f t="shared" si="49"/>
        <v>178.77634543880478</v>
      </c>
      <c r="Y160" s="3" t="s">
        <v>9</v>
      </c>
      <c r="Z160" s="7">
        <v>60.3</v>
      </c>
      <c r="AA160" s="5">
        <v>1032.6600000000001</v>
      </c>
      <c r="AB160" s="8">
        <f t="shared" si="50"/>
        <v>42792.531513185342</v>
      </c>
      <c r="AC160" s="8">
        <f t="shared" si="51"/>
        <v>41.439129542332751</v>
      </c>
      <c r="AE160" s="3" t="s">
        <v>9</v>
      </c>
      <c r="AF160" s="7">
        <v>60.3</v>
      </c>
      <c r="AG160" s="5">
        <v>10721.33</v>
      </c>
      <c r="AH160" s="8">
        <f t="shared" si="52"/>
        <v>4403177.5445192847</v>
      </c>
      <c r="AI160" s="8">
        <f t="shared" si="53"/>
        <v>410.69322038583692</v>
      </c>
      <c r="AK160" s="3" t="s">
        <v>9</v>
      </c>
      <c r="AL160" s="7">
        <v>60.3</v>
      </c>
      <c r="AM160" s="5">
        <v>317847.01000000007</v>
      </c>
      <c r="AN160" s="8">
        <f t="shared" si="54"/>
        <v>56375513.780844294</v>
      </c>
      <c r="AO160" s="8">
        <f t="shared" si="55"/>
        <v>177.36682116608327</v>
      </c>
    </row>
    <row r="161" spans="1:41" x14ac:dyDescent="0.25">
      <c r="A161" s="3" t="s">
        <v>9</v>
      </c>
      <c r="B161" s="7">
        <v>88.9</v>
      </c>
      <c r="C161" s="5">
        <v>182017.47999999998</v>
      </c>
      <c r="D161" s="8">
        <f t="shared" si="42"/>
        <v>33741615.386053205</v>
      </c>
      <c r="E161" s="8">
        <f t="shared" si="43"/>
        <v>185.37568691783454</v>
      </c>
      <c r="G161" s="3" t="s">
        <v>9</v>
      </c>
      <c r="H161" s="7">
        <v>88.9</v>
      </c>
      <c r="I161" s="5">
        <v>4823.3500000000004</v>
      </c>
      <c r="J161" s="8">
        <f t="shared" si="44"/>
        <v>536242.27008915402</v>
      </c>
      <c r="K161" s="8">
        <f t="shared" si="45"/>
        <v>111.17631316183855</v>
      </c>
      <c r="M161" s="3" t="s">
        <v>9</v>
      </c>
      <c r="N161" s="7">
        <v>88.9</v>
      </c>
      <c r="O161" s="5">
        <v>5624.74</v>
      </c>
      <c r="P161" s="8">
        <f t="shared" si="46"/>
        <v>1908459.3184378399</v>
      </c>
      <c r="Q161" s="8">
        <f t="shared" si="47"/>
        <v>339.29733968820602</v>
      </c>
      <c r="S161" s="3" t="s">
        <v>9</v>
      </c>
      <c r="T161" s="7">
        <v>88.9</v>
      </c>
      <c r="U161" s="5">
        <v>2507.94</v>
      </c>
      <c r="V161" s="8">
        <f t="shared" si="48"/>
        <v>508044.54314301797</v>
      </c>
      <c r="W161" s="8">
        <f t="shared" si="49"/>
        <v>202.5744408331212</v>
      </c>
      <c r="Y161" s="3" t="s">
        <v>9</v>
      </c>
      <c r="Z161" s="7">
        <v>88.9</v>
      </c>
      <c r="AA161" s="5">
        <v>2697.84</v>
      </c>
      <c r="AB161" s="8">
        <f t="shared" si="50"/>
        <v>324651.56684848602</v>
      </c>
      <c r="AC161" s="8">
        <f t="shared" si="51"/>
        <v>120.33759112789713</v>
      </c>
      <c r="AE161" s="3" t="s">
        <v>9</v>
      </c>
      <c r="AF161" s="7">
        <v>88.9</v>
      </c>
      <c r="AG161" s="5">
        <v>3996.93</v>
      </c>
      <c r="AH161" s="8">
        <f t="shared" si="52"/>
        <v>1576947.8111104465</v>
      </c>
      <c r="AI161" s="8">
        <f t="shared" si="53"/>
        <v>394.53976204498116</v>
      </c>
      <c r="AK161" s="3" t="s">
        <v>9</v>
      </c>
      <c r="AL161" s="7">
        <v>88.9</v>
      </c>
      <c r="AM161" s="5">
        <v>201668.27999999997</v>
      </c>
      <c r="AN161" s="8">
        <f t="shared" si="54"/>
        <v>34314657.076652594</v>
      </c>
      <c r="AO161" s="8">
        <f t="shared" si="55"/>
        <v>170.15396311533274</v>
      </c>
    </row>
    <row r="162" spans="1:41" x14ac:dyDescent="0.25">
      <c r="A162" s="3" t="s">
        <v>9</v>
      </c>
      <c r="B162" s="7">
        <v>114.3</v>
      </c>
      <c r="C162" s="5">
        <v>293037.86</v>
      </c>
      <c r="D162" s="8">
        <f t="shared" si="42"/>
        <v>55837733.282622881</v>
      </c>
      <c r="E162" s="8">
        <f t="shared" si="43"/>
        <v>190.54784689808642</v>
      </c>
      <c r="G162" s="3" t="s">
        <v>9</v>
      </c>
      <c r="H162" s="7">
        <v>114.3</v>
      </c>
      <c r="I162" s="5">
        <v>13052.98</v>
      </c>
      <c r="J162" s="8">
        <f t="shared" si="44"/>
        <v>2054587.0505044332</v>
      </c>
      <c r="K162" s="8">
        <f t="shared" si="45"/>
        <v>157.40367720661743</v>
      </c>
      <c r="M162" s="3" t="s">
        <v>9</v>
      </c>
      <c r="N162" s="7">
        <v>114.3</v>
      </c>
      <c r="O162" s="5">
        <v>5355.04</v>
      </c>
      <c r="P162" s="8">
        <f t="shared" si="46"/>
        <v>1617748.9420545679</v>
      </c>
      <c r="Q162" s="8">
        <f t="shared" si="47"/>
        <v>302.09838620338371</v>
      </c>
      <c r="S162" s="3" t="s">
        <v>9</v>
      </c>
      <c r="T162" s="7">
        <v>114.3</v>
      </c>
      <c r="U162" s="5">
        <v>26145.97</v>
      </c>
      <c r="V162" s="8">
        <f t="shared" si="48"/>
        <v>6141268.5049623298</v>
      </c>
      <c r="W162" s="8">
        <f t="shared" si="49"/>
        <v>234.88394215102096</v>
      </c>
      <c r="Y162" s="3" t="s">
        <v>9</v>
      </c>
      <c r="Z162" s="7">
        <v>114.3</v>
      </c>
      <c r="AA162" s="5">
        <v>6899.11</v>
      </c>
      <c r="AB162" s="8">
        <f t="shared" si="50"/>
        <v>1309569.2350105748</v>
      </c>
      <c r="AC162" s="8">
        <f t="shared" si="51"/>
        <v>189.81712641349029</v>
      </c>
      <c r="AE162" s="3" t="s">
        <v>9</v>
      </c>
      <c r="AF162" s="7">
        <v>114.3</v>
      </c>
      <c r="AG162" s="5">
        <v>4498.43</v>
      </c>
      <c r="AH162" s="8">
        <f t="shared" si="52"/>
        <v>1835173.0720045604</v>
      </c>
      <c r="AI162" s="8">
        <f t="shared" si="53"/>
        <v>407.9585704355876</v>
      </c>
      <c r="AK162" s="3" t="s">
        <v>9</v>
      </c>
      <c r="AL162" s="7">
        <v>114.3</v>
      </c>
      <c r="AM162" s="5">
        <v>348989.38999999996</v>
      </c>
      <c r="AN162" s="8">
        <f t="shared" si="54"/>
        <v>71012195.102952853</v>
      </c>
      <c r="AO162" s="8">
        <f t="shared" si="55"/>
        <v>203.47952441463295</v>
      </c>
    </row>
    <row r="163" spans="1:41" x14ac:dyDescent="0.25">
      <c r="A163" s="3" t="s">
        <v>9</v>
      </c>
      <c r="B163" s="7">
        <v>168.3</v>
      </c>
      <c r="C163" s="5">
        <v>212937.38999999998</v>
      </c>
      <c r="D163" s="8">
        <f t="shared" si="42"/>
        <v>40572640.122717544</v>
      </c>
      <c r="E163" s="8">
        <f t="shared" si="43"/>
        <v>190.53788591434105</v>
      </c>
      <c r="G163" s="3" t="s">
        <v>9</v>
      </c>
      <c r="H163" s="7">
        <v>168.3</v>
      </c>
      <c r="I163" s="5">
        <v>3764.07</v>
      </c>
      <c r="J163" s="8">
        <f t="shared" si="44"/>
        <v>566260.36311919149</v>
      </c>
      <c r="K163" s="8">
        <f t="shared" si="45"/>
        <v>150.43831892584132</v>
      </c>
      <c r="M163" s="3" t="s">
        <v>9</v>
      </c>
      <c r="N163" s="7">
        <v>168.3</v>
      </c>
      <c r="O163" s="5">
        <v>17574.54</v>
      </c>
      <c r="P163" s="8">
        <f t="shared" si="46"/>
        <v>5340888.2053222703</v>
      </c>
      <c r="Q163" s="8">
        <f t="shared" si="47"/>
        <v>303.8991749042803</v>
      </c>
      <c r="S163" s="3" t="s">
        <v>9</v>
      </c>
      <c r="T163" s="7">
        <v>168.3</v>
      </c>
      <c r="U163" s="5">
        <v>52548.77</v>
      </c>
      <c r="V163" s="8">
        <f t="shared" si="48"/>
        <v>12905512.179118922</v>
      </c>
      <c r="W163" s="8">
        <f t="shared" si="49"/>
        <v>245.59113713068683</v>
      </c>
      <c r="Y163" s="3" t="s">
        <v>9</v>
      </c>
      <c r="Z163" s="7">
        <v>168.3</v>
      </c>
      <c r="AA163" s="5">
        <v>16239.51</v>
      </c>
      <c r="AB163" s="8">
        <f t="shared" si="50"/>
        <v>5531126.1984262103</v>
      </c>
      <c r="AC163" s="8">
        <f t="shared" si="51"/>
        <v>340.59686520259601</v>
      </c>
      <c r="AE163" s="3" t="s">
        <v>9</v>
      </c>
      <c r="AF163" s="7">
        <v>168.3</v>
      </c>
      <c r="AG163" s="5">
        <v>7316.79</v>
      </c>
      <c r="AH163" s="8">
        <f t="shared" si="52"/>
        <v>2139542.1047884808</v>
      </c>
      <c r="AI163" s="8">
        <f t="shared" si="53"/>
        <v>292.41540413056555</v>
      </c>
      <c r="AK163" s="3" t="s">
        <v>9</v>
      </c>
      <c r="AL163" s="7">
        <v>168.3</v>
      </c>
      <c r="AM163" s="5">
        <v>310381.07</v>
      </c>
      <c r="AN163" s="8">
        <f t="shared" si="54"/>
        <v>69555677.944913507</v>
      </c>
      <c r="AO163" s="8">
        <f t="shared" si="55"/>
        <v>224.09768077967354</v>
      </c>
    </row>
    <row r="164" spans="1:41" x14ac:dyDescent="0.25">
      <c r="A164" s="3" t="s">
        <v>9</v>
      </c>
      <c r="B164" s="7">
        <v>219.1</v>
      </c>
      <c r="C164" s="5">
        <v>122021.89</v>
      </c>
      <c r="D164" s="8">
        <f t="shared" si="42"/>
        <v>29619326.855988234</v>
      </c>
      <c r="E164" s="8">
        <f t="shared" si="43"/>
        <v>242.73781414128428</v>
      </c>
      <c r="G164" s="3" t="s">
        <v>9</v>
      </c>
      <c r="H164" s="7">
        <v>219.1</v>
      </c>
      <c r="I164" s="5">
        <v>2543.2600000000002</v>
      </c>
      <c r="J164" s="8">
        <f t="shared" si="44"/>
        <v>518451.78516804212</v>
      </c>
      <c r="K164" s="8">
        <f t="shared" si="45"/>
        <v>203.85323764304164</v>
      </c>
      <c r="M164" s="3" t="s">
        <v>9</v>
      </c>
      <c r="N164" s="7">
        <v>219.1</v>
      </c>
      <c r="O164" s="5">
        <v>629.15</v>
      </c>
      <c r="P164" s="8">
        <f t="shared" si="46"/>
        <v>311131.84084043518</v>
      </c>
      <c r="Q164" s="8">
        <f t="shared" si="47"/>
        <v>494.52728417775603</v>
      </c>
      <c r="S164" s="3" t="s">
        <v>9</v>
      </c>
      <c r="T164" s="7">
        <v>219.1</v>
      </c>
      <c r="U164" s="5">
        <v>1273.3900000000001</v>
      </c>
      <c r="V164" s="8">
        <f t="shared" si="48"/>
        <v>411040.14823266544</v>
      </c>
      <c r="W164" s="8">
        <f t="shared" si="49"/>
        <v>322.79203404508075</v>
      </c>
      <c r="Y164" s="3" t="s">
        <v>9</v>
      </c>
      <c r="Z164" s="7">
        <v>219.1</v>
      </c>
      <c r="AA164" s="5">
        <v>3111.31</v>
      </c>
      <c r="AB164" s="8">
        <f t="shared" si="50"/>
        <v>1489976.2936457321</v>
      </c>
      <c r="AC164" s="8">
        <f t="shared" si="51"/>
        <v>478.89033675388572</v>
      </c>
      <c r="AE164" s="3" t="s">
        <v>9</v>
      </c>
      <c r="AF164" s="7">
        <v>219.1</v>
      </c>
      <c r="AG164" s="5">
        <v>95.72</v>
      </c>
      <c r="AH164" s="8">
        <f t="shared" si="52"/>
        <v>33551.376796410863</v>
      </c>
      <c r="AI164" s="8">
        <f t="shared" si="53"/>
        <v>350.51584618064004</v>
      </c>
      <c r="AK164" s="3" t="s">
        <v>9</v>
      </c>
      <c r="AL164" s="7">
        <v>219.1</v>
      </c>
      <c r="AM164" s="5">
        <v>129674.71999999999</v>
      </c>
      <c r="AN164" s="8">
        <f t="shared" si="54"/>
        <v>38434186.751066186</v>
      </c>
      <c r="AO164" s="8">
        <f t="shared" si="55"/>
        <v>296.3892017739941</v>
      </c>
    </row>
    <row r="165" spans="1:41" x14ac:dyDescent="0.25">
      <c r="A165" s="3" t="s">
        <v>9</v>
      </c>
      <c r="B165" s="7">
        <v>273.10000000000002</v>
      </c>
      <c r="C165" s="5">
        <v>4122.0600000000004</v>
      </c>
      <c r="D165" s="8">
        <f t="shared" si="42"/>
        <v>954188.41980982258</v>
      </c>
      <c r="E165" s="8">
        <f t="shared" si="43"/>
        <v>231.48338932713801</v>
      </c>
      <c r="G165" s="3" t="s">
        <v>9</v>
      </c>
      <c r="H165" s="7">
        <v>273.10000000000002</v>
      </c>
      <c r="I165" s="5">
        <v>1540.94</v>
      </c>
      <c r="J165" s="8">
        <f t="shared" si="44"/>
        <v>352753.26148254413</v>
      </c>
      <c r="K165" s="8">
        <f t="shared" si="45"/>
        <v>228.92082850892581</v>
      </c>
      <c r="M165" s="3" t="s">
        <v>9</v>
      </c>
      <c r="N165" s="7">
        <v>273.10000000000002</v>
      </c>
      <c r="O165" s="5">
        <v>0</v>
      </c>
      <c r="P165" s="8">
        <f t="shared" si="46"/>
        <v>0</v>
      </c>
      <c r="Q165" s="8">
        <f t="shared" si="47"/>
        <v>504.11351889130015</v>
      </c>
      <c r="S165" s="3" t="s">
        <v>9</v>
      </c>
      <c r="T165" s="7">
        <v>273.10000000000002</v>
      </c>
      <c r="U165" s="5">
        <v>0</v>
      </c>
      <c r="V165" s="8">
        <f t="shared" si="48"/>
        <v>0</v>
      </c>
      <c r="W165" s="8">
        <f t="shared" si="49"/>
        <v>355.84748879231984</v>
      </c>
      <c r="Y165" s="3" t="s">
        <v>9</v>
      </c>
      <c r="Z165" s="7">
        <v>273.10000000000002</v>
      </c>
      <c r="AA165" s="5">
        <v>1201.99</v>
      </c>
      <c r="AB165" s="8">
        <f t="shared" si="50"/>
        <v>755436.07805335335</v>
      </c>
      <c r="AC165" s="8">
        <f t="shared" si="51"/>
        <v>628.48782273841994</v>
      </c>
      <c r="AE165" s="3" t="s">
        <v>9</v>
      </c>
      <c r="AF165" s="7">
        <v>273.10000000000002</v>
      </c>
      <c r="AG165" s="5">
        <v>0</v>
      </c>
      <c r="AH165" s="8">
        <f t="shared" si="52"/>
        <v>0</v>
      </c>
      <c r="AI165" s="8">
        <f t="shared" si="53"/>
        <v>290.50245343009919</v>
      </c>
      <c r="AK165" s="3" t="s">
        <v>9</v>
      </c>
      <c r="AL165" s="7">
        <v>273.10000000000002</v>
      </c>
      <c r="AM165" s="5">
        <v>6864.99</v>
      </c>
      <c r="AN165" s="8">
        <f t="shared" si="54"/>
        <v>1896534.574653835</v>
      </c>
      <c r="AO165" s="8">
        <f t="shared" si="55"/>
        <v>276.26181169292818</v>
      </c>
    </row>
    <row r="166" spans="1:41" x14ac:dyDescent="0.25">
      <c r="A166" s="3" t="s">
        <v>9</v>
      </c>
      <c r="B166" s="7">
        <v>323.89999999999998</v>
      </c>
      <c r="C166" s="5">
        <v>28777.21</v>
      </c>
      <c r="D166" s="8">
        <f t="shared" si="42"/>
        <v>6751736.6489881678</v>
      </c>
      <c r="E166" s="8">
        <f t="shared" si="43"/>
        <v>234.62096044015971</v>
      </c>
      <c r="G166" s="3" t="s">
        <v>9</v>
      </c>
      <c r="H166" s="7">
        <v>323.89999999999998</v>
      </c>
      <c r="I166" s="5">
        <v>0</v>
      </c>
      <c r="J166" s="8">
        <f t="shared" si="44"/>
        <v>0</v>
      </c>
      <c r="K166" s="8">
        <f t="shared" si="45"/>
        <v>258.56378938695872</v>
      </c>
      <c r="M166" s="3" t="s">
        <v>9</v>
      </c>
      <c r="N166" s="7">
        <v>323.89999999999998</v>
      </c>
      <c r="O166" s="5">
        <v>0</v>
      </c>
      <c r="P166" s="8">
        <f t="shared" si="46"/>
        <v>0</v>
      </c>
      <c r="Q166" s="8">
        <f t="shared" si="47"/>
        <v>562.48916664349622</v>
      </c>
      <c r="S166" s="3" t="s">
        <v>9</v>
      </c>
      <c r="T166" s="7">
        <v>323.89999999999998</v>
      </c>
      <c r="U166" s="5">
        <v>0</v>
      </c>
      <c r="V166" s="8">
        <f t="shared" si="48"/>
        <v>0</v>
      </c>
      <c r="W166" s="8">
        <f t="shared" si="49"/>
        <v>398.11823166054614</v>
      </c>
      <c r="Y166" s="3" t="s">
        <v>9</v>
      </c>
      <c r="Z166" s="7">
        <v>323.89999999999998</v>
      </c>
      <c r="AA166" s="5">
        <v>0</v>
      </c>
      <c r="AB166" s="8">
        <f t="shared" si="50"/>
        <v>0</v>
      </c>
      <c r="AC166" s="8">
        <f t="shared" si="51"/>
        <v>768.62914611417739</v>
      </c>
      <c r="AE166" s="3" t="s">
        <v>9</v>
      </c>
      <c r="AF166" s="7">
        <v>323.89999999999998</v>
      </c>
      <c r="AG166" s="5">
        <v>0</v>
      </c>
      <c r="AH166" s="8">
        <f t="shared" si="52"/>
        <v>0</v>
      </c>
      <c r="AI166" s="8">
        <f t="shared" si="53"/>
        <v>261.81029665683104</v>
      </c>
      <c r="AK166" s="3" t="s">
        <v>9</v>
      </c>
      <c r="AL166" s="7">
        <v>323.89999999999998</v>
      </c>
      <c r="AM166" s="5">
        <v>28777.21</v>
      </c>
      <c r="AN166" s="8">
        <f t="shared" si="54"/>
        <v>8129432.8811786519</v>
      </c>
      <c r="AO166" s="8">
        <f t="shared" si="55"/>
        <v>282.49551923826709</v>
      </c>
    </row>
    <row r="167" spans="1:41" x14ac:dyDescent="0.25">
      <c r="A167" s="3" t="s">
        <v>9</v>
      </c>
      <c r="B167" s="7">
        <v>406.4</v>
      </c>
      <c r="C167" s="5">
        <v>11269.87</v>
      </c>
      <c r="D167" s="8">
        <f t="shared" si="42"/>
        <v>2992777.3049335787</v>
      </c>
      <c r="E167" s="8">
        <f t="shared" si="43"/>
        <v>265.55561909175339</v>
      </c>
      <c r="G167" s="3" t="s">
        <v>9</v>
      </c>
      <c r="H167" s="7">
        <v>406.4</v>
      </c>
      <c r="I167" s="5">
        <v>0</v>
      </c>
      <c r="J167" s="8">
        <f t="shared" si="44"/>
        <v>0</v>
      </c>
      <c r="K167" s="8">
        <f t="shared" si="45"/>
        <v>306.70442467116567</v>
      </c>
      <c r="M167" s="3" t="s">
        <v>9</v>
      </c>
      <c r="N167" s="7">
        <v>406.4</v>
      </c>
      <c r="O167" s="5">
        <v>0</v>
      </c>
      <c r="P167" s="8">
        <f t="shared" si="46"/>
        <v>0</v>
      </c>
      <c r="Q167" s="8">
        <f t="shared" si="47"/>
        <v>657.29213789460198</v>
      </c>
      <c r="S167" s="3" t="s">
        <v>9</v>
      </c>
      <c r="T167" s="7">
        <v>406.4</v>
      </c>
      <c r="U167" s="5">
        <v>0</v>
      </c>
      <c r="V167" s="8">
        <f t="shared" si="48"/>
        <v>0</v>
      </c>
      <c r="W167" s="8">
        <f t="shared" si="49"/>
        <v>466.76658375953571</v>
      </c>
      <c r="Y167" s="3" t="s">
        <v>9</v>
      </c>
      <c r="Z167" s="7">
        <v>406.4</v>
      </c>
      <c r="AA167" s="5">
        <v>0</v>
      </c>
      <c r="AB167" s="8">
        <f t="shared" si="50"/>
        <v>0</v>
      </c>
      <c r="AC167" s="8">
        <f t="shared" si="51"/>
        <v>996.22086222638222</v>
      </c>
      <c r="AE167" s="3" t="s">
        <v>9</v>
      </c>
      <c r="AF167" s="7">
        <v>406.4</v>
      </c>
      <c r="AG167" s="5">
        <v>0</v>
      </c>
      <c r="AH167" s="8">
        <f t="shared" si="52"/>
        <v>0</v>
      </c>
      <c r="AI167" s="8">
        <f t="shared" si="53"/>
        <v>215.21378221205489</v>
      </c>
      <c r="AK167" s="3" t="s">
        <v>9</v>
      </c>
      <c r="AL167" s="7">
        <v>406.4</v>
      </c>
      <c r="AM167" s="5">
        <v>11269.87</v>
      </c>
      <c r="AN167" s="8">
        <f t="shared" si="54"/>
        <v>3756355.7850370063</v>
      </c>
      <c r="AO167" s="8">
        <f t="shared" si="55"/>
        <v>333.30959319291225</v>
      </c>
    </row>
    <row r="168" spans="1:41" x14ac:dyDescent="0.25">
      <c r="A168" s="3" t="s">
        <v>9</v>
      </c>
      <c r="B168" s="7">
        <v>508</v>
      </c>
      <c r="C168" s="5">
        <v>0</v>
      </c>
      <c r="D168" s="8">
        <f t="shared" si="42"/>
        <v>0</v>
      </c>
      <c r="E168" s="8">
        <f t="shared" si="43"/>
        <v>290.28197399567972</v>
      </c>
      <c r="G168" s="3" t="s">
        <v>9</v>
      </c>
      <c r="H168" s="7">
        <v>508</v>
      </c>
      <c r="I168" s="5">
        <v>0</v>
      </c>
      <c r="J168" s="8">
        <f t="shared" si="44"/>
        <v>0</v>
      </c>
      <c r="K168" s="8">
        <f t="shared" si="45"/>
        <v>365.99034642723149</v>
      </c>
      <c r="M168" s="3" t="s">
        <v>9</v>
      </c>
      <c r="N168" s="7">
        <v>508</v>
      </c>
      <c r="O168" s="5">
        <v>0</v>
      </c>
      <c r="P168" s="8">
        <f t="shared" si="46"/>
        <v>0</v>
      </c>
      <c r="Q168" s="8">
        <f t="shared" si="47"/>
        <v>774.04343339899424</v>
      </c>
      <c r="S168" s="3" t="s">
        <v>9</v>
      </c>
      <c r="T168" s="7">
        <v>508</v>
      </c>
      <c r="U168" s="5">
        <v>0</v>
      </c>
      <c r="V168" s="8">
        <f t="shared" si="48"/>
        <v>0</v>
      </c>
      <c r="W168" s="8">
        <f t="shared" si="49"/>
        <v>551.30806949598843</v>
      </c>
      <c r="Y168" s="3" t="s">
        <v>9</v>
      </c>
      <c r="Z168" s="7">
        <v>508</v>
      </c>
      <c r="AA168" s="5">
        <v>0</v>
      </c>
      <c r="AB168" s="8">
        <f t="shared" si="50"/>
        <v>0</v>
      </c>
      <c r="AC168" s="8">
        <f t="shared" si="51"/>
        <v>1276.5035089778976</v>
      </c>
      <c r="AE168" s="3" t="s">
        <v>9</v>
      </c>
      <c r="AF168" s="7">
        <v>508</v>
      </c>
      <c r="AG168" s="5">
        <v>0</v>
      </c>
      <c r="AH168" s="8">
        <f t="shared" si="52"/>
        <v>0</v>
      </c>
      <c r="AI168" s="8">
        <f t="shared" si="53"/>
        <v>157.82946866551845</v>
      </c>
      <c r="AK168" s="3" t="s">
        <v>9</v>
      </c>
      <c r="AL168" s="7">
        <v>508</v>
      </c>
      <c r="AM168" s="5">
        <v>0</v>
      </c>
      <c r="AN168" s="8">
        <f t="shared" si="54"/>
        <v>0</v>
      </c>
      <c r="AO168" s="8">
        <f t="shared" si="55"/>
        <v>385.42738159309681</v>
      </c>
    </row>
    <row r="169" spans="1:41" x14ac:dyDescent="0.25">
      <c r="A169" s="3" t="s">
        <v>9</v>
      </c>
      <c r="B169" s="7">
        <v>610</v>
      </c>
      <c r="C169" s="5">
        <v>0</v>
      </c>
      <c r="D169" s="8">
        <f t="shared" si="42"/>
        <v>0</v>
      </c>
      <c r="E169" s="8">
        <f t="shared" si="43"/>
        <v>315.81392646988684</v>
      </c>
      <c r="G169" s="3" t="s">
        <v>9</v>
      </c>
      <c r="H169" s="7">
        <v>610</v>
      </c>
      <c r="I169" s="5">
        <v>0</v>
      </c>
      <c r="J169" s="8">
        <f t="shared" si="44"/>
        <v>0</v>
      </c>
      <c r="K169" s="8">
        <f t="shared" si="45"/>
        <v>425.50967732406923</v>
      </c>
      <c r="M169" s="3" t="s">
        <v>9</v>
      </c>
      <c r="N169" s="7">
        <v>610</v>
      </c>
      <c r="O169" s="5">
        <v>0</v>
      </c>
      <c r="P169" s="8">
        <f t="shared" si="46"/>
        <v>0</v>
      </c>
      <c r="Q169" s="8">
        <f t="shared" si="47"/>
        <v>891.25437967308869</v>
      </c>
      <c r="S169" s="3" t="s">
        <v>9</v>
      </c>
      <c r="T169" s="7">
        <v>610</v>
      </c>
      <c r="U169" s="5">
        <v>0</v>
      </c>
      <c r="V169" s="8">
        <f t="shared" si="48"/>
        <v>0</v>
      </c>
      <c r="W169" s="8">
        <f t="shared" si="49"/>
        <v>636.18239572746654</v>
      </c>
      <c r="Y169" s="3" t="s">
        <v>9</v>
      </c>
      <c r="Z169" s="7">
        <v>610</v>
      </c>
      <c r="AA169" s="5">
        <v>0</v>
      </c>
      <c r="AB169" s="8">
        <f t="shared" si="50"/>
        <v>0</v>
      </c>
      <c r="AC169" s="8">
        <f t="shared" si="51"/>
        <v>1557.8896307166235</v>
      </c>
      <c r="AE169" s="3" t="s">
        <v>9</v>
      </c>
      <c r="AF169" s="7">
        <v>610</v>
      </c>
      <c r="AG169" s="5">
        <v>0</v>
      </c>
      <c r="AH169" s="8">
        <f t="shared" si="52"/>
        <v>0</v>
      </c>
      <c r="AI169" s="8">
        <f t="shared" si="53"/>
        <v>100.21923262470438</v>
      </c>
      <c r="AK169" s="3" t="s">
        <v>9</v>
      </c>
      <c r="AL169" s="7">
        <v>610</v>
      </c>
      <c r="AM169" s="5">
        <v>0</v>
      </c>
      <c r="AN169" s="8">
        <f t="shared" si="54"/>
        <v>0</v>
      </c>
      <c r="AO169" s="8">
        <f t="shared" si="55"/>
        <v>432.83005562382129</v>
      </c>
    </row>
    <row r="170" spans="1:41" x14ac:dyDescent="0.25">
      <c r="A170" s="3" t="s">
        <v>9</v>
      </c>
      <c r="B170" s="7">
        <v>762</v>
      </c>
      <c r="C170" s="5">
        <v>0</v>
      </c>
      <c r="D170" s="8">
        <f t="shared" si="42"/>
        <v>0</v>
      </c>
      <c r="E170" s="8">
        <f t="shared" si="43"/>
        <v>353.86154192164645</v>
      </c>
      <c r="G170" s="3" t="s">
        <v>9</v>
      </c>
      <c r="H170" s="7">
        <v>762</v>
      </c>
      <c r="I170" s="5">
        <v>0</v>
      </c>
      <c r="J170" s="8">
        <f t="shared" si="44"/>
        <v>0</v>
      </c>
      <c r="K170" s="8">
        <f t="shared" si="45"/>
        <v>514.20515081739597</v>
      </c>
      <c r="M170" s="3" t="s">
        <v>9</v>
      </c>
      <c r="N170" s="7">
        <v>762</v>
      </c>
      <c r="O170" s="5">
        <v>0</v>
      </c>
      <c r="P170" s="8">
        <f t="shared" si="46"/>
        <v>0</v>
      </c>
      <c r="Q170" s="8">
        <f t="shared" si="47"/>
        <v>1065.9216721599746</v>
      </c>
      <c r="S170" s="3" t="s">
        <v>9</v>
      </c>
      <c r="T170" s="7">
        <v>762</v>
      </c>
      <c r="U170" s="5">
        <v>0</v>
      </c>
      <c r="V170" s="8">
        <f t="shared" si="48"/>
        <v>0</v>
      </c>
      <c r="W170" s="8">
        <f t="shared" si="49"/>
        <v>762.6617838371202</v>
      </c>
      <c r="Y170" s="3" t="s">
        <v>9</v>
      </c>
      <c r="Z170" s="7">
        <v>762</v>
      </c>
      <c r="AA170" s="5">
        <v>0</v>
      </c>
      <c r="AB170" s="8">
        <f t="shared" si="50"/>
        <v>0</v>
      </c>
      <c r="AC170" s="8">
        <f t="shared" si="51"/>
        <v>1977.2101258566856</v>
      </c>
      <c r="AE170" s="3" t="s">
        <v>9</v>
      </c>
      <c r="AF170" s="7">
        <v>762</v>
      </c>
      <c r="AG170" s="5">
        <v>0</v>
      </c>
      <c r="AH170" s="8">
        <f t="shared" si="52"/>
        <v>0</v>
      </c>
      <c r="AI170" s="8">
        <f t="shared" si="53"/>
        <v>14.368684799177458</v>
      </c>
      <c r="AK170" s="3" t="s">
        <v>9</v>
      </c>
      <c r="AL170" s="7">
        <v>762</v>
      </c>
      <c r="AM170" s="5">
        <v>0</v>
      </c>
      <c r="AN170" s="8">
        <f t="shared" si="54"/>
        <v>0</v>
      </c>
      <c r="AO170" s="8">
        <f t="shared" si="55"/>
        <v>503.46933457156769</v>
      </c>
    </row>
    <row r="171" spans="1:41" x14ac:dyDescent="0.25">
      <c r="A171" s="9" t="s">
        <v>10</v>
      </c>
      <c r="B171" s="9"/>
      <c r="C171" s="10">
        <v>5343699.7300000004</v>
      </c>
      <c r="D171" s="11">
        <f>SUM(D148:D170)</f>
        <v>910765079.3592751</v>
      </c>
      <c r="E171" s="11">
        <f>D171/C171</f>
        <v>170.43717375176598</v>
      </c>
      <c r="G171" s="9" t="s">
        <v>10</v>
      </c>
      <c r="H171" s="9"/>
      <c r="I171" s="10">
        <v>153989.70000000004</v>
      </c>
      <c r="J171" s="11">
        <f>SUM(J148:J170)</f>
        <v>23144540.599564712</v>
      </c>
      <c r="K171" s="11">
        <f>J171/I171</f>
        <v>150.29927715661961</v>
      </c>
      <c r="M171" s="9" t="s">
        <v>10</v>
      </c>
      <c r="N171" s="9"/>
      <c r="O171" s="10">
        <v>422621.25</v>
      </c>
      <c r="P171" s="11">
        <f>SUM(P148:P170)</f>
        <v>63324728.750178598</v>
      </c>
      <c r="Q171" s="11">
        <f>P171/O171</f>
        <v>149.83801394316683</v>
      </c>
      <c r="S171" s="9" t="s">
        <v>10</v>
      </c>
      <c r="T171" s="9"/>
      <c r="U171" s="10">
        <v>887926.53999999992</v>
      </c>
      <c r="V171" s="11">
        <f>SUM(V148:V170)</f>
        <v>152593213.10687193</v>
      </c>
      <c r="W171" s="11">
        <f>V171/U171</f>
        <v>171.85342056210183</v>
      </c>
      <c r="Y171" s="9" t="s">
        <v>10</v>
      </c>
      <c r="Z171" s="9"/>
      <c r="AA171" s="10">
        <v>646560.88</v>
      </c>
      <c r="AB171" s="11">
        <f>SUM(AB148:AB170)</f>
        <v>127389647.88641807</v>
      </c>
      <c r="AC171" s="11">
        <f>AB171/AA171</f>
        <v>197.02653195847245</v>
      </c>
      <c r="AE171" s="9" t="s">
        <v>10</v>
      </c>
      <c r="AF171" s="9"/>
      <c r="AG171" s="10">
        <v>222062.6</v>
      </c>
      <c r="AH171" s="11">
        <f>SUM(AH148:AH170)</f>
        <v>41024478.548729196</v>
      </c>
      <c r="AI171" s="11">
        <f>AH171/AG171</f>
        <v>184.7428542614974</v>
      </c>
      <c r="AK171" s="9" t="s">
        <v>10</v>
      </c>
      <c r="AL171" s="9"/>
      <c r="AM171" s="10">
        <v>7676860.7000000002</v>
      </c>
      <c r="AN171" s="11">
        <f>SUM(AN148:AN170)</f>
        <v>1318472363.4892974</v>
      </c>
      <c r="AO171" s="11">
        <f>AN171/AM171</f>
        <v>171.7462925293535</v>
      </c>
    </row>
    <row r="173" spans="1:41" x14ac:dyDescent="0.25">
      <c r="A173" s="55" t="s">
        <v>68</v>
      </c>
      <c r="H173" s="55" t="s">
        <v>67</v>
      </c>
    </row>
    <row r="174" spans="1:41" x14ac:dyDescent="0.25">
      <c r="A174" t="s">
        <v>15</v>
      </c>
      <c r="B174" t="s">
        <v>69</v>
      </c>
      <c r="C174" t="s">
        <v>17</v>
      </c>
      <c r="D174" t="s">
        <v>18</v>
      </c>
      <c r="E174" t="s">
        <v>19</v>
      </c>
      <c r="F174" t="s">
        <v>18</v>
      </c>
      <c r="H174" t="s">
        <v>15</v>
      </c>
      <c r="I174" t="s">
        <v>69</v>
      </c>
      <c r="J174" t="s">
        <v>17</v>
      </c>
      <c r="K174" t="s">
        <v>18</v>
      </c>
      <c r="L174" t="s">
        <v>19</v>
      </c>
      <c r="M174" t="s">
        <v>18</v>
      </c>
    </row>
    <row r="175" spans="1:41" ht="18" x14ac:dyDescent="0.35">
      <c r="A175" t="s">
        <v>57</v>
      </c>
      <c r="B175" s="56">
        <v>365</v>
      </c>
      <c r="C175" s="56">
        <v>36001.139533736066</v>
      </c>
      <c r="D175" s="57">
        <v>0.18648619553078255</v>
      </c>
      <c r="E175" s="56">
        <v>9145.4480302281609</v>
      </c>
      <c r="F175" s="57">
        <v>6.944535937831868E-2</v>
      </c>
      <c r="H175" t="s">
        <v>57</v>
      </c>
      <c r="I175" s="56">
        <v>365</v>
      </c>
      <c r="J175" s="56">
        <v>34664</v>
      </c>
      <c r="K175" s="57">
        <v>0.17523443621565604</v>
      </c>
      <c r="L175" s="56">
        <v>9145.4480302281609</v>
      </c>
      <c r="M175" s="57">
        <v>6.944535937831868E-2</v>
      </c>
    </row>
    <row r="176" spans="1:41" ht="18" x14ac:dyDescent="0.35">
      <c r="A176" t="s">
        <v>57</v>
      </c>
      <c r="B176" s="56">
        <v>1095</v>
      </c>
      <c r="C176" s="56">
        <v>37026.370466263928</v>
      </c>
      <c r="D176" s="57">
        <v>0.19179690009802092</v>
      </c>
      <c r="E176" s="56">
        <v>13136.341487360001</v>
      </c>
      <c r="F176" s="57">
        <v>9.9749946912472215E-2</v>
      </c>
      <c r="H176" t="s">
        <v>57</v>
      </c>
      <c r="I176" s="56">
        <v>1095</v>
      </c>
      <c r="J176" s="56">
        <v>26871</v>
      </c>
      <c r="K176" s="57">
        <v>0.13583904152870105</v>
      </c>
      <c r="L176" s="56">
        <v>13136.341487360001</v>
      </c>
      <c r="M176" s="57">
        <v>9.9749946912472215E-2</v>
      </c>
    </row>
    <row r="177" spans="1:13" ht="18" x14ac:dyDescent="0.35">
      <c r="A177" t="s">
        <v>57</v>
      </c>
      <c r="B177" s="56">
        <v>3650</v>
      </c>
      <c r="C177" s="56">
        <v>66288.69</v>
      </c>
      <c r="D177" s="57">
        <v>0.34337595323157138</v>
      </c>
      <c r="E177" s="56">
        <v>60842.018099226058</v>
      </c>
      <c r="F177" s="57">
        <v>0.46199987121872177</v>
      </c>
      <c r="H177" t="s">
        <v>57</v>
      </c>
      <c r="I177" s="56">
        <v>3650</v>
      </c>
      <c r="J177" s="56">
        <v>76004</v>
      </c>
      <c r="K177" s="57">
        <v>0.3842175770290423</v>
      </c>
      <c r="L177" s="56">
        <v>60842.018099226058</v>
      </c>
      <c r="M177" s="57">
        <v>0.46199987121872177</v>
      </c>
    </row>
    <row r="178" spans="1:13" ht="18" x14ac:dyDescent="0.35">
      <c r="A178" t="s">
        <v>57</v>
      </c>
      <c r="B178" s="56">
        <v>10950</v>
      </c>
      <c r="C178" s="56">
        <v>25638.119999999995</v>
      </c>
      <c r="D178" s="57">
        <v>0.13280567007834085</v>
      </c>
      <c r="E178" s="56">
        <v>23100.034647082546</v>
      </c>
      <c r="F178" s="57">
        <v>0.17540859697807926</v>
      </c>
      <c r="H178" t="s">
        <v>57</v>
      </c>
      <c r="I178" s="56">
        <v>10950</v>
      </c>
      <c r="J178" s="56">
        <v>29493</v>
      </c>
      <c r="K178" s="57">
        <v>0.14909385031468797</v>
      </c>
      <c r="L178" s="56">
        <v>23100.034647082546</v>
      </c>
      <c r="M178" s="57">
        <v>0.17540859697807926</v>
      </c>
    </row>
    <row r="179" spans="1:13" ht="18" x14ac:dyDescent="0.35">
      <c r="A179" t="s">
        <v>57</v>
      </c>
      <c r="B179" s="56">
        <v>36500</v>
      </c>
      <c r="C179" s="56">
        <v>16665.29</v>
      </c>
      <c r="D179" s="57">
        <v>8.6326337715084939E-2</v>
      </c>
      <c r="E179" s="56">
        <v>14885.635298971036</v>
      </c>
      <c r="F179" s="57">
        <v>0.11303309466029955</v>
      </c>
      <c r="H179" t="s">
        <v>57</v>
      </c>
      <c r="I179" s="56">
        <v>36500</v>
      </c>
      <c r="J179" s="56">
        <v>18513</v>
      </c>
      <c r="K179" s="57">
        <v>9.3587442812729071E-2</v>
      </c>
      <c r="L179" s="56">
        <v>14885.635298971036</v>
      </c>
      <c r="M179" s="57">
        <v>0.11303309466029955</v>
      </c>
    </row>
    <row r="180" spans="1:13" ht="18" x14ac:dyDescent="0.35">
      <c r="A180" t="s">
        <v>57</v>
      </c>
      <c r="B180" s="56">
        <v>109500</v>
      </c>
      <c r="C180" s="56">
        <v>7245.89</v>
      </c>
      <c r="D180" s="57">
        <v>3.7533769120510763E-2</v>
      </c>
      <c r="E180" s="56">
        <v>7011.1922208783262</v>
      </c>
      <c r="F180" s="57">
        <v>5.3239027966705377E-2</v>
      </c>
      <c r="H180" t="s">
        <v>57</v>
      </c>
      <c r="I180" s="56">
        <v>109500</v>
      </c>
      <c r="J180" s="56">
        <v>8184</v>
      </c>
      <c r="K180" s="57">
        <v>4.1371988979602155E-2</v>
      </c>
      <c r="L180" s="56">
        <v>7011.1922208783262</v>
      </c>
      <c r="M180" s="57">
        <v>5.3239027966705377E-2</v>
      </c>
    </row>
    <row r="181" spans="1:13" ht="18" x14ac:dyDescent="0.35">
      <c r="A181" t="s">
        <v>57</v>
      </c>
      <c r="B181" s="56">
        <v>365000</v>
      </c>
      <c r="C181" s="56">
        <v>2053</v>
      </c>
      <c r="D181" s="57">
        <v>1.0634556694127098E-2</v>
      </c>
      <c r="E181" s="56">
        <v>1710.3401354776124</v>
      </c>
      <c r="F181" s="57">
        <v>1.2987355564737908E-2</v>
      </c>
      <c r="H181" t="s">
        <v>57</v>
      </c>
      <c r="I181" s="56">
        <v>365000</v>
      </c>
      <c r="J181" s="56">
        <v>1972</v>
      </c>
      <c r="K181" s="57">
        <v>9.9689103455248597E-3</v>
      </c>
      <c r="L181" s="56">
        <v>1710.3401354776124</v>
      </c>
      <c r="M181" s="57">
        <v>1.2987355564737908E-2</v>
      </c>
    </row>
    <row r="182" spans="1:13" ht="18" x14ac:dyDescent="0.35">
      <c r="A182" t="s">
        <v>57</v>
      </c>
      <c r="B182" s="56">
        <v>1095000</v>
      </c>
      <c r="C182" s="56">
        <v>308.99999999999989</v>
      </c>
      <c r="D182" s="57">
        <v>1.6006225126572197E-3</v>
      </c>
      <c r="E182" s="56">
        <v>253.46631314019083</v>
      </c>
      <c r="F182" s="57">
        <v>1.9246798131855847E-3</v>
      </c>
      <c r="H182" t="s">
        <v>57</v>
      </c>
      <c r="I182" s="56">
        <v>1095000</v>
      </c>
      <c r="J182" s="56">
        <v>313</v>
      </c>
      <c r="K182" s="57">
        <v>1.5822864797917246E-3</v>
      </c>
      <c r="L182" s="56">
        <v>253.46631314019083</v>
      </c>
      <c r="M182" s="57">
        <v>1.9246798131855847E-3</v>
      </c>
    </row>
    <row r="183" spans="1:13" ht="18" x14ac:dyDescent="0.35">
      <c r="A183" t="s">
        <v>57</v>
      </c>
      <c r="B183" s="56">
        <v>3650000</v>
      </c>
      <c r="C183" s="56">
        <v>37</v>
      </c>
      <c r="D183" s="57">
        <v>1.916603008683403E-4</v>
      </c>
      <c r="E183" s="56">
        <v>41.416666666666664</v>
      </c>
      <c r="F183" s="57">
        <v>3.1449474005123651E-4</v>
      </c>
      <c r="H183" t="s">
        <v>57</v>
      </c>
      <c r="I183" s="56">
        <v>3650000</v>
      </c>
      <c r="J183" s="56">
        <v>50</v>
      </c>
      <c r="K183" s="57">
        <v>2.5276141849708063E-4</v>
      </c>
      <c r="L183" s="56">
        <v>41.416666666666664</v>
      </c>
      <c r="M183" s="57">
        <v>3.1449474005123651E-4</v>
      </c>
    </row>
    <row r="184" spans="1:13" ht="18" x14ac:dyDescent="0.35">
      <c r="A184" t="s">
        <v>57</v>
      </c>
      <c r="B184" s="56">
        <v>10950000</v>
      </c>
      <c r="C184" s="56">
        <v>4</v>
      </c>
      <c r="D184" s="57">
        <v>2.0720032526307058E-5</v>
      </c>
      <c r="E184" s="56">
        <v>1.5</v>
      </c>
      <c r="F184" s="57">
        <v>1.1390151551151424E-5</v>
      </c>
      <c r="H184" t="s">
        <v>57</v>
      </c>
      <c r="I184" s="56">
        <v>10950000</v>
      </c>
      <c r="J184" s="56">
        <v>2</v>
      </c>
      <c r="K184" s="57">
        <v>1.0110456739883224E-5</v>
      </c>
      <c r="L184" s="56">
        <v>1.5</v>
      </c>
      <c r="M184" s="57">
        <v>1.1390151551151424E-5</v>
      </c>
    </row>
    <row r="185" spans="1:13" ht="18" x14ac:dyDescent="0.35">
      <c r="A185" t="s">
        <v>58</v>
      </c>
      <c r="B185" s="56"/>
      <c r="C185" s="56">
        <v>1381.4</v>
      </c>
      <c r="D185" s="57">
        <v>7.155663232960143E-3</v>
      </c>
      <c r="E185" s="56">
        <v>1231.17367842053</v>
      </c>
      <c r="F185" s="57">
        <v>9.3488365219989364E-3</v>
      </c>
      <c r="H185" t="s">
        <v>58</v>
      </c>
      <c r="I185" s="56"/>
      <c r="J185" s="56">
        <v>1369</v>
      </c>
      <c r="K185" s="57">
        <v>6.9206076384500667E-3</v>
      </c>
      <c r="L185" s="56">
        <v>1231.17367842053</v>
      </c>
      <c r="M185" s="57">
        <v>9.3488365219989364E-3</v>
      </c>
    </row>
    <row r="186" spans="1:13" x14ac:dyDescent="0.25">
      <c r="A186">
        <v>303</v>
      </c>
      <c r="B186" s="56"/>
      <c r="C186" s="56">
        <v>70.83</v>
      </c>
      <c r="D186" s="57">
        <v>3.6689997595958221E-4</v>
      </c>
      <c r="E186" s="56">
        <v>72.816666666666663</v>
      </c>
      <c r="F186" s="57">
        <v>5.5292857918867299E-4</v>
      </c>
      <c r="H186">
        <v>303</v>
      </c>
      <c r="I186" s="56"/>
      <c r="J186" s="56">
        <v>80</v>
      </c>
      <c r="K186" s="57">
        <v>4.0441826959532895E-4</v>
      </c>
      <c r="L186" s="56">
        <v>72.816666666666663</v>
      </c>
      <c r="M186" s="57">
        <v>5.5292857918867299E-4</v>
      </c>
    </row>
    <row r="187" spans="1:13" x14ac:dyDescent="0.25">
      <c r="A187">
        <v>304</v>
      </c>
      <c r="B187" s="56"/>
      <c r="C187" s="56">
        <v>61</v>
      </c>
      <c r="D187" s="57">
        <v>3.1598049602618263E-4</v>
      </c>
      <c r="E187" s="56">
        <v>73.333333333333329</v>
      </c>
      <c r="F187" s="57">
        <v>5.5685185361184736E-4</v>
      </c>
      <c r="H187">
        <v>304</v>
      </c>
      <c r="I187" s="56"/>
      <c r="J187" s="56">
        <v>84</v>
      </c>
      <c r="K187" s="57">
        <v>4.2463918307509543E-4</v>
      </c>
      <c r="L187" s="56">
        <v>73.333333333333329</v>
      </c>
      <c r="M187" s="57">
        <v>5.5685185361184736E-4</v>
      </c>
    </row>
    <row r="188" spans="1:13" x14ac:dyDescent="0.25">
      <c r="A188">
        <v>305</v>
      </c>
      <c r="B188" s="56"/>
      <c r="C188" s="56">
        <v>41.16</v>
      </c>
      <c r="D188" s="57">
        <v>2.1320913469569962E-4</v>
      </c>
      <c r="E188" s="56">
        <v>47.333333333333336</v>
      </c>
      <c r="F188" s="57">
        <v>3.5942256005855604E-4</v>
      </c>
      <c r="H188">
        <v>305</v>
      </c>
      <c r="I188" s="56"/>
      <c r="J188" s="56">
        <v>52</v>
      </c>
      <c r="K188" s="57">
        <v>2.6287187523696382E-4</v>
      </c>
      <c r="L188" s="56">
        <v>47.333333333333336</v>
      </c>
      <c r="M188" s="57">
        <v>3.5942256005855604E-4</v>
      </c>
    </row>
    <row r="189" spans="1:13" x14ac:dyDescent="0.25">
      <c r="A189">
        <v>406</v>
      </c>
      <c r="B189" s="56"/>
      <c r="C189" s="56">
        <v>41.67</v>
      </c>
      <c r="D189" s="57">
        <v>2.1585093884280378E-4</v>
      </c>
      <c r="E189" s="56">
        <v>36</v>
      </c>
      <c r="F189" s="57">
        <v>2.7336363722763415E-4</v>
      </c>
      <c r="H189">
        <v>406</v>
      </c>
      <c r="I189" s="56"/>
      <c r="J189" s="56">
        <v>40</v>
      </c>
      <c r="K189" s="57">
        <v>2.0220913479766447E-4</v>
      </c>
      <c r="L189" s="56">
        <v>36</v>
      </c>
      <c r="M189" s="57">
        <v>2.7336363722763415E-4</v>
      </c>
    </row>
    <row r="190" spans="1:13" x14ac:dyDescent="0.25">
      <c r="A190">
        <v>407</v>
      </c>
      <c r="B190" s="56"/>
      <c r="C190" s="56">
        <v>29.51</v>
      </c>
      <c r="D190" s="57">
        <v>1.5286203996283033E-4</v>
      </c>
      <c r="E190" s="56">
        <v>27.666666666666668</v>
      </c>
      <c r="F190" s="57">
        <v>2.1008501749901514E-4</v>
      </c>
      <c r="H190">
        <v>407</v>
      </c>
      <c r="I190" s="56"/>
      <c r="J190" s="56">
        <v>31</v>
      </c>
      <c r="K190" s="57">
        <v>1.5671207946818996E-4</v>
      </c>
      <c r="L190" s="56">
        <v>27.666666666666668</v>
      </c>
      <c r="M190" s="57">
        <v>2.1008501749901514E-4</v>
      </c>
    </row>
    <row r="191" spans="1:13" x14ac:dyDescent="0.25">
      <c r="A191">
        <v>408</v>
      </c>
      <c r="B191" s="56"/>
      <c r="C191" s="56">
        <v>8.99</v>
      </c>
      <c r="D191" s="57">
        <v>4.6568273102875111E-5</v>
      </c>
      <c r="E191" s="56">
        <v>6.333333333333333</v>
      </c>
      <c r="F191" s="57">
        <v>4.8091750993750454E-5</v>
      </c>
      <c r="H191">
        <v>408</v>
      </c>
      <c r="I191" s="56"/>
      <c r="J191" s="56">
        <v>9</v>
      </c>
      <c r="K191" s="57">
        <v>4.5497055329474511E-5</v>
      </c>
      <c r="L191" s="56">
        <v>6.333333333333333</v>
      </c>
      <c r="M191" s="57">
        <v>4.8091750993750454E-5</v>
      </c>
    </row>
    <row r="192" spans="1:13" x14ac:dyDescent="0.25">
      <c r="A192">
        <v>409</v>
      </c>
      <c r="B192" s="56"/>
      <c r="C192" s="56">
        <v>2.83</v>
      </c>
      <c r="D192" s="57">
        <v>1.4659423012362244E-5</v>
      </c>
      <c r="E192" s="56">
        <v>2</v>
      </c>
      <c r="F192" s="57">
        <v>1.5186868734868564E-5</v>
      </c>
      <c r="H192">
        <v>409</v>
      </c>
      <c r="I192" s="56"/>
      <c r="J192" s="56">
        <v>5</v>
      </c>
      <c r="K192" s="57">
        <v>2.5276141849708059E-5</v>
      </c>
      <c r="L192" s="56">
        <v>2</v>
      </c>
      <c r="M192" s="57">
        <v>1.5186868734868564E-5</v>
      </c>
    </row>
    <row r="193" spans="1:13" x14ac:dyDescent="0.25">
      <c r="A193">
        <v>410</v>
      </c>
      <c r="B193" s="56"/>
      <c r="C193" s="56">
        <v>1</v>
      </c>
      <c r="D193" s="57">
        <v>5.1800081315767646E-6</v>
      </c>
      <c r="E193" s="56">
        <v>1</v>
      </c>
      <c r="F193" s="57">
        <v>7.5934343674342821E-6</v>
      </c>
      <c r="H193">
        <v>410</v>
      </c>
      <c r="I193" s="56"/>
      <c r="J193" s="56">
        <v>1</v>
      </c>
      <c r="K193" s="57">
        <v>5.055228369941612E-6</v>
      </c>
      <c r="L193" s="56">
        <v>1</v>
      </c>
      <c r="M193" s="57">
        <v>7.5934343674342821E-6</v>
      </c>
    </row>
    <row r="194" spans="1:13" x14ac:dyDescent="0.25">
      <c r="A194">
        <v>505</v>
      </c>
      <c r="B194" s="56"/>
      <c r="C194" s="56">
        <v>57.14</v>
      </c>
      <c r="D194" s="57">
        <v>2.9598566463829635E-4</v>
      </c>
      <c r="E194" s="56">
        <v>38.833333333333336</v>
      </c>
      <c r="F194" s="57">
        <v>2.9487836793536462E-4</v>
      </c>
      <c r="H194">
        <v>505</v>
      </c>
      <c r="I194" s="56"/>
      <c r="J194" s="56">
        <v>45</v>
      </c>
      <c r="K194" s="57">
        <v>2.2748527664737255E-4</v>
      </c>
      <c r="L194" s="56">
        <v>38.833333333333336</v>
      </c>
      <c r="M194" s="57">
        <v>2.9487836793536462E-4</v>
      </c>
    </row>
    <row r="195" spans="1:13" x14ac:dyDescent="0.25">
      <c r="A195">
        <v>506</v>
      </c>
      <c r="B195" s="56"/>
      <c r="C195" s="56">
        <v>20</v>
      </c>
      <c r="D195" s="57">
        <v>1.036001626315353E-4</v>
      </c>
      <c r="E195" s="56">
        <v>5.833333333333333</v>
      </c>
      <c r="F195" s="57">
        <v>4.4295033810033314E-5</v>
      </c>
      <c r="H195">
        <v>506</v>
      </c>
      <c r="I195" s="56"/>
      <c r="J195" s="56">
        <v>7</v>
      </c>
      <c r="K195" s="57">
        <v>3.5386598589591282E-5</v>
      </c>
      <c r="L195" s="56">
        <v>5.833333333333333</v>
      </c>
      <c r="M195" s="57">
        <v>4.4295033810033314E-5</v>
      </c>
    </row>
    <row r="196" spans="1:13" x14ac:dyDescent="0.25">
      <c r="A196">
        <v>507</v>
      </c>
      <c r="B196" s="56"/>
      <c r="C196" s="56">
        <v>8.2899999999999991</v>
      </c>
      <c r="D196" s="57">
        <v>4.2942267410771372E-5</v>
      </c>
      <c r="E196" s="56">
        <v>2</v>
      </c>
      <c r="F196" s="57">
        <v>1.5186868734868564E-5</v>
      </c>
      <c r="H196">
        <v>507</v>
      </c>
      <c r="I196" s="56"/>
      <c r="J196" s="56">
        <v>3</v>
      </c>
      <c r="K196" s="57">
        <v>1.5165685109824837E-5</v>
      </c>
      <c r="L196" s="56">
        <v>2</v>
      </c>
      <c r="M196" s="57">
        <v>1.5186868734868564E-5</v>
      </c>
    </row>
    <row r="197" spans="1:13" x14ac:dyDescent="0.25">
      <c r="A197">
        <v>508</v>
      </c>
      <c r="B197" s="56"/>
      <c r="C197" s="56">
        <v>2</v>
      </c>
      <c r="D197" s="57">
        <v>1.0360016263153529E-5</v>
      </c>
      <c r="E197" s="56">
        <v>0</v>
      </c>
      <c r="F197" s="57">
        <v>0</v>
      </c>
      <c r="H197">
        <v>508</v>
      </c>
      <c r="I197" s="56"/>
      <c r="J197" s="56">
        <v>0</v>
      </c>
      <c r="K197" s="57">
        <v>0</v>
      </c>
      <c r="L197" s="56">
        <v>0</v>
      </c>
      <c r="M197" s="57">
        <v>0</v>
      </c>
    </row>
    <row r="198" spans="1:13" x14ac:dyDescent="0.25">
      <c r="A198">
        <v>509</v>
      </c>
      <c r="B198" s="56"/>
      <c r="C198" s="56">
        <v>4.57</v>
      </c>
      <c r="D198" s="57">
        <v>2.3672637161305816E-5</v>
      </c>
      <c r="E198" s="56">
        <v>0</v>
      </c>
      <c r="F198" s="57">
        <v>0</v>
      </c>
      <c r="H198">
        <v>509</v>
      </c>
      <c r="I198" s="56"/>
      <c r="J198" s="56">
        <v>0</v>
      </c>
      <c r="K198" s="57">
        <v>0</v>
      </c>
      <c r="L198" s="56">
        <v>0</v>
      </c>
      <c r="M198" s="57">
        <v>0</v>
      </c>
    </row>
    <row r="199" spans="1:13" x14ac:dyDescent="0.25">
      <c r="A199">
        <v>510</v>
      </c>
      <c r="B199" s="56"/>
      <c r="C199" s="56">
        <v>0</v>
      </c>
      <c r="D199" s="57">
        <v>0</v>
      </c>
      <c r="E199" s="56">
        <v>0</v>
      </c>
      <c r="F199" s="57">
        <v>0</v>
      </c>
      <c r="H199">
        <v>510</v>
      </c>
      <c r="I199" s="56"/>
      <c r="J199" s="56">
        <v>0</v>
      </c>
      <c r="K199" s="57">
        <v>0</v>
      </c>
      <c r="L199" s="56">
        <v>0</v>
      </c>
      <c r="M199" s="57">
        <v>0</v>
      </c>
    </row>
    <row r="200" spans="1:13" x14ac:dyDescent="0.25">
      <c r="A200">
        <v>535</v>
      </c>
      <c r="B200" s="56"/>
      <c r="C200" s="56">
        <v>29</v>
      </c>
      <c r="D200" s="57">
        <v>1.5022023581572617E-4</v>
      </c>
      <c r="E200" s="56">
        <v>16.5</v>
      </c>
      <c r="F200" s="57">
        <v>1.2529166706266566E-4</v>
      </c>
      <c r="H200">
        <v>535</v>
      </c>
      <c r="I200" s="56"/>
      <c r="J200" s="56">
        <v>18</v>
      </c>
      <c r="K200" s="57">
        <v>9.0994110658949021E-5</v>
      </c>
      <c r="L200" s="56">
        <v>16.5</v>
      </c>
      <c r="M200" s="57">
        <v>1.2529166706266566E-4</v>
      </c>
    </row>
    <row r="201" spans="1:13" x14ac:dyDescent="0.25">
      <c r="A201">
        <v>536</v>
      </c>
      <c r="B201" s="56"/>
      <c r="C201" s="56">
        <v>15</v>
      </c>
      <c r="D201" s="57">
        <v>7.7700121973651467E-5</v>
      </c>
      <c r="E201" s="56">
        <v>3.5</v>
      </c>
      <c r="F201" s="57">
        <v>2.6577020286019988E-5</v>
      </c>
      <c r="H201">
        <v>536</v>
      </c>
      <c r="I201" s="56"/>
      <c r="J201" s="56">
        <v>4</v>
      </c>
      <c r="K201" s="57">
        <v>2.0220913479766448E-5</v>
      </c>
      <c r="L201" s="56">
        <v>3.5</v>
      </c>
      <c r="M201" s="57">
        <v>2.6577020286019988E-5</v>
      </c>
    </row>
    <row r="202" spans="1:13" x14ac:dyDescent="0.25">
      <c r="A202">
        <v>537</v>
      </c>
      <c r="B202" s="56"/>
      <c r="C202" s="56">
        <v>5</v>
      </c>
      <c r="D202" s="57">
        <v>2.5900040657883824E-5</v>
      </c>
      <c r="E202" s="56">
        <v>1</v>
      </c>
      <c r="F202" s="57">
        <v>7.5934343674342821E-6</v>
      </c>
      <c r="H202">
        <v>537</v>
      </c>
      <c r="I202" s="56"/>
      <c r="J202" s="56">
        <v>1</v>
      </c>
      <c r="K202" s="57">
        <v>5.055228369941612E-6</v>
      </c>
      <c r="L202" s="56">
        <v>1</v>
      </c>
      <c r="M202" s="57">
        <v>7.5934343674342821E-6</v>
      </c>
    </row>
    <row r="203" spans="1:13" x14ac:dyDescent="0.25">
      <c r="A203">
        <v>538</v>
      </c>
      <c r="B203" s="56"/>
      <c r="C203" s="56">
        <v>1</v>
      </c>
      <c r="D203" s="57">
        <v>5.1800081315767646E-6</v>
      </c>
      <c r="E203" s="56">
        <v>0</v>
      </c>
      <c r="F203" s="57">
        <v>0</v>
      </c>
      <c r="H203">
        <v>538</v>
      </c>
      <c r="I203" s="56"/>
      <c r="J203" s="56">
        <v>0</v>
      </c>
      <c r="K203" s="57">
        <v>0</v>
      </c>
      <c r="L203" s="56">
        <v>0</v>
      </c>
      <c r="M203" s="57">
        <v>0</v>
      </c>
    </row>
    <row r="204" spans="1:13" x14ac:dyDescent="0.25">
      <c r="A204">
        <v>539</v>
      </c>
      <c r="B204" s="56"/>
      <c r="C204" s="56">
        <v>1</v>
      </c>
      <c r="D204" s="57">
        <v>5.1800081315767646E-6</v>
      </c>
      <c r="E204" s="56">
        <v>0</v>
      </c>
      <c r="F204" s="57">
        <v>0</v>
      </c>
      <c r="H204">
        <v>539</v>
      </c>
      <c r="I204" s="56"/>
      <c r="J204" s="56">
        <v>0</v>
      </c>
      <c r="K204" s="57">
        <v>0</v>
      </c>
      <c r="L204" s="56">
        <v>0</v>
      </c>
      <c r="M204" s="57">
        <v>0</v>
      </c>
    </row>
    <row r="205" spans="1:13" x14ac:dyDescent="0.25">
      <c r="A205">
        <v>540</v>
      </c>
      <c r="B205" s="56"/>
      <c r="C205" s="56">
        <v>0</v>
      </c>
      <c r="D205" s="57">
        <v>0</v>
      </c>
      <c r="E205" s="56">
        <v>0</v>
      </c>
      <c r="F205" s="57">
        <v>0</v>
      </c>
      <c r="H205">
        <v>540</v>
      </c>
      <c r="I205" s="56"/>
      <c r="J205" s="56">
        <v>0</v>
      </c>
      <c r="K205" s="57">
        <v>0</v>
      </c>
      <c r="L205" s="56">
        <v>0</v>
      </c>
      <c r="M205" s="57">
        <v>0</v>
      </c>
    </row>
    <row r="207" spans="1:13" x14ac:dyDescent="0.25">
      <c r="A207" s="50" t="s">
        <v>70</v>
      </c>
      <c r="H207" s="50" t="s">
        <v>71</v>
      </c>
    </row>
    <row r="208" spans="1:13" x14ac:dyDescent="0.25">
      <c r="A208" t="s">
        <v>15</v>
      </c>
      <c r="B208" t="s">
        <v>16</v>
      </c>
      <c r="C208" t="s">
        <v>20</v>
      </c>
      <c r="D208" t="s">
        <v>21</v>
      </c>
      <c r="E208" t="s">
        <v>22</v>
      </c>
      <c r="F208" t="s">
        <v>21</v>
      </c>
      <c r="H208" t="s">
        <v>15</v>
      </c>
      <c r="I208" t="s">
        <v>16</v>
      </c>
      <c r="J208" t="s">
        <v>20</v>
      </c>
      <c r="K208" t="s">
        <v>21</v>
      </c>
      <c r="L208" t="s">
        <v>22</v>
      </c>
      <c r="M208" t="s">
        <v>21</v>
      </c>
    </row>
    <row r="209" spans="1:13" ht="18" x14ac:dyDescent="0.35">
      <c r="A209" t="s">
        <v>57</v>
      </c>
      <c r="B209" s="56">
        <v>365</v>
      </c>
      <c r="C209" s="56">
        <v>35960.002773232627</v>
      </c>
      <c r="D209" s="57">
        <f>C209/SUM($C$209:$C$239)</f>
        <v>8.4958702408092482E-4</v>
      </c>
      <c r="E209" s="56">
        <v>12306073.936852094</v>
      </c>
      <c r="F209" s="57">
        <f>E209/SUM($E$209:$E$239)</f>
        <v>9.2953423374759689E-4</v>
      </c>
      <c r="H209" t="s">
        <v>57</v>
      </c>
      <c r="I209" s="56">
        <v>365</v>
      </c>
      <c r="J209" s="56">
        <v>0</v>
      </c>
      <c r="K209" s="57">
        <v>0</v>
      </c>
      <c r="L209" s="56">
        <v>0</v>
      </c>
      <c r="M209" s="57">
        <v>0</v>
      </c>
    </row>
    <row r="210" spans="1:13" ht="18" x14ac:dyDescent="0.35">
      <c r="A210" t="s">
        <v>57</v>
      </c>
      <c r="B210" s="56">
        <v>1095</v>
      </c>
      <c r="C210" s="56">
        <v>245338.99887159184</v>
      </c>
      <c r="D210" s="57">
        <f t="shared" ref="D210:D239" si="56">C210/SUM($C$209:$C$239)</f>
        <v>5.7963518873102591E-3</v>
      </c>
      <c r="E210" s="56">
        <v>83263432.713079005</v>
      </c>
      <c r="F210" s="57">
        <f t="shared" ref="F210:F238" si="57">E210/SUM($E$209:$E$239)</f>
        <v>6.2892691465450852E-3</v>
      </c>
      <c r="H210" t="s">
        <v>57</v>
      </c>
      <c r="I210" s="56">
        <v>1095</v>
      </c>
      <c r="J210" s="56">
        <v>0</v>
      </c>
      <c r="K210" s="57">
        <v>0</v>
      </c>
      <c r="L210" s="56">
        <v>0</v>
      </c>
      <c r="M210" s="57">
        <v>0</v>
      </c>
    </row>
    <row r="211" spans="1:13" ht="18" x14ac:dyDescent="0.35">
      <c r="A211" t="s">
        <v>57</v>
      </c>
      <c r="B211" s="56">
        <v>3650</v>
      </c>
      <c r="C211" s="56">
        <v>1822321.0326172947</v>
      </c>
      <c r="D211" s="57">
        <f t="shared" si="56"/>
        <v>4.3053953938341924E-2</v>
      </c>
      <c r="E211" s="56">
        <v>617401581.09707999</v>
      </c>
      <c r="F211" s="57">
        <f t="shared" si="57"/>
        <v>4.6635174511752711E-2</v>
      </c>
      <c r="H211" t="s">
        <v>57</v>
      </c>
      <c r="I211" s="56">
        <v>3650</v>
      </c>
      <c r="J211" s="56">
        <v>0</v>
      </c>
      <c r="K211" s="57">
        <v>0</v>
      </c>
      <c r="L211" s="56">
        <v>0</v>
      </c>
      <c r="M211" s="57">
        <v>0</v>
      </c>
    </row>
    <row r="212" spans="1:13" ht="18" x14ac:dyDescent="0.35">
      <c r="A212" t="s">
        <v>57</v>
      </c>
      <c r="B212" s="56">
        <v>10950</v>
      </c>
      <c r="C212" s="56">
        <v>1980408.9260702345</v>
      </c>
      <c r="D212" s="57">
        <f t="shared" si="56"/>
        <v>4.6788920917873997E-2</v>
      </c>
      <c r="E212" s="56">
        <v>671057975.88999355</v>
      </c>
      <c r="F212" s="57">
        <f t="shared" si="57"/>
        <v>5.0688088225372706E-2</v>
      </c>
      <c r="H212" t="s">
        <v>57</v>
      </c>
      <c r="I212" s="56">
        <v>10950</v>
      </c>
      <c r="J212" s="56">
        <v>0</v>
      </c>
      <c r="K212" s="57">
        <v>0</v>
      </c>
      <c r="L212" s="56">
        <v>0</v>
      </c>
      <c r="M212" s="57">
        <v>0</v>
      </c>
    </row>
    <row r="213" spans="1:13" ht="18" x14ac:dyDescent="0.35">
      <c r="A213" t="s">
        <v>57</v>
      </c>
      <c r="B213" s="56">
        <v>36500</v>
      </c>
      <c r="C213" s="56">
        <v>3963078.8057716768</v>
      </c>
      <c r="D213" s="57">
        <f t="shared" si="56"/>
        <v>9.3631258874651901E-2</v>
      </c>
      <c r="E213" s="56">
        <v>1345406879.5703859</v>
      </c>
      <c r="F213" s="57">
        <f t="shared" si="57"/>
        <v>0.10162475532794575</v>
      </c>
      <c r="H213" t="s">
        <v>57</v>
      </c>
      <c r="I213" s="56">
        <v>36500</v>
      </c>
      <c r="J213" s="56">
        <v>0</v>
      </c>
      <c r="K213" s="57">
        <v>0</v>
      </c>
      <c r="L213" s="56">
        <v>0</v>
      </c>
      <c r="M213" s="57">
        <v>0</v>
      </c>
    </row>
    <row r="214" spans="1:13" ht="18" x14ac:dyDescent="0.35">
      <c r="A214" t="s">
        <v>57</v>
      </c>
      <c r="B214" s="56">
        <v>109500</v>
      </c>
      <c r="C214" s="56">
        <v>4882058.104152007</v>
      </c>
      <c r="D214" s="57">
        <f t="shared" si="56"/>
        <v>0.11534296151901562</v>
      </c>
      <c r="E214" s="56">
        <v>1657586994.1332638</v>
      </c>
      <c r="F214" s="57">
        <f t="shared" si="57"/>
        <v>0.12520515189231668</v>
      </c>
      <c r="H214" t="s">
        <v>57</v>
      </c>
      <c r="I214" s="56">
        <v>109500</v>
      </c>
      <c r="J214" s="56">
        <v>4882058.104152007</v>
      </c>
      <c r="K214" s="57">
        <f>J214/SUM($J$214:$J$239)</f>
        <v>0.14241982993124136</v>
      </c>
      <c r="L214" s="56">
        <v>1615510334.6807952</v>
      </c>
      <c r="M214" s="57">
        <f>L214/SUM($L$214:$L$239)</f>
        <v>0.15681865993905544</v>
      </c>
    </row>
    <row r="215" spans="1:13" ht="18" x14ac:dyDescent="0.35">
      <c r="A215" t="s">
        <v>57</v>
      </c>
      <c r="B215" s="56">
        <v>365000</v>
      </c>
      <c r="C215" s="56">
        <v>3481786.8080902826</v>
      </c>
      <c r="D215" s="57">
        <f t="shared" si="56"/>
        <v>8.2260307693066637E-2</v>
      </c>
      <c r="E215" s="56">
        <v>1182094797.4043355</v>
      </c>
      <c r="F215" s="57">
        <f t="shared" si="57"/>
        <v>8.9289044366276035E-2</v>
      </c>
      <c r="H215" t="s">
        <v>57</v>
      </c>
      <c r="I215" s="56">
        <v>365000</v>
      </c>
      <c r="J215" s="56">
        <v>3481786.8080902826</v>
      </c>
      <c r="K215" s="57">
        <f t="shared" ref="K215:K239" si="58">J215/SUM($J$214:$J$239)</f>
        <v>0.10157099208699182</v>
      </c>
      <c r="L215" s="56">
        <v>1152065142.9467363</v>
      </c>
      <c r="M215" s="57">
        <f t="shared" ref="M215:M238" si="59">L215/SUM($L$214:$L$239)</f>
        <v>0.11183172772156903</v>
      </c>
    </row>
    <row r="216" spans="1:13" ht="18" x14ac:dyDescent="0.35">
      <c r="A216" t="s">
        <v>57</v>
      </c>
      <c r="B216" s="56">
        <v>1095000</v>
      </c>
      <c r="C216" s="56">
        <v>1447585.4901596454</v>
      </c>
      <c r="D216" s="57">
        <f t="shared" si="56"/>
        <v>3.4200493710832454E-2</v>
      </c>
      <c r="E216" s="56">
        <v>492881026.70313638</v>
      </c>
      <c r="F216" s="57">
        <f t="shared" si="57"/>
        <v>3.7229565646704051E-2</v>
      </c>
      <c r="H216" t="s">
        <v>57</v>
      </c>
      <c r="I216" s="56">
        <v>1095000</v>
      </c>
      <c r="J216" s="56">
        <v>1447585.4901596454</v>
      </c>
      <c r="K216" s="57">
        <f t="shared" si="58"/>
        <v>4.2229091690681411E-2</v>
      </c>
      <c r="L216" s="56">
        <v>480874333.92627591</v>
      </c>
      <c r="M216" s="57">
        <f t="shared" si="59"/>
        <v>4.6678790612815581E-2</v>
      </c>
    </row>
    <row r="217" spans="1:13" ht="18" x14ac:dyDescent="0.35">
      <c r="A217" t="s">
        <v>57</v>
      </c>
      <c r="B217" s="56">
        <v>3650000</v>
      </c>
      <c r="C217" s="56">
        <v>551307.02581172867</v>
      </c>
      <c r="D217" s="57">
        <f t="shared" si="56"/>
        <v>1.3025118445289453E-2</v>
      </c>
      <c r="E217" s="56">
        <v>188775236.98686484</v>
      </c>
      <c r="F217" s="57">
        <f t="shared" si="57"/>
        <v>1.4259059888924461E-2</v>
      </c>
      <c r="H217" t="s">
        <v>57</v>
      </c>
      <c r="I217" s="56">
        <v>3650000</v>
      </c>
      <c r="J217" s="56">
        <v>551307.02581172867</v>
      </c>
      <c r="K217" s="57">
        <f t="shared" si="58"/>
        <v>1.6082777218327057E-2</v>
      </c>
      <c r="L217" s="56">
        <v>184562358.65021545</v>
      </c>
      <c r="M217" s="57">
        <f t="shared" si="59"/>
        <v>1.7915590595362466E-2</v>
      </c>
    </row>
    <row r="218" spans="1:13" ht="18" x14ac:dyDescent="0.35">
      <c r="A218" t="s">
        <v>57</v>
      </c>
      <c r="B218" s="56">
        <v>10950000</v>
      </c>
      <c r="C218" s="56">
        <v>237895.07905518028</v>
      </c>
      <c r="D218" s="57">
        <f t="shared" si="56"/>
        <v>5.6204826660478605E-3</v>
      </c>
      <c r="E218" s="56">
        <v>80861688.925449267</v>
      </c>
      <c r="F218" s="57">
        <f t="shared" si="57"/>
        <v>6.1078544173025651E-3</v>
      </c>
      <c r="H218" t="s">
        <v>57</v>
      </c>
      <c r="I218" s="56">
        <v>10950000</v>
      </c>
      <c r="J218" s="56">
        <v>237895.07905518028</v>
      </c>
      <c r="K218" s="57">
        <f t="shared" si="58"/>
        <v>6.9398962441072744E-3</v>
      </c>
      <c r="L218" s="56">
        <v>78841829.053535596</v>
      </c>
      <c r="M218" s="57">
        <f t="shared" si="59"/>
        <v>7.6532286509714519E-3</v>
      </c>
    </row>
    <row r="219" spans="1:13" ht="18" x14ac:dyDescent="0.35">
      <c r="A219" t="s">
        <v>58</v>
      </c>
      <c r="B219" s="56"/>
      <c r="C219" s="56">
        <v>3831884.7746643876</v>
      </c>
      <c r="D219" s="57">
        <f t="shared" si="56"/>
        <v>9.053168329429101E-2</v>
      </c>
      <c r="E219" s="56">
        <v>1320931193.9559007</v>
      </c>
      <c r="F219" s="57">
        <f t="shared" si="57"/>
        <v>9.9775994481078337E-2</v>
      </c>
      <c r="H219" t="s">
        <v>58</v>
      </c>
      <c r="I219" s="56"/>
      <c r="J219" s="56">
        <v>3831884.7746643876</v>
      </c>
      <c r="K219" s="57">
        <f t="shared" si="58"/>
        <v>0.11178408086943638</v>
      </c>
      <c r="L219" s="56">
        <v>1294640347.8659661</v>
      </c>
      <c r="M219" s="57">
        <f t="shared" si="59"/>
        <v>0.12567159744941425</v>
      </c>
    </row>
    <row r="220" spans="1:13" x14ac:dyDescent="0.25">
      <c r="A220">
        <v>303</v>
      </c>
      <c r="B220" s="56"/>
      <c r="C220" s="56">
        <v>43967.154560498835</v>
      </c>
      <c r="D220" s="57">
        <f t="shared" si="56"/>
        <v>1.038763101213252E-3</v>
      </c>
      <c r="E220" s="56">
        <v>15906036.630412979</v>
      </c>
      <c r="F220" s="57">
        <f t="shared" si="57"/>
        <v>1.201455935262665E-3</v>
      </c>
      <c r="H220">
        <v>303</v>
      </c>
      <c r="I220" s="56"/>
      <c r="J220" s="56">
        <v>43967.154560498835</v>
      </c>
      <c r="K220" s="57">
        <f t="shared" si="58"/>
        <v>1.2826137136183254E-3</v>
      </c>
      <c r="L220" s="56">
        <v>15858001.713793168</v>
      </c>
      <c r="M220" s="57">
        <f t="shared" si="59"/>
        <v>1.5393467467725338E-3</v>
      </c>
    </row>
    <row r="221" spans="1:13" x14ac:dyDescent="0.25">
      <c r="A221">
        <v>304</v>
      </c>
      <c r="B221" s="56"/>
      <c r="C221" s="56">
        <v>195782.53928271678</v>
      </c>
      <c r="D221" s="57">
        <f t="shared" si="56"/>
        <v>4.625536487444978E-3</v>
      </c>
      <c r="E221" s="56">
        <v>70258645.60152784</v>
      </c>
      <c r="F221" s="57">
        <f t="shared" si="57"/>
        <v>5.3069579005037212E-3</v>
      </c>
      <c r="H221">
        <v>304</v>
      </c>
      <c r="I221" s="56"/>
      <c r="J221" s="56">
        <v>195782.53928271678</v>
      </c>
      <c r="K221" s="57">
        <f t="shared" si="58"/>
        <v>5.7113855167838729E-3</v>
      </c>
      <c r="L221" s="56">
        <v>69851974.312540665</v>
      </c>
      <c r="M221" s="57">
        <f t="shared" si="59"/>
        <v>6.7805774872708221E-3</v>
      </c>
    </row>
    <row r="222" spans="1:13" x14ac:dyDescent="0.25">
      <c r="A222">
        <v>305</v>
      </c>
      <c r="B222" s="56"/>
      <c r="C222" s="56">
        <v>280974.34971999197</v>
      </c>
      <c r="D222" s="57">
        <f t="shared" si="56"/>
        <v>6.6382687211406456E-3</v>
      </c>
      <c r="E222" s="56">
        <v>101765511.63815475</v>
      </c>
      <c r="F222" s="57">
        <f t="shared" si="57"/>
        <v>7.6868160688705976E-3</v>
      </c>
      <c r="H222">
        <v>305</v>
      </c>
      <c r="I222" s="56"/>
      <c r="J222" s="56">
        <v>280974.34971999197</v>
      </c>
      <c r="K222" s="57">
        <f t="shared" si="58"/>
        <v>8.1966085303511668E-3</v>
      </c>
      <c r="L222" s="56">
        <v>101498185.03354368</v>
      </c>
      <c r="M222" s="57">
        <f t="shared" si="59"/>
        <v>9.8524961564864129E-3</v>
      </c>
    </row>
    <row r="223" spans="1:13" x14ac:dyDescent="0.25">
      <c r="A223">
        <v>406</v>
      </c>
      <c r="B223" s="56"/>
      <c r="C223" s="56">
        <v>1724426</v>
      </c>
      <c r="D223" s="57">
        <f t="shared" si="56"/>
        <v>4.0741096790968691E-2</v>
      </c>
      <c r="E223" s="56">
        <v>591605553.47834361</v>
      </c>
      <c r="F223" s="57">
        <f t="shared" si="57"/>
        <v>4.4686682174606258E-2</v>
      </c>
      <c r="H223">
        <v>406</v>
      </c>
      <c r="I223" s="56"/>
      <c r="J223" s="56">
        <v>1724426</v>
      </c>
      <c r="K223" s="57">
        <f t="shared" si="58"/>
        <v>5.0305107479188677E-2</v>
      </c>
      <c r="L223" s="56">
        <v>578813161.09086871</v>
      </c>
      <c r="M223" s="57">
        <f t="shared" si="59"/>
        <v>5.6185777539636376E-2</v>
      </c>
    </row>
    <row r="224" spans="1:13" x14ac:dyDescent="0.25">
      <c r="A224">
        <v>407</v>
      </c>
      <c r="B224" s="56"/>
      <c r="C224" s="56">
        <v>3403451</v>
      </c>
      <c r="D224" s="57">
        <f t="shared" si="56"/>
        <v>8.0409554607921235E-2</v>
      </c>
      <c r="E224" s="56">
        <v>1180090881.8289247</v>
      </c>
      <c r="F224" s="57">
        <f t="shared" si="57"/>
        <v>8.9137679427430172E-2</v>
      </c>
      <c r="H224">
        <v>407</v>
      </c>
      <c r="I224" s="56"/>
      <c r="J224" s="56">
        <v>3403451</v>
      </c>
      <c r="K224" s="57">
        <f t="shared" si="58"/>
        <v>9.9285772979038928E-2</v>
      </c>
      <c r="L224" s="56">
        <v>1159057076.9056842</v>
      </c>
      <c r="M224" s="57">
        <f t="shared" si="59"/>
        <v>0.11251043938950847</v>
      </c>
    </row>
    <row r="225" spans="1:13" x14ac:dyDescent="0.25">
      <c r="A225">
        <v>408</v>
      </c>
      <c r="B225" s="56"/>
      <c r="C225" s="56">
        <v>2103538</v>
      </c>
      <c r="D225" s="57">
        <f t="shared" si="56"/>
        <v>4.969795471738462E-2</v>
      </c>
      <c r="E225" s="56">
        <v>743665030.98128366</v>
      </c>
      <c r="F225" s="57">
        <f t="shared" si="57"/>
        <v>5.6172432270864124E-2</v>
      </c>
      <c r="H225">
        <v>408</v>
      </c>
      <c r="I225" s="56"/>
      <c r="J225" s="56">
        <v>2103538</v>
      </c>
      <c r="K225" s="57">
        <f t="shared" si="58"/>
        <v>6.1364596205669357E-2</v>
      </c>
      <c r="L225" s="56">
        <v>735502266.79827881</v>
      </c>
      <c r="M225" s="57">
        <f t="shared" si="59"/>
        <v>7.1395692980344552E-2</v>
      </c>
    </row>
    <row r="226" spans="1:13" x14ac:dyDescent="0.25">
      <c r="A226">
        <v>409</v>
      </c>
      <c r="B226" s="56"/>
      <c r="C226" s="56">
        <v>2991381</v>
      </c>
      <c r="D226" s="57">
        <f t="shared" si="56"/>
        <v>7.0674034640897734E-2</v>
      </c>
      <c r="E226" s="56">
        <v>1045258164.5352607</v>
      </c>
      <c r="F226" s="57">
        <f t="shared" si="57"/>
        <v>7.8953145578795389E-2</v>
      </c>
      <c r="H226">
        <v>409</v>
      </c>
      <c r="I226" s="56"/>
      <c r="J226" s="56">
        <v>2991381</v>
      </c>
      <c r="K226" s="57">
        <f t="shared" si="58"/>
        <v>8.726483056750646E-2</v>
      </c>
      <c r="L226" s="56">
        <v>1029493180.5858363</v>
      </c>
      <c r="M226" s="57">
        <f t="shared" si="59"/>
        <v>9.9933586019284829E-2</v>
      </c>
    </row>
    <row r="227" spans="1:13" x14ac:dyDescent="0.25">
      <c r="A227">
        <v>410</v>
      </c>
      <c r="B227" s="56"/>
      <c r="C227" s="56">
        <v>3048000</v>
      </c>
      <c r="D227" s="57">
        <f t="shared" si="56"/>
        <v>7.2011708834633995E-2</v>
      </c>
      <c r="E227" s="56">
        <v>1016030115.4652357</v>
      </c>
      <c r="F227" s="57">
        <f t="shared" si="57"/>
        <v>7.674541691280036E-2</v>
      </c>
      <c r="H227">
        <v>410</v>
      </c>
      <c r="I227" s="56"/>
      <c r="J227" s="56">
        <v>3048000</v>
      </c>
      <c r="K227" s="57">
        <f t="shared" si="58"/>
        <v>8.8916525033006386E-2</v>
      </c>
      <c r="L227" s="56">
        <v>983384293.28344345</v>
      </c>
      <c r="M227" s="57">
        <f t="shared" si="59"/>
        <v>9.5457765739576816E-2</v>
      </c>
    </row>
    <row r="228" spans="1:13" x14ac:dyDescent="0.25">
      <c r="A228">
        <v>505</v>
      </c>
      <c r="B228" s="56"/>
      <c r="C228" s="56">
        <v>1289904</v>
      </c>
      <c r="D228" s="57">
        <f t="shared" si="56"/>
        <v>3.0475128370285345E-2</v>
      </c>
      <c r="E228" s="56">
        <v>121879766.57381485</v>
      </c>
      <c r="F228" s="57">
        <f t="shared" si="57"/>
        <v>9.2061380431220641E-3</v>
      </c>
      <c r="H228">
        <v>505</v>
      </c>
      <c r="I228" s="56"/>
      <c r="J228" s="56">
        <v>1289904</v>
      </c>
      <c r="K228" s="57">
        <f t="shared" si="58"/>
        <v>3.7629193341920955E-2</v>
      </c>
      <c r="L228" s="56">
        <v>121879766.57381485</v>
      </c>
      <c r="M228" s="57">
        <f t="shared" si="59"/>
        <v>1.1830949798019724E-2</v>
      </c>
    </row>
    <row r="229" spans="1:13" x14ac:dyDescent="0.25">
      <c r="A229">
        <v>506</v>
      </c>
      <c r="B229" s="56"/>
      <c r="C229" s="56">
        <v>684218</v>
      </c>
      <c r="D229" s="57">
        <f t="shared" si="56"/>
        <v>1.6165258331829267E-2</v>
      </c>
      <c r="E229" s="56">
        <v>90736281.516129345</v>
      </c>
      <c r="F229" s="57">
        <f t="shared" si="57"/>
        <v>6.853727707553204E-3</v>
      </c>
      <c r="H229">
        <v>506</v>
      </c>
      <c r="I229" s="56"/>
      <c r="J229" s="56">
        <v>684218</v>
      </c>
      <c r="K229" s="57">
        <f t="shared" si="58"/>
        <v>1.9960067888790539E-2</v>
      </c>
      <c r="L229" s="56">
        <v>90736281.516129345</v>
      </c>
      <c r="M229" s="57">
        <f t="shared" si="59"/>
        <v>8.8078310424574251E-3</v>
      </c>
    </row>
    <row r="230" spans="1:13" x14ac:dyDescent="0.25">
      <c r="A230">
        <v>507</v>
      </c>
      <c r="B230" s="56"/>
      <c r="C230" s="56">
        <v>1085383</v>
      </c>
      <c r="D230" s="57">
        <f t="shared" si="56"/>
        <v>2.5643137982303658E-2</v>
      </c>
      <c r="E230" s="56">
        <v>116612587.38709724</v>
      </c>
      <c r="F230" s="57">
        <f t="shared" si="57"/>
        <v>8.8082838294662302E-3</v>
      </c>
      <c r="H230">
        <v>507</v>
      </c>
      <c r="I230" s="56"/>
      <c r="J230" s="56">
        <v>1085383</v>
      </c>
      <c r="K230" s="57">
        <f t="shared" si="58"/>
        <v>3.1662888677788575E-2</v>
      </c>
      <c r="L230" s="56">
        <v>116612587.38709724</v>
      </c>
      <c r="M230" s="57">
        <f t="shared" si="59"/>
        <v>1.1319661220046531E-2</v>
      </c>
    </row>
    <row r="231" spans="1:13" x14ac:dyDescent="0.25">
      <c r="A231">
        <v>508</v>
      </c>
      <c r="B231" s="56"/>
      <c r="C231" s="56">
        <v>938516</v>
      </c>
      <c r="D231" s="57">
        <f t="shared" si="56"/>
        <v>2.2173274582888897E-2</v>
      </c>
      <c r="E231" s="56">
        <v>223433551.85526335</v>
      </c>
      <c r="F231" s="57">
        <f t="shared" si="57"/>
        <v>1.6876961448714752E-2</v>
      </c>
      <c r="H231">
        <v>508</v>
      </c>
      <c r="I231" s="56"/>
      <c r="J231" s="56">
        <v>938516</v>
      </c>
      <c r="K231" s="57">
        <f t="shared" si="58"/>
        <v>2.7378471590510836E-2</v>
      </c>
      <c r="L231" s="56">
        <v>223433551.85526335</v>
      </c>
      <c r="M231" s="57">
        <f t="shared" si="59"/>
        <v>2.168884310745622E-2</v>
      </c>
    </row>
    <row r="232" spans="1:13" x14ac:dyDescent="0.25">
      <c r="A232">
        <v>509</v>
      </c>
      <c r="B232" s="56"/>
      <c r="C232" s="56">
        <v>653409</v>
      </c>
      <c r="D232" s="57">
        <f t="shared" si="56"/>
        <v>1.5437368326092311E-2</v>
      </c>
      <c r="E232" s="56">
        <v>86301964.625</v>
      </c>
      <c r="F232" s="57">
        <f t="shared" si="57"/>
        <v>6.5187834048665008E-3</v>
      </c>
      <c r="H232">
        <v>509</v>
      </c>
      <c r="I232" s="56"/>
      <c r="J232" s="56">
        <v>653409</v>
      </c>
      <c r="K232" s="57">
        <f t="shared" si="58"/>
        <v>1.9061305021421154E-2</v>
      </c>
      <c r="L232" s="56">
        <v>86301964.625</v>
      </c>
      <c r="M232" s="57">
        <f t="shared" si="59"/>
        <v>8.3773889600491924E-3</v>
      </c>
    </row>
    <row r="233" spans="1:13" x14ac:dyDescent="0.25">
      <c r="A233">
        <v>510</v>
      </c>
      <c r="B233" s="56"/>
      <c r="C233" s="56">
        <v>0</v>
      </c>
      <c r="D233" s="57">
        <f t="shared" si="56"/>
        <v>0</v>
      </c>
      <c r="E233" s="56">
        <v>0</v>
      </c>
      <c r="F233" s="57">
        <f t="shared" si="57"/>
        <v>0</v>
      </c>
      <c r="H233">
        <v>510</v>
      </c>
      <c r="I233" s="56"/>
      <c r="J233" s="56">
        <v>0</v>
      </c>
      <c r="K233" s="57">
        <f t="shared" si="58"/>
        <v>0</v>
      </c>
      <c r="L233" s="56">
        <v>0</v>
      </c>
      <c r="M233" s="57">
        <f t="shared" si="59"/>
        <v>0</v>
      </c>
    </row>
    <row r="234" spans="1:13" x14ac:dyDescent="0.25">
      <c r="A234">
        <v>535</v>
      </c>
      <c r="B234" s="56"/>
      <c r="C234" s="56">
        <v>335024.00000000006</v>
      </c>
      <c r="D234" s="57">
        <f t="shared" si="56"/>
        <v>7.9152397442960702E-3</v>
      </c>
      <c r="E234" s="56">
        <v>51519763.353620708</v>
      </c>
      <c r="F234" s="57">
        <f t="shared" si="57"/>
        <v>3.8915241365773479E-3</v>
      </c>
      <c r="H234">
        <v>535</v>
      </c>
      <c r="I234" s="56"/>
      <c r="J234" s="56">
        <v>335024.00000000006</v>
      </c>
      <c r="K234" s="57">
        <f t="shared" si="58"/>
        <v>9.773349699034756E-3</v>
      </c>
      <c r="L234" s="56">
        <v>51519763.353620708</v>
      </c>
      <c r="M234" s="57">
        <f t="shared" si="59"/>
        <v>5.0010576076496708E-3</v>
      </c>
    </row>
    <row r="235" spans="1:13" x14ac:dyDescent="0.25">
      <c r="A235">
        <v>536</v>
      </c>
      <c r="B235" s="56"/>
      <c r="C235" s="56">
        <v>372533.00000000006</v>
      </c>
      <c r="D235" s="57">
        <f t="shared" si="56"/>
        <v>8.8014232044923597E-3</v>
      </c>
      <c r="E235" s="56">
        <v>62349848.999999881</v>
      </c>
      <c r="F235" s="57">
        <f t="shared" si="57"/>
        <v>4.7095702018281997E-3</v>
      </c>
      <c r="H235">
        <v>536</v>
      </c>
      <c r="I235" s="56"/>
      <c r="J235" s="56">
        <v>372533.00000000006</v>
      </c>
      <c r="K235" s="57">
        <f t="shared" si="58"/>
        <v>1.0867565557782472E-2</v>
      </c>
      <c r="L235" s="56">
        <v>62349848.999999881</v>
      </c>
      <c r="M235" s="57">
        <f t="shared" si="59"/>
        <v>6.0523412061702312E-3</v>
      </c>
    </row>
    <row r="236" spans="1:13" x14ac:dyDescent="0.25">
      <c r="A236">
        <v>537</v>
      </c>
      <c r="B236" s="56"/>
      <c r="C236" s="56">
        <v>336505</v>
      </c>
      <c r="D236" s="57">
        <f t="shared" si="56"/>
        <v>7.9502296854981995E-3</v>
      </c>
      <c r="E236" s="56">
        <v>53402485</v>
      </c>
      <c r="F236" s="57">
        <f t="shared" si="57"/>
        <v>4.0337347418367905E-3</v>
      </c>
      <c r="H236">
        <v>537</v>
      </c>
      <c r="I236" s="56"/>
      <c r="J236" s="56">
        <v>336505</v>
      </c>
      <c r="K236" s="57">
        <f t="shared" si="58"/>
        <v>9.8165535617558454E-3</v>
      </c>
      <c r="L236" s="56">
        <v>53402485</v>
      </c>
      <c r="M236" s="57">
        <f t="shared" si="59"/>
        <v>5.1838146468869287E-3</v>
      </c>
    </row>
    <row r="237" spans="1:13" x14ac:dyDescent="0.25">
      <c r="A237">
        <v>538</v>
      </c>
      <c r="B237" s="56"/>
      <c r="C237" s="56">
        <v>221195</v>
      </c>
      <c r="D237" s="57">
        <f t="shared" si="56"/>
        <v>5.2259284565868988E-3</v>
      </c>
      <c r="E237" s="56">
        <v>2534052.0000000023</v>
      </c>
      <c r="F237" s="57">
        <f t="shared" si="57"/>
        <v>1.9140857565000979E-4</v>
      </c>
      <c r="H237">
        <v>538</v>
      </c>
      <c r="I237" s="56"/>
      <c r="J237" s="56">
        <v>221195</v>
      </c>
      <c r="K237" s="57">
        <f t="shared" si="58"/>
        <v>6.4527200638700294E-3</v>
      </c>
      <c r="L237" s="56">
        <v>2534052.0000000023</v>
      </c>
      <c r="M237" s="57">
        <f t="shared" si="59"/>
        <v>2.4598210876466004E-4</v>
      </c>
    </row>
    <row r="238" spans="1:13" x14ac:dyDescent="0.25">
      <c r="A238">
        <v>539</v>
      </c>
      <c r="B238" s="56"/>
      <c r="C238" s="56">
        <v>138618</v>
      </c>
      <c r="D238" s="57">
        <f t="shared" si="56"/>
        <v>3.2749734433199789E-3</v>
      </c>
      <c r="E238" s="56">
        <v>13050835.647761192</v>
      </c>
      <c r="F238" s="57">
        <f t="shared" si="57"/>
        <v>9.8578950328578104E-4</v>
      </c>
      <c r="H238">
        <v>539</v>
      </c>
      <c r="I238" s="56"/>
      <c r="J238" s="56">
        <v>138618</v>
      </c>
      <c r="K238" s="57">
        <f t="shared" si="58"/>
        <v>4.0437765311762729E-3</v>
      </c>
      <c r="L238" s="56">
        <v>13050835.647761192</v>
      </c>
      <c r="M238" s="57">
        <f t="shared" si="59"/>
        <v>1.2668532744305537E-3</v>
      </c>
    </row>
    <row r="239" spans="1:13" x14ac:dyDescent="0.25">
      <c r="A239">
        <v>540</v>
      </c>
      <c r="B239" s="56"/>
      <c r="C239" s="56">
        <v>0</v>
      </c>
      <c r="D239" s="57">
        <f t="shared" si="56"/>
        <v>0</v>
      </c>
      <c r="E239" s="56">
        <v>0</v>
      </c>
      <c r="F239" s="57">
        <v>0</v>
      </c>
      <c r="H239">
        <v>540</v>
      </c>
      <c r="I239" s="56"/>
      <c r="J239" s="56">
        <v>0</v>
      </c>
      <c r="K239" s="57">
        <f t="shared" si="58"/>
        <v>0</v>
      </c>
      <c r="L239" s="56">
        <v>0</v>
      </c>
      <c r="M239" s="57">
        <v>0</v>
      </c>
    </row>
    <row r="241" spans="1:3" x14ac:dyDescent="0.25">
      <c r="A241" s="50" t="s">
        <v>72</v>
      </c>
    </row>
    <row r="242" spans="1:3" x14ac:dyDescent="0.25">
      <c r="A242" t="s">
        <v>37</v>
      </c>
      <c r="B242" t="s">
        <v>38</v>
      </c>
    </row>
    <row r="243" spans="1:3" x14ac:dyDescent="0.25">
      <c r="A243" t="s">
        <v>33</v>
      </c>
      <c r="B243" t="s">
        <v>34</v>
      </c>
    </row>
    <row r="244" spans="1:3" x14ac:dyDescent="0.25">
      <c r="A244" t="s">
        <v>14</v>
      </c>
      <c r="B244" t="s">
        <v>13</v>
      </c>
    </row>
    <row r="245" spans="1:3" x14ac:dyDescent="0.25">
      <c r="A245" t="s">
        <v>39</v>
      </c>
      <c r="B245" t="s">
        <v>40</v>
      </c>
      <c r="C245" t="s">
        <v>41</v>
      </c>
    </row>
    <row r="246" spans="1:3" x14ac:dyDescent="0.25">
      <c r="A246" t="s">
        <v>42</v>
      </c>
      <c r="B246" t="s">
        <v>22</v>
      </c>
    </row>
    <row r="247" spans="1:3" x14ac:dyDescent="0.25">
      <c r="A247" t="str">
        <f>IF(Sommaire!B3="Distribution","CA (DQM)","")</f>
        <v/>
      </c>
      <c r="B247" t="str">
        <f>IF(Sommaire!B3="Distribution","CAU","")</f>
        <v/>
      </c>
    </row>
    <row r="248" spans="1:3" x14ac:dyDescent="0.25">
      <c r="A248" t="s">
        <v>47</v>
      </c>
      <c r="B248" t="s">
        <v>12</v>
      </c>
    </row>
  </sheetData>
  <pageMargins left="0.19685039370078741" right="0.19685039370078741" top="1.1811023622047245" bottom="0.59055118110236227" header="0.51181102362204722" footer="0.31496062992125984"/>
  <pageSetup scale="47" firstPageNumber="7" pageOrder="overThenDown" orientation="portrait" useFirstPageNumber="1" r:id="rId1"/>
  <headerFooter scaleWithDoc="0">
    <oddHeader>&amp;R&amp;"Arial,Gras italique"Société en commandite Gaz Métro
Demande portant sur l'allocation des coûts et la structure tarifiare de Gaz Métro, R-3867-2013</oddHeader>
    <oddFooter>&amp;L&amp;"Arial,Gras italique"&amp;10Original : 2014.07.23
&amp;R&amp;"Arial,Gras italique"&amp;10Gaz Métro - 2, Document 5
Page &amp;P de 16</oddFooter>
  </headerFooter>
  <rowBreaks count="3" manualBreakCount="3">
    <brk id="43" max="16383" man="1"/>
    <brk id="129" max="16383" man="1"/>
    <brk id="172" max="16383" man="1"/>
  </rowBreaks>
  <colBreaks count="1" manualBreakCount="1">
    <brk id="18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Métro-2, Document 5 - Simulateur de l’allocation des coûts des conduites principales (chiffrier Excel)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2023-04-17T18:03:58+00:00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true</Copie_x0020_papier_x0020_reçue>
    <Cote_x0020_de_x0020_déposant xmlns="a091097b-8ae3-4832-a2b2-51f9a78aeacd">Gaz Métro-2, Document 5</Cote_x0020_de_x0020_déposant>
    <Inscrit_x0020_au_x0020_plumitif xmlns="a091097b-8ae3-4832-a2b2-51f9a78aeacd">true</Inscrit_x0020_au_x0020_plumitif>
    <Numéro_x0020_plumitif xmlns="a091097b-8ae3-4832-a2b2-51f9a78aeacd">91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15</Catégorie_x0020_de_x0020_document>
    <Date_x0020_de_x0020_confidentialité_x0020_relevée xmlns="a091097b-8ae3-4832-a2b2-51f9a78aeacd" xsi:nil="true"/>
    <Hidden_ApprovedAt xmlns="a091097b-8ae3-4832-a2b2-51f9a78aeacd">2023-04-17T18:03:58+00:00</Hidden_ApprovedAt>
    <Cote_x0020_de_x0020_piéce xmlns="a091097b-8ae3-4832-a2b2-51f9a78aeacd">B-0020</Cote_x0020_de_x0020_piéce>
    <Diffusable_x0020_sur_x0020_le_x0020_Web xmlns="a091097b-8ae3-4832-a2b2-51f9a78aeacd">true</Diffusable_x0020_sur_x0020_le_x0020_Web>
    <Date_x0020_de_x0020_réception_x0020_copie_x0020_papier xmlns="a091097b-8ae3-4832-a2b2-51f9a78aeacd">2014-07-24T04:00:00+00:00</Date_x0020_de_x0020_réception_x0020_copie_x0020_papier>
    <Ne_x0020_pas_x0020_envoyer_x0020_d_x0027_alerte xmlns="a091097b-8ae3-4832-a2b2-51f9a78aeacd">true</Ne_x0020_pas_x0020_envoyer_x0020_d_x0027_alerte>
    <_dlc_DocId xmlns="a84ed267-86d5-4fa1-a3cb-2fed497fe84f">W2HFWTQUJJY6-787750937-1460</_dlc_DocId>
    <_dlc_DocIdUrl xmlns="a84ed267-86d5-4fa1-a3cb-2fed497fe84f">
      <Url>http://s10mtlweb:8081/997/_layouts/15/DocIdRedir.aspx?ID=W2HFWTQUJJY6-787750937-1460</Url>
      <Description>W2HFWTQUJJY6-787750937-1460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95E7E6-4FD9-479F-AB18-4B28B7A60C4A}"/>
</file>

<file path=customXml/itemProps2.xml><?xml version="1.0" encoding="utf-8"?>
<ds:datastoreItem xmlns:ds="http://schemas.openxmlformats.org/officeDocument/2006/customXml" ds:itemID="{7EE635EE-367B-4448-9A66-AB1862512BA0}"/>
</file>

<file path=customXml/itemProps3.xml><?xml version="1.0" encoding="utf-8"?>
<ds:datastoreItem xmlns:ds="http://schemas.openxmlformats.org/officeDocument/2006/customXml" ds:itemID="{E4CD8515-634F-4709-AC21-26923FECF374}"/>
</file>

<file path=customXml/itemProps4.xml><?xml version="1.0" encoding="utf-8"?>
<ds:datastoreItem xmlns:ds="http://schemas.openxmlformats.org/officeDocument/2006/customXml" ds:itemID="{213AA404-1456-4B38-9339-5AF110276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Sommaire</vt:lpstr>
      <vt:lpstr>Calcul</vt:lpstr>
      <vt:lpstr>Tables</vt:lpstr>
      <vt:lpstr>Tables!Impression_des_titres</vt:lpstr>
      <vt:lpstr>Sommaire!Zone_d_impression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Métro-2, Document 5 - Simulateur de l’allocation des coûts des conduites principales (chiffrier Excel)</dc:subject>
  <dc:creator>Tremblay Sylvain</dc:creator>
  <cp:lastModifiedBy>Bérubé Mireille</cp:lastModifiedBy>
  <cp:lastPrinted>2014-07-23T14:32:14Z</cp:lastPrinted>
  <dcterms:created xsi:type="dcterms:W3CDTF">2014-04-28T14:19:23Z</dcterms:created>
  <dcterms:modified xsi:type="dcterms:W3CDTF">2014-07-23T14:48:09Z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956900</vt:r8>
  </property>
  <property fmtid="{D5CDD505-2E9C-101B-9397-08002B2CF9AE}" pid="5" name="_dlc_DocIdItemGuid">
    <vt:lpwstr>fd00b96d-9032-4703-b3ac-055537a126f9</vt:lpwstr>
  </property>
</Properties>
</file>