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activeTab="3"/>
  </bookViews>
  <sheets>
    <sheet name="MinSys D" sheetId="1" r:id="rId1"/>
    <sheet name="MinSys D&amp;S" sheetId="3" r:id="rId2"/>
    <sheet name="Allocators" sheetId="5" r:id="rId3"/>
    <sheet name="MinSys S" sheetId="6" r:id="rId4"/>
  </sheets>
  <calcPr calcId="144525" iterate="1" iterateCount="10000" iterateDelta="1.0000000000000001E-5"/>
</workbook>
</file>

<file path=xl/calcChain.xml><?xml version="1.0" encoding="utf-8"?>
<calcChain xmlns="http://schemas.openxmlformats.org/spreadsheetml/2006/main">
  <c r="I51" i="3" l="1"/>
  <c r="I47" i="3"/>
  <c r="I46" i="3"/>
  <c r="J43" i="3" l="1"/>
  <c r="I43" i="3"/>
  <c r="H46" i="3" s="1"/>
  <c r="H47" i="3" l="1"/>
  <c r="B36" i="1"/>
  <c r="D33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B22" i="6" s="1"/>
  <c r="D21" i="6"/>
  <c r="C21" i="6"/>
  <c r="D20" i="6"/>
  <c r="C20" i="6"/>
  <c r="D19" i="6"/>
  <c r="C19" i="6"/>
  <c r="D18" i="6"/>
  <c r="C18" i="6"/>
  <c r="D17" i="6"/>
  <c r="C17" i="6"/>
  <c r="B17" i="6" s="1"/>
  <c r="D16" i="6"/>
  <c r="C16" i="6"/>
  <c r="D15" i="6"/>
  <c r="C15" i="6"/>
  <c r="D12" i="6"/>
  <c r="C12" i="6"/>
  <c r="D11" i="6"/>
  <c r="C11" i="6"/>
  <c r="D10" i="6"/>
  <c r="C10" i="6"/>
  <c r="D9" i="6"/>
  <c r="C9" i="6"/>
  <c r="D8" i="6"/>
  <c r="C8" i="6"/>
  <c r="D7" i="6"/>
  <c r="C7" i="6"/>
  <c r="B7" i="6" s="1"/>
  <c r="C5" i="1"/>
  <c r="D6" i="6" s="1"/>
  <c r="C6" i="6"/>
  <c r="B24" i="6" l="1"/>
  <c r="B19" i="6"/>
  <c r="B23" i="6"/>
  <c r="B21" i="6"/>
  <c r="B18" i="6"/>
  <c r="B12" i="6"/>
  <c r="B26" i="6"/>
  <c r="B9" i="6"/>
  <c r="B25" i="6"/>
  <c r="B10" i="6"/>
  <c r="B20" i="6"/>
  <c r="B11" i="6"/>
  <c r="B8" i="6"/>
  <c r="B15" i="6"/>
  <c r="B29" i="6"/>
  <c r="D30" i="6"/>
  <c r="C30" i="6"/>
  <c r="B27" i="6"/>
  <c r="B16" i="6"/>
  <c r="B28" i="6"/>
  <c r="C13" i="6"/>
  <c r="D13" i="6"/>
  <c r="B6" i="6"/>
  <c r="B37" i="6" l="1"/>
  <c r="B30" i="6"/>
  <c r="C31" i="6"/>
  <c r="B13" i="6"/>
  <c r="D31" i="6"/>
  <c r="D37" i="6" l="1"/>
  <c r="B31" i="6"/>
  <c r="D34" i="6"/>
  <c r="N12" i="3"/>
  <c r="N11" i="3"/>
  <c r="N10" i="3"/>
  <c r="N9" i="3"/>
  <c r="N8" i="3"/>
  <c r="N7" i="3"/>
  <c r="N6" i="3"/>
  <c r="P42" i="5"/>
  <c r="N29" i="3"/>
  <c r="N28" i="3"/>
  <c r="N27" i="3"/>
  <c r="N26" i="3"/>
  <c r="N25" i="3"/>
  <c r="N24" i="3"/>
  <c r="N23" i="3"/>
  <c r="N22" i="3"/>
  <c r="N21" i="3"/>
  <c r="N20" i="3"/>
  <c r="N18" i="3"/>
  <c r="N17" i="3"/>
  <c r="N16" i="3"/>
  <c r="N15" i="3"/>
  <c r="N19" i="3"/>
  <c r="C36" i="1" l="1"/>
  <c r="C35" i="1"/>
  <c r="O24" i="3"/>
  <c r="O20" i="3"/>
  <c r="O19" i="3"/>
  <c r="O18" i="3"/>
  <c r="O17" i="3"/>
  <c r="O16" i="3"/>
  <c r="O15" i="3"/>
  <c r="O14" i="3"/>
  <c r="O13" i="3"/>
  <c r="O8" i="3"/>
  <c r="O7" i="3"/>
  <c r="O6" i="3"/>
  <c r="K29" i="3"/>
  <c r="K28" i="3"/>
  <c r="O28" i="3" s="1"/>
  <c r="K27" i="3"/>
  <c r="L27" i="3" s="1"/>
  <c r="K26" i="3"/>
  <c r="L26" i="3" s="1"/>
  <c r="K25" i="3"/>
  <c r="O25" i="3" s="1"/>
  <c r="K23" i="3"/>
  <c r="L23" i="3" s="1"/>
  <c r="K22" i="3"/>
  <c r="O22" i="3" s="1"/>
  <c r="K21" i="3"/>
  <c r="O21" i="3" s="1"/>
  <c r="K12" i="3"/>
  <c r="O12" i="3" s="1"/>
  <c r="K11" i="3"/>
  <c r="O11" i="3" s="1"/>
  <c r="K10" i="3"/>
  <c r="O10" i="3" s="1"/>
  <c r="K9" i="3"/>
  <c r="L9" i="3" s="1"/>
  <c r="D30" i="3"/>
  <c r="C30" i="3"/>
  <c r="L24" i="3"/>
  <c r="L19" i="3"/>
  <c r="L18" i="3"/>
  <c r="L16" i="3"/>
  <c r="L15" i="3"/>
  <c r="L8" i="3"/>
  <c r="L6" i="3"/>
  <c r="H12" i="3"/>
  <c r="H11" i="3"/>
  <c r="I11" i="3" s="1"/>
  <c r="H10" i="3"/>
  <c r="H9" i="3"/>
  <c r="H8" i="3"/>
  <c r="H7" i="3"/>
  <c r="H6" i="3"/>
  <c r="I28" i="3"/>
  <c r="I10" i="3"/>
  <c r="I8" i="3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F23" i="3"/>
  <c r="E23" i="3"/>
  <c r="E22" i="3"/>
  <c r="F22" i="3" s="1"/>
  <c r="E21" i="3"/>
  <c r="F21" i="3" s="1"/>
  <c r="E20" i="3"/>
  <c r="F20" i="3" s="1"/>
  <c r="E19" i="3"/>
  <c r="F19" i="3" s="1"/>
  <c r="F18" i="3"/>
  <c r="E18" i="3"/>
  <c r="E17" i="3"/>
  <c r="F17" i="3" s="1"/>
  <c r="E16" i="3"/>
  <c r="F16" i="3" s="1"/>
  <c r="E15" i="3"/>
  <c r="F15" i="3" s="1"/>
  <c r="E12" i="3"/>
  <c r="F12" i="3" s="1"/>
  <c r="E11" i="3"/>
  <c r="F11" i="3" s="1"/>
  <c r="E10" i="3"/>
  <c r="F10" i="3" s="1"/>
  <c r="E9" i="3"/>
  <c r="F9" i="3" s="1"/>
  <c r="E8" i="3"/>
  <c r="F8" i="3" s="1"/>
  <c r="F7" i="3"/>
  <c r="E7" i="3"/>
  <c r="F6" i="3"/>
  <c r="E6" i="3"/>
  <c r="AM39" i="5"/>
  <c r="AM41" i="5" s="1"/>
  <c r="AM38" i="5"/>
  <c r="AM37" i="5"/>
  <c r="AM36" i="5"/>
  <c r="AM35" i="5"/>
  <c r="AL39" i="5"/>
  <c r="AL38" i="5"/>
  <c r="AL37" i="5"/>
  <c r="AL36" i="5"/>
  <c r="AL35" i="5"/>
  <c r="AC4" i="5"/>
  <c r="D50" i="3"/>
  <c r="AB39" i="5"/>
  <c r="AB38" i="5"/>
  <c r="AB37" i="5"/>
  <c r="AB36" i="5"/>
  <c r="AB33" i="5"/>
  <c r="W4" i="5"/>
  <c r="D55" i="3"/>
  <c r="AL41" i="5" l="1"/>
  <c r="O23" i="3"/>
  <c r="O29" i="3"/>
  <c r="O9" i="3"/>
  <c r="O26" i="3"/>
  <c r="O27" i="3"/>
  <c r="L12" i="3"/>
  <c r="L22" i="3"/>
  <c r="L7" i="3"/>
  <c r="L17" i="3"/>
  <c r="L25" i="3"/>
  <c r="L10" i="3"/>
  <c r="L20" i="3"/>
  <c r="L28" i="3"/>
  <c r="L11" i="3"/>
  <c r="L21" i="3"/>
  <c r="L29" i="3"/>
  <c r="I9" i="3"/>
  <c r="I29" i="3"/>
  <c r="I12" i="3"/>
  <c r="I7" i="3"/>
  <c r="I27" i="3"/>
  <c r="I6" i="3"/>
  <c r="AB41" i="5"/>
  <c r="AB35" i="5"/>
  <c r="AD4" i="5"/>
  <c r="X4" i="5"/>
  <c r="O31" i="3" l="1"/>
  <c r="AD37" i="5"/>
  <c r="AD31" i="5"/>
  <c r="AD23" i="5"/>
  <c r="AD15" i="5"/>
  <c r="AD7" i="5"/>
  <c r="AD20" i="5"/>
  <c r="AD41" i="5"/>
  <c r="AD26" i="5"/>
  <c r="AD18" i="5"/>
  <c r="AD10" i="5"/>
  <c r="AD35" i="5"/>
  <c r="AD29" i="5"/>
  <c r="AD21" i="5"/>
  <c r="AD13" i="5"/>
  <c r="AD38" i="5"/>
  <c r="AD32" i="5"/>
  <c r="AD24" i="5"/>
  <c r="AD16" i="5"/>
  <c r="AD8" i="5"/>
  <c r="AD27" i="5"/>
  <c r="AD19" i="5"/>
  <c r="AD11" i="5"/>
  <c r="AD36" i="5"/>
  <c r="AD22" i="5"/>
  <c r="AD14" i="5"/>
  <c r="AD6" i="5"/>
  <c r="AD25" i="5"/>
  <c r="AD17" i="5"/>
  <c r="AD30" i="5"/>
  <c r="AD39" i="5"/>
  <c r="AD9" i="5"/>
  <c r="AD28" i="5"/>
  <c r="AD12" i="5"/>
  <c r="AD33" i="5" l="1"/>
  <c r="J35" i="5" l="1"/>
  <c r="P20" i="5"/>
  <c r="V20" i="5" s="1"/>
  <c r="P19" i="5"/>
  <c r="V19" i="5" s="1"/>
  <c r="P10" i="5"/>
  <c r="V10" i="5" s="1"/>
  <c r="P9" i="5"/>
  <c r="V9" i="5" s="1"/>
  <c r="P8" i="5"/>
  <c r="V8" i="5" s="1"/>
  <c r="P7" i="5"/>
  <c r="V7" i="5" s="1"/>
  <c r="P6" i="5"/>
  <c r="V6" i="5" s="1"/>
  <c r="Q4" i="5"/>
  <c r="J32" i="5"/>
  <c r="P32" i="5" s="1"/>
  <c r="V32" i="5" s="1"/>
  <c r="J31" i="5"/>
  <c r="P31" i="5" s="1"/>
  <c r="V31" i="5" s="1"/>
  <c r="J30" i="5"/>
  <c r="P30" i="5" s="1"/>
  <c r="V30" i="5" s="1"/>
  <c r="J29" i="5"/>
  <c r="P29" i="5" s="1"/>
  <c r="V29" i="5" s="1"/>
  <c r="J28" i="5"/>
  <c r="P28" i="5" s="1"/>
  <c r="V28" i="5" s="1"/>
  <c r="J27" i="5"/>
  <c r="P27" i="5" s="1"/>
  <c r="V27" i="5" s="1"/>
  <c r="J26" i="5"/>
  <c r="P26" i="5" s="1"/>
  <c r="V26" i="5" s="1"/>
  <c r="J25" i="5"/>
  <c r="P25" i="5" s="1"/>
  <c r="V25" i="5" s="1"/>
  <c r="J24" i="5"/>
  <c r="P24" i="5" s="1"/>
  <c r="V24" i="5" s="1"/>
  <c r="J23" i="5"/>
  <c r="P23" i="5" s="1"/>
  <c r="V23" i="5" s="1"/>
  <c r="J22" i="5"/>
  <c r="J21" i="5"/>
  <c r="P21" i="5" s="1"/>
  <c r="V21" i="5" s="1"/>
  <c r="J20" i="5"/>
  <c r="J19" i="5"/>
  <c r="J18" i="5"/>
  <c r="P18" i="5" s="1"/>
  <c r="V18" i="5" s="1"/>
  <c r="J17" i="5"/>
  <c r="P17" i="5" s="1"/>
  <c r="V17" i="5" s="1"/>
  <c r="J16" i="5"/>
  <c r="P16" i="5" s="1"/>
  <c r="V16" i="5" s="1"/>
  <c r="J15" i="5"/>
  <c r="P15" i="5" s="1"/>
  <c r="V15" i="5" s="1"/>
  <c r="J14" i="5"/>
  <c r="P14" i="5" s="1"/>
  <c r="V14" i="5" s="1"/>
  <c r="J13" i="5"/>
  <c r="P13" i="5" s="1"/>
  <c r="V13" i="5" s="1"/>
  <c r="J12" i="5"/>
  <c r="P12" i="5" s="1"/>
  <c r="V12" i="5" s="1"/>
  <c r="J11" i="5"/>
  <c r="P11" i="5" s="1"/>
  <c r="V11" i="5" s="1"/>
  <c r="D49" i="3"/>
  <c r="C49" i="3"/>
  <c r="D48" i="3"/>
  <c r="C48" i="3"/>
  <c r="C39" i="3"/>
  <c r="C38" i="3"/>
  <c r="B39" i="3"/>
  <c r="J37" i="5" l="1"/>
  <c r="J38" i="5"/>
  <c r="J36" i="5"/>
  <c r="J39" i="5"/>
  <c r="J41" i="5" s="1"/>
  <c r="P22" i="5"/>
  <c r="V22" i="5" s="1"/>
  <c r="V37" i="5"/>
  <c r="J33" i="5"/>
  <c r="P35" i="5"/>
  <c r="V39" i="5"/>
  <c r="P39" i="5"/>
  <c r="V36" i="5"/>
  <c r="P38" i="5"/>
  <c r="V38" i="5"/>
  <c r="V33" i="5"/>
  <c r="X30" i="5" s="1"/>
  <c r="V35" i="5"/>
  <c r="P37" i="5"/>
  <c r="P36" i="5"/>
  <c r="P33" i="5"/>
  <c r="R4" i="5"/>
  <c r="X38" i="5" l="1"/>
  <c r="X28" i="5"/>
  <c r="X22" i="5"/>
  <c r="X20" i="5"/>
  <c r="P41" i="5"/>
  <c r="R41" i="5" s="1"/>
  <c r="X24" i="5"/>
  <c r="X26" i="5"/>
  <c r="X19" i="5"/>
  <c r="X8" i="5"/>
  <c r="X10" i="5"/>
  <c r="X15" i="5"/>
  <c r="X9" i="5"/>
  <c r="X32" i="5"/>
  <c r="X37" i="5"/>
  <c r="X6" i="5"/>
  <c r="X16" i="5"/>
  <c r="X17" i="5"/>
  <c r="X12" i="5"/>
  <c r="X11" i="5"/>
  <c r="X18" i="5"/>
  <c r="X13" i="5"/>
  <c r="X25" i="5"/>
  <c r="X7" i="5"/>
  <c r="X29" i="5"/>
  <c r="X31" i="5"/>
  <c r="X36" i="5"/>
  <c r="V41" i="5"/>
  <c r="X41" i="5" s="1"/>
  <c r="X39" i="5"/>
  <c r="X35" i="5"/>
  <c r="X27" i="5"/>
  <c r="X21" i="5"/>
  <c r="X23" i="5"/>
  <c r="X14" i="5"/>
  <c r="R28" i="5"/>
  <c r="R20" i="5"/>
  <c r="R12" i="5"/>
  <c r="R37" i="5"/>
  <c r="R31" i="5"/>
  <c r="R23" i="5"/>
  <c r="R15" i="5"/>
  <c r="R26" i="5"/>
  <c r="R18" i="5"/>
  <c r="R10" i="5"/>
  <c r="R8" i="5"/>
  <c r="R6" i="5"/>
  <c r="R38" i="5"/>
  <c r="R32" i="5"/>
  <c r="R27" i="5"/>
  <c r="R30" i="5"/>
  <c r="R22" i="5"/>
  <c r="R9" i="5"/>
  <c r="R7" i="5"/>
  <c r="R17" i="5"/>
  <c r="R35" i="5"/>
  <c r="R29" i="5"/>
  <c r="R21" i="5"/>
  <c r="R13" i="5"/>
  <c r="R24" i="5"/>
  <c r="R16" i="5"/>
  <c r="R19" i="5"/>
  <c r="R11" i="5"/>
  <c r="R36" i="5"/>
  <c r="R14" i="5"/>
  <c r="R39" i="5"/>
  <c r="R25" i="5"/>
  <c r="X33" i="5" l="1"/>
  <c r="R33" i="5"/>
  <c r="B38" i="3" l="1"/>
  <c r="G33" i="5"/>
  <c r="E33" i="5"/>
  <c r="C33" i="5"/>
  <c r="G39" i="5"/>
  <c r="E39" i="5"/>
  <c r="G38" i="5"/>
  <c r="E38" i="5"/>
  <c r="G37" i="5"/>
  <c r="E37" i="5"/>
  <c r="G36" i="5"/>
  <c r="E36" i="5"/>
  <c r="G35" i="5"/>
  <c r="H35" i="5" s="1"/>
  <c r="E35" i="5"/>
  <c r="C39" i="5"/>
  <c r="C38" i="5"/>
  <c r="C37" i="5"/>
  <c r="C36" i="5"/>
  <c r="C35" i="5"/>
  <c r="D35" i="5" l="1"/>
  <c r="AC35" i="5"/>
  <c r="D39" i="5"/>
  <c r="AC39" i="5"/>
  <c r="H38" i="5"/>
  <c r="AC38" i="5"/>
  <c r="H39" i="5"/>
  <c r="AC13" i="5"/>
  <c r="AC24" i="5"/>
  <c r="AC32" i="5"/>
  <c r="AC21" i="5"/>
  <c r="AC23" i="5"/>
  <c r="AC9" i="5"/>
  <c r="AC11" i="5"/>
  <c r="AC12" i="5"/>
  <c r="AC22" i="5"/>
  <c r="AC30" i="5"/>
  <c r="AC15" i="5"/>
  <c r="AC29" i="5"/>
  <c r="AC16" i="5"/>
  <c r="AC25" i="5"/>
  <c r="AC19" i="5"/>
  <c r="AC17" i="5"/>
  <c r="AC10" i="5"/>
  <c r="AC27" i="5"/>
  <c r="AC6" i="5"/>
  <c r="AC18" i="5"/>
  <c r="AC14" i="5"/>
  <c r="AC7" i="5"/>
  <c r="AC26" i="5"/>
  <c r="AC31" i="5"/>
  <c r="AC20" i="5"/>
  <c r="AC28" i="5"/>
  <c r="AC8" i="5"/>
  <c r="D36" i="5"/>
  <c r="AC36" i="5"/>
  <c r="AC37" i="5"/>
  <c r="H36" i="5"/>
  <c r="W36" i="5"/>
  <c r="Q36" i="5"/>
  <c r="W37" i="5"/>
  <c r="Q37" i="5"/>
  <c r="W22" i="5"/>
  <c r="W16" i="5"/>
  <c r="W32" i="5"/>
  <c r="W7" i="5"/>
  <c r="W14" i="5"/>
  <c r="W15" i="5"/>
  <c r="W11" i="5"/>
  <c r="W26" i="5"/>
  <c r="W13" i="5"/>
  <c r="W24" i="5"/>
  <c r="W23" i="5"/>
  <c r="W17" i="5"/>
  <c r="W25" i="5"/>
  <c r="W19" i="5"/>
  <c r="W9" i="5"/>
  <c r="W8" i="5"/>
  <c r="W10" i="5"/>
  <c r="W12" i="5"/>
  <c r="W6" i="5"/>
  <c r="W31" i="5"/>
  <c r="W27" i="5"/>
  <c r="W21" i="5"/>
  <c r="W29" i="5"/>
  <c r="W18" i="5"/>
  <c r="W30" i="5"/>
  <c r="W20" i="5"/>
  <c r="W28" i="5"/>
  <c r="Q15" i="5"/>
  <c r="Q19" i="5"/>
  <c r="Q26" i="5"/>
  <c r="Q6" i="5"/>
  <c r="Q21" i="5"/>
  <c r="Q10" i="5"/>
  <c r="Q20" i="5"/>
  <c r="Q29" i="5"/>
  <c r="Q7" i="5"/>
  <c r="Q14" i="5"/>
  <c r="Q17" i="5"/>
  <c r="Q9" i="5"/>
  <c r="Q16" i="5"/>
  <c r="Q12" i="5"/>
  <c r="Q8" i="5"/>
  <c r="Q27" i="5"/>
  <c r="Q30" i="5"/>
  <c r="Q13" i="5"/>
  <c r="Q25" i="5"/>
  <c r="Q32" i="5"/>
  <c r="Q18" i="5"/>
  <c r="Q28" i="5"/>
  <c r="Q24" i="5"/>
  <c r="Q22" i="5"/>
  <c r="Q31" i="5"/>
  <c r="Q23" i="5"/>
  <c r="Q11" i="5"/>
  <c r="W39" i="5"/>
  <c r="Q39" i="5"/>
  <c r="W35" i="5"/>
  <c r="Q35" i="5"/>
  <c r="G41" i="5"/>
  <c r="H41" i="5" s="1"/>
  <c r="H37" i="5"/>
  <c r="W38" i="5"/>
  <c r="Q38" i="5"/>
  <c r="D32" i="5"/>
  <c r="D24" i="5"/>
  <c r="D16" i="5"/>
  <c r="D8" i="5"/>
  <c r="D29" i="5"/>
  <c r="D28" i="5"/>
  <c r="D19" i="5"/>
  <c r="D18" i="5"/>
  <c r="D17" i="5"/>
  <c r="D31" i="5"/>
  <c r="D23" i="5"/>
  <c r="D15" i="5"/>
  <c r="D7" i="5"/>
  <c r="D22" i="5"/>
  <c r="D6" i="5"/>
  <c r="D10" i="5"/>
  <c r="D25" i="5"/>
  <c r="D30" i="5"/>
  <c r="D14" i="5"/>
  <c r="D21" i="5"/>
  <c r="D12" i="5"/>
  <c r="D11" i="5"/>
  <c r="D26" i="5"/>
  <c r="D13" i="5"/>
  <c r="D20" i="5"/>
  <c r="D27" i="5"/>
  <c r="D33" i="5"/>
  <c r="D9" i="5"/>
  <c r="D37" i="5"/>
  <c r="F30" i="5"/>
  <c r="F22" i="5"/>
  <c r="F14" i="5"/>
  <c r="F6" i="5"/>
  <c r="F26" i="5"/>
  <c r="F10" i="5"/>
  <c r="F9" i="5"/>
  <c r="F16" i="5"/>
  <c r="F23" i="5"/>
  <c r="F7" i="5"/>
  <c r="F29" i="5"/>
  <c r="F21" i="5"/>
  <c r="F13" i="5"/>
  <c r="F11" i="5"/>
  <c r="F17" i="5"/>
  <c r="F24" i="5"/>
  <c r="F15" i="5"/>
  <c r="F28" i="5"/>
  <c r="F20" i="5"/>
  <c r="F12" i="5"/>
  <c r="F18" i="5"/>
  <c r="F33" i="5"/>
  <c r="F8" i="5"/>
  <c r="F27" i="5"/>
  <c r="F19" i="5"/>
  <c r="F25" i="5"/>
  <c r="F32" i="5"/>
  <c r="F31" i="5"/>
  <c r="D38" i="5"/>
  <c r="H26" i="5"/>
  <c r="H18" i="5"/>
  <c r="H10" i="5"/>
  <c r="H22" i="5"/>
  <c r="H13" i="5"/>
  <c r="H27" i="5"/>
  <c r="H11" i="5"/>
  <c r="H33" i="5"/>
  <c r="H25" i="5"/>
  <c r="H17" i="5"/>
  <c r="H9" i="5"/>
  <c r="H29" i="5"/>
  <c r="H19" i="5"/>
  <c r="H32" i="5"/>
  <c r="H24" i="5"/>
  <c r="H16" i="5"/>
  <c r="H8" i="5"/>
  <c r="H30" i="5"/>
  <c r="H14" i="5"/>
  <c r="H21" i="5"/>
  <c r="H20" i="5"/>
  <c r="H12" i="5"/>
  <c r="H31" i="5"/>
  <c r="H23" i="5"/>
  <c r="H15" i="5"/>
  <c r="H7" i="5"/>
  <c r="H6" i="5"/>
  <c r="H28" i="5"/>
  <c r="C41" i="5"/>
  <c r="F38" i="5"/>
  <c r="F36" i="5"/>
  <c r="F35" i="5"/>
  <c r="F39" i="5"/>
  <c r="F37" i="5"/>
  <c r="E41" i="5"/>
  <c r="D41" i="5" l="1"/>
  <c r="AC41" i="5"/>
  <c r="W41" i="5"/>
  <c r="Q41" i="5"/>
  <c r="F41" i="5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D13" i="3"/>
  <c r="D31" i="3" s="1"/>
  <c r="C13" i="3"/>
  <c r="C31" i="3" s="1"/>
  <c r="B12" i="3"/>
  <c r="B11" i="3"/>
  <c r="B10" i="3"/>
  <c r="B9" i="3"/>
  <c r="B8" i="3"/>
  <c r="D33" i="3" s="1"/>
  <c r="B7" i="3"/>
  <c r="B6" i="3"/>
  <c r="G9" i="3" l="1"/>
  <c r="M27" i="3"/>
  <c r="M19" i="3"/>
  <c r="G6" i="3"/>
  <c r="J8" i="3"/>
  <c r="G18" i="3"/>
  <c r="M20" i="3"/>
  <c r="G8" i="3"/>
  <c r="J11" i="3"/>
  <c r="M18" i="3"/>
  <c r="M8" i="3"/>
  <c r="M24" i="3"/>
  <c r="M6" i="3"/>
  <c r="M23" i="3"/>
  <c r="G28" i="3"/>
  <c r="M17" i="3"/>
  <c r="M7" i="3"/>
  <c r="M16" i="3"/>
  <c r="G29" i="3"/>
  <c r="M15" i="3"/>
  <c r="M22" i="3"/>
  <c r="M21" i="3"/>
  <c r="M26" i="3"/>
  <c r="G22" i="3"/>
  <c r="G24" i="3"/>
  <c r="J6" i="3"/>
  <c r="M25" i="3"/>
  <c r="M28" i="3"/>
  <c r="G26" i="3"/>
  <c r="G12" i="3"/>
  <c r="G16" i="3"/>
  <c r="M10" i="3"/>
  <c r="M12" i="3"/>
  <c r="G7" i="3"/>
  <c r="G17" i="3"/>
  <c r="G11" i="3"/>
  <c r="G27" i="3"/>
  <c r="G21" i="3"/>
  <c r="J28" i="3"/>
  <c r="M11" i="3"/>
  <c r="G19" i="3"/>
  <c r="M9" i="3"/>
  <c r="G15" i="3"/>
  <c r="G25" i="3"/>
  <c r="G23" i="3"/>
  <c r="G20" i="3"/>
  <c r="M29" i="3"/>
  <c r="J10" i="3"/>
  <c r="G10" i="3"/>
  <c r="J27" i="3"/>
  <c r="J12" i="3"/>
  <c r="J7" i="3"/>
  <c r="J29" i="3"/>
  <c r="J9" i="3"/>
  <c r="C40" i="3"/>
  <c r="B40" i="3"/>
  <c r="C47" i="3" s="1"/>
  <c r="D47" i="3" s="1"/>
  <c r="S7" i="5"/>
  <c r="T7" i="5" s="1"/>
  <c r="S6" i="5"/>
  <c r="S30" i="5"/>
  <c r="T30" i="5" s="1"/>
  <c r="S11" i="5"/>
  <c r="T11" i="5" s="1"/>
  <c r="S18" i="5"/>
  <c r="T18" i="5" s="1"/>
  <c r="S15" i="5"/>
  <c r="T15" i="5" s="1"/>
  <c r="S8" i="5"/>
  <c r="T8" i="5" s="1"/>
  <c r="S29" i="5"/>
  <c r="T29" i="5" s="1"/>
  <c r="S19" i="5"/>
  <c r="T19" i="5" s="1"/>
  <c r="S32" i="5"/>
  <c r="T32" i="5" s="1"/>
  <c r="S39" i="5"/>
  <c r="T39" i="5" s="1"/>
  <c r="S23" i="5"/>
  <c r="T23" i="5" s="1"/>
  <c r="S35" i="5"/>
  <c r="T35" i="5" s="1"/>
  <c r="S22" i="5"/>
  <c r="T22" i="5" s="1"/>
  <c r="S27" i="5"/>
  <c r="T27" i="5" s="1"/>
  <c r="S13" i="5"/>
  <c r="T13" i="5" s="1"/>
  <c r="S24" i="5"/>
  <c r="T24" i="5" s="1"/>
  <c r="S31" i="5"/>
  <c r="T31" i="5" s="1"/>
  <c r="S37" i="5"/>
  <c r="T37" i="5" s="1"/>
  <c r="S25" i="5"/>
  <c r="T25" i="5" s="1"/>
  <c r="S26" i="5"/>
  <c r="T26" i="5" s="1"/>
  <c r="Q33" i="5"/>
  <c r="B31" i="3"/>
  <c r="C45" i="3" s="1"/>
  <c r="B30" i="3"/>
  <c r="B13" i="3"/>
  <c r="C46" i="3" l="1"/>
  <c r="D46" i="3" s="1"/>
  <c r="D34" i="3"/>
  <c r="K4" i="5"/>
  <c r="D45" i="3"/>
  <c r="S16" i="5"/>
  <c r="T16" i="5" s="1"/>
  <c r="S28" i="5"/>
  <c r="T28" i="5" s="1"/>
  <c r="S14" i="5"/>
  <c r="T14" i="5" s="1"/>
  <c r="S10" i="5"/>
  <c r="T10" i="5" s="1"/>
  <c r="S9" i="5"/>
  <c r="T9" i="5" s="1"/>
  <c r="S12" i="5"/>
  <c r="T12" i="5" s="1"/>
  <c r="S38" i="5"/>
  <c r="T38" i="5" s="1"/>
  <c r="S21" i="5"/>
  <c r="T21" i="5" s="1"/>
  <c r="S41" i="5"/>
  <c r="T41" i="5" s="1"/>
  <c r="S17" i="5"/>
  <c r="T17" i="5" s="1"/>
  <c r="S36" i="5"/>
  <c r="T36" i="5" s="1"/>
  <c r="S20" i="5"/>
  <c r="T20" i="5" s="1"/>
  <c r="T6" i="5"/>
  <c r="C26" i="1"/>
  <c r="B26" i="1"/>
  <c r="D25" i="1"/>
  <c r="D24" i="1"/>
  <c r="D23" i="1"/>
  <c r="D22" i="1"/>
  <c r="D21" i="1"/>
  <c r="D20" i="1"/>
  <c r="D19" i="1"/>
  <c r="D18" i="1"/>
  <c r="D17" i="1"/>
  <c r="D16" i="1"/>
  <c r="D15" i="1"/>
  <c r="D14" i="1"/>
  <c r="C12" i="1"/>
  <c r="B12" i="1"/>
  <c r="D11" i="1"/>
  <c r="D10" i="1"/>
  <c r="D9" i="1"/>
  <c r="D8" i="1"/>
  <c r="D7" i="1"/>
  <c r="C29" i="1" s="1"/>
  <c r="D6" i="1"/>
  <c r="D5" i="1"/>
  <c r="B35" i="1" s="1"/>
  <c r="C27" i="1" l="1"/>
  <c r="L4" i="5"/>
  <c r="K38" i="5"/>
  <c r="K37" i="5"/>
  <c r="K29" i="5"/>
  <c r="K22" i="5"/>
  <c r="K10" i="5"/>
  <c r="K26" i="5"/>
  <c r="K20" i="5"/>
  <c r="K31" i="5"/>
  <c r="K35" i="5"/>
  <c r="K14" i="5"/>
  <c r="K30" i="5"/>
  <c r="K7" i="5"/>
  <c r="K19" i="5"/>
  <c r="K15" i="5"/>
  <c r="K32" i="5"/>
  <c r="K28" i="5"/>
  <c r="K36" i="5"/>
  <c r="K11" i="5"/>
  <c r="K18" i="5"/>
  <c r="K12" i="5"/>
  <c r="K23" i="5"/>
  <c r="K27" i="5"/>
  <c r="K25" i="5"/>
  <c r="K21" i="5"/>
  <c r="K8" i="5"/>
  <c r="K39" i="5"/>
  <c r="K9" i="5"/>
  <c r="K6" i="5"/>
  <c r="K16" i="5"/>
  <c r="K17" i="5"/>
  <c r="K13" i="5"/>
  <c r="K24" i="5"/>
  <c r="K41" i="5"/>
  <c r="Y20" i="5"/>
  <c r="Z20" i="5" s="1"/>
  <c r="Y21" i="5"/>
  <c r="Z21" i="5" s="1"/>
  <c r="Y10" i="5"/>
  <c r="Z10" i="5" s="1"/>
  <c r="Y18" i="5"/>
  <c r="Z18" i="5" s="1"/>
  <c r="Y7" i="5"/>
  <c r="Z7" i="5" s="1"/>
  <c r="Y25" i="5"/>
  <c r="Z25" i="5" s="1"/>
  <c r="Y26" i="5"/>
  <c r="Z26" i="5" s="1"/>
  <c r="Y22" i="5"/>
  <c r="Z22" i="5" s="1"/>
  <c r="Y37" i="5"/>
  <c r="Z37" i="5" s="1"/>
  <c r="Y36" i="5"/>
  <c r="Z36" i="5" s="1"/>
  <c r="Y38" i="5"/>
  <c r="Z38" i="5" s="1"/>
  <c r="Y14" i="5"/>
  <c r="Z14" i="5" s="1"/>
  <c r="Y29" i="5"/>
  <c r="Z29" i="5" s="1"/>
  <c r="Y13" i="5"/>
  <c r="Z13" i="5" s="1"/>
  <c r="Y27" i="5"/>
  <c r="Z27" i="5" s="1"/>
  <c r="Y8" i="5"/>
  <c r="Z8" i="5" s="1"/>
  <c r="Y11" i="5"/>
  <c r="Z11" i="5" s="1"/>
  <c r="Y35" i="5"/>
  <c r="Z35" i="5" s="1"/>
  <c r="Y17" i="5"/>
  <c r="Z17" i="5" s="1"/>
  <c r="Y12" i="5"/>
  <c r="Z12" i="5" s="1"/>
  <c r="Y28" i="5"/>
  <c r="Z28" i="5" s="1"/>
  <c r="Y19" i="5"/>
  <c r="Z19" i="5" s="1"/>
  <c r="Y23" i="5"/>
  <c r="Z23" i="5" s="1"/>
  <c r="Y32" i="5"/>
  <c r="Z32" i="5" s="1"/>
  <c r="Y39" i="5"/>
  <c r="Z39" i="5" s="1"/>
  <c r="Y41" i="5"/>
  <c r="Z41" i="5" s="1"/>
  <c r="Y9" i="5"/>
  <c r="Z9" i="5" s="1"/>
  <c r="Y16" i="5"/>
  <c r="Z16" i="5" s="1"/>
  <c r="Y31" i="5"/>
  <c r="Z31" i="5" s="1"/>
  <c r="Y15" i="5"/>
  <c r="Z15" i="5" s="1"/>
  <c r="Y24" i="5"/>
  <c r="Z24" i="5" s="1"/>
  <c r="Y30" i="5"/>
  <c r="Z30" i="5" s="1"/>
  <c r="S33" i="5"/>
  <c r="W33" i="5"/>
  <c r="Y6" i="5"/>
  <c r="B27" i="1"/>
  <c r="D26" i="1"/>
  <c r="D12" i="1"/>
  <c r="C54" i="3" l="1"/>
  <c r="D54" i="3" s="1"/>
  <c r="C37" i="1"/>
  <c r="D27" i="1"/>
  <c r="L26" i="5"/>
  <c r="M26" i="5" s="1"/>
  <c r="N26" i="5" s="1"/>
  <c r="L27" i="5"/>
  <c r="M27" i="5" s="1"/>
  <c r="N27" i="5" s="1"/>
  <c r="L25" i="5"/>
  <c r="M25" i="5" s="1"/>
  <c r="N25" i="5" s="1"/>
  <c r="L31" i="5"/>
  <c r="M31" i="5" s="1"/>
  <c r="N31" i="5" s="1"/>
  <c r="L38" i="5"/>
  <c r="M38" i="5" s="1"/>
  <c r="N38" i="5" s="1"/>
  <c r="L7" i="5"/>
  <c r="M7" i="5" s="1"/>
  <c r="N7" i="5" s="1"/>
  <c r="L24" i="5"/>
  <c r="M24" i="5" s="1"/>
  <c r="N24" i="5" s="1"/>
  <c r="L39" i="5"/>
  <c r="M39" i="5" s="1"/>
  <c r="N39" i="5" s="1"/>
  <c r="L32" i="5"/>
  <c r="M32" i="5" s="1"/>
  <c r="N32" i="5" s="1"/>
  <c r="L23" i="5"/>
  <c r="M23" i="5" s="1"/>
  <c r="N23" i="5" s="1"/>
  <c r="L30" i="5"/>
  <c r="M30" i="5" s="1"/>
  <c r="N30" i="5" s="1"/>
  <c r="L6" i="5"/>
  <c r="L15" i="5"/>
  <c r="M15" i="5" s="1"/>
  <c r="N15" i="5" s="1"/>
  <c r="L18" i="5"/>
  <c r="M18" i="5" s="1"/>
  <c r="N18" i="5" s="1"/>
  <c r="L37" i="5"/>
  <c r="M37" i="5" s="1"/>
  <c r="N37" i="5" s="1"/>
  <c r="L14" i="5"/>
  <c r="M14" i="5" s="1"/>
  <c r="N14" i="5" s="1"/>
  <c r="L11" i="5"/>
  <c r="M11" i="5" s="1"/>
  <c r="N11" i="5" s="1"/>
  <c r="L16" i="5"/>
  <c r="M16" i="5" s="1"/>
  <c r="N16" i="5" s="1"/>
  <c r="L17" i="5"/>
  <c r="M17" i="5" s="1"/>
  <c r="N17" i="5" s="1"/>
  <c r="L12" i="5"/>
  <c r="M12" i="5" s="1"/>
  <c r="N12" i="5" s="1"/>
  <c r="L41" i="5"/>
  <c r="M41" i="5" s="1"/>
  <c r="N41" i="5" s="1"/>
  <c r="L29" i="5"/>
  <c r="M29" i="5" s="1"/>
  <c r="N29" i="5" s="1"/>
  <c r="L13" i="5"/>
  <c r="M13" i="5" s="1"/>
  <c r="N13" i="5" s="1"/>
  <c r="L9" i="5"/>
  <c r="M9" i="5" s="1"/>
  <c r="N9" i="5" s="1"/>
  <c r="L21" i="5"/>
  <c r="M21" i="5" s="1"/>
  <c r="N21" i="5" s="1"/>
  <c r="L8" i="5"/>
  <c r="M8" i="5" s="1"/>
  <c r="N8" i="5" s="1"/>
  <c r="L35" i="5"/>
  <c r="M35" i="5" s="1"/>
  <c r="N35" i="5" s="1"/>
  <c r="L10" i="5"/>
  <c r="M10" i="5" s="1"/>
  <c r="N10" i="5" s="1"/>
  <c r="L22" i="5"/>
  <c r="M22" i="5" s="1"/>
  <c r="N22" i="5" s="1"/>
  <c r="L20" i="5"/>
  <c r="M20" i="5" s="1"/>
  <c r="N20" i="5" s="1"/>
  <c r="L19" i="5"/>
  <c r="M19" i="5" s="1"/>
  <c r="N19" i="5" s="1"/>
  <c r="L36" i="5"/>
  <c r="M36" i="5" s="1"/>
  <c r="N36" i="5" s="1"/>
  <c r="L28" i="5"/>
  <c r="M28" i="5" s="1"/>
  <c r="N28" i="5" s="1"/>
  <c r="K33" i="5"/>
  <c r="AE35" i="5"/>
  <c r="AF35" i="5" s="1"/>
  <c r="AE19" i="5"/>
  <c r="AF19" i="5" s="1"/>
  <c r="AE21" i="5"/>
  <c r="AF21" i="5" s="1"/>
  <c r="AE25" i="5"/>
  <c r="AF25" i="5" s="1"/>
  <c r="AE36" i="5"/>
  <c r="AF36" i="5" s="1"/>
  <c r="AE15" i="5"/>
  <c r="AF15" i="5" s="1"/>
  <c r="AE13" i="5"/>
  <c r="AF13" i="5" s="1"/>
  <c r="AE41" i="5"/>
  <c r="AF41" i="5" s="1"/>
  <c r="AE6" i="5"/>
  <c r="AE31" i="5"/>
  <c r="AF31" i="5" s="1"/>
  <c r="AE39" i="5"/>
  <c r="AF39" i="5" s="1"/>
  <c r="AE28" i="5"/>
  <c r="AF28" i="5" s="1"/>
  <c r="AE11" i="5"/>
  <c r="AF11" i="5" s="1"/>
  <c r="AE29" i="5"/>
  <c r="AF29" i="5" s="1"/>
  <c r="AE37" i="5"/>
  <c r="AF37" i="5" s="1"/>
  <c r="AE7" i="5"/>
  <c r="AF7" i="5" s="1"/>
  <c r="AE20" i="5"/>
  <c r="AF20" i="5" s="1"/>
  <c r="AE30" i="5"/>
  <c r="AF30" i="5" s="1"/>
  <c r="AE16" i="5"/>
  <c r="AF16" i="5" s="1"/>
  <c r="AE32" i="5"/>
  <c r="AF32" i="5" s="1"/>
  <c r="AE12" i="5"/>
  <c r="AF12" i="5" s="1"/>
  <c r="AE8" i="5"/>
  <c r="AF8" i="5" s="1"/>
  <c r="AE14" i="5"/>
  <c r="AF14" i="5" s="1"/>
  <c r="AE22" i="5"/>
  <c r="AF22" i="5" s="1"/>
  <c r="AE18" i="5"/>
  <c r="AF18" i="5" s="1"/>
  <c r="AE24" i="5"/>
  <c r="AF24" i="5" s="1"/>
  <c r="AE9" i="5"/>
  <c r="AF9" i="5" s="1"/>
  <c r="AE23" i="5"/>
  <c r="AF23" i="5" s="1"/>
  <c r="AE17" i="5"/>
  <c r="AF17" i="5" s="1"/>
  <c r="AE27" i="5"/>
  <c r="AF27" i="5" s="1"/>
  <c r="AE38" i="5"/>
  <c r="AF38" i="5" s="1"/>
  <c r="AE26" i="5"/>
  <c r="AF26" i="5" s="1"/>
  <c r="AE10" i="5"/>
  <c r="AF10" i="5" s="1"/>
  <c r="Z6" i="5"/>
  <c r="Y33" i="5"/>
  <c r="D29" i="1" l="1"/>
  <c r="L33" i="5"/>
  <c r="M6" i="5"/>
  <c r="AF6" i="5"/>
  <c r="AE33" i="5"/>
  <c r="AC33" i="5"/>
  <c r="H24" i="3" l="1"/>
  <c r="H16" i="3"/>
  <c r="H23" i="3"/>
  <c r="H15" i="3"/>
  <c r="H20" i="3"/>
  <c r="H19" i="3"/>
  <c r="H18" i="3"/>
  <c r="H17" i="3"/>
  <c r="H22" i="3"/>
  <c r="H21" i="3"/>
  <c r="H26" i="3"/>
  <c r="H25" i="3"/>
  <c r="B37" i="1"/>
  <c r="M33" i="5"/>
  <c r="N6" i="5"/>
  <c r="I17" i="3" l="1"/>
  <c r="J17" i="3"/>
  <c r="I22" i="3"/>
  <c r="J22" i="3"/>
  <c r="I25" i="3"/>
  <c r="J25" i="3"/>
  <c r="I23" i="3"/>
  <c r="J23" i="3" s="1"/>
  <c r="I21" i="3"/>
  <c r="J21" i="3" s="1"/>
  <c r="I24" i="3"/>
  <c r="J24" i="3"/>
  <c r="I18" i="3"/>
  <c r="J18" i="3"/>
  <c r="I15" i="3"/>
  <c r="J15" i="3"/>
  <c r="I26" i="3"/>
  <c r="J26" i="3" s="1"/>
  <c r="I16" i="3"/>
  <c r="J16" i="3"/>
  <c r="I19" i="3"/>
  <c r="J19" i="3"/>
  <c r="C51" i="3"/>
  <c r="I20" i="3"/>
  <c r="J20" i="3" s="1"/>
  <c r="G51" i="3" l="1"/>
  <c r="H51" i="3" s="1"/>
  <c r="D51" i="3"/>
</calcChain>
</file>

<file path=xl/sharedStrings.xml><?xml version="1.0" encoding="utf-8"?>
<sst xmlns="http://schemas.openxmlformats.org/spreadsheetml/2006/main" count="164" uniqueCount="109">
  <si>
    <t>Diameter</t>
  </si>
  <si>
    <t>Length</t>
  </si>
  <si>
    <t>$2012</t>
  </si>
  <si>
    <t>$/meter</t>
  </si>
  <si>
    <t>Plastic</t>
  </si>
  <si>
    <t>Sub-Total</t>
  </si>
  <si>
    <t>Steel</t>
  </si>
  <si>
    <t>Total</t>
  </si>
  <si>
    <t>Minimum System (Distribution)</t>
  </si>
  <si>
    <t>GM Minimum System Results (Simulator, Distribution and Supply)</t>
  </si>
  <si>
    <t>GM Minimum System Results (GM-2, D1, Table 5, H-W Index)</t>
  </si>
  <si>
    <t>Gaz Métro Allocation Factors (Exhibit B-0040)</t>
  </si>
  <si>
    <t>Class</t>
  </si>
  <si>
    <t>D1</t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</si>
  <si>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</si>
  <si>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</si>
  <si>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</si>
  <si>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</si>
  <si>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</si>
  <si>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</si>
  <si>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</si>
  <si>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</si>
  <si>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[1 095 000+]</t>
  </si>
  <si>
    <t>D1-RT</t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</si>
  <si>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</si>
  <si>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</si>
  <si>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</si>
  <si>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</si>
  <si>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</si>
  <si>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</si>
  <si>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</si>
  <si>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</si>
  <si>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</si>
  <si>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</si>
  <si>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</si>
  <si>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</si>
  <si>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</si>
  <si>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</si>
  <si>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</si>
  <si>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</si>
  <si>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</si>
  <si>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[0 - 36 500]</t>
  </si>
  <si>
    <t>Other</t>
  </si>
  <si>
    <t>D3</t>
  </si>
  <si>
    <t>D4</t>
  </si>
  <si>
    <t>D5</t>
  </si>
  <si>
    <t>D4/D5</t>
  </si>
  <si>
    <t>FB08</t>
  </si>
  <si>
    <t>Customers</t>
  </si>
  <si>
    <t>Services</t>
  </si>
  <si>
    <t>FB11</t>
  </si>
  <si>
    <t>DD Demand</t>
  </si>
  <si>
    <t>CA</t>
  </si>
  <si>
    <t>Classification Proposals</t>
  </si>
  <si>
    <t>B&amp;V/GM</t>
  </si>
  <si>
    <t>Access</t>
  </si>
  <si>
    <t>Demand</t>
  </si>
  <si>
    <t>Traditional Minsys</t>
  </si>
  <si>
    <t>Traditional ZI</t>
  </si>
  <si>
    <t>Plastic Intercept</t>
  </si>
  <si>
    <t>Steel Intercept</t>
  </si>
  <si>
    <t>ZI</t>
  </si>
  <si>
    <t>Minsys</t>
  </si>
  <si>
    <t>Wtd. Avg</t>
  </si>
  <si>
    <t>ROEÉ Table 4</t>
  </si>
  <si>
    <t>Note:</t>
  </si>
  <si>
    <t>Uses adjusted B&amp;V CA demand allocator</t>
  </si>
  <si>
    <t>Uses adjusted ROEÉ CA demand allocator</t>
  </si>
  <si>
    <t>ROEÉ Table 2</t>
  </si>
  <si>
    <t>Uses adjusted ROEÉ CA demand allocator, Dist'n only.</t>
  </si>
  <si>
    <t>Adj. CA</t>
  </si>
  <si>
    <t>Customer %</t>
  </si>
  <si>
    <t>Demand %</t>
  </si>
  <si>
    <t>D&amp;S Allocator</t>
  </si>
  <si>
    <t>Implied C%</t>
  </si>
  <si>
    <t>B&amp;V Implied Classification Percentages</t>
  </si>
  <si>
    <t>ROEÉ Table 4 Implied Classification Percentages</t>
  </si>
  <si>
    <t>Distribution/Supply Mix</t>
  </si>
  <si>
    <t>Distribution</t>
  </si>
  <si>
    <t>Supply</t>
  </si>
  <si>
    <t>Inflation Adj.</t>
  </si>
  <si>
    <t>Per Exhibit B-0039</t>
  </si>
  <si>
    <t>75% D, 25% (S + T)</t>
  </si>
  <si>
    <t>ROEÉ Table 2 Implied Classification Percentages</t>
  </si>
  <si>
    <t>D Customer %</t>
  </si>
  <si>
    <t>D/S Demand %</t>
  </si>
  <si>
    <t>Gaz Métro Existing Method Implied Classification</t>
  </si>
  <si>
    <t>CAU</t>
  </si>
  <si>
    <t>Current Method</t>
  </si>
  <si>
    <t>Distribution only</t>
  </si>
  <si>
    <t>CONDPRIN</t>
  </si>
  <si>
    <t>Exhibit B-0039</t>
  </si>
  <si>
    <t>Exhibit B-0040</t>
  </si>
  <si>
    <t>CONDPRIND</t>
  </si>
  <si>
    <t>Access %</t>
  </si>
  <si>
    <t>D4/D5 Share</t>
  </si>
  <si>
    <t>B&amp;V Adjusted Minimum System</t>
  </si>
  <si>
    <t>ROEÉ Table 4 Method</t>
  </si>
  <si>
    <t>Traditional ZI Dist'n</t>
  </si>
  <si>
    <t>Distribution only; implies CC% =</t>
  </si>
  <si>
    <t>Traditional Z-I Method:  Dist'n Only</t>
  </si>
  <si>
    <t>Minimum System</t>
  </si>
  <si>
    <t>GM Minimum System Results ( Supply Only, by difference)</t>
  </si>
  <si>
    <t>Traditional Z/I and Minsys Classification</t>
  </si>
  <si>
    <t>B&amp;V Minimum System (Supply and Distribution)</t>
  </si>
  <si>
    <t>D4/D5 Percent</t>
  </si>
  <si>
    <t>D4/D5 Customer</t>
  </si>
  <si>
    <t>D4/D5 CA Demand</t>
  </si>
  <si>
    <t>Implied Cust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</si>
</sst>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6" fontId="0" fillId="0" borderId="0" xfId="0" quotePrefix="1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6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9" fontId="0" fillId="0" borderId="1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6" fontId="0" fillId="0" borderId="0" xfId="3" applyNumberFormat="1" applyFont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0" fillId="0" borderId="0" xfId="1" applyNumberFormat="1" applyFont="1" applyAlignment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D4/D5 Share of Steel Mains Cost</a:t>
            </a:r>
          </a:p>
          <a:p>
            <a:pPr>
              <a:defRPr/>
            </a:pPr>
            <a:r>
              <a:rPr lang="en-US" sz="1200" baseline="0"/>
              <a:t>By Pipe Diameter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B&amp;V MinSys</c:v>
          </c:tx>
          <c:spPr>
            <a:ln w="28575">
              <a:noFill/>
            </a:ln>
          </c:spPr>
          <c:xVal>
            <c:numRef>
              <c:f>'MinSys D&amp;S'!$A$15:$A$29</c:f>
              <c:numCache>
                <c:formatCode>General</c:formatCode>
                <c:ptCount val="15"/>
                <c:pt idx="0">
                  <c:v>26.7</c:v>
                </c:pt>
                <c:pt idx="1">
                  <c:v>33.4</c:v>
                </c:pt>
                <c:pt idx="2">
                  <c:v>42.2</c:v>
                </c:pt>
                <c:pt idx="3">
                  <c:v>48.3</c:v>
                </c:pt>
                <c:pt idx="4">
                  <c:v>60.3</c:v>
                </c:pt>
                <c:pt idx="5">
                  <c:v>88.9</c:v>
                </c:pt>
                <c:pt idx="6">
                  <c:v>114.3</c:v>
                </c:pt>
                <c:pt idx="7">
                  <c:v>168.3</c:v>
                </c:pt>
                <c:pt idx="8">
                  <c:v>219.1</c:v>
                </c:pt>
                <c:pt idx="9">
                  <c:v>273.10000000000002</c:v>
                </c:pt>
                <c:pt idx="10">
                  <c:v>323.89999999999998</c:v>
                </c:pt>
                <c:pt idx="11">
                  <c:v>406.4</c:v>
                </c:pt>
                <c:pt idx="12">
                  <c:v>508</c:v>
                </c:pt>
                <c:pt idx="13">
                  <c:v>610</c:v>
                </c:pt>
                <c:pt idx="14">
                  <c:v>762</c:v>
                </c:pt>
              </c:numCache>
            </c:numRef>
          </c:xVal>
          <c:yVal>
            <c:numRef>
              <c:f>'MinSys D&amp;S'!$G$15:$G$29</c:f>
              <c:numCache>
                <c:formatCode>0.00%</c:formatCode>
                <c:ptCount val="15"/>
                <c:pt idx="0">
                  <c:v>0.28189839695801766</c:v>
                </c:pt>
                <c:pt idx="1">
                  <c:v>0.28818437956077553</c:v>
                </c:pt>
                <c:pt idx="2">
                  <c:v>0.29611471287003799</c:v>
                </c:pt>
                <c:pt idx="3">
                  <c:v>0.30140648588459984</c:v>
                </c:pt>
                <c:pt idx="4">
                  <c:v>0.3113578512286827</c:v>
                </c:pt>
                <c:pt idx="5">
                  <c:v>0.30113780823838293</c:v>
                </c:pt>
                <c:pt idx="6">
                  <c:v>0.34611668372451521</c:v>
                </c:pt>
                <c:pt idx="7">
                  <c:v>0.37613067371824865</c:v>
                </c:pt>
                <c:pt idx="8">
                  <c:v>0.44158984679976837</c:v>
                </c:pt>
                <c:pt idx="9">
                  <c:v>0.42421231900222356</c:v>
                </c:pt>
                <c:pt idx="10">
                  <c:v>0.42637315328636721</c:v>
                </c:pt>
                <c:pt idx="11">
                  <c:v>0.46044751262045741</c:v>
                </c:pt>
                <c:pt idx="12">
                  <c:v>0.48382183597321377</c:v>
                </c:pt>
                <c:pt idx="13">
                  <c:v>0.50062687092570257</c:v>
                </c:pt>
                <c:pt idx="14">
                  <c:v>0.51995198806488763</c:v>
                </c:pt>
              </c:numCache>
            </c:numRef>
          </c:yVal>
          <c:smooth val="0"/>
        </c:ser>
        <c:ser>
          <c:idx val="1"/>
          <c:order val="1"/>
          <c:tx>
            <c:v>ROEÉ Table 4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'MinSys D&amp;S'!$A$15:$A$29</c:f>
              <c:numCache>
                <c:formatCode>General</c:formatCode>
                <c:ptCount val="15"/>
                <c:pt idx="0">
                  <c:v>26.7</c:v>
                </c:pt>
                <c:pt idx="1">
                  <c:v>33.4</c:v>
                </c:pt>
                <c:pt idx="2">
                  <c:v>42.2</c:v>
                </c:pt>
                <c:pt idx="3">
                  <c:v>48.3</c:v>
                </c:pt>
                <c:pt idx="4">
                  <c:v>60.3</c:v>
                </c:pt>
                <c:pt idx="5">
                  <c:v>88.9</c:v>
                </c:pt>
                <c:pt idx="6">
                  <c:v>114.3</c:v>
                </c:pt>
                <c:pt idx="7">
                  <c:v>168.3</c:v>
                </c:pt>
                <c:pt idx="8">
                  <c:v>219.1</c:v>
                </c:pt>
                <c:pt idx="9">
                  <c:v>273.10000000000002</c:v>
                </c:pt>
                <c:pt idx="10">
                  <c:v>323.89999999999998</c:v>
                </c:pt>
                <c:pt idx="11">
                  <c:v>406.4</c:v>
                </c:pt>
                <c:pt idx="12">
                  <c:v>508</c:v>
                </c:pt>
                <c:pt idx="13">
                  <c:v>610</c:v>
                </c:pt>
                <c:pt idx="14">
                  <c:v>762</c:v>
                </c:pt>
              </c:numCache>
            </c:numRef>
          </c:xVal>
          <c:yVal>
            <c:numRef>
              <c:f>'MinSys D&amp;S'!$M$15:$M$29</c:f>
              <c:numCache>
                <c:formatCode>0.00%</c:formatCode>
                <c:ptCount val="15"/>
                <c:pt idx="0">
                  <c:v>1.0316971796438831E-3</c:v>
                </c:pt>
                <c:pt idx="1">
                  <c:v>1.0316971796438831E-3</c:v>
                </c:pt>
                <c:pt idx="2">
                  <c:v>1.0316971796438831E-3</c:v>
                </c:pt>
                <c:pt idx="3">
                  <c:v>1.0316971796438831E-3</c:v>
                </c:pt>
                <c:pt idx="4">
                  <c:v>1.0316971796438831E-3</c:v>
                </c:pt>
                <c:pt idx="5">
                  <c:v>0.67478469124119067</c:v>
                </c:pt>
                <c:pt idx="6">
                  <c:v>0.64319762060111829</c:v>
                </c:pt>
                <c:pt idx="7">
                  <c:v>0.66804653335594111</c:v>
                </c:pt>
                <c:pt idx="8">
                  <c:v>0.66402119510780189</c:v>
                </c:pt>
                <c:pt idx="9">
                  <c:v>0.67478469124119067</c:v>
                </c:pt>
                <c:pt idx="10">
                  <c:v>0.6745528330796664</c:v>
                </c:pt>
                <c:pt idx="11">
                  <c:v>0.67306532202560232</c:v>
                </c:pt>
                <c:pt idx="12">
                  <c:v>0.67394367176824455</c:v>
                </c:pt>
                <c:pt idx="13">
                  <c:v>0.67425257090973245</c:v>
                </c:pt>
                <c:pt idx="14">
                  <c:v>0.67443014057276918</c:v>
                </c:pt>
              </c:numCache>
            </c:numRef>
          </c:yVal>
          <c:smooth val="0"/>
        </c:ser>
        <c:ser>
          <c:idx val="2"/>
          <c:order val="2"/>
          <c:tx>
            <c:v>Z-I Dist'n Only</c:v>
          </c:tx>
          <c:spPr>
            <a:ln w="28575">
              <a:noFill/>
            </a:ln>
          </c:spPr>
          <c:xVal>
            <c:numRef>
              <c:f>'MinSys D&amp;S'!$A$15:$A$29</c:f>
              <c:numCache>
                <c:formatCode>General</c:formatCode>
                <c:ptCount val="15"/>
                <c:pt idx="0">
                  <c:v>26.7</c:v>
                </c:pt>
                <c:pt idx="1">
                  <c:v>33.4</c:v>
                </c:pt>
                <c:pt idx="2">
                  <c:v>42.2</c:v>
                </c:pt>
                <c:pt idx="3">
                  <c:v>48.3</c:v>
                </c:pt>
                <c:pt idx="4">
                  <c:v>60.3</c:v>
                </c:pt>
                <c:pt idx="5">
                  <c:v>88.9</c:v>
                </c:pt>
                <c:pt idx="6">
                  <c:v>114.3</c:v>
                </c:pt>
                <c:pt idx="7">
                  <c:v>168.3</c:v>
                </c:pt>
                <c:pt idx="8">
                  <c:v>219.1</c:v>
                </c:pt>
                <c:pt idx="9">
                  <c:v>273.10000000000002</c:v>
                </c:pt>
                <c:pt idx="10">
                  <c:v>323.89999999999998</c:v>
                </c:pt>
                <c:pt idx="11">
                  <c:v>406.4</c:v>
                </c:pt>
                <c:pt idx="12">
                  <c:v>508</c:v>
                </c:pt>
                <c:pt idx="13">
                  <c:v>610</c:v>
                </c:pt>
                <c:pt idx="14">
                  <c:v>762</c:v>
                </c:pt>
              </c:numCache>
            </c:numRef>
          </c:xVal>
          <c:yVal>
            <c:numRef>
              <c:f>'MinSys D&amp;S'!$J$15:$J$29</c:f>
              <c:numCache>
                <c:formatCode>0.00%</c:formatCode>
                <c:ptCount val="15"/>
                <c:pt idx="0">
                  <c:v>4.5526751781547414E-2</c:v>
                </c:pt>
                <c:pt idx="1">
                  <c:v>4.8355013442106486E-2</c:v>
                </c:pt>
                <c:pt idx="2">
                  <c:v>6.1224232191801078E-2</c:v>
                </c:pt>
                <c:pt idx="3">
                  <c:v>7.736767817100626E-2</c:v>
                </c:pt>
                <c:pt idx="4">
                  <c:v>8.9806799427530212E-2</c:v>
                </c:pt>
                <c:pt idx="5">
                  <c:v>0.10866081210557875</c:v>
                </c:pt>
                <c:pt idx="6">
                  <c:v>0.29862912255694163</c:v>
                </c:pt>
                <c:pt idx="7">
                  <c:v>0.40312177992367926</c:v>
                </c:pt>
                <c:pt idx="8">
                  <c:v>0.44610553661562696</c:v>
                </c:pt>
                <c:pt idx="9">
                  <c:v>0.53425737978498156</c:v>
                </c:pt>
                <c:pt idx="10">
                  <c:v>0.47808335510655647</c:v>
                </c:pt>
                <c:pt idx="11">
                  <c:v>0.52806780986299884</c:v>
                </c:pt>
                <c:pt idx="12">
                  <c:v>0.5440763370557814</c:v>
                </c:pt>
                <c:pt idx="13">
                  <c:v>0.5440763370557814</c:v>
                </c:pt>
                <c:pt idx="14">
                  <c:v>0.5440763370557814</c:v>
                </c:pt>
              </c:numCache>
            </c:numRef>
          </c:yVal>
          <c:smooth val="0"/>
        </c:ser>
        <c:ser>
          <c:idx val="3"/>
          <c:order val="3"/>
          <c:tx>
            <c:v>100% Demand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'MinSys D&amp;S'!$A$15:$A$29</c:f>
              <c:numCache>
                <c:formatCode>General</c:formatCode>
                <c:ptCount val="15"/>
                <c:pt idx="0">
                  <c:v>26.7</c:v>
                </c:pt>
                <c:pt idx="1">
                  <c:v>33.4</c:v>
                </c:pt>
                <c:pt idx="2">
                  <c:v>42.2</c:v>
                </c:pt>
                <c:pt idx="3">
                  <c:v>48.3</c:v>
                </c:pt>
                <c:pt idx="4">
                  <c:v>60.3</c:v>
                </c:pt>
                <c:pt idx="5">
                  <c:v>88.9</c:v>
                </c:pt>
                <c:pt idx="6">
                  <c:v>114.3</c:v>
                </c:pt>
                <c:pt idx="7">
                  <c:v>168.3</c:v>
                </c:pt>
                <c:pt idx="8">
                  <c:v>219.1</c:v>
                </c:pt>
                <c:pt idx="9">
                  <c:v>273.10000000000002</c:v>
                </c:pt>
                <c:pt idx="10">
                  <c:v>323.89999999999998</c:v>
                </c:pt>
                <c:pt idx="11">
                  <c:v>406.4</c:v>
                </c:pt>
                <c:pt idx="12">
                  <c:v>508</c:v>
                </c:pt>
                <c:pt idx="13">
                  <c:v>610</c:v>
                </c:pt>
                <c:pt idx="14">
                  <c:v>762</c:v>
                </c:pt>
              </c:numCache>
            </c:numRef>
          </c:xVal>
          <c:yVal>
            <c:numRef>
              <c:f>'MinSys D&amp;S'!$N$15:$N$29</c:f>
              <c:numCache>
                <c:formatCode>0.00%</c:formatCode>
                <c:ptCount val="15"/>
                <c:pt idx="0">
                  <c:v>0.5440763370557814</c:v>
                </c:pt>
                <c:pt idx="1">
                  <c:v>0.5440763370557814</c:v>
                </c:pt>
                <c:pt idx="2">
                  <c:v>0.5440763370557814</c:v>
                </c:pt>
                <c:pt idx="3">
                  <c:v>0.5440763370557814</c:v>
                </c:pt>
                <c:pt idx="4">
                  <c:v>0.5440763370557814</c:v>
                </c:pt>
                <c:pt idx="5">
                  <c:v>0.5440763370557814</c:v>
                </c:pt>
                <c:pt idx="6">
                  <c:v>0.5440763370557814</c:v>
                </c:pt>
                <c:pt idx="7">
                  <c:v>0.5440763370557814</c:v>
                </c:pt>
                <c:pt idx="8">
                  <c:v>0.5440763370557814</c:v>
                </c:pt>
                <c:pt idx="9">
                  <c:v>0.5440763370557814</c:v>
                </c:pt>
                <c:pt idx="10">
                  <c:v>0.5440763370557814</c:v>
                </c:pt>
                <c:pt idx="11">
                  <c:v>0.5440763370557814</c:v>
                </c:pt>
                <c:pt idx="12">
                  <c:v>0.5440763370557814</c:v>
                </c:pt>
                <c:pt idx="13">
                  <c:v>0.5440763370557814</c:v>
                </c:pt>
                <c:pt idx="14">
                  <c:v>0.5440763370557814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7424"/>
        <c:axId val="30093696"/>
      </c:scatterChart>
      <c:valAx>
        <c:axId val="30087424"/>
        <c:scaling>
          <c:orientation val="minMax"/>
          <c:max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Steel</a:t>
                </a:r>
                <a:r>
                  <a:rPr lang="en-US" baseline="0"/>
                  <a:t> Main Diameter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93696"/>
        <c:crosses val="autoZero"/>
        <c:crossBetween val="midCat"/>
      </c:valAx>
      <c:valAx>
        <c:axId val="30093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D4/D5</a:t>
                </a:r>
                <a:r>
                  <a:rPr lang="en-US" baseline="0"/>
                  <a:t> Share of Allocated Cost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3008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D4/D5 Share of Plastic Mains Cost</a:t>
            </a:r>
          </a:p>
          <a:p>
            <a:pPr>
              <a:defRPr/>
            </a:pPr>
            <a:r>
              <a:rPr lang="en-US" sz="1200" baseline="0"/>
              <a:t>By Pipe Diameter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B&amp;V MinSys</c:v>
          </c:tx>
          <c:spPr>
            <a:ln w="28575">
              <a:noFill/>
            </a:ln>
          </c:spPr>
          <c:xVal>
            <c:numRef>
              <c:f>'MinSys D&amp;S'!$A$6:$A$12</c:f>
              <c:numCache>
                <c:formatCode>General</c:formatCode>
                <c:ptCount val="7"/>
                <c:pt idx="0">
                  <c:v>26.7</c:v>
                </c:pt>
                <c:pt idx="1">
                  <c:v>42.2</c:v>
                </c:pt>
                <c:pt idx="2">
                  <c:v>60.3</c:v>
                </c:pt>
                <c:pt idx="3">
                  <c:v>88.9</c:v>
                </c:pt>
                <c:pt idx="4">
                  <c:v>114.3</c:v>
                </c:pt>
                <c:pt idx="5">
                  <c:v>168.3</c:v>
                </c:pt>
                <c:pt idx="6">
                  <c:v>219.1</c:v>
                </c:pt>
              </c:numCache>
            </c:numRef>
          </c:xVal>
          <c:yVal>
            <c:numRef>
              <c:f>'MinSys D&amp;S'!$G$6:$G$12</c:f>
              <c:numCache>
                <c:formatCode>0.00%</c:formatCode>
                <c:ptCount val="7"/>
                <c:pt idx="0">
                  <c:v>-6.1627295513693371E-2</c:v>
                </c:pt>
                <c:pt idx="1">
                  <c:v>-5.4822929031896075E-2</c:v>
                </c:pt>
                <c:pt idx="2">
                  <c:v>1.0316971796438831E-3</c:v>
                </c:pt>
                <c:pt idx="3">
                  <c:v>3.5928414992617917E-2</c:v>
                </c:pt>
                <c:pt idx="4">
                  <c:v>0.10986268479326139</c:v>
                </c:pt>
                <c:pt idx="5">
                  <c:v>0.16339487158827543</c:v>
                </c:pt>
                <c:pt idx="6">
                  <c:v>0.17559266913157079</c:v>
                </c:pt>
              </c:numCache>
            </c:numRef>
          </c:yVal>
          <c:smooth val="0"/>
        </c:ser>
        <c:ser>
          <c:idx val="1"/>
          <c:order val="1"/>
          <c:tx>
            <c:v>ROEÉ Table 4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'MinSys D&amp;S'!$A$6:$A$12</c:f>
              <c:numCache>
                <c:formatCode>General</c:formatCode>
                <c:ptCount val="7"/>
                <c:pt idx="0">
                  <c:v>26.7</c:v>
                </c:pt>
                <c:pt idx="1">
                  <c:v>42.2</c:v>
                </c:pt>
                <c:pt idx="2">
                  <c:v>60.3</c:v>
                </c:pt>
                <c:pt idx="3">
                  <c:v>88.9</c:v>
                </c:pt>
                <c:pt idx="4">
                  <c:v>114.3</c:v>
                </c:pt>
                <c:pt idx="5">
                  <c:v>168.3</c:v>
                </c:pt>
                <c:pt idx="6">
                  <c:v>219.1</c:v>
                </c:pt>
              </c:numCache>
            </c:numRef>
          </c:xVal>
          <c:yVal>
            <c:numRef>
              <c:f>'MinSys D&amp;S'!$M$6:$M$12</c:f>
              <c:numCache>
                <c:formatCode>0.00%</c:formatCode>
                <c:ptCount val="7"/>
                <c:pt idx="0">
                  <c:v>1.0316971796438831E-3</c:v>
                </c:pt>
                <c:pt idx="1">
                  <c:v>1.0316971796438831E-3</c:v>
                </c:pt>
                <c:pt idx="2">
                  <c:v>1.0316971796438831E-3</c:v>
                </c:pt>
                <c:pt idx="3">
                  <c:v>0.65554567910915362</c:v>
                </c:pt>
                <c:pt idx="4">
                  <c:v>0.64558089619325942</c:v>
                </c:pt>
                <c:pt idx="5">
                  <c:v>0.66810166161948314</c:v>
                </c:pt>
                <c:pt idx="6">
                  <c:v>0.67367036963491844</c:v>
                </c:pt>
              </c:numCache>
            </c:numRef>
          </c:yVal>
          <c:smooth val="0"/>
        </c:ser>
        <c:ser>
          <c:idx val="2"/>
          <c:order val="2"/>
          <c:tx>
            <c:v>Z-I Dist'n Only</c:v>
          </c:tx>
          <c:spPr>
            <a:ln w="28575">
              <a:noFill/>
            </a:ln>
          </c:spPr>
          <c:xVal>
            <c:numRef>
              <c:f>'MinSys D&amp;S'!$A$6:$A$12</c:f>
              <c:numCache>
                <c:formatCode>General</c:formatCode>
                <c:ptCount val="7"/>
                <c:pt idx="0">
                  <c:v>26.7</c:v>
                </c:pt>
                <c:pt idx="1">
                  <c:v>42.2</c:v>
                </c:pt>
                <c:pt idx="2">
                  <c:v>60.3</c:v>
                </c:pt>
                <c:pt idx="3">
                  <c:v>88.9</c:v>
                </c:pt>
                <c:pt idx="4">
                  <c:v>114.3</c:v>
                </c:pt>
                <c:pt idx="5">
                  <c:v>168.3</c:v>
                </c:pt>
                <c:pt idx="6">
                  <c:v>219.1</c:v>
                </c:pt>
              </c:numCache>
            </c:numRef>
          </c:xVal>
          <c:yVal>
            <c:numRef>
              <c:f>'MinSys D&amp;S'!$J$6:$J$12</c:f>
              <c:numCache>
                <c:formatCode>0.00%</c:formatCode>
                <c:ptCount val="7"/>
                <c:pt idx="0">
                  <c:v>4.3730047062565509E-2</c:v>
                </c:pt>
                <c:pt idx="1">
                  <c:v>4.8568135759499705E-2</c:v>
                </c:pt>
                <c:pt idx="2">
                  <c:v>8.8282286440307667E-2</c:v>
                </c:pt>
                <c:pt idx="3">
                  <c:v>0.11309479712189829</c:v>
                </c:pt>
                <c:pt idx="4">
                  <c:v>0.16566406363561131</c:v>
                </c:pt>
                <c:pt idx="5">
                  <c:v>0.20372689704530128</c:v>
                </c:pt>
                <c:pt idx="6">
                  <c:v>0.21239986117496432</c:v>
                </c:pt>
              </c:numCache>
            </c:numRef>
          </c:yVal>
          <c:smooth val="0"/>
        </c:ser>
        <c:ser>
          <c:idx val="3"/>
          <c:order val="3"/>
          <c:tx>
            <c:v>100% Demand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'MinSys D&amp;S'!$A$15:$A$29</c:f>
              <c:numCache>
                <c:formatCode>General</c:formatCode>
                <c:ptCount val="15"/>
                <c:pt idx="0">
                  <c:v>26.7</c:v>
                </c:pt>
                <c:pt idx="1">
                  <c:v>33.4</c:v>
                </c:pt>
                <c:pt idx="2">
                  <c:v>42.2</c:v>
                </c:pt>
                <c:pt idx="3">
                  <c:v>48.3</c:v>
                </c:pt>
                <c:pt idx="4">
                  <c:v>60.3</c:v>
                </c:pt>
                <c:pt idx="5">
                  <c:v>88.9</c:v>
                </c:pt>
                <c:pt idx="6">
                  <c:v>114.3</c:v>
                </c:pt>
                <c:pt idx="7">
                  <c:v>168.3</c:v>
                </c:pt>
                <c:pt idx="8">
                  <c:v>219.1</c:v>
                </c:pt>
                <c:pt idx="9">
                  <c:v>273.10000000000002</c:v>
                </c:pt>
                <c:pt idx="10">
                  <c:v>323.89999999999998</c:v>
                </c:pt>
                <c:pt idx="11">
                  <c:v>406.4</c:v>
                </c:pt>
                <c:pt idx="12">
                  <c:v>508</c:v>
                </c:pt>
                <c:pt idx="13">
                  <c:v>610</c:v>
                </c:pt>
                <c:pt idx="14">
                  <c:v>762</c:v>
                </c:pt>
              </c:numCache>
            </c:numRef>
          </c:xVal>
          <c:yVal>
            <c:numRef>
              <c:f>'MinSys D&amp;S'!$N$15:$N$29</c:f>
              <c:numCache>
                <c:formatCode>0.00%</c:formatCode>
                <c:ptCount val="15"/>
                <c:pt idx="0">
                  <c:v>0.5440763370557814</c:v>
                </c:pt>
                <c:pt idx="1">
                  <c:v>0.5440763370557814</c:v>
                </c:pt>
                <c:pt idx="2">
                  <c:v>0.5440763370557814</c:v>
                </c:pt>
                <c:pt idx="3">
                  <c:v>0.5440763370557814</c:v>
                </c:pt>
                <c:pt idx="4">
                  <c:v>0.5440763370557814</c:v>
                </c:pt>
                <c:pt idx="5">
                  <c:v>0.5440763370557814</c:v>
                </c:pt>
                <c:pt idx="6">
                  <c:v>0.5440763370557814</c:v>
                </c:pt>
                <c:pt idx="7">
                  <c:v>0.5440763370557814</c:v>
                </c:pt>
                <c:pt idx="8">
                  <c:v>0.5440763370557814</c:v>
                </c:pt>
                <c:pt idx="9">
                  <c:v>0.5440763370557814</c:v>
                </c:pt>
                <c:pt idx="10">
                  <c:v>0.5440763370557814</c:v>
                </c:pt>
                <c:pt idx="11">
                  <c:v>0.5440763370557814</c:v>
                </c:pt>
                <c:pt idx="12">
                  <c:v>0.5440763370557814</c:v>
                </c:pt>
                <c:pt idx="13">
                  <c:v>0.5440763370557814</c:v>
                </c:pt>
                <c:pt idx="14">
                  <c:v>0.5440763370557814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4464"/>
        <c:axId val="30119040"/>
      </c:scatterChart>
      <c:valAx>
        <c:axId val="30014464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Plastic Main Diameter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119040"/>
        <c:crosses val="autoZero"/>
        <c:crossBetween val="midCat"/>
      </c:valAx>
      <c:valAx>
        <c:axId val="3011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D4/D5</a:t>
                </a:r>
                <a:r>
                  <a:rPr lang="en-US" baseline="0"/>
                  <a:t> Share of Allocated Cost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30014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209555</xdr:colOff>
      <xdr:row>56</xdr:row>
      <xdr:rowOff>214311</xdr:rowOff>
    </xdr:from>
    <xdr:to>
      <xdr:col>9</xdr:col>
      <xdr:colOff>638174</xdr:colOff>
      <xdr:row>78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9</xdr:col>
      <xdr:colOff>428619</xdr:colOff>
      <xdr:row>101</xdr:row>
      <xdr:rowOff>80963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C14" sqref="C14"/>
    </sheetView>
  </sheetViews>
  <sheetFormatPr defaultColWidth="15.7109375" defaultRowHeight="20.100000000000001" customHeight="1" x14ac:dyDescent="0.25"/>
  <cols>
    <col min="1" max="16384" width="15.7109375" style="2"/>
  </cols>
  <sheetData>
    <row r="1" spans="1:8" ht="20.100000000000001" customHeight="1" x14ac:dyDescent="0.25">
      <c r="A1" s="1" t="s">
        <v>10</v>
      </c>
    </row>
    <row r="2" spans="1:8" ht="20.100000000000001" customHeight="1" x14ac:dyDescent="0.25">
      <c r="A2" s="3"/>
    </row>
    <row r="3" spans="1:8" ht="20.100000000000001" customHeight="1" x14ac:dyDescent="0.25">
      <c r="A3" s="2" t="s">
        <v>0</v>
      </c>
      <c r="B3" s="2" t="s">
        <v>1</v>
      </c>
      <c r="C3" s="4" t="s">
        <v>2</v>
      </c>
      <c r="D3" s="2" t="s">
        <v>3</v>
      </c>
    </row>
    <row r="4" spans="1:8" ht="20.100000000000001" customHeight="1" x14ac:dyDescent="0.25">
      <c r="A4" s="5" t="s">
        <v>4</v>
      </c>
    </row>
    <row r="5" spans="1:8" ht="20.100000000000001" customHeight="1" x14ac:dyDescent="0.25">
      <c r="A5" s="2">
        <v>26.7</v>
      </c>
      <c r="B5" s="6">
        <v>362</v>
      </c>
      <c r="C5" s="6">
        <f>'MinSys D&amp;S'!D6</f>
        <v>56317.098536376136</v>
      </c>
      <c r="D5" s="6">
        <f>C5/B5</f>
        <v>155.57209540435397</v>
      </c>
    </row>
    <row r="6" spans="1:8" ht="20.100000000000001" customHeight="1" x14ac:dyDescent="0.25">
      <c r="A6" s="2">
        <v>42.2</v>
      </c>
      <c r="B6" s="6">
        <v>281133</v>
      </c>
      <c r="C6" s="6">
        <v>44206158</v>
      </c>
      <c r="D6" s="6">
        <f t="shared" ref="D6:D27" si="0">C6/B6</f>
        <v>157.24286369796502</v>
      </c>
    </row>
    <row r="7" spans="1:8" ht="20.100000000000001" customHeight="1" x14ac:dyDescent="0.25">
      <c r="A7" s="2">
        <v>60.3</v>
      </c>
      <c r="B7" s="6">
        <v>2237170</v>
      </c>
      <c r="C7" s="6">
        <v>382430716</v>
      </c>
      <c r="D7" s="6">
        <f t="shared" si="0"/>
        <v>170.94396760192564</v>
      </c>
    </row>
    <row r="8" spans="1:8" ht="20.100000000000001" customHeight="1" x14ac:dyDescent="0.25">
      <c r="A8" s="2">
        <v>88.9</v>
      </c>
      <c r="B8" s="6">
        <v>196174</v>
      </c>
      <c r="C8" s="6">
        <v>35465496</v>
      </c>
      <c r="D8" s="6">
        <f t="shared" si="0"/>
        <v>180.78591454525065</v>
      </c>
    </row>
    <row r="9" spans="1:8" ht="20.100000000000001" customHeight="1" x14ac:dyDescent="0.25">
      <c r="A9" s="2">
        <v>114.3</v>
      </c>
      <c r="B9" s="6">
        <v>2431771</v>
      </c>
      <c r="C9" s="6">
        <v>500702692</v>
      </c>
      <c r="D9" s="6">
        <f t="shared" si="0"/>
        <v>205.90042894664012</v>
      </c>
    </row>
    <row r="10" spans="1:8" ht="20.100000000000001" customHeight="1" x14ac:dyDescent="0.25">
      <c r="A10" s="2">
        <v>168.3</v>
      </c>
      <c r="B10" s="6">
        <v>953548</v>
      </c>
      <c r="C10" s="6">
        <v>218293188</v>
      </c>
      <c r="D10" s="6">
        <f t="shared" si="0"/>
        <v>228.92731986224081</v>
      </c>
    </row>
    <row r="11" spans="1:8" ht="20.100000000000001" customHeight="1" x14ac:dyDescent="0.25">
      <c r="A11" s="2">
        <v>219.1</v>
      </c>
      <c r="B11" s="6">
        <v>64475</v>
      </c>
      <c r="C11" s="6">
        <v>15145998</v>
      </c>
      <c r="D11" s="6">
        <f t="shared" si="0"/>
        <v>234.91272586273749</v>
      </c>
    </row>
    <row r="12" spans="1:8" ht="20.100000000000001" customHeight="1" x14ac:dyDescent="0.25">
      <c r="A12" s="7" t="s">
        <v>5</v>
      </c>
      <c r="B12" s="8">
        <f>SUM(B5:B11)</f>
        <v>6164633</v>
      </c>
      <c r="C12" s="8">
        <f>SUM(C5:C11)</f>
        <v>1196300565.0985365</v>
      </c>
      <c r="D12" s="8">
        <f t="shared" si="0"/>
        <v>194.05868363916173</v>
      </c>
      <c r="E12" s="9"/>
      <c r="F12" s="9"/>
      <c r="G12" s="9"/>
      <c r="H12" s="9"/>
    </row>
    <row r="13" spans="1:8" ht="20.100000000000001" customHeight="1" x14ac:dyDescent="0.25">
      <c r="A13" s="5" t="s">
        <v>6</v>
      </c>
      <c r="B13" s="6"/>
      <c r="C13" s="6"/>
      <c r="D13" s="6"/>
      <c r="F13" s="9"/>
      <c r="G13" s="9"/>
      <c r="H13" s="9"/>
    </row>
    <row r="14" spans="1:8" ht="20.100000000000001" customHeight="1" x14ac:dyDescent="0.25">
      <c r="A14" s="2">
        <v>26.7</v>
      </c>
      <c r="B14" s="6">
        <v>5031</v>
      </c>
      <c r="C14" s="6">
        <v>1530574</v>
      </c>
      <c r="D14" s="6">
        <f t="shared" si="0"/>
        <v>304.22858278672231</v>
      </c>
      <c r="F14" s="9"/>
      <c r="G14" s="9"/>
      <c r="H14" s="9"/>
    </row>
    <row r="15" spans="1:8" ht="20.100000000000001" customHeight="1" x14ac:dyDescent="0.25">
      <c r="A15" s="2">
        <v>33.4</v>
      </c>
      <c r="B15" s="6">
        <v>28106</v>
      </c>
      <c r="C15" s="6">
        <v>8703182</v>
      </c>
      <c r="D15" s="6">
        <f t="shared" si="0"/>
        <v>309.65566071301504</v>
      </c>
      <c r="F15" s="9"/>
      <c r="G15" s="9"/>
      <c r="H15" s="9"/>
    </row>
    <row r="16" spans="1:8" ht="20.100000000000001" customHeight="1" x14ac:dyDescent="0.25">
      <c r="A16" s="2">
        <v>42.2</v>
      </c>
      <c r="B16" s="6">
        <v>26326</v>
      </c>
      <c r="C16" s="6">
        <v>8338659</v>
      </c>
      <c r="D16" s="6">
        <f t="shared" si="0"/>
        <v>316.7461444959356</v>
      </c>
      <c r="F16" s="9"/>
      <c r="G16" s="9"/>
      <c r="H16" s="9"/>
    </row>
    <row r="17" spans="1:8" ht="20.100000000000001" customHeight="1" x14ac:dyDescent="0.25">
      <c r="A17" s="2">
        <v>48.3</v>
      </c>
      <c r="B17" s="6">
        <v>97293</v>
      </c>
      <c r="C17" s="6">
        <v>31296588</v>
      </c>
      <c r="D17" s="6">
        <f t="shared" si="0"/>
        <v>321.67358391662299</v>
      </c>
      <c r="F17" s="9"/>
      <c r="G17" s="9"/>
      <c r="H17" s="9"/>
    </row>
    <row r="18" spans="1:8" ht="20.100000000000001" customHeight="1" x14ac:dyDescent="0.25">
      <c r="A18" s="2">
        <v>60.3</v>
      </c>
      <c r="B18" s="6">
        <v>317847</v>
      </c>
      <c r="C18" s="6">
        <v>105319106</v>
      </c>
      <c r="D18" s="6">
        <f t="shared" si="0"/>
        <v>331.35158110663309</v>
      </c>
      <c r="F18" s="9"/>
      <c r="G18" s="9"/>
      <c r="H18" s="9"/>
    </row>
    <row r="19" spans="1:8" ht="20.100000000000001" customHeight="1" x14ac:dyDescent="0.25">
      <c r="A19" s="2">
        <v>88.9</v>
      </c>
      <c r="B19" s="6">
        <v>201668</v>
      </c>
      <c r="C19" s="6">
        <v>64819948</v>
      </c>
      <c r="D19" s="6">
        <f t="shared" si="0"/>
        <v>321.41910466707657</v>
      </c>
      <c r="F19" s="9"/>
      <c r="G19" s="9"/>
      <c r="H19" s="9"/>
    </row>
    <row r="20" spans="1:8" ht="20.100000000000001" customHeight="1" x14ac:dyDescent="0.25">
      <c r="A20" s="2">
        <v>114.3</v>
      </c>
      <c r="B20" s="6">
        <v>348989</v>
      </c>
      <c r="C20" s="6">
        <v>129219640</v>
      </c>
      <c r="D20" s="6">
        <f t="shared" si="0"/>
        <v>370.26851849198687</v>
      </c>
      <c r="F20" s="9"/>
      <c r="G20" s="9"/>
      <c r="H20" s="9"/>
    </row>
    <row r="21" spans="1:8" ht="20.100000000000001" customHeight="1" x14ac:dyDescent="0.25">
      <c r="A21" s="2">
        <v>168.3</v>
      </c>
      <c r="B21" s="6">
        <v>310381</v>
      </c>
      <c r="C21" s="6">
        <v>127894695</v>
      </c>
      <c r="D21" s="6">
        <f t="shared" si="0"/>
        <v>412.05710078903024</v>
      </c>
      <c r="F21" s="9"/>
      <c r="G21" s="9"/>
      <c r="H21" s="9"/>
    </row>
    <row r="22" spans="1:8" ht="20.100000000000001" customHeight="1" x14ac:dyDescent="0.25">
      <c r="A22" s="2">
        <v>219.1</v>
      </c>
      <c r="B22" s="6">
        <v>129675</v>
      </c>
      <c r="C22" s="6">
        <v>70880203</v>
      </c>
      <c r="D22" s="6">
        <f t="shared" si="0"/>
        <v>546.59882783882779</v>
      </c>
      <c r="F22" s="9"/>
      <c r="G22" s="9"/>
      <c r="H22" s="9"/>
    </row>
    <row r="23" spans="1:8" ht="20.100000000000001" customHeight="1" x14ac:dyDescent="0.25">
      <c r="A23" s="2">
        <v>273.10000000000002</v>
      </c>
      <c r="B23" s="6">
        <v>6865</v>
      </c>
      <c r="C23" s="6">
        <v>3453088</v>
      </c>
      <c r="D23" s="6">
        <f t="shared" si="0"/>
        <v>502.9989803350328</v>
      </c>
      <c r="F23" s="9"/>
      <c r="G23" s="9"/>
      <c r="H23" s="9"/>
    </row>
    <row r="24" spans="1:8" ht="20.100000000000001" customHeight="1" x14ac:dyDescent="0.25">
      <c r="A24" s="2">
        <v>323.89999999999998</v>
      </c>
      <c r="B24" s="6">
        <v>28777</v>
      </c>
      <c r="C24" s="6">
        <v>14619940</v>
      </c>
      <c r="D24" s="6">
        <f t="shared" si="0"/>
        <v>508.04253396809952</v>
      </c>
      <c r="F24" s="9"/>
      <c r="G24" s="9"/>
      <c r="H24" s="9"/>
    </row>
    <row r="25" spans="1:8" ht="20.100000000000001" customHeight="1" x14ac:dyDescent="0.25">
      <c r="A25" s="2">
        <v>406.4</v>
      </c>
      <c r="B25" s="6">
        <v>11270</v>
      </c>
      <c r="C25" s="6">
        <v>6799716</v>
      </c>
      <c r="D25" s="6">
        <f t="shared" si="0"/>
        <v>603.34658385093167</v>
      </c>
      <c r="F25" s="9"/>
      <c r="G25" s="9"/>
      <c r="H25" s="9"/>
    </row>
    <row r="26" spans="1:8" ht="20.100000000000001" customHeight="1" x14ac:dyDescent="0.25">
      <c r="A26" s="7" t="s">
        <v>5</v>
      </c>
      <c r="B26" s="8">
        <f>SUM(B14:B25)</f>
        <v>1512228</v>
      </c>
      <c r="C26" s="8">
        <f>SUM(C14:C25)</f>
        <v>572875339</v>
      </c>
      <c r="D26" s="8">
        <f t="shared" si="0"/>
        <v>378.82868125705915</v>
      </c>
      <c r="E26" s="9"/>
      <c r="F26" s="9"/>
      <c r="G26" s="9"/>
      <c r="H26" s="9"/>
    </row>
    <row r="27" spans="1:8" ht="20.100000000000001" customHeight="1" x14ac:dyDescent="0.25">
      <c r="A27" s="5" t="s">
        <v>7</v>
      </c>
      <c r="B27" s="10">
        <f>B26+B12</f>
        <v>7676861</v>
      </c>
      <c r="C27" s="10">
        <f>C26+C12</f>
        <v>1769175904.0985365</v>
      </c>
      <c r="D27" s="10">
        <f t="shared" si="0"/>
        <v>230.45563858698711</v>
      </c>
      <c r="E27" s="9"/>
      <c r="F27" s="9"/>
      <c r="G27" s="9"/>
      <c r="H27" s="9"/>
    </row>
    <row r="29" spans="1:8" ht="20.100000000000001" customHeight="1" x14ac:dyDescent="0.25">
      <c r="A29" s="3" t="s">
        <v>8</v>
      </c>
      <c r="C29" s="6">
        <f>D7</f>
        <v>170.94396760192564</v>
      </c>
      <c r="D29" s="11">
        <f>C29/D27</f>
        <v>0.74176517723779467</v>
      </c>
    </row>
    <row r="34" spans="1:3" ht="20.100000000000001" customHeight="1" x14ac:dyDescent="0.25">
      <c r="B34" s="2" t="s">
        <v>61</v>
      </c>
      <c r="C34" s="2" t="s">
        <v>62</v>
      </c>
    </row>
    <row r="35" spans="1:3" ht="20.100000000000001" customHeight="1" x14ac:dyDescent="0.25">
      <c r="A35" s="2" t="s">
        <v>59</v>
      </c>
      <c r="B35" s="6">
        <f>INTERCEPT(D5:D11,A5:A11)</f>
        <v>143.4170980328837</v>
      </c>
      <c r="C35" s="6">
        <f>D7</f>
        <v>170.94396760192564</v>
      </c>
    </row>
    <row r="36" spans="1:3" ht="20.100000000000001" customHeight="1" x14ac:dyDescent="0.25">
      <c r="A36" s="2" t="s">
        <v>60</v>
      </c>
      <c r="B36" s="6">
        <f>INTERCEPT(D14:D25,A14:A25)</f>
        <v>282.70910702804747</v>
      </c>
      <c r="C36" s="6">
        <f>D18</f>
        <v>331.35158110663309</v>
      </c>
    </row>
    <row r="37" spans="1:3" ht="20.100000000000001" customHeight="1" x14ac:dyDescent="0.25">
      <c r="A37" s="2" t="s">
        <v>63</v>
      </c>
      <c r="B37" s="6">
        <f>(B35*$C$12+B36*$C$26)/$C$27</f>
        <v>188.521124539369</v>
      </c>
      <c r="C37" s="6">
        <f>(C35*$C$12+C36*$C$26)/$C$27</f>
        <v>222.88541997633695</v>
      </c>
    </row>
  </sheetData>
  <pageMargins left="0.7" right="0.7" top="0.75" bottom="0.75" header="0.3" footer="0.3"/>
  <pageSetup orientation="portrait" r:id="rId1"/>
  <headerFooter>
    <oddHeader>&amp;L&amp;10Knecht Workpapers&amp;R&amp;10Docket No. R-3867-2013</oddHeader>
    <oddFooter>&amp;L&amp;10&amp;F; &amp;A&amp;R&amp;10Printed on: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workbookViewId="0">
      <pane xSplit="1" ySplit="4" topLeftCell="B19" activePane="bottomRight" state="frozen"/>
      <selection pane="topRight" activeCell="B1" sqref="B1"/>
      <selection pane="bottomLeft" activeCell="A5" sqref="A5"/>
      <selection pane="bottomRight" activeCell="G31" sqref="G31"/>
    </sheetView>
  </sheetViews>
  <sheetFormatPr defaultColWidth="15.7109375" defaultRowHeight="20.100000000000001" customHeight="1" x14ac:dyDescent="0.25"/>
  <cols>
    <col min="1" max="7" width="15.7109375" style="2" customWidth="1"/>
    <col min="8" max="8" width="20.42578125" style="2" bestFit="1" customWidth="1"/>
    <col min="9" max="9" width="15.7109375" style="2"/>
    <col min="10" max="10" width="20.42578125" style="2" bestFit="1" customWidth="1"/>
    <col min="11" max="12" width="15.7109375" style="2"/>
    <col min="13" max="13" width="21.5703125" style="2" bestFit="1" customWidth="1"/>
    <col min="14" max="16384" width="15.7109375" style="2"/>
  </cols>
  <sheetData>
    <row r="1" spans="1:15" ht="20.100000000000001" customHeight="1" x14ac:dyDescent="0.25">
      <c r="A1" s="1" t="s">
        <v>9</v>
      </c>
      <c r="B1" s="1"/>
    </row>
    <row r="2" spans="1:15" ht="20.100000000000001" customHeight="1" x14ac:dyDescent="0.25">
      <c r="A2" s="3"/>
      <c r="B2" s="3"/>
    </row>
    <row r="3" spans="1:15" ht="20.100000000000001" customHeight="1" x14ac:dyDescent="0.25">
      <c r="A3" s="3"/>
      <c r="B3" s="43"/>
      <c r="C3" s="14"/>
      <c r="D3" s="22"/>
      <c r="E3" s="50" t="s">
        <v>96</v>
      </c>
      <c r="F3" s="51"/>
      <c r="G3" s="52"/>
      <c r="H3" s="50" t="s">
        <v>100</v>
      </c>
      <c r="I3" s="51"/>
      <c r="J3" s="52"/>
      <c r="K3" s="50" t="s">
        <v>97</v>
      </c>
      <c r="L3" s="51"/>
      <c r="M3" s="52"/>
    </row>
    <row r="4" spans="1:15" ht="35.1" customHeight="1" x14ac:dyDescent="0.25">
      <c r="A4" s="2" t="s">
        <v>0</v>
      </c>
      <c r="B4" s="13" t="s">
        <v>3</v>
      </c>
      <c r="C4" s="14" t="s">
        <v>1</v>
      </c>
      <c r="D4" s="21" t="s">
        <v>2</v>
      </c>
      <c r="E4" s="13" t="s">
        <v>94</v>
      </c>
      <c r="F4" s="14" t="s">
        <v>72</v>
      </c>
      <c r="G4" s="22" t="s">
        <v>95</v>
      </c>
      <c r="H4" s="13" t="s">
        <v>94</v>
      </c>
      <c r="I4" s="14" t="s">
        <v>72</v>
      </c>
      <c r="J4" s="22" t="s">
        <v>95</v>
      </c>
      <c r="K4" s="13" t="s">
        <v>94</v>
      </c>
      <c r="L4" s="14" t="s">
        <v>72</v>
      </c>
      <c r="M4" s="22" t="s">
        <v>95</v>
      </c>
    </row>
    <row r="5" spans="1:15" ht="20.100000000000001" customHeight="1" x14ac:dyDescent="0.25">
      <c r="A5" s="5" t="s">
        <v>4</v>
      </c>
      <c r="B5" s="13"/>
      <c r="C5" s="14"/>
      <c r="D5" s="22"/>
      <c r="E5" s="13"/>
      <c r="F5" s="14"/>
      <c r="G5" s="22"/>
      <c r="H5" s="13"/>
      <c r="I5" s="14"/>
      <c r="J5" s="22"/>
      <c r="K5" s="13"/>
      <c r="L5" s="14"/>
      <c r="M5" s="22"/>
    </row>
    <row r="6" spans="1:15" ht="20.100000000000001" customHeight="1" x14ac:dyDescent="0.25">
      <c r="A6" s="2">
        <v>26.7</v>
      </c>
      <c r="B6" s="15">
        <f t="shared" ref="B6:B13" si="0">D6/C6</f>
        <v>155.7226559833434</v>
      </c>
      <c r="C6" s="16">
        <v>361.65</v>
      </c>
      <c r="D6" s="23">
        <v>56317.098536376136</v>
      </c>
      <c r="E6" s="44">
        <f>$B$8/B6</f>
        <v>1.0977464258640099</v>
      </c>
      <c r="F6" s="45">
        <f>1-E6</f>
        <v>-9.7746425864009945E-2</v>
      </c>
      <c r="G6" s="33">
        <f>E6*Allocators!$F$41+F6*Allocators!$J$41/Allocators!$J$33</f>
        <v>-6.1627295513693371E-2</v>
      </c>
      <c r="H6" s="44">
        <f>$B$38/B6</f>
        <v>0.92137230211376242</v>
      </c>
      <c r="I6" s="45">
        <f>1-H6</f>
        <v>7.862769788623758E-2</v>
      </c>
      <c r="J6" s="33">
        <f>H6*Allocators!$F$41+I6*Allocators!$H$41</f>
        <v>4.3730047062565509E-2</v>
      </c>
      <c r="K6" s="44">
        <v>1</v>
      </c>
      <c r="L6" s="45">
        <f>1-K6</f>
        <v>0</v>
      </c>
      <c r="M6" s="33">
        <f>K6*Allocators!$F$41+L6*Allocators!$P$41/Allocators!$P$33</f>
        <v>1.0316971796438831E-3</v>
      </c>
      <c r="N6" s="27">
        <f>Allocators!$H$41</f>
        <v>0.5440763370557814</v>
      </c>
      <c r="O6" s="48">
        <f>K6*D6</f>
        <v>56317.098536376136</v>
      </c>
    </row>
    <row r="7" spans="1:15" ht="20.100000000000001" customHeight="1" x14ac:dyDescent="0.25">
      <c r="A7" s="2">
        <v>42.2</v>
      </c>
      <c r="B7" s="15">
        <f t="shared" si="0"/>
        <v>157.24311522054401</v>
      </c>
      <c r="C7" s="16">
        <v>281132.55</v>
      </c>
      <c r="D7" s="23">
        <v>44206157.951895349</v>
      </c>
      <c r="E7" s="44">
        <f t="shared" ref="E7:E29" si="1">$B$8/B7</f>
        <v>1.0871317881994744</v>
      </c>
      <c r="F7" s="45">
        <f t="shared" ref="F7:F29" si="2">1-E7</f>
        <v>-8.7131788199474425E-2</v>
      </c>
      <c r="G7" s="33">
        <f>E7*Allocators!$F$41+F7*Allocators!$J$41/Allocators!$J$33</f>
        <v>-5.4822929031896075E-2</v>
      </c>
      <c r="H7" s="44">
        <f t="shared" ref="H7:H12" si="3">$B$38/B7</f>
        <v>0.91246311060045016</v>
      </c>
      <c r="I7" s="45">
        <f t="shared" ref="I7:I29" si="4">1-H7</f>
        <v>8.7536889399549844E-2</v>
      </c>
      <c r="J7" s="33">
        <f>H7*Allocators!$F$41+I7*Allocators!$H$41</f>
        <v>4.8568135759499705E-2</v>
      </c>
      <c r="K7" s="44">
        <v>1</v>
      </c>
      <c r="L7" s="45">
        <f t="shared" ref="L7:L29" si="5">1-K7</f>
        <v>0</v>
      </c>
      <c r="M7" s="33">
        <f>K7*Allocators!$F$41+L7*Allocators!$P$41/Allocators!$P$33</f>
        <v>1.0316971796438831E-3</v>
      </c>
      <c r="N7" s="27">
        <f>Allocators!$H$41</f>
        <v>0.5440763370557814</v>
      </c>
      <c r="O7" s="48">
        <f t="shared" ref="O7:O29" si="6">K7*D7</f>
        <v>44206157.951895349</v>
      </c>
    </row>
    <row r="8" spans="1:15" ht="20.100000000000001" customHeight="1" x14ac:dyDescent="0.25">
      <c r="A8" s="2">
        <v>60.3</v>
      </c>
      <c r="B8" s="15">
        <f t="shared" si="0"/>
        <v>170.94398903176599</v>
      </c>
      <c r="C8" s="16">
        <v>2237169.7200000002</v>
      </c>
      <c r="D8" s="23">
        <v>382430716.07787901</v>
      </c>
      <c r="E8" s="44">
        <f t="shared" si="1"/>
        <v>1</v>
      </c>
      <c r="F8" s="45">
        <f t="shared" si="2"/>
        <v>0</v>
      </c>
      <c r="G8" s="33">
        <f>E8*Allocators!$F$41+F8*Allocators!$J$41/Allocators!$J$33</f>
        <v>1.0316971796438831E-3</v>
      </c>
      <c r="H8" s="44">
        <f t="shared" si="3"/>
        <v>0.83933072374940543</v>
      </c>
      <c r="I8" s="45">
        <f t="shared" si="4"/>
        <v>0.16066927625059457</v>
      </c>
      <c r="J8" s="33">
        <f>H8*Allocators!$F$41+I8*Allocators!$H$41</f>
        <v>8.8282286440307667E-2</v>
      </c>
      <c r="K8" s="44">
        <v>1</v>
      </c>
      <c r="L8" s="45">
        <f t="shared" si="5"/>
        <v>0</v>
      </c>
      <c r="M8" s="33">
        <f>K8*Allocators!$F$41+L8*Allocators!$P$41/Allocators!$P$33</f>
        <v>1.0316971796438831E-3</v>
      </c>
      <c r="N8" s="27">
        <f>Allocators!$H$41</f>
        <v>0.5440763370557814</v>
      </c>
      <c r="O8" s="48">
        <f t="shared" si="6"/>
        <v>382430716.07787901</v>
      </c>
    </row>
    <row r="9" spans="1:15" ht="20.100000000000001" customHeight="1" x14ac:dyDescent="0.25">
      <c r="A9" s="2">
        <v>88.9</v>
      </c>
      <c r="B9" s="15">
        <f t="shared" si="0"/>
        <v>180.78559281473801</v>
      </c>
      <c r="C9" s="16">
        <v>196174.35</v>
      </c>
      <c r="D9" s="23">
        <v>35465496.159795903</v>
      </c>
      <c r="E9" s="44">
        <f t="shared" si="1"/>
        <v>0.94556201282556129</v>
      </c>
      <c r="F9" s="45">
        <f t="shared" si="2"/>
        <v>5.4437987174438707E-2</v>
      </c>
      <c r="G9" s="33">
        <f>E9*Allocators!$F$41+F9*Allocators!$J$41/Allocators!$J$33</f>
        <v>3.5928414992617917E-2</v>
      </c>
      <c r="H9" s="44">
        <f t="shared" si="3"/>
        <v>0.79363924857482293</v>
      </c>
      <c r="I9" s="45">
        <f t="shared" si="4"/>
        <v>0.20636075142517707</v>
      </c>
      <c r="J9" s="33">
        <f>H9*Allocators!$F$41+I9*Allocators!$H$41</f>
        <v>0.11309479712189829</v>
      </c>
      <c r="K9" s="44">
        <f>1012717/D9</f>
        <v>2.8554993152697741E-2</v>
      </c>
      <c r="L9" s="45">
        <f t="shared" si="5"/>
        <v>0.97144500684730228</v>
      </c>
      <c r="M9" s="33">
        <f>K9*Allocators!$F$41+L9*Allocators!$P$41/Allocators!$P$33</f>
        <v>0.65554567910915362</v>
      </c>
      <c r="N9" s="27">
        <f>Allocators!$H$41</f>
        <v>0.5440763370557814</v>
      </c>
      <c r="O9" s="48">
        <f t="shared" si="6"/>
        <v>1012717</v>
      </c>
    </row>
    <row r="10" spans="1:15" ht="20.100000000000001" customHeight="1" x14ac:dyDescent="0.25">
      <c r="A10" s="2">
        <v>114.3</v>
      </c>
      <c r="B10" s="15">
        <f t="shared" si="0"/>
        <v>205.90043891795901</v>
      </c>
      <c r="C10" s="16">
        <v>2431770.88</v>
      </c>
      <c r="D10" s="23">
        <v>500702691.53991139</v>
      </c>
      <c r="E10" s="44">
        <f t="shared" si="1"/>
        <v>0.83022644308144766</v>
      </c>
      <c r="F10" s="45">
        <f t="shared" si="2"/>
        <v>0.16977355691855234</v>
      </c>
      <c r="G10" s="33">
        <f>E10*Allocators!$F$41+F10*Allocators!$J$41/Allocators!$J$33</f>
        <v>0.10986268479326139</v>
      </c>
      <c r="H10" s="44">
        <f t="shared" si="3"/>
        <v>0.69683456134744604</v>
      </c>
      <c r="I10" s="45">
        <f t="shared" si="4"/>
        <v>0.30316543865255396</v>
      </c>
      <c r="J10" s="33">
        <f>H10*Allocators!$F$41+I10*Allocators!$H$41</f>
        <v>0.16566406363561131</v>
      </c>
      <c r="K10" s="44">
        <f>21702937/D10</f>
        <v>4.3344957729810889E-2</v>
      </c>
      <c r="L10" s="45">
        <f t="shared" si="5"/>
        <v>0.95665504227018916</v>
      </c>
      <c r="M10" s="33">
        <f>K10*Allocators!$F$41+L10*Allocators!$P$41/Allocators!$P$33</f>
        <v>0.64558089619325942</v>
      </c>
      <c r="N10" s="27">
        <f>Allocators!$H$41</f>
        <v>0.5440763370557814</v>
      </c>
      <c r="O10" s="48">
        <f t="shared" si="6"/>
        <v>21702937</v>
      </c>
    </row>
    <row r="11" spans="1:15" ht="20.100000000000001" customHeight="1" x14ac:dyDescent="0.25">
      <c r="A11" s="2">
        <v>168.3</v>
      </c>
      <c r="B11" s="15">
        <f t="shared" si="0"/>
        <v>228.927226049664</v>
      </c>
      <c r="C11" s="16">
        <v>953548.39</v>
      </c>
      <c r="D11" s="23">
        <v>218293187.82682317</v>
      </c>
      <c r="E11" s="44">
        <f t="shared" si="1"/>
        <v>0.7467176009666977</v>
      </c>
      <c r="F11" s="45">
        <f t="shared" si="2"/>
        <v>0.2532823990333023</v>
      </c>
      <c r="G11" s="33">
        <f>E11*Allocators!$F$41+F11*Allocators!$J$41/Allocators!$J$33</f>
        <v>0.16339487158827543</v>
      </c>
      <c r="H11" s="44">
        <f t="shared" si="3"/>
        <v>0.6267430244557981</v>
      </c>
      <c r="I11" s="45">
        <f t="shared" si="4"/>
        <v>0.3732569755442019</v>
      </c>
      <c r="J11" s="33">
        <f>H11*Allocators!$F$41+I11*Allocators!$H$41</f>
        <v>0.20372689704530128</v>
      </c>
      <c r="K11" s="44">
        <f>2165274/D11</f>
        <v>9.9191093481018743E-3</v>
      </c>
      <c r="L11" s="45">
        <f t="shared" si="5"/>
        <v>0.99008089065189808</v>
      </c>
      <c r="M11" s="33">
        <f>K11*Allocators!$F$41+L11*Allocators!$P$41/Allocators!$P$33</f>
        <v>0.66810166161948314</v>
      </c>
      <c r="N11" s="27">
        <f>Allocators!$H$41</f>
        <v>0.5440763370557814</v>
      </c>
      <c r="O11" s="48">
        <f t="shared" si="6"/>
        <v>2165274</v>
      </c>
    </row>
    <row r="12" spans="1:15" ht="20.100000000000001" customHeight="1" x14ac:dyDescent="0.25">
      <c r="A12" s="2">
        <v>219.1</v>
      </c>
      <c r="B12" s="15">
        <f t="shared" si="0"/>
        <v>234.91341368796199</v>
      </c>
      <c r="C12" s="16">
        <v>64474.81</v>
      </c>
      <c r="D12" s="23">
        <v>15145997.713982748</v>
      </c>
      <c r="E12" s="44">
        <f t="shared" si="1"/>
        <v>0.72768934880335412</v>
      </c>
      <c r="F12" s="45">
        <f t="shared" si="2"/>
        <v>0.27231065119664588</v>
      </c>
      <c r="G12" s="33">
        <f>E12*Allocators!$F$41+F12*Allocators!$J$41/Allocators!$J$33</f>
        <v>0.17559266913157079</v>
      </c>
      <c r="H12" s="44">
        <f t="shared" si="3"/>
        <v>0.61077202779585271</v>
      </c>
      <c r="I12" s="45">
        <f t="shared" si="4"/>
        <v>0.38922797220414729</v>
      </c>
      <c r="J12" s="33">
        <f>H12*Allocators!$F$41+I12*Allocators!$H$41</f>
        <v>0.21239986117496432</v>
      </c>
      <c r="K12" s="44">
        <f>25050/D12</f>
        <v>1.6539022699623084E-3</v>
      </c>
      <c r="L12" s="45">
        <f t="shared" si="5"/>
        <v>0.99834609773003768</v>
      </c>
      <c r="M12" s="33">
        <f>K12*Allocators!$F$41+L12*Allocators!$P$41/Allocators!$P$33</f>
        <v>0.67367036963491844</v>
      </c>
      <c r="N12" s="27">
        <f>Allocators!$H$41</f>
        <v>0.5440763370557814</v>
      </c>
      <c r="O12" s="48">
        <f t="shared" si="6"/>
        <v>25050</v>
      </c>
    </row>
    <row r="13" spans="1:15" ht="20.100000000000001" customHeight="1" x14ac:dyDescent="0.25">
      <c r="A13" s="7" t="s">
        <v>5</v>
      </c>
      <c r="B13" s="17">
        <f t="shared" si="0"/>
        <v>194.05870398237522</v>
      </c>
      <c r="C13" s="18">
        <f>SUM(C6:C12)</f>
        <v>6164632.3499999996</v>
      </c>
      <c r="D13" s="24">
        <f>SUM(D6:D12)</f>
        <v>1196300564.368824</v>
      </c>
      <c r="E13" s="46"/>
      <c r="F13" s="47"/>
      <c r="G13" s="33"/>
      <c r="H13" s="46"/>
      <c r="I13" s="47"/>
      <c r="J13" s="33"/>
      <c r="K13" s="44"/>
      <c r="L13" s="47"/>
      <c r="M13" s="33"/>
      <c r="O13" s="48">
        <f t="shared" si="6"/>
        <v>0</v>
      </c>
    </row>
    <row r="14" spans="1:15" ht="20.100000000000001" customHeight="1" x14ac:dyDescent="0.25">
      <c r="A14" s="5" t="s">
        <v>6</v>
      </c>
      <c r="B14" s="15"/>
      <c r="C14" s="16"/>
      <c r="D14" s="23"/>
      <c r="E14" s="44"/>
      <c r="F14" s="45"/>
      <c r="G14" s="33"/>
      <c r="H14" s="44"/>
      <c r="I14" s="45"/>
      <c r="J14" s="33"/>
      <c r="K14" s="44"/>
      <c r="L14" s="45"/>
      <c r="M14" s="33"/>
      <c r="O14" s="48">
        <f t="shared" si="6"/>
        <v>0</v>
      </c>
    </row>
    <row r="15" spans="1:15" ht="20.100000000000001" customHeight="1" x14ac:dyDescent="0.25">
      <c r="A15" s="2">
        <v>26.7</v>
      </c>
      <c r="B15" s="15">
        <f t="shared" ref="B15:B29" si="7">D15/C15</f>
        <v>304.24922569085629</v>
      </c>
      <c r="C15" s="16">
        <v>5092.04</v>
      </c>
      <c r="D15" s="23">
        <v>1549249.227186868</v>
      </c>
      <c r="E15" s="44">
        <f t="shared" si="1"/>
        <v>0.56185513255984409</v>
      </c>
      <c r="F15" s="45">
        <f t="shared" si="2"/>
        <v>0.43814486744015591</v>
      </c>
      <c r="G15" s="33">
        <f>E15*Allocators!$F$41+F15*Allocators!$J$41/Allocators!$J$33</f>
        <v>0.28189839695801766</v>
      </c>
      <c r="H15" s="44">
        <f>'MinSys D'!$B$36*'MinSys D'!B14/'MinSys D&amp;S'!D15</f>
        <v>0.91806372564131677</v>
      </c>
      <c r="I15" s="45">
        <f t="shared" si="4"/>
        <v>8.1936274358683225E-2</v>
      </c>
      <c r="J15" s="33">
        <f>H15*Allocators!$F$41+I15*Allocators!$H$41</f>
        <v>4.5526751781547414E-2</v>
      </c>
      <c r="K15" s="44">
        <v>1</v>
      </c>
      <c r="L15" s="45">
        <f t="shared" si="5"/>
        <v>0</v>
      </c>
      <c r="M15" s="33">
        <f>K15*Allocators!$F$41+L15*Allocators!$P$41/Allocators!$P$33</f>
        <v>1.0316971796438831E-3</v>
      </c>
      <c r="N15" s="27">
        <f>Allocators!$H$41</f>
        <v>0.5440763370557814</v>
      </c>
      <c r="O15" s="48">
        <f t="shared" si="6"/>
        <v>1549249.227186868</v>
      </c>
    </row>
    <row r="16" spans="1:15" ht="20.100000000000001" customHeight="1" x14ac:dyDescent="0.25">
      <c r="A16" s="2">
        <v>33.4</v>
      </c>
      <c r="B16" s="15">
        <f t="shared" si="7"/>
        <v>309.65356215914244</v>
      </c>
      <c r="C16" s="16">
        <v>28109.99</v>
      </c>
      <c r="D16" s="23">
        <v>8704358.5357578732</v>
      </c>
      <c r="E16" s="44">
        <f t="shared" si="1"/>
        <v>0.55204916048700758</v>
      </c>
      <c r="F16" s="45">
        <f t="shared" si="2"/>
        <v>0.44795083951299242</v>
      </c>
      <c r="G16" s="33">
        <f>E16*Allocators!$F$41+F16*Allocators!$J$41/Allocators!$J$33</f>
        <v>0.28818437956077553</v>
      </c>
      <c r="H16" s="44">
        <f>'MinSys D'!$B$36*'MinSys D'!B15/'MinSys D&amp;S'!D16</f>
        <v>0.91285556879217788</v>
      </c>
      <c r="I16" s="45">
        <f t="shared" si="4"/>
        <v>8.7144431207822115E-2</v>
      </c>
      <c r="J16" s="33">
        <f>H16*Allocators!$F$41+I16*Allocators!$H$41</f>
        <v>4.8355013442106486E-2</v>
      </c>
      <c r="K16" s="44">
        <v>1</v>
      </c>
      <c r="L16" s="45">
        <f t="shared" si="5"/>
        <v>0</v>
      </c>
      <c r="M16" s="33">
        <f>K16*Allocators!$F$41+L16*Allocators!$P$41/Allocators!$P$33</f>
        <v>1.0316971796438831E-3</v>
      </c>
      <c r="N16" s="27">
        <f>Allocators!$H$41</f>
        <v>0.5440763370557814</v>
      </c>
      <c r="O16" s="48">
        <f t="shared" si="6"/>
        <v>8704358.5357578732</v>
      </c>
    </row>
    <row r="17" spans="1:15" ht="20.100000000000001" customHeight="1" x14ac:dyDescent="0.25">
      <c r="A17" s="2">
        <v>42.2</v>
      </c>
      <c r="B17" s="15">
        <f t="shared" si="7"/>
        <v>316.75179513241375</v>
      </c>
      <c r="C17" s="16">
        <v>26425.73</v>
      </c>
      <c r="D17" s="23">
        <v>8370397.4151844801</v>
      </c>
      <c r="E17" s="44">
        <f t="shared" si="1"/>
        <v>0.53967804337243042</v>
      </c>
      <c r="F17" s="45">
        <f t="shared" si="2"/>
        <v>0.46032195662756958</v>
      </c>
      <c r="G17" s="33">
        <f>E17*Allocators!$F$41+F17*Allocators!$J$41/Allocators!$J$33</f>
        <v>0.29611471287003799</v>
      </c>
      <c r="H17" s="44">
        <f>'MinSys D'!$B$36*'MinSys D'!B16/'MinSys D&amp;S'!D17</f>
        <v>0.88915729832839074</v>
      </c>
      <c r="I17" s="45">
        <f t="shared" si="4"/>
        <v>0.11084270167160926</v>
      </c>
      <c r="J17" s="33">
        <f>H17*Allocators!$F$41+I17*Allocators!$H$41</f>
        <v>6.1224232191801078E-2</v>
      </c>
      <c r="K17" s="44">
        <v>1</v>
      </c>
      <c r="L17" s="45">
        <f t="shared" si="5"/>
        <v>0</v>
      </c>
      <c r="M17" s="33">
        <f>K17*Allocators!$F$41+L17*Allocators!$P$41/Allocators!$P$33</f>
        <v>1.0316971796438831E-3</v>
      </c>
      <c r="N17" s="27">
        <f>Allocators!$H$41</f>
        <v>0.5440763370557814</v>
      </c>
      <c r="O17" s="48">
        <f t="shared" si="6"/>
        <v>8370397.4151844801</v>
      </c>
    </row>
    <row r="18" spans="1:15" ht="20.100000000000001" customHeight="1" x14ac:dyDescent="0.25">
      <c r="A18" s="2">
        <v>48.3</v>
      </c>
      <c r="B18" s="15">
        <f t="shared" si="7"/>
        <v>321.6721611707041</v>
      </c>
      <c r="C18" s="16">
        <v>99494.16</v>
      </c>
      <c r="D18" s="23">
        <v>32004501.471063823</v>
      </c>
      <c r="E18" s="44">
        <f t="shared" si="1"/>
        <v>0.5314230128265589</v>
      </c>
      <c r="F18" s="45">
        <f t="shared" si="2"/>
        <v>0.4685769871734411</v>
      </c>
      <c r="G18" s="33">
        <f>E18*Allocators!$F$41+F18*Allocators!$J$41/Allocators!$J$33</f>
        <v>0.30140648588459984</v>
      </c>
      <c r="H18" s="44">
        <f>'MinSys D'!$B$36*'MinSys D'!B17/'MinSys D&amp;S'!D18</f>
        <v>0.85942963913837034</v>
      </c>
      <c r="I18" s="45">
        <f t="shared" si="4"/>
        <v>0.14057036086162966</v>
      </c>
      <c r="J18" s="33">
        <f>H18*Allocators!$F$41+I18*Allocators!$H$41</f>
        <v>7.736767817100626E-2</v>
      </c>
      <c r="K18" s="44">
        <v>1</v>
      </c>
      <c r="L18" s="45">
        <f t="shared" si="5"/>
        <v>0</v>
      </c>
      <c r="M18" s="33">
        <f>K18*Allocators!$F$41+L18*Allocators!$P$41/Allocators!$P$33</f>
        <v>1.0316971796438831E-3</v>
      </c>
      <c r="N18" s="27">
        <f>Allocators!$H$41</f>
        <v>0.5440763370557814</v>
      </c>
      <c r="O18" s="48">
        <f t="shared" si="6"/>
        <v>32004501.471063823</v>
      </c>
    </row>
    <row r="19" spans="1:15" ht="20.100000000000001" customHeight="1" x14ac:dyDescent="0.25">
      <c r="A19" s="2">
        <v>60.3</v>
      </c>
      <c r="B19" s="15">
        <f t="shared" si="7"/>
        <v>331.35156977061956</v>
      </c>
      <c r="C19" s="16">
        <v>324183.42</v>
      </c>
      <c r="D19" s="23">
        <v>107418685.11060806</v>
      </c>
      <c r="E19" s="44">
        <f t="shared" si="1"/>
        <v>0.51589913743309912</v>
      </c>
      <c r="F19" s="45">
        <f t="shared" si="2"/>
        <v>0.48410086256690088</v>
      </c>
      <c r="G19" s="33">
        <f>E19*Allocators!$F$41+F19*Allocators!$J$41/Allocators!$J$33</f>
        <v>0.3113578512286827</v>
      </c>
      <c r="H19" s="44">
        <f>'MinSys D'!$B$36*'MinSys D'!B18/'MinSys D&amp;S'!D19</f>
        <v>0.83652337997823722</v>
      </c>
      <c r="I19" s="45">
        <f t="shared" si="4"/>
        <v>0.16347662002176278</v>
      </c>
      <c r="J19" s="33">
        <f>H19*Allocators!$F$41+I19*Allocators!$H$41</f>
        <v>8.9806799427530212E-2</v>
      </c>
      <c r="K19" s="44">
        <v>1</v>
      </c>
      <c r="L19" s="45">
        <f t="shared" si="5"/>
        <v>0</v>
      </c>
      <c r="M19" s="33">
        <f>K19*Allocators!$F$41+L19*Allocators!$P$41/Allocators!$P$33</f>
        <v>1.0316971796438831E-3</v>
      </c>
      <c r="N19" s="27">
        <f>Allocators!$H$41</f>
        <v>0.5440763370557814</v>
      </c>
      <c r="O19" s="48">
        <f t="shared" si="6"/>
        <v>107418685.11060806</v>
      </c>
    </row>
    <row r="20" spans="1:15" ht="20.100000000000001" customHeight="1" x14ac:dyDescent="0.25">
      <c r="A20" s="2">
        <v>88.9</v>
      </c>
      <c r="B20" s="15">
        <f t="shared" si="7"/>
        <v>321.418660133027</v>
      </c>
      <c r="C20" s="16">
        <v>221226.59</v>
      </c>
      <c r="D20" s="23">
        <v>71106354.143598512</v>
      </c>
      <c r="E20" s="44">
        <f t="shared" si="1"/>
        <v>0.53184214308222377</v>
      </c>
      <c r="F20" s="45">
        <f t="shared" si="2"/>
        <v>0.46815785691777623</v>
      </c>
      <c r="G20" s="33">
        <f>E20*Allocators!$F$41+F20*Allocators!$J$41/Allocators!$J$33</f>
        <v>0.30113780823838293</v>
      </c>
      <c r="H20" s="44">
        <f>'MinSys D'!$B$36*'MinSys D'!B19/'MinSys D&amp;S'!D20</f>
        <v>0.80180429559071997</v>
      </c>
      <c r="I20" s="45">
        <f t="shared" si="4"/>
        <v>0.19819570440928003</v>
      </c>
      <c r="J20" s="33">
        <f>H20*Allocators!$F$41+I20*Allocators!$H$41</f>
        <v>0.10866081210557875</v>
      </c>
      <c r="K20" s="44">
        <v>0</v>
      </c>
      <c r="L20" s="45">
        <f t="shared" si="5"/>
        <v>1</v>
      </c>
      <c r="M20" s="33">
        <f>K20*Allocators!$F$41+L20*Allocators!$P$41/Allocators!$P$33</f>
        <v>0.67478469124119067</v>
      </c>
      <c r="N20" s="27">
        <f>Allocators!$H$41</f>
        <v>0.5440763370557814</v>
      </c>
      <c r="O20" s="48">
        <f t="shared" si="6"/>
        <v>0</v>
      </c>
    </row>
    <row r="21" spans="1:15" ht="20.100000000000001" customHeight="1" x14ac:dyDescent="0.25">
      <c r="A21" s="2">
        <v>114.3</v>
      </c>
      <c r="B21" s="15">
        <f t="shared" si="7"/>
        <v>370.26810418893098</v>
      </c>
      <c r="C21" s="16">
        <v>589539.16</v>
      </c>
      <c r="D21" s="23">
        <v>218287547.11833486</v>
      </c>
      <c r="E21" s="44">
        <f t="shared" si="1"/>
        <v>0.46167624782646965</v>
      </c>
      <c r="F21" s="45">
        <f t="shared" si="2"/>
        <v>0.53832375217353035</v>
      </c>
      <c r="G21" s="33">
        <f>E21*Allocators!$F$41+F21*Allocators!$J$41/Allocators!$J$33</f>
        <v>0.34611668372451521</v>
      </c>
      <c r="H21" s="44">
        <f>'MinSys D'!$B$36*'MinSys D'!B20/'MinSys D&amp;S'!D21</f>
        <v>0.45198349541728944</v>
      </c>
      <c r="I21" s="45">
        <f t="shared" si="4"/>
        <v>0.54801650458271056</v>
      </c>
      <c r="J21" s="33">
        <f>H21*Allocators!$F$41+I21*Allocators!$H$41</f>
        <v>0.29862912255694163</v>
      </c>
      <c r="K21" s="44">
        <f>10233816/D21</f>
        <v>4.6882271275201025E-2</v>
      </c>
      <c r="L21" s="45">
        <f t="shared" si="5"/>
        <v>0.95311772872479894</v>
      </c>
      <c r="M21" s="33">
        <f>K21*Allocators!$F$41+L21*Allocators!$P$41/Allocators!$P$33</f>
        <v>0.64319762060111829</v>
      </c>
      <c r="N21" s="27">
        <f>Allocators!$H$41</f>
        <v>0.5440763370557814</v>
      </c>
      <c r="O21" s="48">
        <f t="shared" si="6"/>
        <v>10233816</v>
      </c>
    </row>
    <row r="22" spans="1:15" ht="20.100000000000001" customHeight="1" x14ac:dyDescent="0.25">
      <c r="A22" s="2">
        <v>168.3</v>
      </c>
      <c r="B22" s="15">
        <f t="shared" si="7"/>
        <v>412.05700850796597</v>
      </c>
      <c r="C22" s="16">
        <v>820415.83</v>
      </c>
      <c r="D22" s="23">
        <v>338058092.64237994</v>
      </c>
      <c r="E22" s="44">
        <f t="shared" si="1"/>
        <v>0.41485519115605884</v>
      </c>
      <c r="F22" s="45">
        <f t="shared" si="2"/>
        <v>0.58514480884394116</v>
      </c>
      <c r="G22" s="33">
        <f>E22*Allocators!$F$41+F22*Allocators!$J$41/Allocators!$J$33</f>
        <v>0.37613067371824865</v>
      </c>
      <c r="H22" s="44">
        <f>'MinSys D'!$B$36*'MinSys D'!B21/'MinSys D&amp;S'!D22</f>
        <v>0.2595634811242265</v>
      </c>
      <c r="I22" s="45">
        <f t="shared" si="4"/>
        <v>0.74043651887577355</v>
      </c>
      <c r="J22" s="33">
        <f>H22*Allocators!$F$41+I22*Allocators!$H$41</f>
        <v>0.40312177992367926</v>
      </c>
      <c r="K22" s="44">
        <f>3380896/D22</f>
        <v>1.0000932010157598E-2</v>
      </c>
      <c r="L22" s="45">
        <f t="shared" si="5"/>
        <v>0.98999906798984239</v>
      </c>
      <c r="M22" s="33">
        <f>K22*Allocators!$F$41+L22*Allocators!$P$41/Allocators!$P$33</f>
        <v>0.66804653335594111</v>
      </c>
      <c r="N22" s="27">
        <f>Allocators!$H$41</f>
        <v>0.5440763370557814</v>
      </c>
      <c r="O22" s="48">
        <f t="shared" si="6"/>
        <v>3380896</v>
      </c>
    </row>
    <row r="23" spans="1:15" ht="20.100000000000001" customHeight="1" x14ac:dyDescent="0.25">
      <c r="A23" s="2">
        <v>219.1</v>
      </c>
      <c r="B23" s="15">
        <f t="shared" si="7"/>
        <v>546.60000444187199</v>
      </c>
      <c r="C23" s="16">
        <v>371762.26</v>
      </c>
      <c r="D23" s="23">
        <v>203205252.96732038</v>
      </c>
      <c r="E23" s="44">
        <f t="shared" si="1"/>
        <v>0.31274055551154861</v>
      </c>
      <c r="F23" s="45">
        <f t="shared" si="2"/>
        <v>0.68725944448845144</v>
      </c>
      <c r="G23" s="33">
        <f>E23*Allocators!$F$41+F23*Allocators!$J$41/Allocators!$J$33</f>
        <v>0.44158984679976837</v>
      </c>
      <c r="H23" s="44">
        <f>'MinSys D'!$B$36*'MinSys D'!B22/'MinSys D&amp;S'!D23</f>
        <v>0.18041021537842722</v>
      </c>
      <c r="I23" s="45">
        <f t="shared" si="4"/>
        <v>0.81958978462157273</v>
      </c>
      <c r="J23" s="33">
        <f>H23*Allocators!$F$41+I23*Allocators!$H$41</f>
        <v>0.44610553661562696</v>
      </c>
      <c r="K23" s="44">
        <f>3246292/D23</f>
        <v>1.5975433472293511E-2</v>
      </c>
      <c r="L23" s="45">
        <f t="shared" si="5"/>
        <v>0.98402456652770653</v>
      </c>
      <c r="M23" s="33">
        <f>K23*Allocators!$F$41+L23*Allocators!$P$41/Allocators!$P$33</f>
        <v>0.66402119510780189</v>
      </c>
      <c r="N23" s="27">
        <f>Allocators!$H$41</f>
        <v>0.5440763370557814</v>
      </c>
      <c r="O23" s="48">
        <f t="shared" si="6"/>
        <v>3246292.0000000005</v>
      </c>
    </row>
    <row r="24" spans="1:15" ht="20.100000000000001" customHeight="1" x14ac:dyDescent="0.25">
      <c r="A24" s="2">
        <v>273.10000000000002</v>
      </c>
      <c r="B24" s="15">
        <f t="shared" si="7"/>
        <v>502.99974894245327</v>
      </c>
      <c r="C24" s="16">
        <v>213394.26</v>
      </c>
      <c r="D24" s="23">
        <v>107337259.2057606</v>
      </c>
      <c r="E24" s="44">
        <f t="shared" si="1"/>
        <v>0.33984905438058816</v>
      </c>
      <c r="F24" s="45">
        <f t="shared" si="2"/>
        <v>0.6601509456194119</v>
      </c>
      <c r="G24" s="33">
        <f>E24*Allocators!$F$41+F24*Allocators!$J$41/Allocators!$J$33</f>
        <v>0.42421231900222356</v>
      </c>
      <c r="H24" s="44">
        <f>'MinSys D'!$B$36*'MinSys D'!B23/'MinSys D&amp;S'!D24</f>
        <v>1.808130777801141E-2</v>
      </c>
      <c r="I24" s="45">
        <f t="shared" si="4"/>
        <v>0.98191869222198858</v>
      </c>
      <c r="J24" s="33">
        <f>H24*Allocators!$F$41+I24*Allocators!$H$41</f>
        <v>0.53425737978498156</v>
      </c>
      <c r="K24" s="44">
        <v>0</v>
      </c>
      <c r="L24" s="45">
        <f t="shared" si="5"/>
        <v>1</v>
      </c>
      <c r="M24" s="33">
        <f>K24*Allocators!$F$41+L24*Allocators!$P$41/Allocators!$P$33</f>
        <v>0.67478469124119067</v>
      </c>
      <c r="N24" s="27">
        <f>Allocators!$H$41</f>
        <v>0.5440763370557814</v>
      </c>
      <c r="O24" s="48">
        <f t="shared" si="6"/>
        <v>0</v>
      </c>
    </row>
    <row r="25" spans="1:15" ht="20.100000000000001" customHeight="1" x14ac:dyDescent="0.25">
      <c r="A25" s="2">
        <v>323.89999999999998</v>
      </c>
      <c r="B25" s="15">
        <f t="shared" si="7"/>
        <v>508.038811672603</v>
      </c>
      <c r="C25" s="16">
        <v>131772.93</v>
      </c>
      <c r="D25" s="23">
        <v>66945762.767817095</v>
      </c>
      <c r="E25" s="44">
        <f t="shared" si="1"/>
        <v>0.33647820816872542</v>
      </c>
      <c r="F25" s="45">
        <f t="shared" si="2"/>
        <v>0.66352179183127458</v>
      </c>
      <c r="G25" s="33">
        <f>E25*Allocators!$F$41+F25*Allocators!$J$41/Allocators!$J$33</f>
        <v>0.42637315328636721</v>
      </c>
      <c r="H25" s="44">
        <f>'MinSys D'!$B$36*'MinSys D'!B24/'MinSys D&amp;S'!D25</f>
        <v>0.12152404628149399</v>
      </c>
      <c r="I25" s="45">
        <f t="shared" si="4"/>
        <v>0.87847595371850606</v>
      </c>
      <c r="J25" s="33">
        <f>H25*Allocators!$F$41+I25*Allocators!$H$41</f>
        <v>0.47808335510655647</v>
      </c>
      <c r="K25" s="44">
        <f>23038/D25</f>
        <v>3.4412932271607607E-4</v>
      </c>
      <c r="L25" s="45">
        <f t="shared" si="5"/>
        <v>0.9996558706772839</v>
      </c>
      <c r="M25" s="33">
        <f>K25*Allocators!$F$41+L25*Allocators!$P$41/Allocators!$P$33</f>
        <v>0.6745528330796664</v>
      </c>
      <c r="N25" s="27">
        <f>Allocators!$H$41</f>
        <v>0.5440763370557814</v>
      </c>
      <c r="O25" s="48">
        <f t="shared" si="6"/>
        <v>23038</v>
      </c>
    </row>
    <row r="26" spans="1:15" ht="20.100000000000001" customHeight="1" x14ac:dyDescent="0.25">
      <c r="A26" s="2">
        <v>406.4</v>
      </c>
      <c r="B26" s="15">
        <f t="shared" si="7"/>
        <v>603.35356202755997</v>
      </c>
      <c r="C26" s="16">
        <v>179133.16</v>
      </c>
      <c r="D26" s="23">
        <v>108080630.16325283</v>
      </c>
      <c r="E26" s="44">
        <f t="shared" si="1"/>
        <v>0.28332307918645822</v>
      </c>
      <c r="F26" s="45">
        <f t="shared" si="2"/>
        <v>0.71667692081354173</v>
      </c>
      <c r="G26" s="33">
        <f>E26*Allocators!$F$41+F26*Allocators!$J$41/Allocators!$J$33</f>
        <v>0.46044751262045741</v>
      </c>
      <c r="H26" s="44">
        <f>'MinSys D'!$B$36*'MinSys D'!B25/'MinSys D&amp;S'!D26</f>
        <v>2.9479210394994279E-2</v>
      </c>
      <c r="I26" s="45">
        <f t="shared" si="4"/>
        <v>0.97052078960500576</v>
      </c>
      <c r="J26" s="33">
        <f>H26*Allocators!$F$41+I26*Allocators!$H$41</f>
        <v>0.52806780986299884</v>
      </c>
      <c r="K26" s="44">
        <f>275814/D26</f>
        <v>2.5519281260979929E-3</v>
      </c>
      <c r="L26" s="45">
        <f t="shared" si="5"/>
        <v>0.99744807187390205</v>
      </c>
      <c r="M26" s="33">
        <f>K26*Allocators!$F$41+L26*Allocators!$P$41/Allocators!$P$33</f>
        <v>0.67306532202560232</v>
      </c>
      <c r="N26" s="27">
        <f>Allocators!$H$41</f>
        <v>0.5440763370557814</v>
      </c>
      <c r="O26" s="48">
        <f t="shared" si="6"/>
        <v>275814</v>
      </c>
    </row>
    <row r="27" spans="1:15" ht="20.100000000000001" customHeight="1" x14ac:dyDescent="0.25">
      <c r="A27" s="2">
        <v>508</v>
      </c>
      <c r="B27" s="15">
        <f t="shared" si="7"/>
        <v>692.47417228579798</v>
      </c>
      <c r="C27" s="16">
        <v>51179.54</v>
      </c>
      <c r="D27" s="23">
        <v>35440509.599467888</v>
      </c>
      <c r="E27" s="44">
        <f t="shared" si="1"/>
        <v>0.24685973264171646</v>
      </c>
      <c r="F27" s="45">
        <f t="shared" si="2"/>
        <v>0.75314026735828354</v>
      </c>
      <c r="G27" s="33">
        <f>E27*Allocators!$F$41+F27*Allocators!$J$41/Allocators!$J$33</f>
        <v>0.48382183597321377</v>
      </c>
      <c r="H27" s="44">
        <v>0</v>
      </c>
      <c r="I27" s="45">
        <f t="shared" si="4"/>
        <v>1</v>
      </c>
      <c r="J27" s="33">
        <f>H27*Allocators!$F$41+I27*Allocators!$H$41</f>
        <v>0.5440763370557814</v>
      </c>
      <c r="K27" s="44">
        <f>44239/D27</f>
        <v>1.2482608320243853E-3</v>
      </c>
      <c r="L27" s="45">
        <f t="shared" si="5"/>
        <v>0.99875173916797566</v>
      </c>
      <c r="M27" s="33">
        <f>K27*Allocators!$F$41+L27*Allocators!$P$41/Allocators!$P$33</f>
        <v>0.67394367176824455</v>
      </c>
      <c r="N27" s="27">
        <f>Allocators!$H$41</f>
        <v>0.5440763370557814</v>
      </c>
      <c r="O27" s="48">
        <f t="shared" si="6"/>
        <v>44239</v>
      </c>
    </row>
    <row r="28" spans="1:15" ht="20.100000000000001" customHeight="1" x14ac:dyDescent="0.25">
      <c r="A28" s="2">
        <v>610</v>
      </c>
      <c r="B28" s="15">
        <f t="shared" si="7"/>
        <v>774.74914538507915</v>
      </c>
      <c r="C28" s="16">
        <v>18279.560000000001</v>
      </c>
      <c r="D28" s="23">
        <v>14162073.488015279</v>
      </c>
      <c r="E28" s="44">
        <f t="shared" si="1"/>
        <v>0.22064430796732337</v>
      </c>
      <c r="F28" s="45">
        <f t="shared" si="2"/>
        <v>0.77935569203267663</v>
      </c>
      <c r="G28" s="33">
        <f>E28*Allocators!$F$41+F28*Allocators!$J$41/Allocators!$J$33</f>
        <v>0.50062687092570257</v>
      </c>
      <c r="H28" s="44">
        <v>0</v>
      </c>
      <c r="I28" s="45">
        <f t="shared" si="4"/>
        <v>1</v>
      </c>
      <c r="J28" s="33">
        <f>H28*Allocators!$F$41+I28*Allocators!$H$41</f>
        <v>0.5440763370557814</v>
      </c>
      <c r="K28" s="44">
        <f>11185/D28</f>
        <v>7.8978547946848031E-4</v>
      </c>
      <c r="L28" s="45">
        <f t="shared" si="5"/>
        <v>0.99921021452053149</v>
      </c>
      <c r="M28" s="33">
        <f>K28*Allocators!$F$41+L28*Allocators!$P$41/Allocators!$P$33</f>
        <v>0.67425257090973245</v>
      </c>
      <c r="N28" s="27">
        <f>Allocators!$H$41</f>
        <v>0.5440763370557814</v>
      </c>
      <c r="O28" s="48">
        <f t="shared" si="6"/>
        <v>11185</v>
      </c>
    </row>
    <row r="29" spans="1:15" ht="20.100000000000001" customHeight="1" x14ac:dyDescent="0.25">
      <c r="A29" s="2">
        <v>762</v>
      </c>
      <c r="B29" s="15">
        <f t="shared" si="7"/>
        <v>897.35498765067473</v>
      </c>
      <c r="C29" s="16">
        <v>8104.32</v>
      </c>
      <c r="D29" s="23">
        <v>7272451.9735171162</v>
      </c>
      <c r="E29" s="44">
        <f t="shared" si="1"/>
        <v>0.1904976195421913</v>
      </c>
      <c r="F29" s="45">
        <f t="shared" si="2"/>
        <v>0.80950238045780876</v>
      </c>
      <c r="G29" s="33">
        <f>E29*Allocators!$F$41+F29*Allocators!$J$41/Allocators!$J$33</f>
        <v>0.51995198806488763</v>
      </c>
      <c r="H29" s="44">
        <v>0</v>
      </c>
      <c r="I29" s="45">
        <f t="shared" si="4"/>
        <v>1</v>
      </c>
      <c r="J29" s="33">
        <f>H29*Allocators!$F$41+I29*Allocators!$H$41</f>
        <v>0.5440763370557814</v>
      </c>
      <c r="K29" s="44">
        <f>3827/D29</f>
        <v>5.2623241981331081E-4</v>
      </c>
      <c r="L29" s="45">
        <f t="shared" si="5"/>
        <v>0.99947376758018669</v>
      </c>
      <c r="M29" s="33">
        <f>K29*Allocators!$F$41+L29*Allocators!$P$41/Allocators!$P$33</f>
        <v>0.67443014057276918</v>
      </c>
      <c r="N29" s="27">
        <f>Allocators!$H$41</f>
        <v>0.5440763370557814</v>
      </c>
      <c r="O29" s="48">
        <f t="shared" si="6"/>
        <v>3827</v>
      </c>
    </row>
    <row r="30" spans="1:15" ht="20.100000000000001" customHeight="1" x14ac:dyDescent="0.25">
      <c r="A30" s="7" t="s">
        <v>5</v>
      </c>
      <c r="B30" s="17">
        <f>D30/C30</f>
        <v>430.01766688270442</v>
      </c>
      <c r="C30" s="18">
        <f>SUM(C15:C29)</f>
        <v>3088112.9499999997</v>
      </c>
      <c r="D30" s="24">
        <f>SUM(D15:D29)</f>
        <v>1327943125.8292656</v>
      </c>
      <c r="E30" s="46"/>
      <c r="F30" s="47"/>
      <c r="G30" s="33"/>
      <c r="H30" s="46"/>
      <c r="I30" s="47"/>
      <c r="J30" s="33"/>
      <c r="O30" s="48"/>
    </row>
    <row r="31" spans="1:15" ht="20.100000000000001" customHeight="1" x14ac:dyDescent="0.25">
      <c r="A31" s="5" t="s">
        <v>7</v>
      </c>
      <c r="B31" s="19">
        <f>D31/C31</f>
        <v>272.81024262043502</v>
      </c>
      <c r="C31" s="20">
        <f>C30+C13</f>
        <v>9252745.2999999989</v>
      </c>
      <c r="D31" s="25">
        <f>D30+D13</f>
        <v>2524243690.1980896</v>
      </c>
      <c r="E31" s="46"/>
      <c r="F31" s="47"/>
      <c r="G31" s="33"/>
      <c r="H31" s="46"/>
      <c r="I31" s="47"/>
      <c r="J31" s="33"/>
      <c r="O31" s="48">
        <f>SUM(O6:O29)</f>
        <v>626865467.88811195</v>
      </c>
    </row>
    <row r="32" spans="1:15" ht="20.100000000000001" customHeight="1" x14ac:dyDescent="0.25">
      <c r="F32" s="28"/>
      <c r="G32" s="11"/>
      <c r="I32" s="3"/>
      <c r="K32" s="16"/>
    </row>
    <row r="33" spans="1:10" ht="20.100000000000001" customHeight="1" x14ac:dyDescent="0.25">
      <c r="A33" s="1" t="s">
        <v>104</v>
      </c>
      <c r="B33" s="3"/>
      <c r="D33" s="6">
        <f>B8</f>
        <v>170.94398903176599</v>
      </c>
      <c r="F33" s="28"/>
      <c r="G33" s="11"/>
      <c r="I33" s="3"/>
    </row>
    <row r="34" spans="1:10" ht="20.100000000000001" customHeight="1" x14ac:dyDescent="0.25">
      <c r="D34" s="11">
        <f>D33/B31</f>
        <v>0.62660399913797571</v>
      </c>
      <c r="F34" s="28"/>
      <c r="G34" s="11"/>
      <c r="I34" s="3"/>
    </row>
    <row r="35" spans="1:10" ht="20.100000000000001" customHeight="1" x14ac:dyDescent="0.25">
      <c r="D35" s="11"/>
      <c r="F35" s="28"/>
      <c r="G35" s="11"/>
      <c r="I35" s="3"/>
    </row>
    <row r="36" spans="1:10" ht="20.100000000000001" customHeight="1" x14ac:dyDescent="0.25">
      <c r="A36" s="1" t="s">
        <v>103</v>
      </c>
      <c r="D36" s="11"/>
      <c r="F36" s="28"/>
      <c r="G36" s="11"/>
      <c r="I36" s="3"/>
    </row>
    <row r="37" spans="1:10" ht="20.100000000000001" customHeight="1" x14ac:dyDescent="0.25">
      <c r="B37" s="2" t="s">
        <v>61</v>
      </c>
      <c r="C37" s="2" t="s">
        <v>62</v>
      </c>
      <c r="F37" s="28"/>
      <c r="G37" s="11"/>
      <c r="I37" s="3"/>
    </row>
    <row r="38" spans="1:10" ht="20.100000000000001" customHeight="1" x14ac:dyDescent="0.25">
      <c r="A38" s="2" t="s">
        <v>59</v>
      </c>
      <c r="B38" s="6">
        <f>INTERCEPT(B6:B12,A6:A12)</f>
        <v>143.47854203464257</v>
      </c>
      <c r="C38" s="6">
        <f>B8</f>
        <v>170.94398903176599</v>
      </c>
      <c r="F38" s="28"/>
      <c r="G38" s="11"/>
      <c r="I38" s="3"/>
    </row>
    <row r="39" spans="1:10" ht="20.100000000000001" customHeight="1" x14ac:dyDescent="0.25">
      <c r="A39" s="2" t="s">
        <v>60</v>
      </c>
      <c r="B39" s="6">
        <f>INTERCEPT(B15:B29,A15:A29)</f>
        <v>282.71254155604447</v>
      </c>
      <c r="C39" s="6">
        <f>B19</f>
        <v>331.35156977061956</v>
      </c>
      <c r="F39" s="28"/>
      <c r="G39" s="11"/>
      <c r="I39" s="3"/>
    </row>
    <row r="40" spans="1:10" ht="20.100000000000001" customHeight="1" x14ac:dyDescent="0.25">
      <c r="A40" s="2" t="s">
        <v>63</v>
      </c>
      <c r="B40" s="6">
        <f>(B38*$C$13+B39*$C$30)/$C$31</f>
        <v>189.9480279073743</v>
      </c>
      <c r="C40" s="6">
        <f>(C38*$C$13+C39*$C$30)/$C$31</f>
        <v>224.48017870271957</v>
      </c>
      <c r="F40" s="28"/>
      <c r="G40" s="11"/>
      <c r="I40" s="3"/>
    </row>
    <row r="41" spans="1:10" ht="20.100000000000001" customHeight="1" x14ac:dyDescent="0.25">
      <c r="F41" s="28"/>
      <c r="G41" s="11"/>
      <c r="I41" s="3"/>
    </row>
    <row r="42" spans="1:10" ht="20.100000000000001" customHeight="1" x14ac:dyDescent="0.25">
      <c r="F42" s="28"/>
      <c r="G42" s="11"/>
      <c r="I42" s="2" t="s">
        <v>106</v>
      </c>
      <c r="J42" s="2" t="s">
        <v>107</v>
      </c>
    </row>
    <row r="43" spans="1:10" ht="20.100000000000001" customHeight="1" x14ac:dyDescent="0.25">
      <c r="B43" s="57" t="s">
        <v>53</v>
      </c>
      <c r="H43" s="26" t="s">
        <v>105</v>
      </c>
      <c r="I43" s="27">
        <f>Allocators!F41</f>
        <v>1.0316971796438831E-3</v>
      </c>
      <c r="J43" s="27">
        <f>Allocators!H41</f>
        <v>0.5440763370557814</v>
      </c>
    </row>
    <row r="44" spans="1:10" ht="20.100000000000001" customHeight="1" x14ac:dyDescent="0.25">
      <c r="B44" s="28"/>
      <c r="C44" s="2" t="s">
        <v>55</v>
      </c>
      <c r="D44" s="2" t="s">
        <v>56</v>
      </c>
      <c r="E44" s="3" t="s">
        <v>65</v>
      </c>
      <c r="I44" s="3"/>
    </row>
    <row r="45" spans="1:10" ht="20.100000000000001" customHeight="1" x14ac:dyDescent="0.25">
      <c r="B45" s="28" t="s">
        <v>54</v>
      </c>
      <c r="C45" s="11">
        <f>B8/B31</f>
        <v>0.62660399913797571</v>
      </c>
      <c r="D45" s="27">
        <f t="shared" ref="D45:D51" si="8">1-C45</f>
        <v>0.37339600086202429</v>
      </c>
      <c r="E45" s="3" t="s">
        <v>66</v>
      </c>
      <c r="I45" s="26" t="s">
        <v>108</v>
      </c>
    </row>
    <row r="46" spans="1:10" ht="20.100000000000001" customHeight="1" x14ac:dyDescent="0.25">
      <c r="B46" s="28" t="s">
        <v>57</v>
      </c>
      <c r="C46" s="11">
        <f>C40/B31</f>
        <v>0.8228436606577203</v>
      </c>
      <c r="D46" s="27">
        <f t="shared" si="8"/>
        <v>0.1771563393422797</v>
      </c>
      <c r="E46" s="3"/>
      <c r="H46" s="9">
        <f>C46*$I$43+D46*$J$43</f>
        <v>9.7235497679546978E-2</v>
      </c>
      <c r="I46" s="58">
        <f>(H46-$J$43)/($I$43-$J$43)</f>
        <v>0.8228436606577203</v>
      </c>
    </row>
    <row r="47" spans="1:10" ht="20.100000000000001" customHeight="1" x14ac:dyDescent="0.25">
      <c r="B47" s="28" t="s">
        <v>58</v>
      </c>
      <c r="C47" s="11">
        <f>B40/B31</f>
        <v>0.69626428275881058</v>
      </c>
      <c r="D47" s="27">
        <f t="shared" si="8"/>
        <v>0.30373571724118942</v>
      </c>
      <c r="E47" s="3"/>
      <c r="H47" s="9">
        <f>C47*$I$43+D47*$J$43</f>
        <v>0.16597375036640591</v>
      </c>
      <c r="I47" s="58">
        <f>(H47-$J$43)/($I$43-$J$43)</f>
        <v>0.69626428275881058</v>
      </c>
    </row>
    <row r="48" spans="1:10" ht="20.100000000000001" customHeight="1" x14ac:dyDescent="0.25">
      <c r="B48" s="28" t="s">
        <v>64</v>
      </c>
      <c r="C48" s="11">
        <f>626868824/2524247049</f>
        <v>0.24833893506910859</v>
      </c>
      <c r="D48" s="27">
        <f t="shared" si="8"/>
        <v>0.75166106493089146</v>
      </c>
      <c r="E48" s="3" t="s">
        <v>67</v>
      </c>
      <c r="I48" s="3"/>
    </row>
    <row r="49" spans="1:9" ht="20.100000000000001" customHeight="1" x14ac:dyDescent="0.25">
      <c r="B49" s="28" t="s">
        <v>68</v>
      </c>
      <c r="C49" s="11">
        <f>615279179/1769175903</f>
        <v>0.34777727752038007</v>
      </c>
      <c r="D49" s="27">
        <f t="shared" si="8"/>
        <v>0.65222272247961999</v>
      </c>
      <c r="E49" s="3" t="s">
        <v>69</v>
      </c>
      <c r="I49" s="3"/>
    </row>
    <row r="50" spans="1:9" ht="20.100000000000001" customHeight="1" x14ac:dyDescent="0.25">
      <c r="A50" s="9"/>
      <c r="B50" s="29" t="s">
        <v>88</v>
      </c>
      <c r="C50" s="11">
        <v>0.70930000000000004</v>
      </c>
      <c r="D50" s="27">
        <f t="shared" si="8"/>
        <v>0.29069999999999996</v>
      </c>
      <c r="E50" s="3" t="s">
        <v>89</v>
      </c>
      <c r="I50" s="3"/>
    </row>
    <row r="51" spans="1:9" ht="20.100000000000001" customHeight="1" x14ac:dyDescent="0.25">
      <c r="A51" s="9"/>
      <c r="B51" s="29" t="s">
        <v>98</v>
      </c>
      <c r="C51" s="11">
        <f>'MinSys D'!B37/'MinSys D'!D27</f>
        <v>0.81803650236229897</v>
      </c>
      <c r="D51" s="27">
        <f t="shared" si="8"/>
        <v>0.18196349763770103</v>
      </c>
      <c r="E51" s="3" t="s">
        <v>99</v>
      </c>
      <c r="G51" s="12">
        <f>C51*C54</f>
        <v>0.57334023425402802</v>
      </c>
      <c r="H51" s="9">
        <f>G51*$I$43+(1-G51)*$J$43</f>
        <v>0.23272699601880242</v>
      </c>
      <c r="I51" s="58">
        <f>(H51-$J$43)/($I$43-$J$43)</f>
        <v>0.57334023425402802</v>
      </c>
    </row>
    <row r="52" spans="1:9" ht="20.100000000000001" customHeight="1" x14ac:dyDescent="0.25">
      <c r="A52" s="9"/>
      <c r="B52" s="29"/>
      <c r="C52" s="11"/>
      <c r="E52" s="3"/>
      <c r="I52" s="3"/>
    </row>
    <row r="53" spans="1:9" ht="20.100000000000001" customHeight="1" x14ac:dyDescent="0.25">
      <c r="A53" s="9"/>
      <c r="B53" s="29" t="s">
        <v>77</v>
      </c>
      <c r="C53" s="11" t="s">
        <v>78</v>
      </c>
      <c r="D53" s="2" t="s">
        <v>79</v>
      </c>
      <c r="E53" s="3"/>
      <c r="I53" s="3"/>
    </row>
    <row r="54" spans="1:9" ht="20.100000000000001" customHeight="1" x14ac:dyDescent="0.25">
      <c r="A54" s="9"/>
      <c r="B54" s="29" t="s">
        <v>80</v>
      </c>
      <c r="C54" s="11">
        <f>'MinSys D'!C27/'MinSys D&amp;S'!D31</f>
        <v>0.70087365612457997</v>
      </c>
      <c r="D54" s="27">
        <f>1-C54</f>
        <v>0.29912634387542003</v>
      </c>
      <c r="E54" s="3"/>
      <c r="I54" s="3"/>
    </row>
    <row r="55" spans="1:9" ht="20.100000000000001" customHeight="1" x14ac:dyDescent="0.25">
      <c r="A55" s="9"/>
      <c r="B55" s="29" t="s">
        <v>81</v>
      </c>
      <c r="C55" s="11">
        <v>0.76149999999999995</v>
      </c>
      <c r="D55" s="27">
        <f>1-C55</f>
        <v>0.23850000000000005</v>
      </c>
      <c r="E55" s="3" t="s">
        <v>82</v>
      </c>
      <c r="I55" s="3"/>
    </row>
    <row r="56" spans="1:9" ht="20.100000000000001" customHeight="1" x14ac:dyDescent="0.25">
      <c r="F56" s="28"/>
      <c r="G56" s="11"/>
      <c r="I56" s="3"/>
    </row>
    <row r="57" spans="1:9" ht="20.100000000000001" customHeight="1" x14ac:dyDescent="0.25">
      <c r="F57" s="28"/>
      <c r="G57" s="11"/>
      <c r="I57" s="3"/>
    </row>
    <row r="58" spans="1:9" ht="20.100000000000001" customHeight="1" x14ac:dyDescent="0.25">
      <c r="F58" s="28"/>
      <c r="G58" s="11"/>
      <c r="I58" s="3"/>
    </row>
    <row r="59" spans="1:9" ht="20.100000000000001" customHeight="1" x14ac:dyDescent="0.25">
      <c r="F59" s="28"/>
      <c r="G59" s="11"/>
      <c r="I59" s="3"/>
    </row>
    <row r="60" spans="1:9" ht="20.100000000000001" customHeight="1" x14ac:dyDescent="0.25">
      <c r="F60" s="28"/>
      <c r="G60" s="11"/>
      <c r="I60" s="3"/>
    </row>
    <row r="61" spans="1:9" ht="20.100000000000001" customHeight="1" x14ac:dyDescent="0.25">
      <c r="F61" s="28"/>
      <c r="G61" s="11"/>
      <c r="I61" s="3"/>
    </row>
    <row r="62" spans="1:9" ht="20.100000000000001" customHeight="1" x14ac:dyDescent="0.25">
      <c r="F62" s="28"/>
      <c r="G62" s="11"/>
      <c r="I62" s="3"/>
    </row>
    <row r="63" spans="1:9" ht="20.100000000000001" customHeight="1" x14ac:dyDescent="0.25">
      <c r="F63" s="28"/>
      <c r="G63" s="11"/>
      <c r="I63" s="3"/>
    </row>
    <row r="64" spans="1:9" ht="20.100000000000001" customHeight="1" x14ac:dyDescent="0.25">
      <c r="F64" s="28"/>
      <c r="G64" s="11"/>
      <c r="I64" s="3"/>
    </row>
    <row r="65" spans="6:9" ht="20.100000000000001" customHeight="1" x14ac:dyDescent="0.25">
      <c r="F65" s="28"/>
      <c r="G65" s="11"/>
      <c r="I65" s="3"/>
    </row>
    <row r="66" spans="6:9" ht="20.100000000000001" customHeight="1" x14ac:dyDescent="0.25">
      <c r="F66" s="28"/>
      <c r="G66" s="11"/>
      <c r="I66" s="3"/>
    </row>
    <row r="67" spans="6:9" ht="20.100000000000001" customHeight="1" x14ac:dyDescent="0.25">
      <c r="F67" s="28"/>
      <c r="G67" s="11"/>
      <c r="I67" s="3"/>
    </row>
    <row r="68" spans="6:9" ht="20.100000000000001" customHeight="1" x14ac:dyDescent="0.25">
      <c r="F68" s="28"/>
      <c r="G68" s="11"/>
      <c r="I68" s="3"/>
    </row>
    <row r="69" spans="6:9" ht="20.100000000000001" customHeight="1" x14ac:dyDescent="0.25">
      <c r="F69" s="28"/>
      <c r="G69" s="11"/>
    </row>
    <row r="70" spans="6:9" ht="20.100000000000001" customHeight="1" x14ac:dyDescent="0.25">
      <c r="F70" s="28"/>
      <c r="G70" s="11"/>
    </row>
    <row r="71" spans="6:9" ht="20.100000000000001" customHeight="1" x14ac:dyDescent="0.25">
      <c r="F71" s="28"/>
      <c r="G71" s="11"/>
    </row>
    <row r="72" spans="6:9" ht="20.100000000000001" customHeight="1" x14ac:dyDescent="0.25">
      <c r="G72" s="11"/>
    </row>
    <row r="73" spans="6:9" ht="20.100000000000001" customHeight="1" x14ac:dyDescent="0.25">
      <c r="G73" s="11"/>
    </row>
    <row r="74" spans="6:9" ht="20.100000000000001" customHeight="1" x14ac:dyDescent="0.25">
      <c r="G74" s="11"/>
    </row>
    <row r="75" spans="6:9" ht="20.100000000000001" customHeight="1" x14ac:dyDescent="0.25">
      <c r="G75" s="11"/>
    </row>
    <row r="76" spans="6:9" ht="20.100000000000001" customHeight="1" x14ac:dyDescent="0.25">
      <c r="G76" s="11"/>
    </row>
    <row r="77" spans="6:9" ht="20.100000000000001" customHeight="1" x14ac:dyDescent="0.25">
      <c r="G77" s="11"/>
    </row>
    <row r="78" spans="6:9" ht="20.100000000000001" customHeight="1" x14ac:dyDescent="0.25">
      <c r="G78" s="11"/>
    </row>
    <row r="79" spans="6:9" ht="20.100000000000001" customHeight="1" x14ac:dyDescent="0.25">
      <c r="G79" s="11"/>
    </row>
    <row r="80" spans="6:9" ht="20.100000000000001" customHeight="1" x14ac:dyDescent="0.25">
      <c r="G80" s="11"/>
    </row>
    <row r="81" spans="7:7" ht="20.100000000000001" customHeight="1" x14ac:dyDescent="0.25">
      <c r="G81" s="11"/>
    </row>
    <row r="82" spans="7:7" ht="20.100000000000001" customHeight="1" x14ac:dyDescent="0.25">
      <c r="G82" s="11"/>
    </row>
    <row r="83" spans="7:7" ht="20.100000000000001" customHeight="1" x14ac:dyDescent="0.25">
      <c r="G83" s="11"/>
    </row>
    <row r="84" spans="7:7" ht="20.100000000000001" customHeight="1" x14ac:dyDescent="0.25">
      <c r="G84" s="11"/>
    </row>
    <row r="85" spans="7:7" ht="20.100000000000001" customHeight="1" x14ac:dyDescent="0.25">
      <c r="G85" s="11"/>
    </row>
    <row r="86" spans="7:7" ht="20.100000000000001" customHeight="1" x14ac:dyDescent="0.25">
      <c r="G86" s="11"/>
    </row>
    <row r="87" spans="7:7" ht="20.100000000000001" customHeight="1" x14ac:dyDescent="0.25">
      <c r="G87" s="11"/>
    </row>
    <row r="88" spans="7:7" ht="20.100000000000001" customHeight="1" x14ac:dyDescent="0.25">
      <c r="G88" s="11"/>
    </row>
    <row r="89" spans="7:7" ht="20.100000000000001" customHeight="1" x14ac:dyDescent="0.25">
      <c r="G89" s="11"/>
    </row>
    <row r="90" spans="7:7" ht="20.100000000000001" customHeight="1" x14ac:dyDescent="0.25">
      <c r="G90" s="11"/>
    </row>
    <row r="91" spans="7:7" ht="20.100000000000001" customHeight="1" x14ac:dyDescent="0.25">
      <c r="G91" s="11"/>
    </row>
    <row r="92" spans="7:7" ht="20.100000000000001" customHeight="1" x14ac:dyDescent="0.25">
      <c r="G92" s="11"/>
    </row>
    <row r="93" spans="7:7" ht="20.100000000000001" customHeight="1" x14ac:dyDescent="0.25">
      <c r="G93" s="11"/>
    </row>
    <row r="94" spans="7:7" ht="20.100000000000001" customHeight="1" x14ac:dyDescent="0.25">
      <c r="G94" s="11"/>
    </row>
    <row r="95" spans="7:7" ht="20.100000000000001" customHeight="1" x14ac:dyDescent="0.25">
      <c r="G95" s="11"/>
    </row>
    <row r="96" spans="7:7" ht="20.100000000000001" customHeight="1" x14ac:dyDescent="0.25">
      <c r="G96" s="11"/>
    </row>
    <row r="97" spans="7:7" ht="20.100000000000001" customHeight="1" x14ac:dyDescent="0.25">
      <c r="G97" s="11"/>
    </row>
    <row r="98" spans="7:7" ht="20.100000000000001" customHeight="1" x14ac:dyDescent="0.25">
      <c r="G98" s="11"/>
    </row>
    <row r="99" spans="7:7" ht="20.100000000000001" customHeight="1" x14ac:dyDescent="0.25">
      <c r="G99" s="11"/>
    </row>
  </sheetData>
  <mergeCells count="3">
    <mergeCell ref="E3:G3"/>
    <mergeCell ref="H3:J3"/>
    <mergeCell ref="K3:M3"/>
  </mergeCells>
  <pageMargins left="0.7" right="0.7" top="0.75" bottom="0.75" header="0.3" footer="0.3"/>
  <pageSetup scale="82" orientation="portrait" r:id="rId1"/>
  <headerFooter>
    <oddHeader>&amp;L&amp;10Knecht Workpapers&amp;R&amp;10Docket No. R-3867-2013</oddHeader>
    <oddFooter>&amp;L&amp;10&amp;F; &amp;A&amp;R&amp;10Printed on: 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5"/>
  <sheetViews>
    <sheetView workbookViewId="0">
      <pane xSplit="2" ySplit="5" topLeftCell="C23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ColWidth="15.7109375" defaultRowHeight="20.100000000000001" customHeight="1" x14ac:dyDescent="0.25"/>
  <cols>
    <col min="1" max="1" width="15.7109375" style="2"/>
    <col min="2" max="2" width="22.42578125" style="2" customWidth="1"/>
    <col min="3" max="8" width="15.7109375" style="2"/>
    <col min="9" max="9" width="4" style="2" customWidth="1"/>
    <col min="10" max="14" width="15.7109375" style="2"/>
    <col min="15" max="15" width="4.7109375" style="2" customWidth="1"/>
    <col min="16" max="20" width="15.7109375" style="2"/>
    <col min="21" max="21" width="4.140625" style="2" customWidth="1"/>
    <col min="22" max="22" width="15.7109375" style="2"/>
    <col min="23" max="23" width="17.140625" style="2" customWidth="1"/>
    <col min="24" max="26" width="15.7109375" style="2"/>
    <col min="27" max="27" width="5.42578125" style="2" customWidth="1"/>
    <col min="28" max="32" width="15.7109375" style="2"/>
    <col min="33" max="33" width="5" style="2" customWidth="1"/>
    <col min="34" max="16384" width="15.7109375" style="2"/>
  </cols>
  <sheetData>
    <row r="1" spans="1:40" ht="20.100000000000001" customHeight="1" x14ac:dyDescent="0.25">
      <c r="A1" s="5" t="s">
        <v>11</v>
      </c>
      <c r="B1" s="5"/>
    </row>
    <row r="2" spans="1:40" ht="20.100000000000001" customHeight="1" x14ac:dyDescent="0.25">
      <c r="A2" s="5"/>
      <c r="B2" s="5"/>
    </row>
    <row r="3" spans="1:40" ht="20.100000000000001" customHeight="1" x14ac:dyDescent="0.25">
      <c r="C3" s="13"/>
      <c r="D3" s="22"/>
      <c r="G3" s="13"/>
      <c r="H3" s="22"/>
      <c r="J3" s="53" t="s">
        <v>75</v>
      </c>
      <c r="K3" s="54"/>
      <c r="L3" s="54"/>
      <c r="M3" s="54"/>
      <c r="N3" s="55"/>
      <c r="P3" s="53" t="s">
        <v>76</v>
      </c>
      <c r="Q3" s="54"/>
      <c r="R3" s="54"/>
      <c r="S3" s="54"/>
      <c r="T3" s="55"/>
      <c r="V3" s="53" t="s">
        <v>83</v>
      </c>
      <c r="W3" s="54"/>
      <c r="X3" s="54"/>
      <c r="Y3" s="54"/>
      <c r="Z3" s="55"/>
      <c r="AB3" s="53" t="s">
        <v>86</v>
      </c>
      <c r="AC3" s="54"/>
      <c r="AD3" s="54"/>
      <c r="AE3" s="54"/>
      <c r="AF3" s="55"/>
    </row>
    <row r="4" spans="1:40" ht="20.100000000000001" customHeight="1" x14ac:dyDescent="0.25">
      <c r="C4" s="53" t="s">
        <v>48</v>
      </c>
      <c r="D4" s="55"/>
      <c r="E4" s="56" t="s">
        <v>49</v>
      </c>
      <c r="F4" s="56"/>
      <c r="G4" s="53" t="s">
        <v>51</v>
      </c>
      <c r="H4" s="55"/>
      <c r="J4" s="36"/>
      <c r="K4" s="37">
        <f>'MinSys D&amp;S'!C45*0+0.6266</f>
        <v>0.62660000000000005</v>
      </c>
      <c r="L4" s="37">
        <f>1-K4</f>
        <v>0.37339999999999995</v>
      </c>
      <c r="M4" s="38"/>
      <c r="N4" s="39"/>
      <c r="P4" s="36"/>
      <c r="Q4" s="37">
        <f>'MinSys D&amp;S'!C48</f>
        <v>0.24833893506910859</v>
      </c>
      <c r="R4" s="37">
        <f>1-Q4</f>
        <v>0.75166106493089146</v>
      </c>
      <c r="S4" s="38"/>
      <c r="T4" s="39"/>
      <c r="V4" s="36"/>
      <c r="W4" s="37">
        <f>'MinSys D&amp;S'!C49*'MinSys D&amp;S'!C55</f>
        <v>0.2648323968317694</v>
      </c>
      <c r="X4" s="37">
        <f>1-W4</f>
        <v>0.7351676031682306</v>
      </c>
      <c r="Y4" s="38"/>
      <c r="Z4" s="39"/>
      <c r="AB4" s="36"/>
      <c r="AC4" s="37">
        <f>'MinSys D&amp;S'!C55*'MinSys D&amp;S'!C50</f>
        <v>0.54013195000000003</v>
      </c>
      <c r="AD4" s="37">
        <f>1-AC4</f>
        <v>0.45986804999999997</v>
      </c>
      <c r="AE4" s="38"/>
      <c r="AF4" s="39"/>
      <c r="AL4" s="2" t="s">
        <v>91</v>
      </c>
      <c r="AM4" s="2" t="s">
        <v>92</v>
      </c>
    </row>
    <row r="5" spans="1:40" ht="20.100000000000001" customHeight="1" x14ac:dyDescent="0.25">
      <c r="A5" s="56" t="s">
        <v>12</v>
      </c>
      <c r="B5" s="56"/>
      <c r="C5" s="53" t="s">
        <v>47</v>
      </c>
      <c r="D5" s="55"/>
      <c r="E5" s="56" t="s">
        <v>50</v>
      </c>
      <c r="F5" s="56"/>
      <c r="G5" s="53" t="s">
        <v>52</v>
      </c>
      <c r="H5" s="55"/>
      <c r="J5" s="36" t="s">
        <v>70</v>
      </c>
      <c r="K5" s="38" t="s">
        <v>71</v>
      </c>
      <c r="L5" s="38" t="s">
        <v>72</v>
      </c>
      <c r="M5" s="38" t="s">
        <v>73</v>
      </c>
      <c r="N5" s="39" t="s">
        <v>74</v>
      </c>
      <c r="P5" s="36" t="s">
        <v>70</v>
      </c>
      <c r="Q5" s="38" t="s">
        <v>71</v>
      </c>
      <c r="R5" s="38" t="s">
        <v>72</v>
      </c>
      <c r="S5" s="38" t="s">
        <v>73</v>
      </c>
      <c r="T5" s="39" t="s">
        <v>74</v>
      </c>
      <c r="V5" s="36" t="s">
        <v>70</v>
      </c>
      <c r="W5" s="38" t="s">
        <v>84</v>
      </c>
      <c r="X5" s="38" t="s">
        <v>85</v>
      </c>
      <c r="Y5" s="38" t="s">
        <v>73</v>
      </c>
      <c r="Z5" s="39" t="s">
        <v>74</v>
      </c>
      <c r="AB5" s="36" t="s">
        <v>87</v>
      </c>
      <c r="AC5" s="38" t="s">
        <v>84</v>
      </c>
      <c r="AD5" s="38" t="s">
        <v>85</v>
      </c>
      <c r="AE5" s="38" t="s">
        <v>73</v>
      </c>
      <c r="AF5" s="39" t="s">
        <v>74</v>
      </c>
      <c r="AL5" s="41" t="s">
        <v>90</v>
      </c>
      <c r="AM5" s="2" t="s">
        <v>93</v>
      </c>
    </row>
    <row r="6" spans="1:40" ht="20.100000000000001" customHeight="1" x14ac:dyDescent="0.25">
      <c r="A6" s="2" t="s">
        <v>13</v>
      </c>
      <c r="B6" s="2" t="s">
        <v>14</v>
      </c>
      <c r="C6" s="15">
        <v>32448.229311697633</v>
      </c>
      <c r="D6" s="33">
        <f>C6/C$33</f>
        <v>0.16539137979681814</v>
      </c>
      <c r="E6" s="6">
        <v>9145.4480302281609</v>
      </c>
      <c r="F6" s="11">
        <f>E6/E$33</f>
        <v>6.9377448083574253E-2</v>
      </c>
      <c r="G6" s="35">
        <v>25103.049526201292</v>
      </c>
      <c r="H6" s="33">
        <f>G6/G$33</f>
        <v>5.1221745613648983E-4</v>
      </c>
      <c r="I6" s="6"/>
      <c r="J6" s="15">
        <v>0</v>
      </c>
      <c r="K6" s="31">
        <f>K$4*E6/E$33</f>
        <v>4.3471908969167632E-2</v>
      </c>
      <c r="L6" s="31">
        <f>L$4*J6/J$33</f>
        <v>0</v>
      </c>
      <c r="M6" s="31">
        <f>L6+K6</f>
        <v>4.3471908969167632E-2</v>
      </c>
      <c r="N6" s="40">
        <f>(M6-$H6)/($D6-$H6)</f>
        <v>0.26055258228608452</v>
      </c>
      <c r="O6" s="6"/>
      <c r="P6" s="15">
        <f>J6</f>
        <v>0</v>
      </c>
      <c r="Q6" s="31">
        <f>Q$4*E6/E$33</f>
        <v>1.72291215748872E-2</v>
      </c>
      <c r="R6" s="31">
        <f>R$4*P6/P$33</f>
        <v>0</v>
      </c>
      <c r="S6" s="31">
        <f>R6+Q6</f>
        <v>1.72291215748872E-2</v>
      </c>
      <c r="T6" s="40">
        <f>(S6-$H6)/($D6-$H6)</f>
        <v>0.10138882246508144</v>
      </c>
      <c r="U6" s="6"/>
      <c r="V6" s="15">
        <f>P6</f>
        <v>0</v>
      </c>
      <c r="W6" s="31">
        <f>W$4*E6/E$33</f>
        <v>1.8373395862044617E-2</v>
      </c>
      <c r="X6" s="31">
        <f>X$4*V6/V$33</f>
        <v>0</v>
      </c>
      <c r="Y6" s="31">
        <f>X6+W6</f>
        <v>1.8373395862044617E-2</v>
      </c>
      <c r="Z6" s="40">
        <f>(Y6-$H6)/($D6-$H6)</f>
        <v>0.10832890070730988</v>
      </c>
      <c r="AA6" s="6"/>
      <c r="AB6" s="15">
        <v>8953199.6068429705</v>
      </c>
      <c r="AC6" s="31">
        <f>AC$4*C6/C$33</f>
        <v>8.933316848284599E-2</v>
      </c>
      <c r="AD6" s="31">
        <f>AD$4*AB6/AB$33</f>
        <v>2.6558364902828945E-4</v>
      </c>
      <c r="AE6" s="31">
        <f>AD6+AC6</f>
        <v>8.9598752131874279E-2</v>
      </c>
      <c r="AF6" s="40">
        <f>(AE6-$H6)/($D6-$H6)</f>
        <v>0.54031409070154479</v>
      </c>
      <c r="AL6" s="41">
        <v>8.8253559749769964E-2</v>
      </c>
      <c r="AM6" s="41">
        <v>4.3471908969167632E-2</v>
      </c>
      <c r="AN6" s="42"/>
    </row>
    <row r="7" spans="1:40" ht="20.100000000000001" customHeight="1" x14ac:dyDescent="0.25">
      <c r="A7" s="2" t="s">
        <v>13</v>
      </c>
      <c r="B7" s="2" t="s">
        <v>15</v>
      </c>
      <c r="C7" s="15">
        <v>28219.770688302364</v>
      </c>
      <c r="D7" s="33">
        <f t="shared" ref="D7:F41" si="0">C7/C$33</f>
        <v>0.14383856717893576</v>
      </c>
      <c r="E7" s="6">
        <v>13136.341487360001</v>
      </c>
      <c r="F7" s="11">
        <f t="shared" si="0"/>
        <v>9.9652400465795918E-2</v>
      </c>
      <c r="G7" s="35">
        <v>186458.24318297947</v>
      </c>
      <c r="H7" s="33">
        <f t="shared" ref="H7" si="1">G7/G$33</f>
        <v>3.8046041736554434E-3</v>
      </c>
      <c r="I7" s="6"/>
      <c r="J7" s="15">
        <v>0</v>
      </c>
      <c r="K7" s="31">
        <f t="shared" ref="K7:K32" si="2">K$4*E7/E$33</f>
        <v>6.2442194131867725E-2</v>
      </c>
      <c r="L7" s="31">
        <f t="shared" ref="L7:L32" si="3">L$4*J7/J$33</f>
        <v>0</v>
      </c>
      <c r="M7" s="31">
        <f t="shared" ref="M7:M32" si="4">L7+K7</f>
        <v>6.2442194131867725E-2</v>
      </c>
      <c r="N7" s="40">
        <f t="shared" ref="N7:N32" si="5">(M7-$H7)/($D7-$H7)</f>
        <v>0.4187383453255637</v>
      </c>
      <c r="O7" s="6"/>
      <c r="P7" s="15">
        <f t="shared" ref="P7:P32" si="6">J7</f>
        <v>0</v>
      </c>
      <c r="Q7" s="31">
        <f t="shared" ref="Q7:Q32" si="7">Q$4*E7/E$33</f>
        <v>2.4747571008756099E-2</v>
      </c>
      <c r="R7" s="31">
        <f t="shared" ref="R7:R32" si="8">R$4*P7/P$33</f>
        <v>0</v>
      </c>
      <c r="S7" s="31">
        <f t="shared" ref="S7:S32" si="9">R7+Q7</f>
        <v>2.4747571008756099E-2</v>
      </c>
      <c r="T7" s="40">
        <f t="shared" ref="T7:T32" si="10">(S7-$H7)/($D7-$H7)</f>
        <v>0.1495563389455096</v>
      </c>
      <c r="U7" s="6"/>
      <c r="V7" s="15">
        <f t="shared" ref="V7:V32" si="11">P7</f>
        <v>0</v>
      </c>
      <c r="W7" s="31">
        <f t="shared" ref="W7:W32" si="12">W$4*E7/E$33</f>
        <v>2.6391184065396069E-2</v>
      </c>
      <c r="X7" s="31">
        <f t="shared" ref="X7:X32" si="13">X$4*V7/V$33</f>
        <v>0</v>
      </c>
      <c r="Y7" s="31">
        <f t="shared" ref="Y7:Y32" si="14">X7+W7</f>
        <v>2.6391184065396069E-2</v>
      </c>
      <c r="Z7" s="40">
        <f t="shared" ref="Z7:Z32" si="15">(Y7-$H7)/($D7-$H7)</f>
        <v>0.16129358483476572</v>
      </c>
      <c r="AA7" s="6"/>
      <c r="AB7" s="15">
        <v>65356738.5779173</v>
      </c>
      <c r="AC7" s="31">
        <f t="shared" ref="AC7:AC32" si="16">AC$4*C7/C$33</f>
        <v>7.7691805775564574E-2</v>
      </c>
      <c r="AD7" s="31">
        <f t="shared" ref="AD7:AD32" si="17">AD$4*AB7/AB$33</f>
        <v>1.9387126259136119E-3</v>
      </c>
      <c r="AE7" s="31">
        <f t="shared" ref="AE7:AE32" si="18">AD7+AC7</f>
        <v>7.9630518401478181E-2</v>
      </c>
      <c r="AF7" s="40">
        <f t="shared" ref="AF7:AF32" si="19">(AE7-$H7)/($D7-$H7)</f>
        <v>0.54148231329397956</v>
      </c>
      <c r="AL7" s="41">
        <v>7.8492077117346029E-2</v>
      </c>
      <c r="AM7" s="41">
        <v>6.2442194131867725E-2</v>
      </c>
    </row>
    <row r="8" spans="1:40" ht="20.100000000000001" customHeight="1" x14ac:dyDescent="0.25">
      <c r="A8" s="2" t="s">
        <v>13</v>
      </c>
      <c r="B8" s="2" t="s">
        <v>16</v>
      </c>
      <c r="C8" s="15">
        <v>76265.000000000015</v>
      </c>
      <c r="D8" s="33">
        <f t="shared" si="0"/>
        <v>0.38872918022855335</v>
      </c>
      <c r="E8" s="6">
        <v>60842.018099226058</v>
      </c>
      <c r="F8" s="11">
        <f t="shared" si="0"/>
        <v>0.46154807703539419</v>
      </c>
      <c r="G8" s="35">
        <v>1671102.0623583491</v>
      </c>
      <c r="H8" s="33">
        <f t="shared" ref="H8" si="20">G8/G$33</f>
        <v>3.4098153948675422E-2</v>
      </c>
      <c r="I8" s="6"/>
      <c r="J8" s="15">
        <v>0</v>
      </c>
      <c r="K8" s="31">
        <f t="shared" si="2"/>
        <v>0.28920602507037801</v>
      </c>
      <c r="L8" s="31">
        <f t="shared" si="3"/>
        <v>0</v>
      </c>
      <c r="M8" s="31">
        <f t="shared" si="4"/>
        <v>0.28920602507037801</v>
      </c>
      <c r="N8" s="40">
        <f t="shared" si="5"/>
        <v>0.7193613987975469</v>
      </c>
      <c r="O8" s="6"/>
      <c r="P8" s="15">
        <f t="shared" si="6"/>
        <v>0</v>
      </c>
      <c r="Q8" s="31">
        <f t="shared" si="7"/>
        <v>0.11462035793416468</v>
      </c>
      <c r="R8" s="31">
        <f t="shared" si="8"/>
        <v>0</v>
      </c>
      <c r="S8" s="31">
        <f t="shared" si="9"/>
        <v>0.11462035793416468</v>
      </c>
      <c r="T8" s="40">
        <f t="shared" si="10"/>
        <v>0.22705910655978653</v>
      </c>
      <c r="U8" s="6"/>
      <c r="V8" s="15">
        <f t="shared" si="11"/>
        <v>0</v>
      </c>
      <c r="W8" s="31">
        <f t="shared" si="12"/>
        <v>0.12223288349437759</v>
      </c>
      <c r="X8" s="31">
        <f t="shared" si="13"/>
        <v>0</v>
      </c>
      <c r="Y8" s="31">
        <f t="shared" si="14"/>
        <v>0.12223288349437759</v>
      </c>
      <c r="Z8" s="40">
        <f t="shared" si="15"/>
        <v>0.24852515153636182</v>
      </c>
      <c r="AA8" s="6"/>
      <c r="AB8" s="15">
        <v>580355236.00454104</v>
      </c>
      <c r="AC8" s="31">
        <f t="shared" si="16"/>
        <v>0.20996505013875</v>
      </c>
      <c r="AD8" s="31">
        <f t="shared" si="17"/>
        <v>1.7215394281275231E-2</v>
      </c>
      <c r="AE8" s="31">
        <f t="shared" si="18"/>
        <v>0.22718044442002522</v>
      </c>
      <c r="AF8" s="40">
        <f t="shared" si="19"/>
        <v>0.54445966698629333</v>
      </c>
      <c r="AL8" s="41">
        <v>0.22431450777047213</v>
      </c>
      <c r="AM8" s="41">
        <v>0.28920602507037801</v>
      </c>
    </row>
    <row r="9" spans="1:40" ht="20.100000000000001" customHeight="1" x14ac:dyDescent="0.25">
      <c r="A9" s="2" t="s">
        <v>13</v>
      </c>
      <c r="B9" s="2" t="s">
        <v>17</v>
      </c>
      <c r="C9" s="15">
        <v>28911</v>
      </c>
      <c r="D9" s="33">
        <f t="shared" si="0"/>
        <v>0.14736182166901862</v>
      </c>
      <c r="E9" s="6">
        <v>23100.034647082546</v>
      </c>
      <c r="F9" s="11">
        <f t="shared" si="0"/>
        <v>0.1752370631990518</v>
      </c>
      <c r="G9" s="35">
        <v>1908436.4828363159</v>
      </c>
      <c r="H9" s="33">
        <f t="shared" ref="H9" si="21">G9/G$33</f>
        <v>3.8940865707020433E-2</v>
      </c>
      <c r="I9" s="6"/>
      <c r="J9" s="15">
        <v>0</v>
      </c>
      <c r="K9" s="31">
        <f t="shared" si="2"/>
        <v>0.10980354380052586</v>
      </c>
      <c r="L9" s="31">
        <f t="shared" si="3"/>
        <v>0</v>
      </c>
      <c r="M9" s="31">
        <f t="shared" si="4"/>
        <v>0.10980354380052586</v>
      </c>
      <c r="N9" s="40">
        <f t="shared" si="5"/>
        <v>0.65358839040621419</v>
      </c>
      <c r="O9" s="6"/>
      <c r="P9" s="15">
        <f t="shared" si="6"/>
        <v>0</v>
      </c>
      <c r="Q9" s="31">
        <f t="shared" si="7"/>
        <v>4.3518185659490602E-2</v>
      </c>
      <c r="R9" s="31">
        <f t="shared" si="8"/>
        <v>0</v>
      </c>
      <c r="S9" s="31">
        <f t="shared" si="9"/>
        <v>4.3518185659490602E-2</v>
      </c>
      <c r="T9" s="40">
        <f t="shared" si="10"/>
        <v>4.2218037203753583E-2</v>
      </c>
      <c r="U9" s="6"/>
      <c r="V9" s="15">
        <f t="shared" si="11"/>
        <v>0</v>
      </c>
      <c r="W9" s="31">
        <f t="shared" si="12"/>
        <v>4.6408451460765138E-2</v>
      </c>
      <c r="X9" s="31">
        <f t="shared" si="13"/>
        <v>0</v>
      </c>
      <c r="Y9" s="31">
        <f t="shared" si="14"/>
        <v>4.6408451460765138E-2</v>
      </c>
      <c r="Z9" s="40">
        <f t="shared" si="15"/>
        <v>6.8875852343177196E-2</v>
      </c>
      <c r="AA9" s="6"/>
      <c r="AB9" s="15">
        <v>662262953.05191803</v>
      </c>
      <c r="AC9" s="31">
        <f t="shared" si="16"/>
        <v>7.9594828093639283E-2</v>
      </c>
      <c r="AD9" s="31">
        <f t="shared" si="17"/>
        <v>1.964506761955229E-2</v>
      </c>
      <c r="AE9" s="31">
        <f t="shared" si="18"/>
        <v>9.923989571319157E-2</v>
      </c>
      <c r="AF9" s="40">
        <f t="shared" si="19"/>
        <v>0.55615659787491722</v>
      </c>
      <c r="AL9" s="41">
        <v>9.838615757140963E-2</v>
      </c>
      <c r="AM9" s="41">
        <v>0.10980354380052587</v>
      </c>
    </row>
    <row r="10" spans="1:40" ht="20.100000000000001" customHeight="1" x14ac:dyDescent="0.25">
      <c r="A10" s="2" t="s">
        <v>13</v>
      </c>
      <c r="B10" s="2" t="s">
        <v>18</v>
      </c>
      <c r="C10" s="15">
        <v>18465</v>
      </c>
      <c r="D10" s="33">
        <f t="shared" si="0"/>
        <v>9.4117672758411292E-2</v>
      </c>
      <c r="E10" s="6">
        <v>14885.635298971036</v>
      </c>
      <c r="F10" s="11">
        <f t="shared" si="0"/>
        <v>0.112922558493793</v>
      </c>
      <c r="G10" s="35">
        <v>3688522.0383690312</v>
      </c>
      <c r="H10" s="33">
        <f t="shared" ref="H10" si="22">G10/G$33</f>
        <v>7.5262783249691753E-2</v>
      </c>
      <c r="I10" s="6"/>
      <c r="J10" s="15">
        <v>0</v>
      </c>
      <c r="K10" s="31">
        <f t="shared" si="2"/>
        <v>7.0757275152210697E-2</v>
      </c>
      <c r="L10" s="31">
        <f t="shared" si="3"/>
        <v>0</v>
      </c>
      <c r="M10" s="31">
        <f t="shared" si="4"/>
        <v>7.0757275152210697E-2</v>
      </c>
      <c r="N10" s="40">
        <f t="shared" si="5"/>
        <v>-0.2389570140624511</v>
      </c>
      <c r="O10" s="6"/>
      <c r="P10" s="15">
        <f t="shared" si="6"/>
        <v>0</v>
      </c>
      <c r="Q10" s="31">
        <f t="shared" si="7"/>
        <v>2.8043067921627675E-2</v>
      </c>
      <c r="R10" s="31">
        <f t="shared" si="8"/>
        <v>0</v>
      </c>
      <c r="S10" s="31">
        <f t="shared" si="9"/>
        <v>2.8043067921627675E-2</v>
      </c>
      <c r="T10" s="40">
        <f t="shared" si="10"/>
        <v>-2.5043750750290572</v>
      </c>
      <c r="U10" s="6"/>
      <c r="V10" s="15">
        <f t="shared" si="11"/>
        <v>0</v>
      </c>
      <c r="W10" s="31">
        <f t="shared" si="12"/>
        <v>2.990555182228688E-2</v>
      </c>
      <c r="X10" s="31">
        <f t="shared" si="13"/>
        <v>0</v>
      </c>
      <c r="Y10" s="31">
        <f t="shared" si="14"/>
        <v>2.990555182228688E-2</v>
      </c>
      <c r="Z10" s="40">
        <f t="shared" si="15"/>
        <v>-2.4055951856110953</v>
      </c>
      <c r="AA10" s="6"/>
      <c r="AB10" s="15">
        <v>1282582113.13273</v>
      </c>
      <c r="AC10" s="31">
        <f t="shared" si="16"/>
        <v>5.0835962116462567E-2</v>
      </c>
      <c r="AD10" s="31">
        <f t="shared" si="17"/>
        <v>3.8045933603876946E-2</v>
      </c>
      <c r="AE10" s="31">
        <f t="shared" si="18"/>
        <v>8.8881895720339513E-2</v>
      </c>
      <c r="AF10" s="40">
        <f t="shared" si="19"/>
        <v>0.72231197453315932</v>
      </c>
      <c r="AL10" s="41">
        <v>8.8788916292341688E-2</v>
      </c>
      <c r="AM10" s="41">
        <v>7.0757275152210697E-2</v>
      </c>
    </row>
    <row r="11" spans="1:40" ht="20.100000000000001" customHeight="1" x14ac:dyDescent="0.25">
      <c r="A11" s="2" t="s">
        <v>13</v>
      </c>
      <c r="B11" s="2" t="s">
        <v>19</v>
      </c>
      <c r="C11" s="15">
        <v>8162.0000000000009</v>
      </c>
      <c r="D11" s="33">
        <f t="shared" si="0"/>
        <v>4.1602406989122827E-2</v>
      </c>
      <c r="E11" s="6">
        <v>7011.1922208783262</v>
      </c>
      <c r="F11" s="11">
        <f t="shared" si="0"/>
        <v>5.3186965001627222E-2</v>
      </c>
      <c r="G11" s="35">
        <v>4823191.8168393504</v>
      </c>
      <c r="H11" s="33">
        <f t="shared" ref="H11" si="23">G11/G$33</f>
        <v>9.8415255895550849E-2</v>
      </c>
      <c r="I11" s="6"/>
      <c r="J11" s="15">
        <f>G11</f>
        <v>4823191.8168393504</v>
      </c>
      <c r="K11" s="31">
        <f t="shared" si="2"/>
        <v>3.3326952270019618E-2</v>
      </c>
      <c r="L11" s="31">
        <f t="shared" si="3"/>
        <v>4.3366844747137472E-2</v>
      </c>
      <c r="M11" s="31">
        <f t="shared" si="4"/>
        <v>7.6693797017157089E-2</v>
      </c>
      <c r="N11" s="40">
        <f t="shared" si="5"/>
        <v>0.38233356179989259</v>
      </c>
      <c r="O11" s="6"/>
      <c r="P11" s="15">
        <f>J11*2/3</f>
        <v>3215461.2112262337</v>
      </c>
      <c r="Q11" s="31">
        <f t="shared" si="7"/>
        <v>1.3208394248062054E-2</v>
      </c>
      <c r="R11" s="31">
        <f t="shared" si="8"/>
        <v>6.1164383853184498E-2</v>
      </c>
      <c r="S11" s="31">
        <f t="shared" si="9"/>
        <v>7.4372778101246553E-2</v>
      </c>
      <c r="T11" s="40">
        <f t="shared" si="10"/>
        <v>0.42318732922376012</v>
      </c>
      <c r="U11" s="6"/>
      <c r="V11" s="15">
        <f t="shared" si="11"/>
        <v>3215461.2112262337</v>
      </c>
      <c r="W11" s="31">
        <f t="shared" si="12"/>
        <v>1.408563142158837E-2</v>
      </c>
      <c r="X11" s="31">
        <f t="shared" si="13"/>
        <v>5.9822273062316328E-2</v>
      </c>
      <c r="Y11" s="31">
        <f t="shared" si="14"/>
        <v>7.3907904483904691E-2</v>
      </c>
      <c r="Z11" s="40">
        <f t="shared" si="15"/>
        <v>0.43136987289636347</v>
      </c>
      <c r="AA11" s="6"/>
      <c r="AB11" s="15">
        <v>1678956536.4064901</v>
      </c>
      <c r="AC11" s="31">
        <f t="shared" si="16"/>
        <v>2.2470789211728542E-2</v>
      </c>
      <c r="AD11" s="31">
        <f t="shared" si="17"/>
        <v>4.9803804570371445E-2</v>
      </c>
      <c r="AE11" s="31">
        <f t="shared" si="18"/>
        <v>7.2274593782099994E-2</v>
      </c>
      <c r="AF11" s="40">
        <f t="shared" si="19"/>
        <v>0.46011883960448957</v>
      </c>
      <c r="AL11" s="41">
        <v>7.2818596048891238E-2</v>
      </c>
      <c r="AM11" s="41">
        <v>7.6693797017157103E-2</v>
      </c>
    </row>
    <row r="12" spans="1:40" ht="20.100000000000001" customHeight="1" x14ac:dyDescent="0.25">
      <c r="A12" s="2" t="s">
        <v>13</v>
      </c>
      <c r="B12" s="2" t="s">
        <v>20</v>
      </c>
      <c r="C12" s="15">
        <v>1677.0000000000002</v>
      </c>
      <c r="D12" s="33">
        <f t="shared" si="0"/>
        <v>8.5478113845575826E-3</v>
      </c>
      <c r="E12" s="6">
        <v>1710.3401354776124</v>
      </c>
      <c r="F12" s="11">
        <f t="shared" si="0"/>
        <v>1.2974655102970512E-2</v>
      </c>
      <c r="G12" s="35">
        <v>3601670.6245964961</v>
      </c>
      <c r="H12" s="33">
        <f t="shared" ref="H12" si="24">G12/G$33</f>
        <v>7.3490615681843369E-2</v>
      </c>
      <c r="I12" s="6"/>
      <c r="J12" s="15">
        <f t="shared" ref="J12:J32" si="25">G12</f>
        <v>3601670.6245964961</v>
      </c>
      <c r="K12" s="31">
        <f t="shared" si="2"/>
        <v>8.1299188875213237E-3</v>
      </c>
      <c r="L12" s="31">
        <f t="shared" si="3"/>
        <v>3.2383760948897035E-2</v>
      </c>
      <c r="M12" s="31">
        <f t="shared" si="4"/>
        <v>4.0513679836418362E-2</v>
      </c>
      <c r="N12" s="40">
        <f t="shared" si="5"/>
        <v>0.50778429115053236</v>
      </c>
      <c r="O12" s="6"/>
      <c r="P12" s="15">
        <f>J12*0.9</f>
        <v>3241503.5621368466</v>
      </c>
      <c r="Q12" s="31">
        <f t="shared" si="7"/>
        <v>3.2221120311606722E-3</v>
      </c>
      <c r="R12" s="31">
        <f t="shared" si="8"/>
        <v>6.1659760485928458E-2</v>
      </c>
      <c r="S12" s="31">
        <f t="shared" si="9"/>
        <v>6.4881872517089129E-2</v>
      </c>
      <c r="T12" s="40">
        <f t="shared" si="10"/>
        <v>0.13255884555502684</v>
      </c>
      <c r="U12" s="6"/>
      <c r="V12" s="15">
        <f t="shared" si="11"/>
        <v>3241503.5621368466</v>
      </c>
      <c r="W12" s="31">
        <f t="shared" si="12"/>
        <v>3.4361090089852285E-3</v>
      </c>
      <c r="X12" s="31">
        <f t="shared" si="13"/>
        <v>6.0306779801791256E-2</v>
      </c>
      <c r="Y12" s="31">
        <f t="shared" si="14"/>
        <v>6.3742888810776485E-2</v>
      </c>
      <c r="Z12" s="40">
        <f t="shared" si="15"/>
        <v>0.15009710431420775</v>
      </c>
      <c r="AA12" s="6"/>
      <c r="AB12" s="15">
        <v>1246176622.3269</v>
      </c>
      <c r="AC12" s="31">
        <f t="shared" si="16"/>
        <v>4.616946031373287E-3</v>
      </c>
      <c r="AD12" s="31">
        <f t="shared" si="17"/>
        <v>3.6966017650088945E-2</v>
      </c>
      <c r="AE12" s="31">
        <f t="shared" si="18"/>
        <v>4.1582963681462234E-2</v>
      </c>
      <c r="AF12" s="40">
        <f t="shared" si="19"/>
        <v>0.49131928233833105</v>
      </c>
      <c r="AL12" s="41">
        <v>4.2168917668818522E-2</v>
      </c>
      <c r="AM12" s="41">
        <v>4.0513679836418362E-2</v>
      </c>
    </row>
    <row r="13" spans="1:40" ht="20.100000000000001" customHeight="1" x14ac:dyDescent="0.25">
      <c r="A13" s="2" t="s">
        <v>13</v>
      </c>
      <c r="B13" s="2" t="s">
        <v>21</v>
      </c>
      <c r="C13" s="15">
        <v>260.00000000000006</v>
      </c>
      <c r="D13" s="33">
        <f t="shared" si="0"/>
        <v>1.3252420751252065E-3</v>
      </c>
      <c r="E13" s="6">
        <v>253.46631314019083</v>
      </c>
      <c r="F13" s="11">
        <f t="shared" si="0"/>
        <v>1.9227976500107954E-3</v>
      </c>
      <c r="G13" s="35">
        <v>1559848.2210169111</v>
      </c>
      <c r="H13" s="33">
        <f t="shared" ref="H13" si="26">G13/G$33</f>
        <v>3.18280648291107E-2</v>
      </c>
      <c r="I13" s="6"/>
      <c r="J13" s="15">
        <f t="shared" si="25"/>
        <v>1559848.2210169111</v>
      </c>
      <c r="K13" s="31">
        <f t="shared" si="2"/>
        <v>1.2048250074967646E-3</v>
      </c>
      <c r="L13" s="31">
        <f t="shared" si="3"/>
        <v>1.4025089235258191E-2</v>
      </c>
      <c r="M13" s="31">
        <f t="shared" si="4"/>
        <v>1.5229914242754956E-2</v>
      </c>
      <c r="N13" s="40">
        <f t="shared" si="5"/>
        <v>0.54415129774135518</v>
      </c>
      <c r="O13" s="6"/>
      <c r="P13" s="15">
        <f t="shared" si="6"/>
        <v>1559848.2210169111</v>
      </c>
      <c r="Q13" s="31">
        <f t="shared" si="7"/>
        <v>4.7750552075706548E-4</v>
      </c>
      <c r="R13" s="31">
        <f t="shared" si="8"/>
        <v>2.967137498343551E-2</v>
      </c>
      <c r="S13" s="31">
        <f t="shared" si="9"/>
        <v>3.0148880504192576E-2</v>
      </c>
      <c r="T13" s="40">
        <f t="shared" si="10"/>
        <v>5.5050128916305688E-2</v>
      </c>
      <c r="U13" s="6"/>
      <c r="V13" s="15">
        <f t="shared" si="11"/>
        <v>1559848.2210169111</v>
      </c>
      <c r="W13" s="31">
        <f t="shared" si="12"/>
        <v>5.0921911027485261E-4</v>
      </c>
      <c r="X13" s="31">
        <f t="shared" si="13"/>
        <v>2.9020305357021031E-2</v>
      </c>
      <c r="Y13" s="31">
        <f t="shared" si="14"/>
        <v>2.9529524467295884E-2</v>
      </c>
      <c r="Z13" s="40">
        <f t="shared" si="15"/>
        <v>7.5355005022100421E-2</v>
      </c>
      <c r="AA13" s="6"/>
      <c r="AB13" s="15">
        <v>540547102.07221699</v>
      </c>
      <c r="AC13" s="31">
        <f t="shared" si="16"/>
        <v>7.1580558625942438E-4</v>
      </c>
      <c r="AD13" s="31">
        <f t="shared" si="17"/>
        <v>1.6034543866338322E-2</v>
      </c>
      <c r="AE13" s="31">
        <f t="shared" si="18"/>
        <v>1.6750349452597745E-2</v>
      </c>
      <c r="AF13" s="40">
        <f t="shared" si="19"/>
        <v>0.49430557617959808</v>
      </c>
      <c r="AL13" s="41">
        <v>1.7023952111903624E-2</v>
      </c>
      <c r="AM13" s="41">
        <v>1.5229914242754957E-2</v>
      </c>
    </row>
    <row r="14" spans="1:40" ht="20.100000000000001" customHeight="1" x14ac:dyDescent="0.25">
      <c r="A14" s="2" t="s">
        <v>13</v>
      </c>
      <c r="B14" s="2" t="s">
        <v>22</v>
      </c>
      <c r="C14" s="15">
        <v>47</v>
      </c>
      <c r="D14" s="33">
        <f t="shared" si="0"/>
        <v>2.3956299050340268E-4</v>
      </c>
      <c r="E14" s="6">
        <v>43</v>
      </c>
      <c r="F14" s="11">
        <f t="shared" si="0"/>
        <v>3.2619837297563951E-4</v>
      </c>
      <c r="G14" s="35">
        <v>837480</v>
      </c>
      <c r="H14" s="33">
        <f t="shared" ref="H14" si="27">G14/G$33</f>
        <v>1.7088436794001793E-2</v>
      </c>
      <c r="I14" s="6"/>
      <c r="J14" s="15">
        <f t="shared" si="25"/>
        <v>837480</v>
      </c>
      <c r="K14" s="31">
        <f t="shared" si="2"/>
        <v>2.0439590050653572E-4</v>
      </c>
      <c r="L14" s="31">
        <f t="shared" si="3"/>
        <v>7.5300478434284068E-3</v>
      </c>
      <c r="M14" s="31">
        <f t="shared" si="4"/>
        <v>7.7344437439349429E-3</v>
      </c>
      <c r="N14" s="40">
        <f t="shared" si="5"/>
        <v>0.5551702243816824</v>
      </c>
      <c r="O14" s="6"/>
      <c r="P14" s="15">
        <f t="shared" si="6"/>
        <v>837480</v>
      </c>
      <c r="Q14" s="31">
        <f t="shared" si="7"/>
        <v>8.10077565660462E-5</v>
      </c>
      <c r="R14" s="31">
        <f t="shared" si="8"/>
        <v>1.5930513486067034E-2</v>
      </c>
      <c r="S14" s="31">
        <f t="shared" si="9"/>
        <v>1.6011521242633081E-2</v>
      </c>
      <c r="T14" s="40">
        <f t="shared" si="10"/>
        <v>6.3916174097351758E-2</v>
      </c>
      <c r="U14" s="6"/>
      <c r="V14" s="15">
        <f t="shared" si="11"/>
        <v>837480</v>
      </c>
      <c r="W14" s="31">
        <f t="shared" si="12"/>
        <v>8.6387896957762077E-5</v>
      </c>
      <c r="X14" s="31">
        <f t="shared" si="13"/>
        <v>1.5580955251244592E-2</v>
      </c>
      <c r="Y14" s="31">
        <f t="shared" si="14"/>
        <v>1.5667343148202353E-2</v>
      </c>
      <c r="Z14" s="40">
        <f t="shared" si="15"/>
        <v>8.4343539062199713E-2</v>
      </c>
      <c r="AA14" s="6"/>
      <c r="AB14" s="15">
        <v>292377871.53344703</v>
      </c>
      <c r="AC14" s="31">
        <f t="shared" si="16"/>
        <v>1.2939562520843437E-4</v>
      </c>
      <c r="AD14" s="31">
        <f t="shared" si="17"/>
        <v>8.6729644626294781E-3</v>
      </c>
      <c r="AE14" s="31">
        <f t="shared" si="18"/>
        <v>8.8023600878379127E-3</v>
      </c>
      <c r="AF14" s="40">
        <f t="shared" si="19"/>
        <v>0.49178816357704658</v>
      </c>
      <c r="AL14" s="41">
        <v>8.954243176389088E-3</v>
      </c>
      <c r="AM14" s="41">
        <v>7.7344437439349455E-3</v>
      </c>
    </row>
    <row r="15" spans="1:40" ht="20.100000000000001" customHeight="1" x14ac:dyDescent="0.25">
      <c r="A15" s="2" t="s">
        <v>23</v>
      </c>
      <c r="C15" s="15">
        <v>1266</v>
      </c>
      <c r="D15" s="33">
        <f t="shared" si="0"/>
        <v>6.4529094888788894E-3</v>
      </c>
      <c r="E15" s="6">
        <v>1369</v>
      </c>
      <c r="F15" s="11">
        <f t="shared" si="0"/>
        <v>1.0385245874503499E-2</v>
      </c>
      <c r="G15" s="35">
        <v>3659662.9980498329</v>
      </c>
      <c r="H15" s="33">
        <f t="shared" ref="H15" si="28">G15/G$33</f>
        <v>7.4673926337968294E-2</v>
      </c>
      <c r="I15" s="6"/>
      <c r="J15" s="15">
        <f t="shared" si="25"/>
        <v>3659662.9980498329</v>
      </c>
      <c r="K15" s="31">
        <f t="shared" si="2"/>
        <v>6.5073950649638928E-3</v>
      </c>
      <c r="L15" s="31">
        <f t="shared" si="3"/>
        <v>3.2905188740196642E-2</v>
      </c>
      <c r="M15" s="31">
        <f t="shared" si="4"/>
        <v>3.9412583805160536E-2</v>
      </c>
      <c r="N15" s="40">
        <f t="shared" si="5"/>
        <v>0.51686920191777264</v>
      </c>
      <c r="O15" s="6"/>
      <c r="P15" s="15">
        <f t="shared" si="6"/>
        <v>3659662.9980498329</v>
      </c>
      <c r="Q15" s="31">
        <f t="shared" si="7"/>
        <v>2.5790609009050526E-3</v>
      </c>
      <c r="R15" s="31">
        <f t="shared" si="8"/>
        <v>6.9613973760440095E-2</v>
      </c>
      <c r="S15" s="31">
        <f t="shared" si="9"/>
        <v>7.2193034661345148E-2</v>
      </c>
      <c r="T15" s="40">
        <f t="shared" si="10"/>
        <v>3.6365504227400848E-2</v>
      </c>
      <c r="U15" s="6"/>
      <c r="V15" s="15">
        <f t="shared" si="11"/>
        <v>3659662.9980498329</v>
      </c>
      <c r="W15" s="31">
        <f t="shared" si="12"/>
        <v>2.7503495566320066E-3</v>
      </c>
      <c r="X15" s="31">
        <f t="shared" si="13"/>
        <v>6.8086456282239652E-2</v>
      </c>
      <c r="Y15" s="31">
        <f t="shared" si="14"/>
        <v>7.0836805838871655E-2</v>
      </c>
      <c r="Z15" s="40">
        <f t="shared" si="15"/>
        <v>5.6245431046339722E-2</v>
      </c>
      <c r="AA15" s="6"/>
      <c r="AB15" s="15">
        <v>1280135610.9123499</v>
      </c>
      <c r="AC15" s="31">
        <f t="shared" si="16"/>
        <v>3.4854225854016579E-3</v>
      </c>
      <c r="AD15" s="31">
        <f t="shared" si="17"/>
        <v>3.7973361672547751E-2</v>
      </c>
      <c r="AE15" s="31">
        <f t="shared" si="18"/>
        <v>4.145878425794941E-2</v>
      </c>
      <c r="AF15" s="40">
        <f t="shared" si="19"/>
        <v>0.48687550573298483</v>
      </c>
      <c r="AL15" s="41">
        <v>4.2079696542996606E-2</v>
      </c>
      <c r="AM15" s="41">
        <v>3.9412583805160543E-2</v>
      </c>
    </row>
    <row r="16" spans="1:40" ht="20.100000000000001" customHeight="1" x14ac:dyDescent="0.25">
      <c r="A16" s="2" t="s">
        <v>24</v>
      </c>
      <c r="C16" s="15">
        <v>89</v>
      </c>
      <c r="D16" s="33">
        <f t="shared" si="0"/>
        <v>4.5364055648516676E-4</v>
      </c>
      <c r="E16" s="6">
        <v>72.816666666666663</v>
      </c>
      <c r="F16" s="11">
        <f t="shared" si="0"/>
        <v>5.5238786493432902E-4</v>
      </c>
      <c r="G16" s="35">
        <v>53102.108055853481</v>
      </c>
      <c r="H16" s="33">
        <f t="shared" ref="H16" si="29">G16/G$33</f>
        <v>1.0835267912555591E-3</v>
      </c>
      <c r="I16" s="6"/>
      <c r="J16" s="15">
        <f t="shared" si="25"/>
        <v>53102.108055853481</v>
      </c>
      <c r="K16" s="31">
        <f t="shared" si="2"/>
        <v>3.4612623616785062E-4</v>
      </c>
      <c r="L16" s="31">
        <f t="shared" si="3"/>
        <v>4.7745786675202002E-4</v>
      </c>
      <c r="M16" s="31">
        <f t="shared" si="4"/>
        <v>8.2358410291987058E-4</v>
      </c>
      <c r="N16" s="40">
        <f t="shared" si="5"/>
        <v>0.41268196380008759</v>
      </c>
      <c r="O16" s="6"/>
      <c r="P16" s="15">
        <f>J16*2/3</f>
        <v>35401.405370568988</v>
      </c>
      <c r="Q16" s="31">
        <f t="shared" si="7"/>
        <v>1.3717941412288987E-4</v>
      </c>
      <c r="R16" s="31">
        <f t="shared" si="8"/>
        <v>6.7340421942204602E-4</v>
      </c>
      <c r="S16" s="31">
        <f t="shared" si="9"/>
        <v>8.1058363354493583E-4</v>
      </c>
      <c r="T16" s="40">
        <f t="shared" si="10"/>
        <v>0.43332135653054421</v>
      </c>
      <c r="U16" s="6"/>
      <c r="V16" s="15">
        <f t="shared" si="11"/>
        <v>35401.405370568988</v>
      </c>
      <c r="W16" s="31">
        <f t="shared" si="12"/>
        <v>1.4629020225134207E-4</v>
      </c>
      <c r="X16" s="31">
        <f t="shared" si="13"/>
        <v>6.5862792294742005E-4</v>
      </c>
      <c r="Y16" s="31">
        <f t="shared" si="14"/>
        <v>8.0491812519876212E-4</v>
      </c>
      <c r="Z16" s="40">
        <f t="shared" si="15"/>
        <v>0.4423158511447009</v>
      </c>
      <c r="AA16" s="6"/>
      <c r="AB16" s="15">
        <v>19189987.212808099</v>
      </c>
      <c r="AC16" s="31">
        <f t="shared" si="16"/>
        <v>2.4502575837341827E-4</v>
      </c>
      <c r="AD16" s="31">
        <f t="shared" si="17"/>
        <v>5.6924306980584631E-4</v>
      </c>
      <c r="AE16" s="31">
        <f t="shared" si="18"/>
        <v>8.1426882817926458E-4</v>
      </c>
      <c r="AF16" s="40">
        <f t="shared" si="19"/>
        <v>0.42747078474328792</v>
      </c>
      <c r="AL16" s="41">
        <v>8.2066497671379386E-4</v>
      </c>
      <c r="AM16" s="41">
        <v>8.2358410291987069E-4</v>
      </c>
    </row>
    <row r="17" spans="1:39" ht="20.100000000000001" customHeight="1" x14ac:dyDescent="0.25">
      <c r="A17" s="2" t="s">
        <v>25</v>
      </c>
      <c r="C17" s="15">
        <v>93</v>
      </c>
      <c r="D17" s="33">
        <f t="shared" si="0"/>
        <v>4.7402889610247763E-4</v>
      </c>
      <c r="E17" s="6">
        <v>73.333333333333329</v>
      </c>
      <c r="F17" s="11">
        <f t="shared" si="0"/>
        <v>5.563073027491526E-4</v>
      </c>
      <c r="G17" s="35">
        <v>161860.96845352201</v>
      </c>
      <c r="H17" s="33">
        <f t="shared" ref="H17" si="30">G17/G$33</f>
        <v>3.3027068453383118E-3</v>
      </c>
      <c r="I17" s="6"/>
      <c r="J17" s="15">
        <f t="shared" si="25"/>
        <v>161860.96845352201</v>
      </c>
      <c r="K17" s="31">
        <f t="shared" si="2"/>
        <v>3.4858215590261905E-4</v>
      </c>
      <c r="L17" s="31">
        <f t="shared" si="3"/>
        <v>1.4553432158841727E-3</v>
      </c>
      <c r="M17" s="31">
        <f t="shared" si="4"/>
        <v>1.8039253717867917E-3</v>
      </c>
      <c r="N17" s="40">
        <f t="shared" si="5"/>
        <v>0.52985228451206867</v>
      </c>
      <c r="O17" s="6"/>
      <c r="P17" s="15">
        <f>J17*0.9</f>
        <v>145674.87160816981</v>
      </c>
      <c r="Q17" s="31">
        <f t="shared" si="7"/>
        <v>1.3815276313589272E-4</v>
      </c>
      <c r="R17" s="31">
        <f t="shared" si="8"/>
        <v>2.7710220025971158E-3</v>
      </c>
      <c r="S17" s="31">
        <f t="shared" si="9"/>
        <v>2.9091747657330087E-3</v>
      </c>
      <c r="T17" s="40">
        <f t="shared" si="10"/>
        <v>0.1391222637103724</v>
      </c>
      <c r="U17" s="6"/>
      <c r="V17" s="15">
        <f t="shared" si="11"/>
        <v>145674.87160816981</v>
      </c>
      <c r="W17" s="31">
        <f t="shared" si="12"/>
        <v>1.4732819636207486E-4</v>
      </c>
      <c r="X17" s="31">
        <f t="shared" si="13"/>
        <v>2.7102183404471686E-3</v>
      </c>
      <c r="Y17" s="31">
        <f t="shared" si="14"/>
        <v>2.8575465368092436E-3</v>
      </c>
      <c r="Z17" s="40">
        <f t="shared" si="15"/>
        <v>0.1573739805372075</v>
      </c>
      <c r="AA17" s="6"/>
      <c r="AB17" s="15">
        <v>63528000</v>
      </c>
      <c r="AC17" s="31">
        <f t="shared" si="16"/>
        <v>2.5603815200817866E-4</v>
      </c>
      <c r="AD17" s="31">
        <f t="shared" si="17"/>
        <v>1.8844657548541452E-3</v>
      </c>
      <c r="AE17" s="31">
        <f t="shared" si="18"/>
        <v>2.1405039068623237E-3</v>
      </c>
      <c r="AF17" s="40">
        <f t="shared" si="19"/>
        <v>0.41086435406687305</v>
      </c>
      <c r="AL17" s="41">
        <v>2.1700626031377537E-3</v>
      </c>
      <c r="AM17" s="41">
        <v>1.803925371786792E-3</v>
      </c>
    </row>
    <row r="18" spans="1:39" ht="20.100000000000001" customHeight="1" x14ac:dyDescent="0.25">
      <c r="A18" s="2" t="s">
        <v>26</v>
      </c>
      <c r="C18" s="15">
        <v>60.000000000000007</v>
      </c>
      <c r="D18" s="33">
        <f t="shared" si="0"/>
        <v>3.0582509425966303E-4</v>
      </c>
      <c r="E18" s="6">
        <v>43</v>
      </c>
      <c r="F18" s="11">
        <f t="shared" si="0"/>
        <v>3.2619837297563951E-4</v>
      </c>
      <c r="G18" s="35">
        <v>167732.11721457698</v>
      </c>
      <c r="H18" s="33">
        <f t="shared" ref="H18" si="31">G18/G$33</f>
        <v>3.4225052339702431E-3</v>
      </c>
      <c r="I18" s="6"/>
      <c r="J18" s="15">
        <f t="shared" si="25"/>
        <v>167732.11721457698</v>
      </c>
      <c r="K18" s="31">
        <f t="shared" si="2"/>
        <v>2.0439590050653572E-4</v>
      </c>
      <c r="L18" s="31">
        <f t="shared" si="3"/>
        <v>1.5081325733215195E-3</v>
      </c>
      <c r="M18" s="31">
        <f t="shared" si="4"/>
        <v>1.7125284738280552E-3</v>
      </c>
      <c r="N18" s="40">
        <f t="shared" si="5"/>
        <v>0.54865327319119095</v>
      </c>
      <c r="O18" s="6"/>
      <c r="P18" s="15">
        <f>J18*0.93</f>
        <v>155990.8690095566</v>
      </c>
      <c r="Q18" s="31">
        <f t="shared" si="7"/>
        <v>8.10077565660462E-5</v>
      </c>
      <c r="R18" s="31">
        <f t="shared" si="8"/>
        <v>2.9672525224006033E-3</v>
      </c>
      <c r="S18" s="31">
        <f t="shared" si="9"/>
        <v>3.0482602789666494E-3</v>
      </c>
      <c r="T18" s="40">
        <f t="shared" si="10"/>
        <v>0.12007807610258867</v>
      </c>
      <c r="U18" s="6"/>
      <c r="V18" s="15">
        <f t="shared" si="11"/>
        <v>155990.8690095566</v>
      </c>
      <c r="W18" s="31">
        <f t="shared" si="12"/>
        <v>8.6387896957762077E-5</v>
      </c>
      <c r="X18" s="31">
        <f t="shared" si="13"/>
        <v>2.9021430358225366E-3</v>
      </c>
      <c r="Y18" s="31">
        <f t="shared" si="14"/>
        <v>2.9885309327802988E-3</v>
      </c>
      <c r="Z18" s="40">
        <f t="shared" si="15"/>
        <v>0.13924248935928465</v>
      </c>
      <c r="AA18" s="6"/>
      <c r="AB18" s="15">
        <v>99532000</v>
      </c>
      <c r="AC18" s="31">
        <f t="shared" si="16"/>
        <v>1.651859045214056E-4</v>
      </c>
      <c r="AD18" s="31">
        <f t="shared" si="17"/>
        <v>2.9524720676259724E-3</v>
      </c>
      <c r="AE18" s="31">
        <f t="shared" si="18"/>
        <v>3.117657972147378E-3</v>
      </c>
      <c r="AF18" s="40">
        <f t="shared" si="19"/>
        <v>9.7811532835439974E-2</v>
      </c>
      <c r="AL18" s="41">
        <v>3.1675327498353429E-3</v>
      </c>
      <c r="AM18" s="41">
        <v>1.7125284738280558E-3</v>
      </c>
    </row>
    <row r="19" spans="1:39" ht="20.100000000000001" customHeight="1" x14ac:dyDescent="0.25">
      <c r="A19" s="2" t="s">
        <v>27</v>
      </c>
      <c r="C19" s="15">
        <v>46</v>
      </c>
      <c r="D19" s="33">
        <f t="shared" si="0"/>
        <v>2.3446590559907495E-4</v>
      </c>
      <c r="E19" s="6">
        <v>32</v>
      </c>
      <c r="F19" s="11">
        <f t="shared" si="0"/>
        <v>2.4275227756326661E-4</v>
      </c>
      <c r="G19" s="35">
        <v>2535864</v>
      </c>
      <c r="H19" s="33">
        <f t="shared" ref="H19" si="32">G19/G$33</f>
        <v>5.1743267519444726E-2</v>
      </c>
      <c r="I19" s="6"/>
      <c r="J19" s="15">
        <f t="shared" si="25"/>
        <v>2535864</v>
      </c>
      <c r="K19" s="31">
        <f t="shared" si="2"/>
        <v>1.5210857712114287E-4</v>
      </c>
      <c r="L19" s="31">
        <f t="shared" si="3"/>
        <v>2.2800756130806388E-2</v>
      </c>
      <c r="M19" s="31">
        <f t="shared" si="4"/>
        <v>2.2952864707927532E-2</v>
      </c>
      <c r="N19" s="40">
        <f t="shared" si="5"/>
        <v>0.55894142184387929</v>
      </c>
      <c r="O19" s="6"/>
      <c r="P19" s="15">
        <f t="shared" si="6"/>
        <v>2535864</v>
      </c>
      <c r="Q19" s="31">
        <f t="shared" si="7"/>
        <v>6.0284842095662292E-5</v>
      </c>
      <c r="R19" s="31">
        <f t="shared" si="8"/>
        <v>4.8237110917074909E-2</v>
      </c>
      <c r="S19" s="31">
        <f t="shared" si="9"/>
        <v>4.8297395759170574E-2</v>
      </c>
      <c r="T19" s="40">
        <f t="shared" si="10"/>
        <v>6.6898697937245288E-2</v>
      </c>
      <c r="U19" s="6"/>
      <c r="V19" s="15">
        <f t="shared" si="11"/>
        <v>2535864</v>
      </c>
      <c r="W19" s="31">
        <f t="shared" si="12"/>
        <v>6.4288667503450847E-5</v>
      </c>
      <c r="X19" s="31">
        <f t="shared" si="13"/>
        <v>4.7178659200508802E-2</v>
      </c>
      <c r="Y19" s="31">
        <f t="shared" si="14"/>
        <v>4.7242947868012253E-2</v>
      </c>
      <c r="Z19" s="40">
        <f t="shared" si="15"/>
        <v>8.7369915634433637E-2</v>
      </c>
      <c r="AA19" s="6"/>
      <c r="AB19" s="15">
        <v>878955956.73583698</v>
      </c>
      <c r="AC19" s="31">
        <f t="shared" si="16"/>
        <v>1.2664252679974429E-4</v>
      </c>
      <c r="AD19" s="31">
        <f t="shared" si="17"/>
        <v>2.6072950517783439E-2</v>
      </c>
      <c r="AE19" s="31">
        <f t="shared" si="18"/>
        <v>2.6199593044583185E-2</v>
      </c>
      <c r="AF19" s="40">
        <f t="shared" si="19"/>
        <v>0.49590892574746603</v>
      </c>
      <c r="AL19" s="41">
        <v>2.6660151499377189E-2</v>
      </c>
      <c r="AM19" s="41">
        <v>2.2952864707927539E-2</v>
      </c>
    </row>
    <row r="20" spans="1:39" ht="20.100000000000001" customHeight="1" x14ac:dyDescent="0.25">
      <c r="A20" s="2" t="s">
        <v>28</v>
      </c>
      <c r="C20" s="15">
        <v>31</v>
      </c>
      <c r="D20" s="33">
        <f t="shared" si="0"/>
        <v>1.5800963203415922E-4</v>
      </c>
      <c r="E20" s="6">
        <v>29</v>
      </c>
      <c r="F20" s="11">
        <f t="shared" si="0"/>
        <v>2.1999425154171036E-4</v>
      </c>
      <c r="G20" s="35">
        <v>4249008</v>
      </c>
      <c r="H20" s="33">
        <f t="shared" ref="H20" si="33">G20/G$33</f>
        <v>8.669927000669625E-2</v>
      </c>
      <c r="I20" s="6"/>
      <c r="J20" s="15">
        <f t="shared" si="25"/>
        <v>4249008</v>
      </c>
      <c r="K20" s="31">
        <f t="shared" si="2"/>
        <v>1.3784839801603572E-4</v>
      </c>
      <c r="L20" s="31">
        <f t="shared" si="3"/>
        <v>3.8204176251504574E-2</v>
      </c>
      <c r="M20" s="31">
        <f t="shared" si="4"/>
        <v>3.8342024649520606E-2</v>
      </c>
      <c r="N20" s="40">
        <f t="shared" si="5"/>
        <v>0.55877676322049363</v>
      </c>
      <c r="O20" s="6"/>
      <c r="P20" s="15">
        <f t="shared" si="6"/>
        <v>4249008</v>
      </c>
      <c r="Q20" s="31">
        <f t="shared" si="7"/>
        <v>5.4633138149193952E-5</v>
      </c>
      <c r="R20" s="31">
        <f t="shared" si="8"/>
        <v>8.0824472520426405E-2</v>
      </c>
      <c r="S20" s="31">
        <f t="shared" si="9"/>
        <v>8.0879105658575604E-2</v>
      </c>
      <c r="T20" s="40">
        <f t="shared" si="10"/>
        <v>6.725305736158077E-2</v>
      </c>
      <c r="U20" s="6"/>
      <c r="V20" s="15">
        <f t="shared" si="11"/>
        <v>4249008</v>
      </c>
      <c r="W20" s="31">
        <f t="shared" si="12"/>
        <v>5.8261604925002332E-5</v>
      </c>
      <c r="X20" s="31">
        <f t="shared" si="13"/>
        <v>7.9050966602402767E-2</v>
      </c>
      <c r="Y20" s="31">
        <f t="shared" si="14"/>
        <v>7.910922820732777E-2</v>
      </c>
      <c r="Z20" s="40">
        <f t="shared" si="15"/>
        <v>8.7704313139293319E-2</v>
      </c>
      <c r="AA20" s="6"/>
      <c r="AB20" s="15">
        <v>1485903040.9419899</v>
      </c>
      <c r="AC20" s="31">
        <f t="shared" si="16"/>
        <v>8.5346050669392895E-5</v>
      </c>
      <c r="AD20" s="31">
        <f t="shared" si="17"/>
        <v>4.4077153313323521E-2</v>
      </c>
      <c r="AE20" s="31">
        <f t="shared" si="18"/>
        <v>4.4162499363992913E-2</v>
      </c>
      <c r="AF20" s="40">
        <f t="shared" si="19"/>
        <v>0.49152011951928343</v>
      </c>
      <c r="AL20" s="41">
        <v>4.4943032688885408E-2</v>
      </c>
      <c r="AM20" s="41">
        <v>3.834202464952062E-2</v>
      </c>
    </row>
    <row r="21" spans="1:39" ht="20.100000000000001" customHeight="1" x14ac:dyDescent="0.25">
      <c r="A21" s="2" t="s">
        <v>29</v>
      </c>
      <c r="C21" s="15">
        <v>8</v>
      </c>
      <c r="D21" s="33">
        <f t="shared" si="0"/>
        <v>4.0776679234621731E-5</v>
      </c>
      <c r="E21" s="6">
        <v>9</v>
      </c>
      <c r="F21" s="11">
        <f t="shared" si="0"/>
        <v>6.8274078064668733E-5</v>
      </c>
      <c r="G21" s="35">
        <v>4646400</v>
      </c>
      <c r="H21" s="33">
        <f t="shared" ref="H21" si="34">G21/G$33</f>
        <v>9.480789119698374E-2</v>
      </c>
      <c r="I21" s="6"/>
      <c r="J21" s="15">
        <f t="shared" si="25"/>
        <v>4646400</v>
      </c>
      <c r="K21" s="31">
        <f t="shared" si="2"/>
        <v>4.2780537315321428E-5</v>
      </c>
      <c r="L21" s="31">
        <f t="shared" si="3"/>
        <v>4.1777253546001994E-2</v>
      </c>
      <c r="M21" s="31">
        <f t="shared" si="4"/>
        <v>4.1820034083317317E-2</v>
      </c>
      <c r="N21" s="40">
        <f t="shared" si="5"/>
        <v>0.55913760151199099</v>
      </c>
      <c r="O21" s="6"/>
      <c r="P21" s="15">
        <f t="shared" si="6"/>
        <v>4646400</v>
      </c>
      <c r="Q21" s="31">
        <f t="shared" si="7"/>
        <v>1.6955111839405019E-5</v>
      </c>
      <c r="R21" s="31">
        <f t="shared" si="8"/>
        <v>8.8383648399558035E-2</v>
      </c>
      <c r="S21" s="31">
        <f t="shared" si="9"/>
        <v>8.8400603511397446E-2</v>
      </c>
      <c r="T21" s="40">
        <f t="shared" si="10"/>
        <v>6.7610876601991082E-2</v>
      </c>
      <c r="U21" s="6"/>
      <c r="V21" s="15">
        <f t="shared" si="11"/>
        <v>4646400</v>
      </c>
      <c r="W21" s="31">
        <f t="shared" si="12"/>
        <v>1.8081187735345551E-5</v>
      </c>
      <c r="X21" s="31">
        <f t="shared" si="13"/>
        <v>8.6444273868489838E-2</v>
      </c>
      <c r="Y21" s="31">
        <f t="shared" si="14"/>
        <v>8.6462355056225182E-2</v>
      </c>
      <c r="Z21" s="40">
        <f t="shared" si="15"/>
        <v>8.806363033450286E-2</v>
      </c>
      <c r="AA21" s="6"/>
      <c r="AB21" s="15">
        <v>1607832896.94134</v>
      </c>
      <c r="AC21" s="31">
        <f t="shared" si="16"/>
        <v>2.2024787269520745E-5</v>
      </c>
      <c r="AD21" s="31">
        <f t="shared" si="17"/>
        <v>4.7694025214297463E-2</v>
      </c>
      <c r="AE21" s="31">
        <f t="shared" si="18"/>
        <v>4.7716050001566986E-2</v>
      </c>
      <c r="AF21" s="40">
        <f t="shared" si="19"/>
        <v>0.4969217585135699</v>
      </c>
      <c r="AL21" s="41">
        <v>4.8561694309614524E-2</v>
      </c>
      <c r="AM21" s="41">
        <v>4.1820034083317331E-2</v>
      </c>
    </row>
    <row r="22" spans="1:39" ht="20.100000000000001" customHeight="1" x14ac:dyDescent="0.25">
      <c r="A22" s="2" t="s">
        <v>30</v>
      </c>
      <c r="C22" s="15">
        <v>3</v>
      </c>
      <c r="D22" s="33">
        <f t="shared" si="0"/>
        <v>1.5291254712983151E-5</v>
      </c>
      <c r="E22" s="6">
        <v>3</v>
      </c>
      <c r="F22" s="11">
        <f t="shared" si="0"/>
        <v>2.2758026021556242E-5</v>
      </c>
      <c r="G22" s="35">
        <v>3849984</v>
      </c>
      <c r="H22" s="33">
        <f t="shared" ref="H22" si="35">G22/G$33</f>
        <v>7.8557348524046194E-2</v>
      </c>
      <c r="I22" s="6"/>
      <c r="J22" s="15">
        <f t="shared" si="25"/>
        <v>3849984</v>
      </c>
      <c r="K22" s="31">
        <f t="shared" si="2"/>
        <v>1.4260179105107143E-5</v>
      </c>
      <c r="L22" s="31">
        <f t="shared" si="3"/>
        <v>3.4616425128282315E-2</v>
      </c>
      <c r="M22" s="31">
        <f t="shared" si="4"/>
        <v>3.4630685307387422E-2</v>
      </c>
      <c r="N22" s="40">
        <f t="shared" si="5"/>
        <v>0.55927568927851301</v>
      </c>
      <c r="O22" s="6"/>
      <c r="P22" s="15">
        <f t="shared" si="6"/>
        <v>3849984</v>
      </c>
      <c r="Q22" s="31">
        <f t="shared" si="7"/>
        <v>5.6517039464683399E-6</v>
      </c>
      <c r="R22" s="31">
        <f t="shared" si="8"/>
        <v>7.3234252797848676E-2</v>
      </c>
      <c r="S22" s="31">
        <f t="shared" si="9"/>
        <v>7.3239904501795142E-2</v>
      </c>
      <c r="T22" s="40">
        <f t="shared" si="10"/>
        <v>6.7701868363553186E-2</v>
      </c>
      <c r="U22" s="6"/>
      <c r="V22" s="15">
        <f t="shared" si="11"/>
        <v>3849984</v>
      </c>
      <c r="W22" s="31">
        <f t="shared" si="12"/>
        <v>6.0270625784485173E-6</v>
      </c>
      <c r="X22" s="31">
        <f t="shared" si="13"/>
        <v>7.162729667813876E-2</v>
      </c>
      <c r="Y22" s="31">
        <f t="shared" si="14"/>
        <v>7.1633323740717209E-2</v>
      </c>
      <c r="Z22" s="40">
        <f t="shared" si="15"/>
        <v>8.8156906300345603E-2</v>
      </c>
      <c r="AA22" s="6"/>
      <c r="AB22" s="15">
        <v>1347414289.2118199</v>
      </c>
      <c r="AC22" s="31">
        <f t="shared" si="16"/>
        <v>8.2592952260702784E-6</v>
      </c>
      <c r="AD22" s="31">
        <f t="shared" si="17"/>
        <v>3.9969085845939008E-2</v>
      </c>
      <c r="AE22" s="31">
        <f t="shared" si="18"/>
        <v>3.9977345141165077E-2</v>
      </c>
      <c r="AF22" s="40">
        <f t="shared" si="19"/>
        <v>0.4912018442626751</v>
      </c>
      <c r="AL22" s="41">
        <v>4.0686175570409731E-2</v>
      </c>
      <c r="AM22" s="41">
        <v>3.4630685307387429E-2</v>
      </c>
    </row>
    <row r="23" spans="1:39" ht="20.100000000000001" customHeight="1" x14ac:dyDescent="0.25">
      <c r="A23" s="2" t="s">
        <v>31</v>
      </c>
      <c r="C23" s="15">
        <v>2</v>
      </c>
      <c r="D23" s="33">
        <f t="shared" si="0"/>
        <v>1.0194169808655433E-5</v>
      </c>
      <c r="E23" s="6">
        <v>2</v>
      </c>
      <c r="F23" s="11">
        <f t="shared" si="0"/>
        <v>1.5172017347704163E-5</v>
      </c>
      <c r="G23" s="35">
        <v>4848000</v>
      </c>
      <c r="H23" s="33">
        <f t="shared" ref="H23" si="36">G23/G$33</f>
        <v>9.8921456724125598E-2</v>
      </c>
      <c r="I23" s="6"/>
      <c r="J23" s="15">
        <f t="shared" si="25"/>
        <v>4848000</v>
      </c>
      <c r="K23" s="31">
        <f t="shared" si="2"/>
        <v>9.5067860700714293E-6</v>
      </c>
      <c r="L23" s="31">
        <f t="shared" si="3"/>
        <v>4.3589902976716957E-2</v>
      </c>
      <c r="M23" s="31">
        <f t="shared" si="4"/>
        <v>4.3599409762787027E-2</v>
      </c>
      <c r="N23" s="40">
        <f t="shared" si="5"/>
        <v>0.55930988577724983</v>
      </c>
      <c r="O23" s="6"/>
      <c r="P23" s="15">
        <f t="shared" si="6"/>
        <v>4848000</v>
      </c>
      <c r="Q23" s="31">
        <f t="shared" si="7"/>
        <v>3.7678026309788933E-6</v>
      </c>
      <c r="R23" s="31">
        <f t="shared" si="8"/>
        <v>9.2218476119373574E-2</v>
      </c>
      <c r="S23" s="31">
        <f t="shared" si="9"/>
        <v>9.2222243922004551E-2</v>
      </c>
      <c r="T23" s="40">
        <f t="shared" si="10"/>
        <v>6.7729524718605078E-2</v>
      </c>
      <c r="U23" s="6"/>
      <c r="V23" s="15">
        <f t="shared" si="11"/>
        <v>4848000</v>
      </c>
      <c r="W23" s="31">
        <f t="shared" si="12"/>
        <v>4.0180417189656779E-6</v>
      </c>
      <c r="X23" s="31">
        <f t="shared" si="13"/>
        <v>9.019495517270118E-2</v>
      </c>
      <c r="Y23" s="31">
        <f t="shared" si="14"/>
        <v>9.019897321442015E-2</v>
      </c>
      <c r="Z23" s="40">
        <f t="shared" si="15"/>
        <v>8.8184937533433178E-2</v>
      </c>
      <c r="AA23" s="6"/>
      <c r="AB23" s="15">
        <v>1686492787.7980499</v>
      </c>
      <c r="AC23" s="31">
        <f t="shared" si="16"/>
        <v>5.5061968173801862E-6</v>
      </c>
      <c r="AD23" s="31">
        <f t="shared" si="17"/>
        <v>5.0027356510734221E-2</v>
      </c>
      <c r="AE23" s="31">
        <f t="shared" si="18"/>
        <v>5.0032862707551598E-2</v>
      </c>
      <c r="AF23" s="40">
        <f t="shared" si="19"/>
        <v>0.49426721238875015</v>
      </c>
      <c r="AL23" s="41">
        <v>5.0920144180315673E-2</v>
      </c>
      <c r="AM23" s="41">
        <v>4.3599409762787041E-2</v>
      </c>
    </row>
    <row r="24" spans="1:39" ht="20.100000000000001" customHeight="1" x14ac:dyDescent="0.25">
      <c r="A24" s="2" t="s">
        <v>32</v>
      </c>
      <c r="C24" s="15">
        <v>59.999999999999993</v>
      </c>
      <c r="D24" s="33">
        <f t="shared" si="0"/>
        <v>3.0582509425966298E-4</v>
      </c>
      <c r="E24" s="6">
        <v>33</v>
      </c>
      <c r="F24" s="11">
        <f t="shared" si="0"/>
        <v>2.5033828623711866E-4</v>
      </c>
      <c r="G24" s="35">
        <v>1651968</v>
      </c>
      <c r="H24" s="33">
        <f t="shared" ref="H24" si="37">G24/G$33</f>
        <v>3.3707731233836698E-2</v>
      </c>
      <c r="I24" s="6"/>
      <c r="J24" s="15">
        <f t="shared" si="25"/>
        <v>1651968</v>
      </c>
      <c r="K24" s="31">
        <f t="shared" si="2"/>
        <v>1.5686197015617857E-4</v>
      </c>
      <c r="L24" s="31">
        <f t="shared" si="3"/>
        <v>1.485336733511575E-2</v>
      </c>
      <c r="M24" s="31">
        <f t="shared" si="4"/>
        <v>1.5010229305271929E-2</v>
      </c>
      <c r="N24" s="40">
        <f t="shared" si="5"/>
        <v>0.55977350066290366</v>
      </c>
      <c r="O24" s="6"/>
      <c r="P24" s="15">
        <f t="shared" si="6"/>
        <v>1651968</v>
      </c>
      <c r="Q24" s="31">
        <f t="shared" si="7"/>
        <v>6.2168743411151735E-5</v>
      </c>
      <c r="R24" s="31">
        <f t="shared" si="8"/>
        <v>3.1423674001231292E-2</v>
      </c>
      <c r="S24" s="31">
        <f t="shared" si="9"/>
        <v>3.1485842744642445E-2</v>
      </c>
      <c r="T24" s="40">
        <f t="shared" si="10"/>
        <v>6.6519811172141341E-2</v>
      </c>
      <c r="U24" s="6"/>
      <c r="V24" s="15">
        <f t="shared" si="11"/>
        <v>1651968</v>
      </c>
      <c r="W24" s="31">
        <f t="shared" si="12"/>
        <v>6.629768836293369E-5</v>
      </c>
      <c r="X24" s="31">
        <f t="shared" si="13"/>
        <v>3.0734154229937461E-2</v>
      </c>
      <c r="Y24" s="31">
        <f t="shared" si="14"/>
        <v>3.0800451918300394E-2</v>
      </c>
      <c r="Z24" s="40">
        <f t="shared" si="15"/>
        <v>8.7039323546016012E-2</v>
      </c>
      <c r="AA24" s="6"/>
      <c r="AB24" s="15">
        <v>107311000</v>
      </c>
      <c r="AC24" s="31">
        <f t="shared" si="16"/>
        <v>1.6518590452140557E-4</v>
      </c>
      <c r="AD24" s="31">
        <f t="shared" si="17"/>
        <v>3.1832247925190965E-3</v>
      </c>
      <c r="AE24" s="31">
        <f t="shared" si="18"/>
        <v>3.3484106970405022E-3</v>
      </c>
      <c r="AF24" s="40">
        <f t="shared" si="19"/>
        <v>0.908909821192038</v>
      </c>
      <c r="AL24" s="41">
        <v>3.4023784714898577E-3</v>
      </c>
      <c r="AM24" s="41">
        <v>1.5010229305271934E-2</v>
      </c>
    </row>
    <row r="25" spans="1:39" ht="20.100000000000001" customHeight="1" x14ac:dyDescent="0.25">
      <c r="A25" s="2" t="s">
        <v>33</v>
      </c>
      <c r="C25" s="15">
        <v>15</v>
      </c>
      <c r="D25" s="33">
        <f t="shared" si="0"/>
        <v>7.6456273564915744E-5</v>
      </c>
      <c r="E25" s="6">
        <v>5</v>
      </c>
      <c r="F25" s="11">
        <f t="shared" si="0"/>
        <v>3.7930043369260404E-5</v>
      </c>
      <c r="G25" s="35">
        <v>593160</v>
      </c>
      <c r="H25" s="33">
        <f t="shared" ref="H25" si="38">G25/G$33</f>
        <v>1.2103187143251306E-2</v>
      </c>
      <c r="I25" s="6"/>
      <c r="J25" s="15">
        <f t="shared" si="25"/>
        <v>593160</v>
      </c>
      <c r="K25" s="31">
        <f t="shared" si="2"/>
        <v>2.3766965175178572E-5</v>
      </c>
      <c r="L25" s="31">
        <f t="shared" si="3"/>
        <v>5.3332893666809883E-3</v>
      </c>
      <c r="M25" s="31">
        <f t="shared" si="4"/>
        <v>5.3570563318561665E-3</v>
      </c>
      <c r="N25" s="40">
        <f t="shared" si="5"/>
        <v>0.56092805971063131</v>
      </c>
      <c r="O25" s="6"/>
      <c r="P25" s="15">
        <f t="shared" si="6"/>
        <v>593160</v>
      </c>
      <c r="Q25" s="31">
        <f t="shared" si="7"/>
        <v>9.4195065774472324E-6</v>
      </c>
      <c r="R25" s="31">
        <f t="shared" si="8"/>
        <v>1.1283067511338207E-2</v>
      </c>
      <c r="S25" s="31">
        <f t="shared" si="9"/>
        <v>1.1292487017915654E-2</v>
      </c>
      <c r="T25" s="40">
        <f t="shared" si="10"/>
        <v>6.7408187155749699E-2</v>
      </c>
      <c r="U25" s="6"/>
      <c r="V25" s="15">
        <f t="shared" si="11"/>
        <v>593160</v>
      </c>
      <c r="W25" s="31">
        <f t="shared" si="12"/>
        <v>1.0045104297414195E-5</v>
      </c>
      <c r="X25" s="31">
        <f t="shared" si="13"/>
        <v>1.1035486718283709E-2</v>
      </c>
      <c r="Y25" s="31">
        <f t="shared" si="14"/>
        <v>1.1045531822581124E-2</v>
      </c>
      <c r="Z25" s="40">
        <f t="shared" si="15"/>
        <v>8.7942046107976304E-2</v>
      </c>
      <c r="AA25" s="6"/>
      <c r="AB25" s="15">
        <v>80739000</v>
      </c>
      <c r="AC25" s="31">
        <f t="shared" si="16"/>
        <v>4.1296476130351399E-5</v>
      </c>
      <c r="AD25" s="31">
        <f t="shared" si="17"/>
        <v>2.3950050462972047E-3</v>
      </c>
      <c r="AE25" s="31">
        <f t="shared" si="18"/>
        <v>2.4363015224275562E-3</v>
      </c>
      <c r="AF25" s="40">
        <f t="shared" si="19"/>
        <v>0.80378331614531462</v>
      </c>
      <c r="AL25" s="41">
        <v>2.4781593963204593E-3</v>
      </c>
      <c r="AM25" s="41">
        <v>5.3570563318561682E-3</v>
      </c>
    </row>
    <row r="26" spans="1:39" ht="20.100000000000001" customHeight="1" x14ac:dyDescent="0.25">
      <c r="A26" s="2" t="s">
        <v>34</v>
      </c>
      <c r="C26" s="15">
        <v>8.571428571428573</v>
      </c>
      <c r="D26" s="33">
        <f t="shared" si="0"/>
        <v>4.3689299179951864E-5</v>
      </c>
      <c r="E26" s="6">
        <v>1</v>
      </c>
      <c r="F26" s="11">
        <f t="shared" si="0"/>
        <v>7.5860086738520816E-6</v>
      </c>
      <c r="G26" s="35">
        <v>838800</v>
      </c>
      <c r="H26" s="33">
        <f t="shared" ref="H26" si="39">G26/G$33</f>
        <v>1.7115370854000937E-2</v>
      </c>
      <c r="I26" s="6"/>
      <c r="J26" s="15">
        <f t="shared" si="25"/>
        <v>838800</v>
      </c>
      <c r="K26" s="31">
        <f t="shared" si="2"/>
        <v>4.7533930350357146E-6</v>
      </c>
      <c r="L26" s="31">
        <f t="shared" si="3"/>
        <v>7.5419163813676129E-3</v>
      </c>
      <c r="M26" s="31">
        <f t="shared" si="4"/>
        <v>7.5466697744026486E-3</v>
      </c>
      <c r="N26" s="40">
        <f t="shared" si="5"/>
        <v>0.56050138053893817</v>
      </c>
      <c r="O26" s="6"/>
      <c r="P26" s="15">
        <f t="shared" si="6"/>
        <v>838800</v>
      </c>
      <c r="Q26" s="31">
        <f t="shared" si="7"/>
        <v>1.8839013154894466E-6</v>
      </c>
      <c r="R26" s="31">
        <f t="shared" si="8"/>
        <v>1.5955622477089634E-2</v>
      </c>
      <c r="S26" s="31">
        <f t="shared" si="9"/>
        <v>1.5957506378405123E-2</v>
      </c>
      <c r="T26" s="40">
        <f t="shared" si="10"/>
        <v>6.7823692228422411E-2</v>
      </c>
      <c r="U26" s="6"/>
      <c r="V26" s="15">
        <f t="shared" si="11"/>
        <v>838800</v>
      </c>
      <c r="W26" s="31">
        <f t="shared" si="12"/>
        <v>2.009020859482839E-6</v>
      </c>
      <c r="X26" s="31">
        <f t="shared" si="13"/>
        <v>1.5605513283593594E-2</v>
      </c>
      <c r="Y26" s="31">
        <f t="shared" si="14"/>
        <v>1.5607522304453078E-2</v>
      </c>
      <c r="Z26" s="40">
        <f t="shared" si="15"/>
        <v>8.8324547567609005E-2</v>
      </c>
      <c r="AA26" s="6"/>
      <c r="AB26" s="15">
        <v>161114000</v>
      </c>
      <c r="AC26" s="31">
        <f t="shared" si="16"/>
        <v>2.3597986360200803E-5</v>
      </c>
      <c r="AD26" s="31">
        <f t="shared" si="17"/>
        <v>4.7792125618242465E-3</v>
      </c>
      <c r="AE26" s="31">
        <f t="shared" si="18"/>
        <v>4.8028105481844477E-3</v>
      </c>
      <c r="AF26" s="40">
        <f t="shared" si="19"/>
        <v>0.72122715423657047</v>
      </c>
      <c r="AL26" s="41">
        <v>4.8883879075245227E-3</v>
      </c>
      <c r="AM26" s="41">
        <v>7.5466697744026494E-3</v>
      </c>
    </row>
    <row r="27" spans="1:39" ht="20.100000000000001" customHeight="1" x14ac:dyDescent="0.25">
      <c r="A27" s="2" t="s">
        <v>35</v>
      </c>
      <c r="C27" s="15">
        <v>2</v>
      </c>
      <c r="D27" s="33">
        <f t="shared" si="0"/>
        <v>1.0194169808655433E-5</v>
      </c>
      <c r="E27" s="6">
        <v>1</v>
      </c>
      <c r="F27" s="11">
        <f t="shared" si="0"/>
        <v>7.5860086738520816E-6</v>
      </c>
      <c r="G27" s="35">
        <v>696000</v>
      </c>
      <c r="H27" s="33">
        <f t="shared" ref="H27" si="40">G27/G$33</f>
        <v>1.4201595272275457E-2</v>
      </c>
      <c r="I27" s="6"/>
      <c r="J27" s="15">
        <f t="shared" si="25"/>
        <v>696000</v>
      </c>
      <c r="K27" s="31">
        <f t="shared" si="2"/>
        <v>4.7533930350357146E-6</v>
      </c>
      <c r="L27" s="31">
        <f t="shared" si="3"/>
        <v>6.2579563679445137E-3</v>
      </c>
      <c r="M27" s="31">
        <f t="shared" si="4"/>
        <v>6.2627097609795493E-3</v>
      </c>
      <c r="N27" s="40">
        <f t="shared" si="5"/>
        <v>0.55941520178130555</v>
      </c>
      <c r="O27" s="6"/>
      <c r="P27" s="15">
        <f t="shared" si="6"/>
        <v>696000</v>
      </c>
      <c r="Q27" s="31">
        <f t="shared" si="7"/>
        <v>1.8839013154894466E-6</v>
      </c>
      <c r="R27" s="31">
        <f t="shared" si="8"/>
        <v>1.3239286175553632E-2</v>
      </c>
      <c r="S27" s="31">
        <f t="shared" si="9"/>
        <v>1.324117007686912E-2</v>
      </c>
      <c r="T27" s="40">
        <f t="shared" si="10"/>
        <v>6.7676559098832842E-2</v>
      </c>
      <c r="U27" s="6"/>
      <c r="V27" s="15">
        <f t="shared" si="11"/>
        <v>696000</v>
      </c>
      <c r="W27" s="31">
        <f t="shared" si="12"/>
        <v>2.009020859482839E-6</v>
      </c>
      <c r="X27" s="31">
        <f t="shared" si="13"/>
        <v>1.2948780693110564E-2</v>
      </c>
      <c r="Y27" s="31">
        <f t="shared" si="14"/>
        <v>1.2950789713970047E-2</v>
      </c>
      <c r="Z27" s="40">
        <f t="shared" si="15"/>
        <v>8.8138271145615774E-2</v>
      </c>
      <c r="AA27" s="6"/>
      <c r="AB27" s="15">
        <v>48991000</v>
      </c>
      <c r="AC27" s="31">
        <f t="shared" si="16"/>
        <v>5.5061968173801862E-6</v>
      </c>
      <c r="AD27" s="31">
        <f t="shared" si="17"/>
        <v>1.4532467856072822E-3</v>
      </c>
      <c r="AE27" s="31">
        <f t="shared" si="18"/>
        <v>1.4587529824246625E-3</v>
      </c>
      <c r="AF27" s="40">
        <f t="shared" si="19"/>
        <v>0.89792700508167478</v>
      </c>
      <c r="AL27" s="41">
        <v>1.4844469099736118E-3</v>
      </c>
      <c r="AM27" s="41">
        <v>6.2627097609795511E-3</v>
      </c>
    </row>
    <row r="28" spans="1:39" ht="20.100000000000001" customHeight="1" x14ac:dyDescent="0.25">
      <c r="A28" s="2" t="s">
        <v>36</v>
      </c>
      <c r="C28" s="15">
        <v>4</v>
      </c>
      <c r="D28" s="33">
        <f t="shared" si="0"/>
        <v>2.0388339617310865E-5</v>
      </c>
      <c r="E28" s="6">
        <v>1</v>
      </c>
      <c r="F28" s="11">
        <f t="shared" si="0"/>
        <v>7.5860086738520816E-6</v>
      </c>
      <c r="G28" s="35">
        <v>849984</v>
      </c>
      <c r="H28" s="33">
        <f t="shared" ref="H28" si="41">G28/G$33</f>
        <v>1.734357579872095E-2</v>
      </c>
      <c r="I28" s="6"/>
      <c r="J28" s="15">
        <f t="shared" si="25"/>
        <v>849984</v>
      </c>
      <c r="K28" s="31">
        <f t="shared" si="2"/>
        <v>4.7533930350357146E-6</v>
      </c>
      <c r="L28" s="31">
        <f t="shared" si="3"/>
        <v>7.642475266452513E-3</v>
      </c>
      <c r="M28" s="31">
        <f t="shared" si="4"/>
        <v>7.6472286594875486E-3</v>
      </c>
      <c r="N28" s="40">
        <f t="shared" si="5"/>
        <v>0.55973227572145223</v>
      </c>
      <c r="O28" s="6"/>
      <c r="P28" s="15">
        <f t="shared" si="6"/>
        <v>849984</v>
      </c>
      <c r="Q28" s="31">
        <f t="shared" si="7"/>
        <v>1.8839013154894466E-6</v>
      </c>
      <c r="R28" s="31">
        <f t="shared" si="8"/>
        <v>1.6168364110117499E-2</v>
      </c>
      <c r="S28" s="31">
        <f t="shared" si="9"/>
        <v>1.6170248011432988E-2</v>
      </c>
      <c r="T28" s="40">
        <f t="shared" si="10"/>
        <v>6.7731633687965309E-2</v>
      </c>
      <c r="U28" s="6"/>
      <c r="V28" s="15">
        <f t="shared" si="11"/>
        <v>849984</v>
      </c>
      <c r="W28" s="31">
        <f t="shared" si="12"/>
        <v>2.009020859482839E-6</v>
      </c>
      <c r="X28" s="31">
        <f t="shared" si="13"/>
        <v>1.5813586794041507E-2</v>
      </c>
      <c r="Y28" s="31">
        <f t="shared" si="14"/>
        <v>1.5815595814900989E-2</v>
      </c>
      <c r="Z28" s="40">
        <f t="shared" si="15"/>
        <v>8.8204320794149305E-2</v>
      </c>
      <c r="AA28" s="6"/>
      <c r="AB28" s="15">
        <v>119706000</v>
      </c>
      <c r="AC28" s="31">
        <f t="shared" si="16"/>
        <v>1.1012393634760372E-5</v>
      </c>
      <c r="AD28" s="31">
        <f t="shared" si="17"/>
        <v>3.5509044460800008E-3</v>
      </c>
      <c r="AE28" s="31">
        <f t="shared" si="18"/>
        <v>3.5619168397147613E-3</v>
      </c>
      <c r="AF28" s="40">
        <f t="shared" si="19"/>
        <v>0.79556138219607409</v>
      </c>
      <c r="AL28" s="41">
        <v>3.6247349894063664E-3</v>
      </c>
      <c r="AM28" s="41">
        <v>7.6472286594875521E-3</v>
      </c>
    </row>
    <row r="29" spans="1:39" ht="20.100000000000001" customHeight="1" x14ac:dyDescent="0.25">
      <c r="A29" s="2" t="s">
        <v>37</v>
      </c>
      <c r="C29" s="15">
        <v>24.999999999999996</v>
      </c>
      <c r="D29" s="33">
        <f t="shared" si="0"/>
        <v>1.2742712260819288E-4</v>
      </c>
      <c r="E29" s="6">
        <v>15</v>
      </c>
      <c r="F29" s="11">
        <f t="shared" si="0"/>
        <v>1.1379013010778122E-4</v>
      </c>
      <c r="G29" s="35">
        <v>467448</v>
      </c>
      <c r="H29" s="33">
        <f t="shared" ref="H29" si="42">G29/G$33</f>
        <v>9.5380852109692785E-3</v>
      </c>
      <c r="I29" s="6"/>
      <c r="J29" s="15">
        <f t="shared" si="25"/>
        <v>467448</v>
      </c>
      <c r="K29" s="31">
        <f t="shared" si="2"/>
        <v>7.1300895525535724E-5</v>
      </c>
      <c r="L29" s="31">
        <f t="shared" si="3"/>
        <v>4.2029729716708715E-3</v>
      </c>
      <c r="M29" s="31">
        <f t="shared" si="4"/>
        <v>4.274273867196407E-3</v>
      </c>
      <c r="N29" s="40">
        <f t="shared" si="5"/>
        <v>0.55934572208962174</v>
      </c>
      <c r="O29" s="6"/>
      <c r="P29" s="15">
        <f t="shared" si="6"/>
        <v>467448</v>
      </c>
      <c r="Q29" s="31">
        <f t="shared" si="7"/>
        <v>2.8258519732341697E-5</v>
      </c>
      <c r="R29" s="31">
        <f t="shared" si="8"/>
        <v>8.8917785117675202E-3</v>
      </c>
      <c r="S29" s="31">
        <f t="shared" si="9"/>
        <v>8.9200370314998622E-3</v>
      </c>
      <c r="T29" s="40">
        <f t="shared" si="10"/>
        <v>6.5675341051207231E-2</v>
      </c>
      <c r="U29" s="6"/>
      <c r="V29" s="15">
        <f t="shared" si="11"/>
        <v>467448</v>
      </c>
      <c r="W29" s="31">
        <f t="shared" si="12"/>
        <v>3.0135312892242588E-5</v>
      </c>
      <c r="X29" s="31">
        <f t="shared" si="13"/>
        <v>8.6966690193004993E-3</v>
      </c>
      <c r="Y29" s="31">
        <f t="shared" si="14"/>
        <v>8.7268043321927415E-3</v>
      </c>
      <c r="Z29" s="40">
        <f t="shared" si="15"/>
        <v>8.6208729629643321E-2</v>
      </c>
      <c r="AA29" s="6"/>
      <c r="AB29" s="15">
        <v>44037000</v>
      </c>
      <c r="AC29" s="31">
        <f t="shared" si="16"/>
        <v>6.8827460217252325E-5</v>
      </c>
      <c r="AD29" s="31">
        <f t="shared" si="17"/>
        <v>1.3062935783672079E-3</v>
      </c>
      <c r="AE29" s="31">
        <f t="shared" si="18"/>
        <v>1.3751210385844603E-3</v>
      </c>
      <c r="AF29" s="40">
        <f t="shared" si="19"/>
        <v>0.86741693256081731</v>
      </c>
      <c r="AL29" s="41">
        <v>1.3972519711215909E-3</v>
      </c>
      <c r="AM29" s="41">
        <v>4.2742738671964087E-3</v>
      </c>
    </row>
    <row r="30" spans="1:39" ht="20.100000000000001" customHeight="1" x14ac:dyDescent="0.25">
      <c r="A30" s="2" t="s">
        <v>38</v>
      </c>
      <c r="C30" s="15">
        <v>15</v>
      </c>
      <c r="D30" s="33">
        <f t="shared" si="0"/>
        <v>7.6456273564915744E-5</v>
      </c>
      <c r="E30" s="6">
        <v>3</v>
      </c>
      <c r="F30" s="11">
        <f t="shared" si="0"/>
        <v>2.2758026021556242E-5</v>
      </c>
      <c r="G30" s="35">
        <v>738192</v>
      </c>
      <c r="H30" s="33">
        <f t="shared" ref="H30" si="43">G30/G$33</f>
        <v>1.506250577188443E-2</v>
      </c>
      <c r="I30" s="6"/>
      <c r="J30" s="15">
        <f t="shared" si="25"/>
        <v>738192</v>
      </c>
      <c r="K30" s="31">
        <f t="shared" si="2"/>
        <v>1.4260179105107143E-5</v>
      </c>
      <c r="L30" s="31">
        <f t="shared" si="3"/>
        <v>6.6373179988012884E-3</v>
      </c>
      <c r="M30" s="31">
        <f t="shared" si="4"/>
        <v>6.6515781779063953E-3</v>
      </c>
      <c r="N30" s="40">
        <f t="shared" si="5"/>
        <v>0.56125048799026112</v>
      </c>
      <c r="O30" s="6"/>
      <c r="P30" s="15">
        <f t="shared" si="6"/>
        <v>738192</v>
      </c>
      <c r="Q30" s="31">
        <f t="shared" si="7"/>
        <v>5.6517039464683399E-6</v>
      </c>
      <c r="R30" s="31">
        <f t="shared" si="8"/>
        <v>1.4041860834057883E-2</v>
      </c>
      <c r="S30" s="31">
        <f t="shared" si="9"/>
        <v>1.4047512538004351E-2</v>
      </c>
      <c r="T30" s="40">
        <f t="shared" si="10"/>
        <v>6.772920601883084E-2</v>
      </c>
      <c r="U30" s="6"/>
      <c r="V30" s="15">
        <f t="shared" si="11"/>
        <v>738192</v>
      </c>
      <c r="W30" s="31">
        <f t="shared" si="12"/>
        <v>6.0270625784485173E-6</v>
      </c>
      <c r="X30" s="31">
        <f t="shared" si="13"/>
        <v>1.3733744708920508E-2</v>
      </c>
      <c r="Y30" s="31">
        <f t="shared" si="14"/>
        <v>1.3739771771498956E-2</v>
      </c>
      <c r="Z30" s="40">
        <f t="shared" si="15"/>
        <v>8.8264355495008925E-2</v>
      </c>
      <c r="AA30" s="6"/>
      <c r="AB30" s="15">
        <v>64286000</v>
      </c>
      <c r="AC30" s="31">
        <f t="shared" si="16"/>
        <v>4.1296476130351399E-5</v>
      </c>
      <c r="AD30" s="31">
        <f t="shared" si="17"/>
        <v>1.9069507227766271E-3</v>
      </c>
      <c r="AE30" s="31">
        <f t="shared" si="18"/>
        <v>1.9482471989069785E-3</v>
      </c>
      <c r="AF30" s="40">
        <f t="shared" si="19"/>
        <v>0.87509777506393804</v>
      </c>
      <c r="AL30" s="41">
        <v>1.9814481662932411E-3</v>
      </c>
      <c r="AM30" s="41">
        <v>6.6515781779063971E-3</v>
      </c>
    </row>
    <row r="31" spans="1:39" ht="20.100000000000001" customHeight="1" x14ac:dyDescent="0.25">
      <c r="A31" s="2" t="s">
        <v>39</v>
      </c>
      <c r="C31" s="15">
        <v>7</v>
      </c>
      <c r="D31" s="33">
        <f t="shared" si="0"/>
        <v>3.5679594330294013E-5</v>
      </c>
      <c r="E31" s="6">
        <v>1</v>
      </c>
      <c r="F31" s="11">
        <f t="shared" si="0"/>
        <v>7.5860086738520816E-6</v>
      </c>
      <c r="G31" s="35">
        <v>543600</v>
      </c>
      <c r="H31" s="33">
        <f t="shared" ref="H31" si="44">G31/G$33</f>
        <v>1.1091935617828935E-2</v>
      </c>
      <c r="I31" s="6"/>
      <c r="J31" s="15">
        <f t="shared" si="25"/>
        <v>543600</v>
      </c>
      <c r="K31" s="31">
        <f t="shared" si="2"/>
        <v>4.7533930350357146E-6</v>
      </c>
      <c r="L31" s="31">
        <f t="shared" si="3"/>
        <v>4.8876797149635595E-3</v>
      </c>
      <c r="M31" s="31">
        <f t="shared" si="4"/>
        <v>4.8924331079985952E-3</v>
      </c>
      <c r="N31" s="40">
        <f t="shared" si="5"/>
        <v>0.56072349416060008</v>
      </c>
      <c r="O31" s="6"/>
      <c r="P31" s="15">
        <f t="shared" si="6"/>
        <v>543600</v>
      </c>
      <c r="Q31" s="31">
        <f t="shared" si="7"/>
        <v>1.8839013154894466E-6</v>
      </c>
      <c r="R31" s="31">
        <f t="shared" si="8"/>
        <v>1.0340339030216887E-2</v>
      </c>
      <c r="S31" s="31">
        <f t="shared" si="9"/>
        <v>1.0342222931532375E-2</v>
      </c>
      <c r="T31" s="40">
        <f t="shared" si="10"/>
        <v>6.7808911507036551E-2</v>
      </c>
      <c r="U31" s="6"/>
      <c r="V31" s="15">
        <f t="shared" si="11"/>
        <v>543600</v>
      </c>
      <c r="W31" s="31">
        <f t="shared" si="12"/>
        <v>2.009020859482839E-6</v>
      </c>
      <c r="X31" s="31">
        <f t="shared" si="13"/>
        <v>1.0113444230998423E-2</v>
      </c>
      <c r="Y31" s="31">
        <f t="shared" si="14"/>
        <v>1.0115453251857906E-2</v>
      </c>
      <c r="Z31" s="40">
        <f t="shared" si="15"/>
        <v>8.8319442304487308E-2</v>
      </c>
      <c r="AA31" s="6"/>
      <c r="AB31" s="15">
        <v>48605000</v>
      </c>
      <c r="AC31" s="31">
        <f t="shared" si="16"/>
        <v>1.9271688860830651E-5</v>
      </c>
      <c r="AD31" s="31">
        <f t="shared" si="17"/>
        <v>1.4417966568235378E-3</v>
      </c>
      <c r="AE31" s="31">
        <f t="shared" si="18"/>
        <v>1.4610683456843685E-3</v>
      </c>
      <c r="AF31" s="40">
        <f t="shared" si="19"/>
        <v>0.87107853252270961</v>
      </c>
      <c r="AL31" s="41">
        <v>1.4863512626169279E-3</v>
      </c>
      <c r="AM31" s="41">
        <v>4.8924331079985969E-3</v>
      </c>
    </row>
    <row r="32" spans="1:39" ht="20.100000000000001" customHeight="1" x14ac:dyDescent="0.25">
      <c r="A32" s="2" t="s">
        <v>40</v>
      </c>
      <c r="C32" s="15">
        <v>1</v>
      </c>
      <c r="D32" s="33">
        <f t="shared" si="0"/>
        <v>5.0970849043277164E-6</v>
      </c>
      <c r="E32" s="6">
        <v>1</v>
      </c>
      <c r="F32" s="11">
        <f t="shared" si="0"/>
        <v>7.5860086738520816E-6</v>
      </c>
      <c r="G32" s="35">
        <v>156000</v>
      </c>
      <c r="H32" s="33">
        <f t="shared" ref="H32" si="45">G32/G$33</f>
        <v>3.1831161817169125E-3</v>
      </c>
      <c r="I32" s="6"/>
      <c r="J32" s="15">
        <f t="shared" si="25"/>
        <v>156000</v>
      </c>
      <c r="K32" s="31">
        <f t="shared" si="2"/>
        <v>4.7533930350357146E-6</v>
      </c>
      <c r="L32" s="31">
        <f t="shared" si="3"/>
        <v>1.4026453928151497E-3</v>
      </c>
      <c r="M32" s="31">
        <f t="shared" si="4"/>
        <v>1.4073987858501853E-3</v>
      </c>
      <c r="N32" s="40">
        <f t="shared" si="5"/>
        <v>0.55874975630187207</v>
      </c>
      <c r="O32" s="6"/>
      <c r="P32" s="15">
        <f t="shared" si="6"/>
        <v>156000</v>
      </c>
      <c r="Q32" s="31">
        <f t="shared" si="7"/>
        <v>1.8839013154894466E-6</v>
      </c>
      <c r="R32" s="31">
        <f t="shared" si="8"/>
        <v>2.9674262117620211E-3</v>
      </c>
      <c r="S32" s="31">
        <f t="shared" si="9"/>
        <v>2.9693101130775106E-3</v>
      </c>
      <c r="T32" s="40">
        <f t="shared" si="10"/>
        <v>6.7276521042255566E-2</v>
      </c>
      <c r="U32" s="6"/>
      <c r="V32" s="15">
        <f t="shared" si="11"/>
        <v>156000</v>
      </c>
      <c r="W32" s="31">
        <f t="shared" si="12"/>
        <v>2.009020859482839E-6</v>
      </c>
      <c r="X32" s="31">
        <f t="shared" si="13"/>
        <v>2.9023129139730576E-3</v>
      </c>
      <c r="Y32" s="31">
        <f t="shared" si="14"/>
        <v>2.9043219348325404E-3</v>
      </c>
      <c r="Z32" s="40">
        <f t="shared" si="15"/>
        <v>8.7725793455423418E-2</v>
      </c>
      <c r="AA32" s="6"/>
      <c r="AB32" s="15">
        <v>1459000</v>
      </c>
      <c r="AC32" s="31">
        <f t="shared" si="16"/>
        <v>2.7530984086900931E-6</v>
      </c>
      <c r="AD32" s="31">
        <f t="shared" si="17"/>
        <v>4.3279113718867233E-5</v>
      </c>
      <c r="AE32" s="31">
        <f t="shared" si="18"/>
        <v>4.6032212127557323E-5</v>
      </c>
      <c r="AF32" s="40">
        <f t="shared" si="19"/>
        <v>0.98711929476311655</v>
      </c>
      <c r="AL32" s="41">
        <v>4.6758296625290718E-5</v>
      </c>
      <c r="AM32" s="41">
        <v>1.4073987858501857E-3</v>
      </c>
    </row>
    <row r="33" spans="1:39" ht="20.100000000000001" customHeight="1" x14ac:dyDescent="0.25">
      <c r="A33" s="5" t="s">
        <v>7</v>
      </c>
      <c r="C33" s="19">
        <f>SUM(C6:C32)</f>
        <v>196190.57142857142</v>
      </c>
      <c r="D33" s="34">
        <f t="shared" si="0"/>
        <v>1</v>
      </c>
      <c r="E33" s="10">
        <f t="shared" ref="E33:J33" si="46">SUM(E6:E32)</f>
        <v>131821.62623236395</v>
      </c>
      <c r="F33" s="30">
        <f t="shared" si="0"/>
        <v>1</v>
      </c>
      <c r="G33" s="19">
        <f t="shared" si="46"/>
        <v>49008578.730499417</v>
      </c>
      <c r="H33" s="34">
        <f t="shared" ref="H33" si="47">G33/G$33</f>
        <v>1</v>
      </c>
      <c r="I33" s="6"/>
      <c r="J33" s="19">
        <f t="shared" si="46"/>
        <v>41528956.854226544</v>
      </c>
      <c r="K33" s="32">
        <f t="shared" ref="K33" si="48">SUM(K6:K32)</f>
        <v>0.62660000000000005</v>
      </c>
      <c r="L33" s="32">
        <f t="shared" ref="L33" si="49">SUM(L6:L32)</f>
        <v>0.37339999999999995</v>
      </c>
      <c r="M33" s="32">
        <f t="shared" ref="M33" si="50">SUM(M6:M32)</f>
        <v>0.99999999999999989</v>
      </c>
      <c r="N33" s="40"/>
      <c r="O33" s="6"/>
      <c r="P33" s="19">
        <f t="shared" ref="P33" si="51">SUM(P6:P32)</f>
        <v>39515431.138418116</v>
      </c>
      <c r="Q33" s="32">
        <f t="shared" ref="Q33" si="52">SUM(Q6:Q32)</f>
        <v>0.24833893506910865</v>
      </c>
      <c r="R33" s="32">
        <f t="shared" ref="R33" si="53">SUM(R6:R32)</f>
        <v>0.75166106493089146</v>
      </c>
      <c r="S33" s="32">
        <f t="shared" ref="S33" si="54">SUM(S6:S32)</f>
        <v>1.0000000000000002</v>
      </c>
      <c r="T33" s="40"/>
      <c r="U33" s="6"/>
      <c r="V33" s="19">
        <f t="shared" ref="V33" si="55">SUM(V6:V32)</f>
        <v>39515431.138418116</v>
      </c>
      <c r="W33" s="32">
        <f t="shared" ref="W33" si="56">SUM(W6:W32)</f>
        <v>0.26483239683176946</v>
      </c>
      <c r="X33" s="32">
        <f t="shared" ref="X33" si="57">SUM(X6:X32)</f>
        <v>0.7351676031682306</v>
      </c>
      <c r="Y33" s="32">
        <f t="shared" ref="Y33" si="58">SUM(Y6:Y32)</f>
        <v>1</v>
      </c>
      <c r="Z33" s="40"/>
      <c r="AA33" s="6"/>
      <c r="AB33" s="19">
        <f t="shared" ref="AB33" si="59">SUM(AB6:AB32)</f>
        <v>15502800942.467197</v>
      </c>
      <c r="AC33" s="32">
        <f t="shared" ref="AC33" si="60">SUM(AC6:AC32)</f>
        <v>0.54013195000000003</v>
      </c>
      <c r="AD33" s="32">
        <f t="shared" ref="AD33" si="61">SUM(AD6:AD32)</f>
        <v>0.45986804999999992</v>
      </c>
      <c r="AE33" s="32">
        <f t="shared" ref="AE33" si="62">SUM(AE6:AE32)</f>
        <v>1.0000000000000002</v>
      </c>
      <c r="AF33" s="40"/>
    </row>
    <row r="34" spans="1:39" ht="20.100000000000001" customHeight="1" x14ac:dyDescent="0.25">
      <c r="C34" s="15"/>
      <c r="D34" s="33"/>
      <c r="E34" s="6"/>
      <c r="F34" s="11"/>
      <c r="G34" s="15"/>
      <c r="H34" s="33"/>
      <c r="I34" s="6"/>
      <c r="J34" s="15"/>
      <c r="K34" s="16"/>
      <c r="L34" s="16"/>
      <c r="M34" s="16"/>
      <c r="N34" s="23"/>
      <c r="O34" s="6"/>
      <c r="P34" s="15"/>
      <c r="Q34" s="16"/>
      <c r="R34" s="16"/>
      <c r="S34" s="16"/>
      <c r="T34" s="23"/>
      <c r="U34" s="6"/>
      <c r="V34" s="15"/>
      <c r="W34" s="16"/>
      <c r="X34" s="16"/>
      <c r="Y34" s="16"/>
      <c r="Z34" s="23"/>
      <c r="AA34" s="6"/>
      <c r="AB34" s="15"/>
      <c r="AC34" s="16"/>
      <c r="AD34" s="16"/>
      <c r="AE34" s="16"/>
      <c r="AF34" s="23"/>
    </row>
    <row r="35" spans="1:39" ht="20.100000000000001" customHeight="1" x14ac:dyDescent="0.25">
      <c r="A35" s="2" t="s">
        <v>13</v>
      </c>
      <c r="B35" s="2" t="s">
        <v>41</v>
      </c>
      <c r="C35" s="15">
        <f>SUM(C6:C10)</f>
        <v>184309</v>
      </c>
      <c r="D35" s="33">
        <f t="shared" si="0"/>
        <v>0.93943862163173708</v>
      </c>
      <c r="E35" s="6">
        <f t="shared" ref="E35:G35" si="63">SUM(E6:E10)</f>
        <v>121109.4775628678</v>
      </c>
      <c r="F35" s="11">
        <f t="shared" si="0"/>
        <v>0.91873754727760915</v>
      </c>
      <c r="G35" s="15">
        <f t="shared" si="63"/>
        <v>7479621.8762728777</v>
      </c>
      <c r="H35" s="33">
        <f t="shared" ref="H35" si="64">G35/G$33</f>
        <v>0.15261862453517958</v>
      </c>
      <c r="I35" s="6"/>
      <c r="J35" s="15">
        <f t="shared" ref="J35" si="65">SUM(J6:J10)</f>
        <v>0</v>
      </c>
      <c r="K35" s="31">
        <f t="shared" ref="K35:K41" si="66">K$4*E35/E$33</f>
        <v>0.57568094712414997</v>
      </c>
      <c r="L35" s="31">
        <f t="shared" ref="L35:L41" si="67">L$4*J35/J$33</f>
        <v>0</v>
      </c>
      <c r="M35" s="31">
        <f t="shared" ref="M35:M41" si="68">L35+K35</f>
        <v>0.57568094712414997</v>
      </c>
      <c r="N35" s="40">
        <f>(M35-$H35)/($F35-$H35)</f>
        <v>0.55221494996437337</v>
      </c>
      <c r="O35" s="6"/>
      <c r="P35" s="15">
        <f t="shared" ref="P35" si="69">SUM(P6:P10)</f>
        <v>0</v>
      </c>
      <c r="Q35" s="31">
        <f t="shared" ref="Q35:Q41" si="70">Q$4*E35/E$33</f>
        <v>0.22815830409892626</v>
      </c>
      <c r="R35" s="31">
        <f t="shared" ref="R35:R39" si="71">R$4*P35/P$33</f>
        <v>0</v>
      </c>
      <c r="S35" s="31">
        <f t="shared" ref="S35:S39" si="72">R35+Q35</f>
        <v>0.22815830409892626</v>
      </c>
      <c r="T35" s="40">
        <f>(S35-$H35)/($F35-$H35)</f>
        <v>9.8600461783846655E-2</v>
      </c>
      <c r="U35" s="6"/>
      <c r="V35" s="15">
        <f t="shared" ref="V35" si="73">SUM(V6:V10)</f>
        <v>0</v>
      </c>
      <c r="W35" s="31">
        <f t="shared" ref="W35:W41" si="74">W$4*E35/E$33</f>
        <v>0.24331146670487031</v>
      </c>
      <c r="X35" s="31">
        <f t="shared" ref="X35:X39" si="75">X$4*V35/V$33</f>
        <v>0</v>
      </c>
      <c r="Y35" s="31">
        <f t="shared" ref="Y35:Y39" si="76">X35+W35</f>
        <v>0.24331146670487031</v>
      </c>
      <c r="Z35" s="40">
        <f>(Y35-$H35)/($F35-$H35)</f>
        <v>0.11837958765597781</v>
      </c>
      <c r="AA35" s="6"/>
      <c r="AB35" s="15">
        <f t="shared" ref="AB35" si="77">SUM(AB6:AB10)</f>
        <v>2599510240.3739491</v>
      </c>
      <c r="AC35" s="31">
        <f t="shared" ref="AC35:AC41" si="78">AC$4*C35/C$33</f>
        <v>0.50742081460726229</v>
      </c>
      <c r="AD35" s="31">
        <f t="shared" ref="AD35:AD39" si="79">AD$4*AB35/AB$33</f>
        <v>7.7110691779646356E-2</v>
      </c>
      <c r="AE35" s="31">
        <f t="shared" ref="AE35:AE39" si="80">AD35+AC35</f>
        <v>0.58453150638690865</v>
      </c>
      <c r="AF35" s="40">
        <f>(AE35-$H35)/($F35-$H35)</f>
        <v>0.56376741133822494</v>
      </c>
      <c r="AL35" s="41">
        <f t="shared" ref="AL35:AM35" si="81">SUM(AL6:AL10)</f>
        <v>0.57823521850133941</v>
      </c>
      <c r="AM35" s="41">
        <f t="shared" si="81"/>
        <v>0.57568094712414997</v>
      </c>
    </row>
    <row r="36" spans="1:39" ht="20.100000000000001" customHeight="1" x14ac:dyDescent="0.25">
      <c r="A36" s="2" t="s">
        <v>13</v>
      </c>
      <c r="B36" s="2" t="s">
        <v>42</v>
      </c>
      <c r="C36" s="15">
        <f>SUM(C11:C15)</f>
        <v>11412.000000000002</v>
      </c>
      <c r="D36" s="33">
        <f t="shared" si="0"/>
        <v>5.8167932928187914E-2</v>
      </c>
      <c r="E36" s="6">
        <f t="shared" ref="E36:G36" si="82">SUM(E11:E15)</f>
        <v>10386.99866949613</v>
      </c>
      <c r="F36" s="11">
        <f t="shared" si="0"/>
        <v>7.8795862002087672E-2</v>
      </c>
      <c r="G36" s="15">
        <f t="shared" si="82"/>
        <v>14481853.660502592</v>
      </c>
      <c r="H36" s="33">
        <f t="shared" ref="H36" si="83">G36/G$33</f>
        <v>0.29549629953847506</v>
      </c>
      <c r="I36" s="6"/>
      <c r="J36" s="15">
        <f t="shared" ref="J36" si="84">SUM(J11:J15)</f>
        <v>14481853.660502592</v>
      </c>
      <c r="K36" s="31">
        <f t="shared" si="66"/>
        <v>4.937348713050814E-2</v>
      </c>
      <c r="L36" s="31">
        <f t="shared" si="67"/>
        <v>0.13021093151491775</v>
      </c>
      <c r="M36" s="31">
        <f t="shared" si="68"/>
        <v>0.1795844186454259</v>
      </c>
      <c r="N36" s="40">
        <f t="shared" ref="N36:N39" si="85">(M36-$H36)/($F36-$H36)</f>
        <v>0.5348945401810079</v>
      </c>
      <c r="O36" s="6"/>
      <c r="P36" s="15">
        <f t="shared" ref="P36" si="86">SUM(P11:P15)</f>
        <v>12513955.992429823</v>
      </c>
      <c r="Q36" s="31">
        <f t="shared" si="70"/>
        <v>1.9568080457450891E-2</v>
      </c>
      <c r="R36" s="31">
        <f t="shared" si="71"/>
        <v>0.23804000656905558</v>
      </c>
      <c r="S36" s="31">
        <f t="shared" si="72"/>
        <v>0.25760808702650645</v>
      </c>
      <c r="T36" s="40">
        <f t="shared" ref="T36:T39" si="87">(S36-$H36)/($F36-$H36)</f>
        <v>0.17484142137740993</v>
      </c>
      <c r="U36" s="6"/>
      <c r="V36" s="15">
        <f t="shared" ref="V36" si="88">SUM(V11:V15)</f>
        <v>12513955.992429823</v>
      </c>
      <c r="W36" s="31">
        <f t="shared" si="74"/>
        <v>2.0867696994438221E-2</v>
      </c>
      <c r="X36" s="31">
        <f t="shared" si="75"/>
        <v>0.23281676975461285</v>
      </c>
      <c r="Y36" s="31">
        <f t="shared" si="76"/>
        <v>0.2536844667490511</v>
      </c>
      <c r="Z36" s="40">
        <f t="shared" ref="Z36:Z39" si="89">(Y36-$H36)/($F36-$H36)</f>
        <v>0.19294761591057286</v>
      </c>
      <c r="AA36" s="6"/>
      <c r="AB36" s="15">
        <f t="shared" ref="AB36" si="90">SUM(AB11:AB15)</f>
        <v>5038193743.2514038</v>
      </c>
      <c r="AC36" s="31">
        <f t="shared" si="78"/>
        <v>3.1418359039971346E-2</v>
      </c>
      <c r="AD36" s="31">
        <f t="shared" si="79"/>
        <v>0.14945069222197593</v>
      </c>
      <c r="AE36" s="31">
        <f t="shared" si="80"/>
        <v>0.18086905126194727</v>
      </c>
      <c r="AF36" s="40">
        <f>(AE36-$H36)/($F36-$H36)</f>
        <v>0.52896639056061012</v>
      </c>
      <c r="AL36" s="41">
        <f t="shared" ref="AL36:AM36" si="91">SUM(AL11:AL15)</f>
        <v>0.18304540554899912</v>
      </c>
      <c r="AM36" s="41">
        <f t="shared" si="91"/>
        <v>0.17958441864542593</v>
      </c>
    </row>
    <row r="37" spans="1:39" ht="20.100000000000001" customHeight="1" x14ac:dyDescent="0.25">
      <c r="A37" s="2" t="s">
        <v>43</v>
      </c>
      <c r="C37" s="15">
        <f>SUM(C16:C18)</f>
        <v>242</v>
      </c>
      <c r="D37" s="33">
        <f t="shared" si="0"/>
        <v>1.2334945468473074E-3</v>
      </c>
      <c r="E37" s="6">
        <f t="shared" ref="E37:G37" si="92">SUM(E16:E18)</f>
        <v>189.14999999999998</v>
      </c>
      <c r="F37" s="11">
        <f t="shared" si="0"/>
        <v>1.434893540659121E-3</v>
      </c>
      <c r="G37" s="15">
        <f t="shared" si="92"/>
        <v>382695.19372395251</v>
      </c>
      <c r="H37" s="33">
        <f t="shared" ref="H37" si="93">G37/G$33</f>
        <v>7.8087388705641147E-3</v>
      </c>
      <c r="I37" s="6"/>
      <c r="J37" s="15">
        <f t="shared" ref="J37" si="94">SUM(J16:J18)</f>
        <v>382695.19372395251</v>
      </c>
      <c r="K37" s="31">
        <f t="shared" si="66"/>
        <v>8.9910429257700534E-4</v>
      </c>
      <c r="L37" s="31">
        <f t="shared" si="67"/>
        <v>3.4409336559577124E-3</v>
      </c>
      <c r="M37" s="31">
        <f t="shared" si="68"/>
        <v>4.3400379485347175E-3</v>
      </c>
      <c r="N37" s="40">
        <f t="shared" si="85"/>
        <v>0.54420851816953342</v>
      </c>
      <c r="O37" s="6"/>
      <c r="P37" s="15">
        <f t="shared" ref="P37" si="95">SUM(P16:P18)</f>
        <v>337067.14598829538</v>
      </c>
      <c r="Q37" s="31">
        <f t="shared" si="70"/>
        <v>3.5633993382482883E-4</v>
      </c>
      <c r="R37" s="31">
        <f t="shared" si="71"/>
        <v>6.4116787444197651E-3</v>
      </c>
      <c r="S37" s="31">
        <f t="shared" si="72"/>
        <v>6.7680186782445939E-3</v>
      </c>
      <c r="T37" s="40">
        <f t="shared" si="87"/>
        <v>0.16327980025443031</v>
      </c>
      <c r="U37" s="6"/>
      <c r="V37" s="15">
        <f t="shared" ref="V37" si="96">SUM(V16:V18)</f>
        <v>337067.14598829538</v>
      </c>
      <c r="W37" s="31">
        <f t="shared" si="74"/>
        <v>3.8000629557117898E-4</v>
      </c>
      <c r="X37" s="31">
        <f t="shared" si="75"/>
        <v>6.2709892992171253E-3</v>
      </c>
      <c r="Y37" s="31">
        <f t="shared" si="76"/>
        <v>6.6509955947883044E-3</v>
      </c>
      <c r="Z37" s="40">
        <f t="shared" si="89"/>
        <v>0.1816396877947252</v>
      </c>
      <c r="AA37" s="6"/>
      <c r="AB37" s="15">
        <f t="shared" ref="AB37" si="97">SUM(AB16:AB18)</f>
        <v>182249987.2128081</v>
      </c>
      <c r="AC37" s="31">
        <f t="shared" si="78"/>
        <v>6.6624981490300244E-4</v>
      </c>
      <c r="AD37" s="31">
        <f t="shared" si="79"/>
        <v>5.4061808922859639E-3</v>
      </c>
      <c r="AE37" s="31">
        <f t="shared" si="80"/>
        <v>6.0724307071889664E-3</v>
      </c>
      <c r="AF37" s="40">
        <f>(AE37-$H37)/($F37-$H37)</f>
        <v>0.2724114052828811</v>
      </c>
      <c r="AL37" s="41">
        <f t="shared" ref="AL37:AM37" si="98">SUM(AL16:AL18)</f>
        <v>6.1582603296868902E-3</v>
      </c>
      <c r="AM37" s="41">
        <f t="shared" si="98"/>
        <v>4.3400379485347184E-3</v>
      </c>
    </row>
    <row r="38" spans="1:39" ht="20.100000000000001" customHeight="1" x14ac:dyDescent="0.25">
      <c r="A38" s="2" t="s">
        <v>44</v>
      </c>
      <c r="C38" s="15">
        <f>SUM(C19:C23)</f>
        <v>90</v>
      </c>
      <c r="D38" s="33">
        <f t="shared" si="0"/>
        <v>4.5873764138949449E-4</v>
      </c>
      <c r="E38" s="6">
        <f t="shared" ref="E38:G38" si="99">SUM(E19:E23)</f>
        <v>75</v>
      </c>
      <c r="F38" s="11">
        <f t="shared" si="0"/>
        <v>5.6895065053890609E-4</v>
      </c>
      <c r="G38" s="15">
        <f t="shared" si="99"/>
        <v>20129256</v>
      </c>
      <c r="H38" s="33">
        <f t="shared" ref="H38" si="100">G38/G$33</f>
        <v>0.41072923397129651</v>
      </c>
      <c r="I38" s="6"/>
      <c r="J38" s="15">
        <f t="shared" ref="J38" si="101">SUM(J19:J23)</f>
        <v>20129256</v>
      </c>
      <c r="K38" s="31">
        <f t="shared" si="66"/>
        <v>3.5650447762767862E-4</v>
      </c>
      <c r="L38" s="31">
        <f t="shared" si="67"/>
        <v>0.18098851403331223</v>
      </c>
      <c r="M38" s="31">
        <f t="shared" si="68"/>
        <v>0.1813450185109399</v>
      </c>
      <c r="N38" s="40">
        <f t="shared" si="85"/>
        <v>0.55925506390625179</v>
      </c>
      <c r="O38" s="6"/>
      <c r="P38" s="15">
        <f t="shared" ref="P38" si="102">SUM(P19:P23)</f>
        <v>20129256</v>
      </c>
      <c r="Q38" s="31">
        <f t="shared" si="70"/>
        <v>1.4129259866170851E-4</v>
      </c>
      <c r="R38" s="31">
        <f t="shared" si="71"/>
        <v>0.38289796075428162</v>
      </c>
      <c r="S38" s="31">
        <f t="shared" si="72"/>
        <v>0.38303925335294331</v>
      </c>
      <c r="T38" s="40">
        <f t="shared" si="87"/>
        <v>6.7510146019425316E-2</v>
      </c>
      <c r="U38" s="6"/>
      <c r="V38" s="15">
        <f t="shared" ref="V38" si="103">SUM(V19:V23)</f>
        <v>20129256</v>
      </c>
      <c r="W38" s="31">
        <f t="shared" si="74"/>
        <v>1.5067656446121291E-4</v>
      </c>
      <c r="X38" s="31">
        <f t="shared" si="75"/>
        <v>0.37449615152224136</v>
      </c>
      <c r="Y38" s="31">
        <f t="shared" si="76"/>
        <v>0.37464682808670258</v>
      </c>
      <c r="Z38" s="40">
        <f t="shared" si="89"/>
        <v>8.7971476888161829E-2</v>
      </c>
      <c r="AA38" s="6"/>
      <c r="AB38" s="15">
        <f t="shared" ref="AB38" si="104">SUM(AB19:AB23)</f>
        <v>7006598971.6290369</v>
      </c>
      <c r="AC38" s="31">
        <f t="shared" si="78"/>
        <v>2.4777885678210841E-4</v>
      </c>
      <c r="AD38" s="31">
        <f t="shared" si="79"/>
        <v>0.20784057140207765</v>
      </c>
      <c r="AE38" s="31">
        <f t="shared" si="80"/>
        <v>0.20808835025885977</v>
      </c>
      <c r="AF38" s="40">
        <f t="shared" ref="AF38:AF39" si="105">(AE38-$H38)/($F38-$H38)</f>
        <v>0.49405291529400841</v>
      </c>
      <c r="AL38" s="41">
        <f t="shared" ref="AL38:AM38" si="106">SUM(AL19:AL23)</f>
        <v>0.21177119824860255</v>
      </c>
      <c r="AM38" s="41">
        <f t="shared" si="106"/>
        <v>0.18134501851093995</v>
      </c>
    </row>
    <row r="39" spans="1:39" ht="20.100000000000001" customHeight="1" x14ac:dyDescent="0.25">
      <c r="A39" s="2" t="s">
        <v>45</v>
      </c>
      <c r="C39" s="15">
        <f>SUM(C24:C32)</f>
        <v>137.57142857142856</v>
      </c>
      <c r="D39" s="33">
        <f t="shared" si="0"/>
        <v>7.0121325183822726E-4</v>
      </c>
      <c r="E39" s="6">
        <f t="shared" ref="E39:G39" si="107">SUM(E24:E32)</f>
        <v>61</v>
      </c>
      <c r="F39" s="11">
        <f t="shared" si="0"/>
        <v>4.6274652910497694E-4</v>
      </c>
      <c r="G39" s="15">
        <f t="shared" si="107"/>
        <v>6535152</v>
      </c>
      <c r="H39" s="33">
        <f t="shared" ref="H39" si="108">G39/G$33</f>
        <v>0.13334710308448491</v>
      </c>
      <c r="I39" s="6"/>
      <c r="J39" s="15">
        <f t="shared" ref="J39" si="109">SUM(J24:J32)</f>
        <v>6535152</v>
      </c>
      <c r="K39" s="31">
        <f t="shared" si="66"/>
        <v>2.8995697513717854E-4</v>
      </c>
      <c r="L39" s="31">
        <f t="shared" si="67"/>
        <v>5.8759620795812248E-2</v>
      </c>
      <c r="M39" s="31">
        <f t="shared" si="68"/>
        <v>5.9049577770949428E-2</v>
      </c>
      <c r="N39" s="40">
        <f t="shared" si="85"/>
        <v>0.55911415940499942</v>
      </c>
      <c r="O39" s="6"/>
      <c r="P39" s="15">
        <f t="shared" ref="P39" si="110">SUM(P24:P32)</f>
        <v>6535152</v>
      </c>
      <c r="Q39" s="31">
        <f t="shared" si="70"/>
        <v>1.1491798024485624E-4</v>
      </c>
      <c r="R39" s="31">
        <f t="shared" si="71"/>
        <v>0.12431141886313458</v>
      </c>
      <c r="S39" s="31">
        <f t="shared" si="72"/>
        <v>0.12442633684337943</v>
      </c>
      <c r="T39" s="40">
        <f t="shared" si="87"/>
        <v>6.7131801457666118E-2</v>
      </c>
      <c r="U39" s="6"/>
      <c r="V39" s="15">
        <f t="shared" ref="V39" si="111">SUM(V24:V32)</f>
        <v>6535152</v>
      </c>
      <c r="W39" s="31">
        <f t="shared" si="74"/>
        <v>1.2255027242845319E-4</v>
      </c>
      <c r="X39" s="31">
        <f t="shared" si="75"/>
        <v>0.12158369259215931</v>
      </c>
      <c r="Y39" s="31">
        <f t="shared" si="76"/>
        <v>0.12170624286458777</v>
      </c>
      <c r="Z39" s="40">
        <f t="shared" si="89"/>
        <v>8.7601434221836208E-2</v>
      </c>
      <c r="AA39" s="6"/>
      <c r="AB39" s="15">
        <f t="shared" ref="AB39" si="112">SUM(AB24:AB32)</f>
        <v>676248000</v>
      </c>
      <c r="AC39" s="31">
        <f t="shared" si="78"/>
        <v>3.787476810812228E-4</v>
      </c>
      <c r="AD39" s="31">
        <f t="shared" si="79"/>
        <v>2.0059913704014071E-2</v>
      </c>
      <c r="AE39" s="31">
        <f t="shared" si="80"/>
        <v>2.0438661385095293E-2</v>
      </c>
      <c r="AF39" s="40">
        <f t="shared" si="105"/>
        <v>0.84967444344989329</v>
      </c>
      <c r="AL39" s="41">
        <f t="shared" ref="AL39:AM39" si="113">SUM(AL24:AL32)</f>
        <v>2.0789917371371869E-2</v>
      </c>
      <c r="AM39" s="41">
        <f t="shared" si="113"/>
        <v>5.9049577770949442E-2</v>
      </c>
    </row>
    <row r="40" spans="1:39" ht="20.100000000000001" customHeight="1" x14ac:dyDescent="0.25">
      <c r="C40" s="15"/>
      <c r="D40" s="33"/>
      <c r="E40" s="6"/>
      <c r="F40" s="11"/>
      <c r="G40" s="15"/>
      <c r="H40" s="33"/>
      <c r="I40" s="6"/>
      <c r="J40" s="15"/>
      <c r="K40" s="31"/>
      <c r="L40" s="31"/>
      <c r="M40" s="31"/>
      <c r="N40" s="40"/>
      <c r="O40" s="6"/>
      <c r="P40" s="15"/>
      <c r="Q40" s="31"/>
      <c r="R40" s="31"/>
      <c r="S40" s="31"/>
      <c r="T40" s="40"/>
      <c r="U40" s="6"/>
      <c r="V40" s="15"/>
      <c r="W40" s="31"/>
      <c r="X40" s="31"/>
      <c r="Y40" s="31"/>
      <c r="Z40" s="40"/>
      <c r="AA40" s="6"/>
      <c r="AB40" s="15"/>
      <c r="AC40" s="31"/>
      <c r="AD40" s="31"/>
      <c r="AE40" s="31"/>
      <c r="AF40" s="40"/>
      <c r="AL40" s="41"/>
      <c r="AM40" s="41"/>
    </row>
    <row r="41" spans="1:39" ht="20.100000000000001" customHeight="1" x14ac:dyDescent="0.25">
      <c r="A41" s="2" t="s">
        <v>46</v>
      </c>
      <c r="C41" s="15">
        <f>C39+C38</f>
        <v>227.57142857142856</v>
      </c>
      <c r="D41" s="33">
        <f t="shared" si="0"/>
        <v>1.1599508932277217E-3</v>
      </c>
      <c r="E41" s="6">
        <f t="shared" ref="E41:G41" si="114">E39+E38</f>
        <v>136</v>
      </c>
      <c r="F41" s="11">
        <f t="shared" si="0"/>
        <v>1.0316971796438831E-3</v>
      </c>
      <c r="G41" s="15">
        <f t="shared" si="114"/>
        <v>26664408</v>
      </c>
      <c r="H41" s="33">
        <f t="shared" ref="H41" si="115">G41/G$33</f>
        <v>0.5440763370557814</v>
      </c>
      <c r="I41" s="6"/>
      <c r="J41" s="15">
        <f t="shared" ref="J41" si="116">J39+J38</f>
        <v>26664408</v>
      </c>
      <c r="K41" s="31">
        <f t="shared" si="66"/>
        <v>6.4646145276485716E-4</v>
      </c>
      <c r="L41" s="31">
        <f t="shared" si="67"/>
        <v>0.23974813482912447</v>
      </c>
      <c r="M41" s="31">
        <f t="shared" si="68"/>
        <v>0.24039459628188933</v>
      </c>
      <c r="N41" s="40">
        <f>(M41-$H41)/($F41-$H41)</f>
        <v>0.559220584228874</v>
      </c>
      <c r="O41" s="6"/>
      <c r="P41" s="15">
        <f t="shared" ref="P41" si="117">P39+P38</f>
        <v>26664408</v>
      </c>
      <c r="Q41" s="31">
        <f t="shared" si="70"/>
        <v>2.5621057890656476E-4</v>
      </c>
      <c r="R41" s="31">
        <f t="shared" ref="R41" si="118">R$4*P41/P$33</f>
        <v>0.50720937961741619</v>
      </c>
      <c r="S41" s="49">
        <f t="shared" ref="S41" si="119">R41+Q41</f>
        <v>0.50746559019632276</v>
      </c>
      <c r="T41" s="40">
        <f>(S41-$H41)/($F41-$H41)</f>
        <v>6.7417564176324718E-2</v>
      </c>
      <c r="U41" s="6"/>
      <c r="V41" s="15">
        <f t="shared" ref="V41" si="120">V39+V38</f>
        <v>26664408</v>
      </c>
      <c r="W41" s="31">
        <f t="shared" si="74"/>
        <v>2.7322683688966613E-4</v>
      </c>
      <c r="X41" s="31">
        <f t="shared" ref="X41" si="121">X$4*V41/V$33</f>
        <v>0.4960798441144007</v>
      </c>
      <c r="Y41" s="31">
        <f t="shared" ref="Y41" si="122">X41+W41</f>
        <v>0.49635307095129039</v>
      </c>
      <c r="Z41" s="40">
        <f>(Y41-$H41)/($F41-$H41)</f>
        <v>8.7880926539254972E-2</v>
      </c>
      <c r="AA41" s="6"/>
      <c r="AB41" s="15">
        <f t="shared" ref="AB41" si="123">AB39+AB38</f>
        <v>7682846971.6290369</v>
      </c>
      <c r="AC41" s="31">
        <f t="shared" si="78"/>
        <v>6.265265378633311E-4</v>
      </c>
      <c r="AD41" s="31">
        <f t="shared" ref="AD41" si="124">AD$4*AB41/AB$33</f>
        <v>0.22790048510609173</v>
      </c>
      <c r="AE41" s="49">
        <f t="shared" ref="AE41" si="125">AD41+AC41</f>
        <v>0.22852701164395506</v>
      </c>
      <c r="AF41" s="40">
        <f>(AE41-$H41)/($F41-$H41)</f>
        <v>0.58107437628663394</v>
      </c>
      <c r="AL41" s="41">
        <f t="shared" ref="AL41:AM41" si="126">AL39+AL38</f>
        <v>0.23256111561997442</v>
      </c>
      <c r="AM41" s="41">
        <f t="shared" si="126"/>
        <v>0.24039459628188939</v>
      </c>
    </row>
    <row r="42" spans="1:39" ht="20.100000000000001" customHeight="1" x14ac:dyDescent="0.25">
      <c r="C42" s="6"/>
      <c r="D42" s="6"/>
      <c r="E42" s="6"/>
      <c r="F42" s="6"/>
      <c r="G42" s="6"/>
      <c r="H42" s="6"/>
      <c r="I42" s="6"/>
      <c r="J42" s="9"/>
      <c r="K42" s="6"/>
      <c r="L42" s="6"/>
      <c r="M42" s="6"/>
      <c r="N42" s="6"/>
      <c r="O42" s="6"/>
      <c r="P42" s="9">
        <f>P41/P33</f>
        <v>0.67478469124119067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9" ht="20.100000000000001" customHeigh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9" ht="20.100000000000001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9" ht="20.100000000000001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9" ht="20.100000000000001" customHeigh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9" ht="20.100000000000001" customHeigh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9" ht="20.100000000000001" customHeigh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ht="20.100000000000001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ht="20.100000000000001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ht="20.100000000000001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3:30" ht="20.100000000000001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3:30" ht="20.100000000000001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3:30" ht="20.100000000000001" customHeigh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3:30" ht="20.100000000000001" customHeigh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3:30" ht="20.100000000000001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3:30" ht="20.100000000000001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3:30" ht="20.100000000000001" customHeigh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3:30" ht="20.100000000000001" customHeight="1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3:30" ht="20.100000000000001" customHeight="1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3:30" ht="20.100000000000001" customHeight="1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3:30" ht="20.100000000000001" customHeight="1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3:30" ht="20.100000000000001" customHeight="1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3:30" ht="20.100000000000001" customHeight="1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3:30" ht="20.100000000000001" customHeight="1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3:30" ht="20.100000000000001" customHeight="1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3:30" ht="20.100000000000001" customHeight="1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3:30" ht="20.100000000000001" customHeight="1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3:30" ht="20.100000000000001" customHeight="1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3:30" ht="20.100000000000001" customHeight="1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3:30" ht="20.100000000000001" customHeight="1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3:30" ht="20.100000000000001" customHeight="1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3:30" ht="20.100000000000001" customHeight="1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3:30" ht="20.100000000000001" customHeight="1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3:30" ht="20.100000000000001" customHeight="1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3:30" ht="20.100000000000001" customHeight="1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3:30" ht="20.100000000000001" customHeight="1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3:30" ht="20.100000000000001" customHeight="1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3:30" ht="20.100000000000001" customHeight="1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3:30" ht="20.100000000000001" customHeight="1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3:30" ht="20.100000000000001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3:30" ht="20.100000000000001" customHeight="1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3:30" ht="20.100000000000001" customHeight="1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3:30" ht="20.100000000000001" customHeight="1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3:30" ht="20.100000000000001" customHeight="1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3:30" ht="20.100000000000001" customHeight="1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3:30" ht="20.100000000000001" customHeight="1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3:30" ht="20.100000000000001" customHeight="1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3:30" ht="20.100000000000001" customHeight="1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3:30" ht="20.100000000000001" customHeight="1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3:30" ht="20.100000000000001" customHeight="1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3:30" ht="20.100000000000001" customHeight="1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3:30" ht="20.100000000000001" customHeight="1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3:30" ht="20.100000000000001" customHeight="1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3:30" ht="20.100000000000001" customHeight="1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3:30" ht="20.100000000000001" customHeight="1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3:30" ht="20.100000000000001" customHeight="1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3:30" ht="20.100000000000001" customHeight="1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3:30" ht="20.100000000000001" customHeight="1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3:30" ht="20.100000000000001" customHeight="1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3:30" ht="20.100000000000001" customHeight="1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3:30" ht="20.100000000000001" customHeight="1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3:30" ht="20.100000000000001" customHeight="1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3:30" ht="20.100000000000001" customHeight="1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3:30" ht="20.100000000000001" customHeight="1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3:30" ht="20.100000000000001" customHeight="1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3:30" ht="20.100000000000001" customHeight="1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3:30" ht="20.100000000000001" customHeight="1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3:30" ht="20.100000000000001" customHeight="1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3:30" ht="20.100000000000001" customHeight="1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3:30" ht="20.100000000000001" customHeight="1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3:30" ht="20.100000000000001" customHeight="1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3:30" ht="20.100000000000001" customHeight="1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3:30" ht="20.100000000000001" customHeight="1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3:30" ht="20.100000000000001" customHeight="1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3:30" ht="20.100000000000001" customHeight="1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3:30" ht="20.100000000000001" customHeight="1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3:30" ht="20.100000000000001" customHeight="1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3:30" ht="20.100000000000001" customHeight="1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3:30" ht="20.100000000000001" customHeight="1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3:30" ht="20.100000000000001" customHeight="1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3:30" ht="20.100000000000001" customHeight="1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3:30" ht="20.100000000000001" customHeight="1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3:30" ht="20.100000000000001" customHeight="1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3:30" ht="20.100000000000001" customHeight="1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3:30" ht="20.100000000000001" customHeight="1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3:30" ht="20.100000000000001" customHeight="1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3:30" ht="20.100000000000001" customHeight="1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3:30" ht="20.100000000000001" customHeight="1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3:30" ht="20.100000000000001" customHeight="1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3:30" ht="20.100000000000001" customHeight="1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3:30" ht="20.100000000000001" customHeight="1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3:30" ht="20.100000000000001" customHeight="1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3:30" ht="20.100000000000001" customHeight="1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3:30" ht="20.100000000000001" customHeight="1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3:30" ht="20.100000000000001" customHeight="1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3:30" ht="20.100000000000001" customHeight="1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3:30" ht="20.100000000000001" customHeight="1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3:30" ht="20.100000000000001" customHeight="1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3:30" ht="20.100000000000001" customHeight="1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3:30" ht="20.100000000000001" customHeight="1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3:30" ht="20.100000000000001" customHeight="1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3:30" ht="20.100000000000001" customHeight="1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3:30" ht="20.100000000000001" customHeight="1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3:30" ht="20.100000000000001" customHeight="1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3:30" ht="20.100000000000001" customHeight="1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3:30" ht="20.100000000000001" customHeight="1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3:30" ht="20.100000000000001" customHeight="1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3:30" ht="20.100000000000001" customHeight="1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3:30" ht="20.100000000000001" customHeight="1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3:30" ht="20.100000000000001" customHeight="1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3:30" ht="20.100000000000001" customHeight="1" x14ac:dyDescent="0.2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3:30" ht="20.100000000000001" customHeight="1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3:30" ht="20.100000000000001" customHeight="1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3:30" ht="20.100000000000001" customHeight="1" x14ac:dyDescent="0.2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3:30" ht="20.100000000000001" customHeight="1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3:30" ht="20.100000000000001" customHeight="1" x14ac:dyDescent="0.2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3:30" ht="20.100000000000001" customHeight="1" x14ac:dyDescent="0.2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3:30" ht="20.100000000000001" customHeight="1" x14ac:dyDescent="0.2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3:30" ht="20.100000000000001" customHeight="1" x14ac:dyDescent="0.2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3:30" ht="20.100000000000001" customHeight="1" x14ac:dyDescent="0.2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3:30" ht="20.100000000000001" customHeight="1" x14ac:dyDescent="0.2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3:30" ht="20.100000000000001" customHeight="1" x14ac:dyDescent="0.2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3:30" ht="20.100000000000001" customHeight="1" x14ac:dyDescent="0.2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3:30" ht="20.100000000000001" customHeight="1" x14ac:dyDescent="0.2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3:30" ht="20.100000000000001" customHeight="1" x14ac:dyDescent="0.2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3:30" ht="20.100000000000001" customHeight="1" x14ac:dyDescent="0.2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3:30" ht="20.100000000000001" customHeight="1" x14ac:dyDescent="0.2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3:30" ht="20.100000000000001" customHeight="1" x14ac:dyDescent="0.2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3:30" ht="20.100000000000001" customHeight="1" x14ac:dyDescent="0.2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3:30" ht="20.100000000000001" customHeight="1" x14ac:dyDescent="0.2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3:30" ht="20.100000000000001" customHeight="1" x14ac:dyDescent="0.2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3:30" ht="20.100000000000001" customHeight="1" x14ac:dyDescent="0.2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3:30" ht="20.100000000000001" customHeight="1" x14ac:dyDescent="0.2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3:30" ht="20.100000000000001" customHeight="1" x14ac:dyDescent="0.2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3:30" ht="20.100000000000001" customHeight="1" x14ac:dyDescent="0.2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3:30" ht="20.100000000000001" customHeight="1" x14ac:dyDescent="0.2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3:30" ht="20.100000000000001" customHeight="1" x14ac:dyDescent="0.2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3:30" ht="20.100000000000001" customHeight="1" x14ac:dyDescent="0.2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3:30" ht="20.100000000000001" customHeight="1" x14ac:dyDescent="0.2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3:30" ht="20.100000000000001" customHeight="1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3:30" ht="20.100000000000001" customHeight="1" x14ac:dyDescent="0.2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3:30" ht="20.100000000000001" customHeight="1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3:30" ht="20.100000000000001" customHeight="1" x14ac:dyDescent="0.2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3:30" ht="20.100000000000001" customHeight="1" x14ac:dyDescent="0.2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3:30" ht="20.100000000000001" customHeight="1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3:30" ht="20.100000000000001" customHeight="1" x14ac:dyDescent="0.2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3:30" ht="20.100000000000001" customHeight="1" x14ac:dyDescent="0.2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3:30" ht="20.100000000000001" customHeight="1" x14ac:dyDescent="0.2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3:30" ht="20.100000000000001" customHeight="1" x14ac:dyDescent="0.2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3:30" ht="20.100000000000001" customHeight="1" x14ac:dyDescent="0.2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3:30" ht="20.100000000000001" customHeight="1" x14ac:dyDescent="0.2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3:30" ht="20.100000000000001" customHeight="1" x14ac:dyDescent="0.2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3:30" ht="20.100000000000001" customHeight="1" x14ac:dyDescent="0.2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3:30" ht="20.100000000000001" customHeight="1" x14ac:dyDescent="0.2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3:30" ht="20.100000000000001" customHeight="1" x14ac:dyDescent="0.2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3:30" ht="20.100000000000001" customHeight="1" x14ac:dyDescent="0.2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3:30" ht="20.100000000000001" customHeight="1" x14ac:dyDescent="0.2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3:30" ht="20.100000000000001" customHeight="1" x14ac:dyDescent="0.2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3:30" ht="20.100000000000001" customHeight="1" x14ac:dyDescent="0.2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3:30" ht="20.100000000000001" customHeight="1" x14ac:dyDescent="0.2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3:30" ht="20.100000000000001" customHeight="1" x14ac:dyDescent="0.2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3:30" ht="20.100000000000001" customHeight="1" x14ac:dyDescent="0.2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3:30" ht="20.100000000000001" customHeight="1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3:30" ht="20.100000000000001" customHeight="1" x14ac:dyDescent="0.2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3:30" ht="20.100000000000001" customHeight="1" x14ac:dyDescent="0.2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3:30" ht="20.100000000000001" customHeight="1" x14ac:dyDescent="0.2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3:30" ht="20.100000000000001" customHeight="1" x14ac:dyDescent="0.2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3:30" ht="20.100000000000001" customHeight="1" x14ac:dyDescent="0.2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3:30" ht="20.100000000000001" customHeight="1" x14ac:dyDescent="0.2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3:30" ht="20.100000000000001" customHeight="1" x14ac:dyDescent="0.2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3:30" ht="20.100000000000001" customHeight="1" x14ac:dyDescent="0.2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3:30" ht="20.100000000000001" customHeight="1" x14ac:dyDescent="0.2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3:30" ht="20.100000000000001" customHeight="1" x14ac:dyDescent="0.2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3:30" ht="20.100000000000001" customHeight="1" x14ac:dyDescent="0.2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3:30" ht="20.100000000000001" customHeight="1" x14ac:dyDescent="0.2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3:30" ht="20.100000000000001" customHeight="1" x14ac:dyDescent="0.2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3:30" ht="20.100000000000001" customHeight="1" x14ac:dyDescent="0.2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3:30" ht="20.100000000000001" customHeight="1" x14ac:dyDescent="0.2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3:30" ht="20.100000000000001" customHeight="1" x14ac:dyDescent="0.2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3:30" ht="20.100000000000001" customHeight="1" x14ac:dyDescent="0.2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3:30" ht="20.100000000000001" customHeight="1" x14ac:dyDescent="0.2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3:30" ht="20.100000000000001" customHeight="1" x14ac:dyDescent="0.2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3:30" ht="20.100000000000001" customHeight="1" x14ac:dyDescent="0.2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3:30" ht="20.100000000000001" customHeight="1" x14ac:dyDescent="0.2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3:30" ht="20.100000000000001" customHeight="1" x14ac:dyDescent="0.2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3:30" ht="20.100000000000001" customHeight="1" x14ac:dyDescent="0.2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3:30" ht="20.100000000000001" customHeight="1" x14ac:dyDescent="0.2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3:30" ht="20.100000000000001" customHeight="1" x14ac:dyDescent="0.2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3:30" ht="20.100000000000001" customHeight="1" x14ac:dyDescent="0.2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3:30" ht="20.100000000000001" customHeight="1" x14ac:dyDescent="0.2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3:30" ht="20.100000000000001" customHeight="1" x14ac:dyDescent="0.2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3:30" ht="20.100000000000001" customHeight="1" x14ac:dyDescent="0.2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3:30" ht="20.100000000000001" customHeight="1" x14ac:dyDescent="0.2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3:30" ht="20.100000000000001" customHeight="1" x14ac:dyDescent="0.2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</sheetData>
  <mergeCells count="11">
    <mergeCell ref="J3:N3"/>
    <mergeCell ref="P3:T3"/>
    <mergeCell ref="V3:Z3"/>
    <mergeCell ref="AB3:AF3"/>
    <mergeCell ref="A5:B5"/>
    <mergeCell ref="C4:D4"/>
    <mergeCell ref="C5:D5"/>
    <mergeCell ref="E4:F4"/>
    <mergeCell ref="E5:F5"/>
    <mergeCell ref="G4:H4"/>
    <mergeCell ref="G5:H5"/>
  </mergeCells>
  <pageMargins left="0.7" right="0.7" top="0.75" bottom="0.75" header="0.3" footer="0.3"/>
  <pageSetup scale="82" orientation="portrait" r:id="rId1"/>
  <headerFooter>
    <oddHeader>&amp;L&amp;10Knecht Workpapers&amp;R&amp;10Docket No. R-3867-2013</oddHeader>
    <oddFooter>&amp;L&amp;10&amp;F; &amp;A&amp;R&amp;10Printed on: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7" sqref="D37"/>
    </sheetView>
  </sheetViews>
  <sheetFormatPr defaultColWidth="15.7109375" defaultRowHeight="20.100000000000001" customHeight="1" x14ac:dyDescent="0.25"/>
  <cols>
    <col min="1" max="4" width="15.7109375" style="2" customWidth="1"/>
    <col min="5" max="16384" width="15.7109375" style="2"/>
  </cols>
  <sheetData>
    <row r="1" spans="1:4" ht="20.100000000000001" customHeight="1" x14ac:dyDescent="0.25">
      <c r="A1" s="1" t="s">
        <v>102</v>
      </c>
      <c r="B1" s="1"/>
    </row>
    <row r="2" spans="1:4" ht="20.100000000000001" customHeight="1" x14ac:dyDescent="0.25">
      <c r="A2" s="3"/>
      <c r="B2" s="3"/>
    </row>
    <row r="3" spans="1:4" ht="20.100000000000001" customHeight="1" x14ac:dyDescent="0.25">
      <c r="A3" s="3"/>
      <c r="B3" s="43"/>
      <c r="C3" s="14"/>
      <c r="D3" s="22"/>
    </row>
    <row r="4" spans="1:4" ht="35.1" customHeight="1" x14ac:dyDescent="0.25">
      <c r="A4" s="2" t="s">
        <v>0</v>
      </c>
      <c r="B4" s="13" t="s">
        <v>3</v>
      </c>
      <c r="C4" s="14" t="s">
        <v>1</v>
      </c>
      <c r="D4" s="21" t="s">
        <v>2</v>
      </c>
    </row>
    <row r="5" spans="1:4" ht="20.100000000000001" customHeight="1" x14ac:dyDescent="0.25">
      <c r="A5" s="5" t="s">
        <v>4</v>
      </c>
      <c r="B5" s="13"/>
      <c r="C5" s="14"/>
      <c r="D5" s="22"/>
    </row>
    <row r="6" spans="1:4" ht="20.100000000000001" customHeight="1" x14ac:dyDescent="0.25">
      <c r="A6" s="2">
        <v>26.7</v>
      </c>
      <c r="B6" s="15">
        <f t="shared" ref="B6:B13" si="0">D6/C6</f>
        <v>0</v>
      </c>
      <c r="C6" s="16">
        <f>'MinSys D&amp;S'!C6-'MinSys D'!B5</f>
        <v>-0.35000000000002274</v>
      </c>
      <c r="D6" s="23">
        <f>'MinSys D&amp;S'!D6-'MinSys D'!C5</f>
        <v>0</v>
      </c>
    </row>
    <row r="7" spans="1:4" ht="20.100000000000001" customHeight="1" x14ac:dyDescent="0.25">
      <c r="A7" s="2">
        <v>42.2</v>
      </c>
      <c r="B7" s="15">
        <f t="shared" si="0"/>
        <v>0.10689922504678319</v>
      </c>
      <c r="C7" s="16">
        <f>'MinSys D&amp;S'!C7-'MinSys D'!B6</f>
        <v>-0.45000000001164153</v>
      </c>
      <c r="D7" s="23">
        <f>'MinSys D&amp;S'!D7-'MinSys D'!C6</f>
        <v>-4.8104651272296906E-2</v>
      </c>
    </row>
    <row r="8" spans="1:4" ht="20.100000000000001" customHeight="1" x14ac:dyDescent="0.25">
      <c r="A8" s="2">
        <v>60.3</v>
      </c>
      <c r="B8" s="15">
        <f t="shared" si="0"/>
        <v>-0.27813932745714359</v>
      </c>
      <c r="C8" s="16">
        <f>'MinSys D&amp;S'!C8-'MinSys D'!B7</f>
        <v>-0.27999999979510903</v>
      </c>
      <c r="D8" s="23">
        <f>'MinSys D&amp;S'!D8-'MinSys D'!C7</f>
        <v>7.7879011631011963E-2</v>
      </c>
    </row>
    <row r="9" spans="1:4" ht="20.100000000000001" customHeight="1" x14ac:dyDescent="0.25">
      <c r="A9" s="2">
        <v>88.9</v>
      </c>
      <c r="B9" s="15">
        <f t="shared" si="0"/>
        <v>0.45655972190506355</v>
      </c>
      <c r="C9" s="16">
        <f>'MinSys D&amp;S'!C9-'MinSys D'!B8</f>
        <v>0.35000000000582077</v>
      </c>
      <c r="D9" s="23">
        <f>'MinSys D&amp;S'!D9-'MinSys D'!C8</f>
        <v>0.15979590266942978</v>
      </c>
    </row>
    <row r="10" spans="1:4" ht="20.100000000000001" customHeight="1" x14ac:dyDescent="0.25">
      <c r="A10" s="2">
        <v>114.3</v>
      </c>
      <c r="B10" s="15">
        <f t="shared" si="0"/>
        <v>3.8340717518384833</v>
      </c>
      <c r="C10" s="16">
        <f>'MinSys D&amp;S'!C10-'MinSys D'!B9</f>
        <v>-0.12000000011175871</v>
      </c>
      <c r="D10" s="23">
        <f>'MinSys D&amp;S'!D10-'MinSys D'!C9</f>
        <v>-0.46008861064910889</v>
      </c>
    </row>
    <row r="11" spans="1:4" ht="20.100000000000001" customHeight="1" x14ac:dyDescent="0.25">
      <c r="A11" s="2">
        <v>168.3</v>
      </c>
      <c r="B11" s="15">
        <f t="shared" si="0"/>
        <v>-0.4440431411290669</v>
      </c>
      <c r="C11" s="16">
        <f>'MinSys D&amp;S'!C11-'MinSys D'!B10</f>
        <v>0.39000000001396984</v>
      </c>
      <c r="D11" s="23">
        <f>'MinSys D&amp;S'!D11-'MinSys D'!C10</f>
        <v>-0.17317682504653931</v>
      </c>
    </row>
    <row r="12" spans="1:4" ht="20.100000000000001" customHeight="1" x14ac:dyDescent="0.25">
      <c r="A12" s="2">
        <v>219.1</v>
      </c>
      <c r="B12" s="15">
        <f t="shared" si="0"/>
        <v>1.5053539585725875</v>
      </c>
      <c r="C12" s="16">
        <f>'MinSys D&amp;S'!C12-'MinSys D'!B11</f>
        <v>-0.19000000000232831</v>
      </c>
      <c r="D12" s="23">
        <f>'MinSys D&amp;S'!D12-'MinSys D'!C11</f>
        <v>-0.28601725213229656</v>
      </c>
    </row>
    <row r="13" spans="1:4" ht="20.100000000000001" customHeight="1" x14ac:dyDescent="0.25">
      <c r="A13" s="7" t="s">
        <v>5</v>
      </c>
      <c r="B13" s="17">
        <f t="shared" si="0"/>
        <v>1.1226344998628652</v>
      </c>
      <c r="C13" s="18">
        <f>SUM(C6:C12)</f>
        <v>-0.64999999990106971</v>
      </c>
      <c r="D13" s="24">
        <f>SUM(D6:D12)</f>
        <v>-0.72971242479979992</v>
      </c>
    </row>
    <row r="14" spans="1:4" ht="20.100000000000001" customHeight="1" x14ac:dyDescent="0.25">
      <c r="A14" s="5" t="s">
        <v>6</v>
      </c>
      <c r="B14" s="15"/>
      <c r="C14" s="16"/>
      <c r="D14" s="23"/>
    </row>
    <row r="15" spans="1:4" ht="20.100000000000001" customHeight="1" x14ac:dyDescent="0.25">
      <c r="A15" s="2">
        <v>26.7</v>
      </c>
      <c r="B15" s="15">
        <f t="shared" ref="B15:B29" si="1">D15/C15</f>
        <v>305.95064198669689</v>
      </c>
      <c r="C15" s="16">
        <f>'MinSys D&amp;S'!C15-'MinSys D'!B14</f>
        <v>61.039999999999964</v>
      </c>
      <c r="D15" s="23">
        <f>'MinSys D&amp;S'!D15-'MinSys D'!C14</f>
        <v>18675.227186867967</v>
      </c>
    </row>
    <row r="16" spans="1:4" ht="20.100000000000001" customHeight="1" x14ac:dyDescent="0.25">
      <c r="A16" s="2">
        <v>33.4</v>
      </c>
      <c r="B16" s="15">
        <f t="shared" si="1"/>
        <v>294.87111726133719</v>
      </c>
      <c r="C16" s="16">
        <f>'MinSys D&amp;S'!C16-'MinSys D'!B15</f>
        <v>3.9900000000016007</v>
      </c>
      <c r="D16" s="23">
        <f>'MinSys D&amp;S'!D16-'MinSys D'!C15</f>
        <v>1176.5357578732073</v>
      </c>
    </row>
    <row r="17" spans="1:4" ht="20.100000000000001" customHeight="1" x14ac:dyDescent="0.25">
      <c r="A17" s="2">
        <v>42.2</v>
      </c>
      <c r="B17" s="15">
        <f t="shared" si="1"/>
        <v>318.24340904923571</v>
      </c>
      <c r="C17" s="16">
        <f>'MinSys D&amp;S'!C17-'MinSys D'!B16</f>
        <v>99.729999999999563</v>
      </c>
      <c r="D17" s="23">
        <f>'MinSys D&amp;S'!D17-'MinSys D'!C16</f>
        <v>31738.415184480138</v>
      </c>
    </row>
    <row r="18" spans="1:4" ht="20.100000000000001" customHeight="1" x14ac:dyDescent="0.25">
      <c r="A18" s="2">
        <v>48.3</v>
      </c>
      <c r="B18" s="15">
        <f t="shared" si="1"/>
        <v>321.60927468417623</v>
      </c>
      <c r="C18" s="16">
        <f>'MinSys D&amp;S'!C18-'MinSys D'!B17</f>
        <v>2201.1600000000035</v>
      </c>
      <c r="D18" s="23">
        <f>'MinSys D&amp;S'!D18-'MinSys D'!C17</f>
        <v>707913.47106382251</v>
      </c>
    </row>
    <row r="19" spans="1:4" ht="20.100000000000001" customHeight="1" x14ac:dyDescent="0.25">
      <c r="A19" s="2">
        <v>60.3</v>
      </c>
      <c r="B19" s="15">
        <f t="shared" si="1"/>
        <v>331.35100113440421</v>
      </c>
      <c r="C19" s="16">
        <f>'MinSys D&amp;S'!C19-'MinSys D'!B18</f>
        <v>6336.4199999999837</v>
      </c>
      <c r="D19" s="23">
        <f>'MinSys D&amp;S'!D19-'MinSys D'!C18</f>
        <v>2099579.1106080562</v>
      </c>
    </row>
    <row r="20" spans="1:4" ht="20.100000000000001" customHeight="1" x14ac:dyDescent="0.25">
      <c r="A20" s="2">
        <v>88.9</v>
      </c>
      <c r="B20" s="15">
        <f t="shared" si="1"/>
        <v>321.41407655656735</v>
      </c>
      <c r="C20" s="16">
        <f>'MinSys D&amp;S'!C20-'MinSys D'!B19</f>
        <v>19558.589999999997</v>
      </c>
      <c r="D20" s="23">
        <f>'MinSys D&amp;S'!D20-'MinSys D'!C19</f>
        <v>6286406.1435985118</v>
      </c>
    </row>
    <row r="21" spans="1:4" ht="20.100000000000001" customHeight="1" x14ac:dyDescent="0.25">
      <c r="A21" s="2">
        <v>114.3</v>
      </c>
      <c r="B21" s="15">
        <f t="shared" si="1"/>
        <v>370.2675031200763</v>
      </c>
      <c r="C21" s="16">
        <f>'MinSys D&amp;S'!C21-'MinSys D'!B20</f>
        <v>240550.16000000003</v>
      </c>
      <c r="D21" s="23">
        <f>'MinSys D&amp;S'!D21-'MinSys D'!C20</f>
        <v>89067907.11833486</v>
      </c>
    </row>
    <row r="22" spans="1:4" ht="20.100000000000001" customHeight="1" x14ac:dyDescent="0.25">
      <c r="A22" s="2">
        <v>168.3</v>
      </c>
      <c r="B22" s="15">
        <f t="shared" si="1"/>
        <v>412.05695235045016</v>
      </c>
      <c r="C22" s="16">
        <f>'MinSys D&amp;S'!C22-'MinSys D'!B21</f>
        <v>510034.82999999996</v>
      </c>
      <c r="D22" s="23">
        <f>'MinSys D&amp;S'!D22-'MinSys D'!C21</f>
        <v>210163397.64237994</v>
      </c>
    </row>
    <row r="23" spans="1:4" ht="20.100000000000001" customHeight="1" x14ac:dyDescent="0.25">
      <c r="A23" s="2">
        <v>219.1</v>
      </c>
      <c r="B23" s="15">
        <f t="shared" si="1"/>
        <v>546.60063469395448</v>
      </c>
      <c r="C23" s="16">
        <f>'MinSys D&amp;S'!C23-'MinSys D'!B22</f>
        <v>242087.26</v>
      </c>
      <c r="D23" s="23">
        <f>'MinSys D&amp;S'!D23-'MinSys D'!C22</f>
        <v>132325049.96732038</v>
      </c>
    </row>
    <row r="24" spans="1:4" ht="20.100000000000001" customHeight="1" x14ac:dyDescent="0.25">
      <c r="A24" s="2">
        <v>273.10000000000002</v>
      </c>
      <c r="B24" s="15">
        <f t="shared" si="1"/>
        <v>502.99977449084258</v>
      </c>
      <c r="C24" s="16">
        <f>'MinSys D&amp;S'!C24-'MinSys D'!B23</f>
        <v>206529.26</v>
      </c>
      <c r="D24" s="23">
        <f>'MinSys D&amp;S'!D24-'MinSys D'!C23</f>
        <v>103884171.2057606</v>
      </c>
    </row>
    <row r="25" spans="1:4" ht="20.100000000000001" customHeight="1" x14ac:dyDescent="0.25">
      <c r="A25" s="2">
        <v>323.89999999999998</v>
      </c>
      <c r="B25" s="15">
        <f t="shared" si="1"/>
        <v>508.03777166551242</v>
      </c>
      <c r="C25" s="16">
        <f>'MinSys D&amp;S'!C25-'MinSys D'!B24</f>
        <v>102995.93</v>
      </c>
      <c r="D25" s="23">
        <f>'MinSys D&amp;S'!D25-'MinSys D'!C24</f>
        <v>52325822.767817095</v>
      </c>
    </row>
    <row r="26" spans="1:4" ht="20.100000000000001" customHeight="1" x14ac:dyDescent="0.25">
      <c r="A26" s="2">
        <v>406.4</v>
      </c>
      <c r="B26" s="15">
        <f t="shared" si="1"/>
        <v>603.35403052851404</v>
      </c>
      <c r="C26" s="16">
        <f>'MinSys D&amp;S'!C26-'MinSys D'!B25</f>
        <v>167863.16</v>
      </c>
      <c r="D26" s="23">
        <f>'MinSys D&amp;S'!D26-'MinSys D'!C25</f>
        <v>101280914.16325283</v>
      </c>
    </row>
    <row r="27" spans="1:4" ht="20.100000000000001" customHeight="1" x14ac:dyDescent="0.25">
      <c r="A27" s="2">
        <v>508</v>
      </c>
      <c r="B27" s="15">
        <f t="shared" si="1"/>
        <v>692.47417228579798</v>
      </c>
      <c r="C27" s="16">
        <f>'MinSys D&amp;S'!C27</f>
        <v>51179.54</v>
      </c>
      <c r="D27" s="23">
        <f>'MinSys D&amp;S'!D27</f>
        <v>35440509.599467888</v>
      </c>
    </row>
    <row r="28" spans="1:4" ht="20.100000000000001" customHeight="1" x14ac:dyDescent="0.25">
      <c r="A28" s="2">
        <v>610</v>
      </c>
      <c r="B28" s="15">
        <f t="shared" si="1"/>
        <v>774.74914538507915</v>
      </c>
      <c r="C28" s="16">
        <f>'MinSys D&amp;S'!C28</f>
        <v>18279.560000000001</v>
      </c>
      <c r="D28" s="23">
        <f>'MinSys D&amp;S'!D28</f>
        <v>14162073.488015279</v>
      </c>
    </row>
    <row r="29" spans="1:4" ht="20.100000000000001" customHeight="1" x14ac:dyDescent="0.25">
      <c r="A29" s="2">
        <v>762</v>
      </c>
      <c r="B29" s="15">
        <f t="shared" si="1"/>
        <v>897.35498765067473</v>
      </c>
      <c r="C29" s="16">
        <f>'MinSys D&amp;S'!C29</f>
        <v>8104.32</v>
      </c>
      <c r="D29" s="23">
        <f>'MinSys D&amp;S'!D29</f>
        <v>7272451.9735171162</v>
      </c>
    </row>
    <row r="30" spans="1:4" ht="20.100000000000001" customHeight="1" x14ac:dyDescent="0.25">
      <c r="A30" s="7" t="s">
        <v>5</v>
      </c>
      <c r="B30" s="17">
        <f>D30/C30</f>
        <v>479.13890340107992</v>
      </c>
      <c r="C30" s="18">
        <f>SUM(C15:C29)</f>
        <v>1575884.95</v>
      </c>
      <c r="D30" s="24">
        <f>SUM(D15:D29)</f>
        <v>755067786.82926559</v>
      </c>
    </row>
    <row r="31" spans="1:4" ht="20.100000000000001" customHeight="1" x14ac:dyDescent="0.25">
      <c r="A31" s="5" t="s">
        <v>7</v>
      </c>
      <c r="B31" s="19">
        <f>D31/C31</f>
        <v>479.13910056693453</v>
      </c>
      <c r="C31" s="20">
        <f>C30+C13</f>
        <v>1575884.3</v>
      </c>
      <c r="D31" s="25">
        <f>D30+D13</f>
        <v>755067786.09955323</v>
      </c>
    </row>
    <row r="33" spans="1:4" ht="20.100000000000001" customHeight="1" x14ac:dyDescent="0.25">
      <c r="A33" s="3" t="s">
        <v>101</v>
      </c>
      <c r="B33" s="3"/>
      <c r="D33" s="6">
        <f>'MinSys D&amp;S'!D33</f>
        <v>170.94398903176599</v>
      </c>
    </row>
    <row r="34" spans="1:4" ht="20.100000000000001" customHeight="1" x14ac:dyDescent="0.25">
      <c r="D34" s="11">
        <f>D33/B31</f>
        <v>0.35677319765700388</v>
      </c>
    </row>
    <row r="36" spans="1:4" ht="20.100000000000001" customHeight="1" x14ac:dyDescent="0.25">
      <c r="B36" s="6"/>
      <c r="C36" s="6"/>
    </row>
    <row r="37" spans="1:4" ht="20.100000000000001" customHeight="1" x14ac:dyDescent="0.25">
      <c r="A37" s="2" t="s">
        <v>60</v>
      </c>
      <c r="B37" s="6">
        <f>INTERCEPT(B15:B29,A15:A29)</f>
        <v>281.13227409289766</v>
      </c>
      <c r="C37" s="6"/>
      <c r="D37" s="11">
        <f>B37/B30</f>
        <v>0.58674482931219241</v>
      </c>
    </row>
    <row r="38" spans="1:4" ht="20.100000000000001" customHeight="1" x14ac:dyDescent="0.25">
      <c r="B38" s="6"/>
      <c r="C38" s="6"/>
    </row>
  </sheetData>
  <pageMargins left="0.7" right="0.7" top="0.75" bottom="0.75" header="0.3" footer="0.3"/>
  <pageSetup scale="82" orientation="portrait" r:id="rId1"/>
  <headerFooter>
    <oddHeader>&amp;L&amp;10Knecht Workpapers&amp;R&amp;10Docket No. R-3867-2013</oddHeader>
    <oddFooter>&amp;L&amp;10&amp;F; &amp;A&amp;R&amp;10Printed on: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Engagement U-10 </Sujet>
    <Confidentiel xmlns="a091097b-8ae3-4832-a2b2-51f9a78aeacd">3</Confidentiel>
    <Projet xmlns="a091097b-8ae3-4832-a2b2-51f9a78aeacd">997</Projet>
    <Provenance xmlns="a091097b-8ae3-4832-a2b2-51f9a78aeacd">2</Provenance>
    <Hidden_UploadedAt xmlns="a091097b-8ae3-4832-a2b2-51f9a78aeacd">2023-04-17T17:56:08+00:00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6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335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2</Catégorie_x0020_de_x0020_document>
    <Date_x0020_de_x0020_confidentialité_x0020_relevée xmlns="a091097b-8ae3-4832-a2b2-51f9a78aeacd" xsi:nil="true"/>
    <Hidden_ApprovedAt xmlns="a091097b-8ae3-4832-a2b2-51f9a78aeacd">2023-04-17T17:56:08+00:00</Hidden_ApprovedAt>
    <Cote_x0020_de_x0020_piéce xmlns="a091097b-8ae3-4832-a2b2-51f9a78aeacd">C-ACIG-0039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W2HFWTQUJJY6-787750937-405</_dlc_DocId>
    <_dlc_DocIdUrl xmlns="a84ed267-86d5-4fa1-a3cb-2fed497fe84f">
      <Url>http://s10mtlweb:8081/997/_layouts/15/DocIdRedir.aspx?ID=W2HFWTQUJJY6-787750937-405</Url>
      <Description>W2HFWTQUJJY6-787750937-405</Description>
    </_dlc_DocIdUrl>
  </documentManagement>
</p:properties>
</file>

<file path=customXml/itemProps1.xml><?xml version="1.0" encoding="utf-8"?>
<ds:datastoreItem xmlns:ds="http://schemas.openxmlformats.org/officeDocument/2006/customXml" ds:itemID="{CF9828E5-99A9-4AB3-A85D-2CD060D01C26}"/>
</file>

<file path=customXml/itemProps2.xml><?xml version="1.0" encoding="utf-8"?>
<ds:datastoreItem xmlns:ds="http://schemas.openxmlformats.org/officeDocument/2006/customXml" ds:itemID="{584856EF-11CD-42EF-83E7-4B5B761BDBFB}"/>
</file>

<file path=customXml/itemProps3.xml><?xml version="1.0" encoding="utf-8"?>
<ds:datastoreItem xmlns:ds="http://schemas.openxmlformats.org/officeDocument/2006/customXml" ds:itemID="{8357D71B-F4E2-4BBA-8F09-7F44918BEB9B}"/>
</file>

<file path=customXml/itemProps4.xml><?xml version="1.0" encoding="utf-8"?>
<ds:datastoreItem xmlns:ds="http://schemas.openxmlformats.org/officeDocument/2006/customXml" ds:itemID="{1BBA711D-A8C7-4FE5-9F4E-CE6A39A2D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MinSys D</vt:lpstr>
      <vt:lpstr>MinSys D&amp;S</vt:lpstr>
      <vt:lpstr>Allocators</vt:lpstr>
      <vt:lpstr>MinSys S</vt:lpstr>
    </vt:vector>
  </TitlesOfParts>
  <Company>Industrial Economics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Engagement U-10 </dc:subject>
  <dc:creator>Bob Knecht</dc:creator>
  <cp:lastModifiedBy>Bob Knecht</cp:lastModifiedBy>
  <cp:lastPrinted>2015-03-17T18:06:06Z</cp:lastPrinted>
  <dcterms:created xsi:type="dcterms:W3CDTF">2015-03-17T17:27:31Z</dcterms:created>
  <dcterms:modified xsi:type="dcterms:W3CDTF">2015-04-13T21:14:56Z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1422600</vt:r8>
  </property>
  <property fmtid="{D5CDD505-2E9C-101B-9397-08002B2CF9AE}" pid="5" name="_dlc_DocIdItemGuid">
    <vt:lpwstr>64fa67c8-4f7d-45e8-89f3-73d8707a6d86</vt:lpwstr>
  </property>
</Properties>
</file>