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worksheets/sheet6.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7.xml" ContentType="application/vnd.openxmlformats-officedocument.spreadsheetml.worksheet+xml"/>
  <Override PartName="/xl/worksheets/sheet5.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36.xml" ContentType="application/vnd.openxmlformats-officedocument.spreadsheetml.worksheet+xml"/>
  <Override PartName="/xl/worksheets/sheet38.xml" ContentType="application/vnd.openxmlformats-officedocument.spreadsheetml.worksheet+xml"/>
  <Override PartName="/xl/worksheets/sheet34.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5.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0.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44.xml" ContentType="application/vnd.openxmlformats-officedocument.spreadsheetml.externalLink+xml"/>
  <Override PartName="/xl/externalLinks/externalLink43.xml" ContentType="application/vnd.openxmlformats-officedocument.spreadsheetml.externalLink+xml"/>
  <Override PartName="/xl/comments1.xml" ContentType="application/vnd.openxmlformats-officedocument.spreadsheetml.comments+xml"/>
  <Override PartName="/xl/externalLinks/externalLink15.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28.xml" ContentType="application/vnd.openxmlformats-officedocument.spreadsheetml.externalLink+xml"/>
  <Override PartName="/xl/externalLinks/externalLink27.xml" ContentType="application/vnd.openxmlformats-officedocument.spreadsheetml.externalLink+xml"/>
  <Override PartName="/xl/externalLinks/externalLink26.xml" ContentType="application/vnd.openxmlformats-officedocument.spreadsheetml.externalLink+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9.xml" ContentType="application/vnd.openxmlformats-officedocument.spreadsheetml.externalLink+xml"/>
  <Override PartName="/xl/externalLinks/externalLink38.xml" ContentType="application/vnd.openxmlformats-officedocument.spreadsheetml.externalLink+xml"/>
  <Override PartName="/xl/externalLinks/externalLink37.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14.xml" ContentType="application/vnd.openxmlformats-officedocument.spreadsheetml.externalLink+xml"/>
  <Override PartName="/xl/comments2.xml" ContentType="application/vnd.openxmlformats-officedocument.spreadsheetml.comments+xml"/>
  <Override PartName="/xl/comments8.xml" ContentType="application/vnd.openxmlformats-officedocument.spreadsheetml.comments+xml"/>
  <Override PartName="/xl/externalLinks/externalLink7.xml" ContentType="application/vnd.openxmlformats-officedocument.spreadsheetml.externalLink+xml"/>
  <Override PartName="/xl/comments7.xml" ContentType="application/vnd.openxmlformats-officedocument.spreadsheetml.comments+xml"/>
  <Override PartName="/xl/externalLinks/externalLink8.xml" ContentType="application/vnd.openxmlformats-officedocument.spreadsheetml.externalLink+xml"/>
  <Override PartName="/xl/comments9.xml" ContentType="application/vnd.openxmlformats-officedocument.spreadsheetml.comments+xml"/>
  <Override PartName="/xl/externalLinks/externalLink6.xml" ContentType="application/vnd.openxmlformats-officedocument.spreadsheetml.externalLink+xml"/>
  <Override PartName="/xl/comments4.xml" ContentType="application/vnd.openxmlformats-officedocument.spreadsheetml.comments+xml"/>
  <Override PartName="/xl/externalLinks/externalLink12.xml" ContentType="application/vnd.openxmlformats-officedocument.spreadsheetml.externalLink+xml"/>
  <Override PartName="/xl/comments3.xml" ContentType="application/vnd.openxmlformats-officedocument.spreadsheetml.comments+xml"/>
  <Override PartName="/xl/externalLinks/externalLink13.xml" ContentType="application/vnd.openxmlformats-officedocument.spreadsheetml.externalLink+xml"/>
  <Override PartName="/xl/externalLinks/externalLink11.xml" ContentType="application/vnd.openxmlformats-officedocument.spreadsheetml.externalLink+xml"/>
  <Override PartName="/xl/comments6.xml" ContentType="application/vnd.openxmlformats-officedocument.spreadsheetml.comments+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comments5.xml" ContentType="application/vnd.openxmlformats-officedocument.spreadsheetml.comments+xml"/>
  <Override PartName="/xl/externalLinks/externalLink1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0" yWindow="480" windowWidth="14940" windowHeight="7335"/>
  </bookViews>
  <sheets>
    <sheet name="GI-28 Doc 1.1" sheetId="1" r:id="rId1"/>
    <sheet name="GI-28 Doc 2.2" sheetId="17" r:id="rId2"/>
    <sheet name="GI-28 Doc 2.1" sheetId="14" state="hidden" r:id="rId3"/>
    <sheet name="25401" sheetId="26" state="hidden" r:id="rId4"/>
    <sheet name="25404" sheetId="27" state="hidden" r:id="rId5"/>
    <sheet name="25406" sheetId="28" state="hidden" r:id="rId6"/>
    <sheet name="25408" sheetId="29" state="hidden" r:id="rId7"/>
    <sheet name="25411" sheetId="30" state="hidden" r:id="rId8"/>
    <sheet name="25413" sheetId="31" state="hidden" r:id="rId9"/>
    <sheet name="GI-28 Doc 3.2" sheetId="3" r:id="rId10"/>
    <sheet name="GI-28 Doc 3.1" sheetId="9" state="hidden" r:id="rId11"/>
    <sheet name="25430" sheetId="37" state="hidden" r:id="rId12"/>
    <sheet name="25432" sheetId="38" state="hidden" r:id="rId13"/>
    <sheet name="25434" sheetId="39" state="hidden" r:id="rId14"/>
    <sheet name="25436" sheetId="40" state="hidden" r:id="rId15"/>
    <sheet name="25451" sheetId="41" state="hidden" r:id="rId16"/>
    <sheet name="GI-28 Doc 4.2" sheetId="5" r:id="rId17"/>
    <sheet name="GI-28 Doc 4.1" sheetId="83" state="hidden" r:id="rId18"/>
    <sheet name="Récap autres charges" sheetId="84" state="hidden" r:id="rId19"/>
    <sheet name="Rcap salaires" sheetId="82" state="hidden" r:id="rId20"/>
    <sheet name="25442" sheetId="53" state="hidden" r:id="rId21"/>
    <sheet name="25444" sheetId="54" state="hidden" r:id="rId22"/>
    <sheet name="25446" sheetId="55" state="hidden" r:id="rId23"/>
    <sheet name="25448" sheetId="56" state="hidden" r:id="rId24"/>
    <sheet name="25449" sheetId="79" state="hidden" r:id="rId25"/>
    <sheet name="GI-28 Doc 5.2" sheetId="88" r:id="rId26"/>
    <sheet name="GI-28 Doc 5 de travail" sheetId="4" state="hidden" r:id="rId27"/>
    <sheet name="GI-28 Doc 5.1" sheetId="11" state="hidden" r:id="rId28"/>
    <sheet name="25450" sheetId="58" state="hidden" r:id="rId29"/>
    <sheet name="GI-28 Doc 6.2" sheetId="7" r:id="rId30"/>
    <sheet name="GI-28 Doc 6.1" sheetId="12" state="hidden" r:id="rId31"/>
    <sheet name="25452" sheetId="60" state="hidden" r:id="rId32"/>
    <sheet name="GI-28 Doc 7.2" sheetId="46" r:id="rId33"/>
    <sheet name="GI-28 Doc 7 de travail" sheetId="87" state="hidden" r:id="rId34"/>
    <sheet name="GI-28 Doc 7.1" sheetId="85" state="hidden" r:id="rId35"/>
    <sheet name="GI-28 Doc 7.1 V de travail" sheetId="43" state="hidden" r:id="rId36"/>
    <sheet name="25440" sheetId="47" state="hidden" r:id="rId37"/>
    <sheet name="25441" sheetId="48" state="hidden" r:id="rId38"/>
    <sheet name="GI-28 Doc 8.3" sheetId="6" r:id="rId39"/>
    <sheet name="GI-28 Doc 8.1" sheetId="13" state="hidden" r:id="rId40"/>
    <sheet name="GI-28 Doc 8.2" sheetId="86" state="hidden" r:id="rId41"/>
    <sheet name="GI-28 Doc 9.1" sheetId="89"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ACCOUNT" localSheetId="4">[1]INPUT!$A:$A</definedName>
    <definedName name="ACCOUNT" localSheetId="5">[2]INPUT!$A:$A</definedName>
    <definedName name="ACCOUNT" localSheetId="6">[3]INPUT!$A:$A</definedName>
    <definedName name="ACCOUNT" localSheetId="7">[4]INPUT!$A:$A</definedName>
    <definedName name="ACCOUNT" localSheetId="8">[5]INPUT!$A:$A</definedName>
    <definedName name="ACCOUNT" localSheetId="11">[6]INPUT!$A:$A</definedName>
    <definedName name="ACCOUNT" localSheetId="12">[7]INPUT!$A:$A</definedName>
    <definedName name="ACCOUNT" localSheetId="13">[8]INPUT!$A:$A</definedName>
    <definedName name="ACCOUNT" localSheetId="14">[9]INPUT!$A:$A</definedName>
    <definedName name="ACCOUNT" localSheetId="36">[10]INPUT!$A:$A</definedName>
    <definedName name="ACCOUNT" localSheetId="37">[11]INPUT!$A:$A</definedName>
    <definedName name="ACCOUNT" localSheetId="20">[12]INPUT!$A:$A</definedName>
    <definedName name="ACCOUNT" localSheetId="21">[13]INPUT!$A:$A</definedName>
    <definedName name="ACCOUNT" localSheetId="22">[14]INPUT!$A:$A</definedName>
    <definedName name="ACCOUNT" localSheetId="23">[15]INPUT!$A:$A</definedName>
    <definedName name="ACCOUNT" localSheetId="24">[16]INPUT!$A:$A</definedName>
    <definedName name="ACCOUNT" localSheetId="28">[17]INPUT!$A:$A</definedName>
    <definedName name="ACCOUNT" localSheetId="15">[18]INPUT!$A:$A</definedName>
    <definedName name="ACCOUNT" localSheetId="31">[19]INPUT!$A:$A</definedName>
    <definedName name="ACCOUNT">[20]INPUT!$A:$A</definedName>
    <definedName name="account_budget2000">'[21]BUDGET 07'!$D$1:$D$65536</definedName>
    <definedName name="Actual" localSheetId="4">'[1]Actual 2014'!$O:$O</definedName>
    <definedName name="Actual" localSheetId="5">'[2]Actual 2014'!$O:$O</definedName>
    <definedName name="Actual" localSheetId="6">'[3]Actual 2014'!$O:$O</definedName>
    <definedName name="Actual" localSheetId="7">'[4]Actual 2014'!$O:$O</definedName>
    <definedName name="Actual" localSheetId="8">'[5]Actual 2014'!$O:$O</definedName>
    <definedName name="Actual" localSheetId="11">'[6]Actual 2014'!$O:$O</definedName>
    <definedName name="Actual" localSheetId="12">'[7]Actual 2014'!$O:$O</definedName>
    <definedName name="Actual" localSheetId="13">'[8]Actual 2014'!$O:$O</definedName>
    <definedName name="Actual" localSheetId="14">'[9]Actual 2014'!$O:$O</definedName>
    <definedName name="Actual" localSheetId="36">'[10]Actual 2014'!$O:$O</definedName>
    <definedName name="Actual" localSheetId="37">'[11]Actual 2014'!$O:$O</definedName>
    <definedName name="Actual" localSheetId="20">'[12]Actual 2014'!$O:$O</definedName>
    <definedName name="Actual" localSheetId="21">'[13]Actual 2014'!$O:$O</definedName>
    <definedName name="Actual" localSheetId="22">'[14]Actual 2014'!$O:$O</definedName>
    <definedName name="Actual" localSheetId="23">'[15]Actual 2014'!$O:$O</definedName>
    <definedName name="Actual" localSheetId="24">'[16]Actual 2014'!$O:$O</definedName>
    <definedName name="Actual" localSheetId="28">'[17]Actual 2014'!$O:$O</definedName>
    <definedName name="Actual" localSheetId="15">'[18]Actual 2014'!$O:$O</definedName>
    <definedName name="Actual" localSheetId="31">'[19]Actual 2014'!$O:$O</definedName>
    <definedName name="Actual">'[20]Actual 2014'!$O:$O</definedName>
    <definedName name="Budget" localSheetId="4">'[1]Budget 2015'!$O:$O</definedName>
    <definedName name="Budget" localSheetId="5">'[2]Budget 2015'!$O:$O</definedName>
    <definedName name="Budget" localSheetId="6">'[3]Budget 2015'!$O:$O</definedName>
    <definedName name="Budget" localSheetId="7">'[4]Budget 2015'!$O:$O</definedName>
    <definedName name="Budget" localSheetId="8">'[5]Budget 2015'!$O:$O</definedName>
    <definedName name="Budget" localSheetId="11">'[6]Budget 2015'!$O:$O</definedName>
    <definedName name="Budget" localSheetId="12">'[7]Budget 2015'!$O:$O</definedName>
    <definedName name="Budget" localSheetId="13">'[8]Budget 2015'!$O:$O</definedName>
    <definedName name="Budget" localSheetId="14">'[9]Budget 2015'!$O:$O</definedName>
    <definedName name="Budget" localSheetId="36">'[10]Budget 2015'!$O:$O</definedName>
    <definedName name="Budget" localSheetId="37">'[11]Budget 2015'!$O:$O</definedName>
    <definedName name="Budget" localSheetId="20">'[12]Budget 2015'!$O:$O</definedName>
    <definedName name="Budget" localSheetId="21">'[13]Budget 2015'!$O:$O</definedName>
    <definedName name="Budget" localSheetId="22">'[14]Budget 2015'!$O:$O</definedName>
    <definedName name="Budget" localSheetId="23">'[15]Budget 2015'!$O:$O</definedName>
    <definedName name="Budget" localSheetId="24">'[16]Budget 2015'!$O:$O</definedName>
    <definedName name="Budget" localSheetId="28">'[17]Budget 2015'!$O:$O</definedName>
    <definedName name="Budget" localSheetId="15">'[18]Budget 2015'!$O:$O</definedName>
    <definedName name="Budget" localSheetId="31">'[19]Budget 2015'!$O:$O</definedName>
    <definedName name="Budget">'[20]Budget 2015'!$O:$O</definedName>
    <definedName name="BUDGET2012" localSheetId="4">[1]INPUT!$F:$F</definedName>
    <definedName name="BUDGET2012" localSheetId="5">[2]INPUT!$F:$F</definedName>
    <definedName name="BUDGET2012" localSheetId="6">[3]INPUT!$F:$F</definedName>
    <definedName name="BUDGET2012" localSheetId="7">[4]INPUT!$F:$F</definedName>
    <definedName name="BUDGET2012" localSheetId="8">[5]INPUT!$F:$F</definedName>
    <definedName name="BUDGET2012" localSheetId="11">[6]INPUT!$F:$F</definedName>
    <definedName name="BUDGET2012" localSheetId="12">[7]INPUT!$F:$F</definedName>
    <definedName name="BUDGET2012" localSheetId="13">[8]INPUT!$F:$F</definedName>
    <definedName name="BUDGET2012" localSheetId="14">[9]INPUT!$F:$F</definedName>
    <definedName name="BUDGET2012" localSheetId="36">[10]INPUT!$F:$F</definedName>
    <definedName name="BUDGET2012" localSheetId="37">[11]INPUT!$F:$F</definedName>
    <definedName name="BUDGET2012" localSheetId="20">[12]INPUT!$F:$F</definedName>
    <definedName name="BUDGET2012" localSheetId="21">[13]INPUT!$F:$F</definedName>
    <definedName name="BUDGET2012" localSheetId="22">[14]INPUT!$F:$F</definedName>
    <definedName name="BUDGET2012" localSheetId="23">[15]INPUT!$F:$F</definedName>
    <definedName name="BUDGET2012" localSheetId="24">[16]INPUT!$F:$F</definedName>
    <definedName name="BUDGET2012" localSheetId="28">[17]INPUT!$F:$F</definedName>
    <definedName name="BUDGET2012" localSheetId="15">[18]INPUT!$F:$F</definedName>
    <definedName name="BUDGET2012" localSheetId="31">[19]INPUT!$F:$F</definedName>
    <definedName name="BUDGET2012">[20]INPUT!$F:$F</definedName>
    <definedName name="COMPTE" localSheetId="4">'[1]Budget 2015'!$A:$A</definedName>
    <definedName name="COMPTE" localSheetId="5">'[2]Budget 2015'!$A:$A</definedName>
    <definedName name="COMPTE" localSheetId="6">'[3]Budget 2015'!$A:$A</definedName>
    <definedName name="COMPTE" localSheetId="7">'[4]Budget 2015'!$A:$A</definedName>
    <definedName name="COMPTE" localSheetId="8">'[5]Budget 2015'!$A:$A</definedName>
    <definedName name="COMPTE" localSheetId="11">'[6]Budget 2015'!$A:$A</definedName>
    <definedName name="COMPTE" localSheetId="12">'[7]Budget 2015'!$A:$A</definedName>
    <definedName name="COMPTE" localSheetId="13">'[8]Budget 2015'!$A:$A</definedName>
    <definedName name="COMPTE" localSheetId="14">'[9]Budget 2015'!$A:$A</definedName>
    <definedName name="COMPTE" localSheetId="36">'[10]Budget 2015'!$A:$A</definedName>
    <definedName name="COMPTE" localSheetId="37">'[11]Budget 2015'!$A:$A</definedName>
    <definedName name="COMPTE" localSheetId="20">'[12]Budget 2015'!$A:$A</definedName>
    <definedName name="COMPTE" localSheetId="21">'[13]Budget 2015'!$A:$A</definedName>
    <definedName name="COMPTE" localSheetId="22">'[14]Budget 2015'!$A:$A</definedName>
    <definedName name="COMPTE" localSheetId="23">'[15]Budget 2015'!$A:$A</definedName>
    <definedName name="COMPTE" localSheetId="24">'[16]Budget 2015'!$A:$A</definedName>
    <definedName name="COMPTE" localSheetId="28">'[17]Budget 2015'!$A:$A</definedName>
    <definedName name="COMPTE" localSheetId="15">'[18]Budget 2015'!$A:$A</definedName>
    <definedName name="COMPTE" localSheetId="31">'[19]Budget 2015'!$A:$A</definedName>
    <definedName name="COMPTE">'[20]Budget 2015'!$A:$A</definedName>
    <definedName name="Forecast" localSheetId="4">[1]INPUT!$E:$E</definedName>
    <definedName name="Forecast" localSheetId="5">[2]INPUT!$E:$E</definedName>
    <definedName name="Forecast" localSheetId="6">[3]INPUT!$E:$E</definedName>
    <definedName name="Forecast" localSheetId="7">[4]INPUT!$E:$E</definedName>
    <definedName name="Forecast" localSheetId="8">[5]INPUT!$E:$E</definedName>
    <definedName name="Forecast" localSheetId="11">[6]INPUT!$E:$E</definedName>
    <definedName name="Forecast" localSheetId="12">[7]INPUT!$E:$E</definedName>
    <definedName name="Forecast" localSheetId="13">[8]INPUT!$E:$E</definedName>
    <definedName name="Forecast" localSheetId="14">[9]INPUT!$E:$E</definedName>
    <definedName name="Forecast" localSheetId="36">[10]INPUT!$E:$E</definedName>
    <definedName name="Forecast" localSheetId="37">[11]INPUT!$E:$E</definedName>
    <definedName name="Forecast" localSheetId="20">[12]INPUT!$E:$E</definedName>
    <definedName name="Forecast" localSheetId="21">[13]INPUT!$E:$E</definedName>
    <definedName name="Forecast" localSheetId="22">[14]INPUT!$E:$E</definedName>
    <definedName name="Forecast" localSheetId="23">[15]INPUT!$E:$E</definedName>
    <definedName name="Forecast" localSheetId="24">[16]INPUT!$E:$E</definedName>
    <definedName name="Forecast" localSheetId="28">[17]INPUT!$E:$E</definedName>
    <definedName name="Forecast" localSheetId="15">[18]INPUT!$E:$E</definedName>
    <definedName name="Forecast" localSheetId="31">[19]INPUT!$E:$E</definedName>
    <definedName name="Forecast">[20]INPUT!$E:$E</definedName>
    <definedName name="montant_budget2000">'[21]BUDGET 07'!$C$1:$C$65536</definedName>
    <definedName name="Print_Area" localSheetId="3">'25401'!$A$1:$U$57</definedName>
    <definedName name="Print_Area" localSheetId="4">'25404'!$A$1:$U$57</definedName>
    <definedName name="Print_Area" localSheetId="5">'25406'!$A$1:$U$57</definedName>
    <definedName name="Print_Area" localSheetId="6">'25408'!$A$1:$U$57</definedName>
    <definedName name="Print_Area" localSheetId="7">'25411'!$A$1:$U$57</definedName>
    <definedName name="Print_Area" localSheetId="8">'25413'!$A$1:$U$57</definedName>
    <definedName name="Print_Area" localSheetId="11">'25430'!$A$1:$U$57</definedName>
    <definedName name="Print_Area" localSheetId="13">'25434'!$A$1:$U$57</definedName>
    <definedName name="Print_Area" localSheetId="14">'25436'!$A$1:$U$57</definedName>
    <definedName name="Print_Area" localSheetId="36">'25440'!$A$1:$U$58</definedName>
    <definedName name="Print_Area" localSheetId="37">'25441'!$A$1:$S$28</definedName>
    <definedName name="Print_Area" localSheetId="20">'25442'!$A$1:$AD$29</definedName>
    <definedName name="Print_Area" localSheetId="21">'25444'!$A$1:$Z$29</definedName>
    <definedName name="Print_Area" localSheetId="22">'25446'!$A$1:$AD$37</definedName>
    <definedName name="Print_Area" localSheetId="23">'25448'!$A$1:$AR$52</definedName>
    <definedName name="Print_Area" localSheetId="24">'25449'!$A$1:$AD$29</definedName>
    <definedName name="Print_Area" localSheetId="28">'25450'!$A$1:$U$57</definedName>
    <definedName name="Print_Area" localSheetId="15">'25451'!$A$1:$S$42</definedName>
    <definedName name="Print_Area" localSheetId="31">'25452'!$A$1:$V$57</definedName>
    <definedName name="Print_Area" localSheetId="0">'GI-28 Doc 1.1'!$A$1:$R$68</definedName>
    <definedName name="Print_Area" localSheetId="2">'GI-28 Doc 2.1'!$A$1:$O$75</definedName>
    <definedName name="Print_Area" localSheetId="1">'GI-28 Doc 2.2'!$A$1:$T$49</definedName>
    <definedName name="Print_Area" localSheetId="10">'GI-28 Doc 3.1'!$A$1:$M$66</definedName>
    <definedName name="Print_Area" localSheetId="9">'GI-28 Doc 3.2'!$A$1:$U$50</definedName>
    <definedName name="Print_Area" localSheetId="17">'GI-28 Doc 4.1'!$A$1:$R$71</definedName>
    <definedName name="Print_Area" localSheetId="16">'GI-28 Doc 4.2'!$A$1:$U$51</definedName>
    <definedName name="Print_Area" localSheetId="26">'GI-28 Doc 5 de travail'!$A$1:$T$57</definedName>
    <definedName name="Print_Area" localSheetId="27">'GI-28 Doc 5.1'!$A$1:$M$71</definedName>
    <definedName name="Print_Area" localSheetId="25">'GI-28 Doc 5.2'!$A$1:$U$49</definedName>
    <definedName name="Print_Area" localSheetId="30">'GI-28 Doc 6.1'!$A$1:$N$48</definedName>
    <definedName name="Print_Area" localSheetId="29">'GI-28 Doc 6.2'!$A$1:$T$51</definedName>
    <definedName name="Print_Area" localSheetId="33">'GI-28 Doc 7 de travail'!$A$1:$S$56</definedName>
    <definedName name="Print_Area" localSheetId="34">'GI-28 Doc 7.1'!$A$1:$M$60</definedName>
    <definedName name="Print_Area" localSheetId="35">'GI-28 Doc 7.1 V de travail'!$A$1:$M$56</definedName>
    <definedName name="Print_Area" localSheetId="32">'GI-28 Doc 7.2'!$A$1:$T$50</definedName>
    <definedName name="Print_Area" localSheetId="39">'GI-28 Doc 8.1'!$A$1:$N$55</definedName>
    <definedName name="Print_Area" localSheetId="40">'GI-28 Doc 8.2'!$A$1:$G$61</definedName>
    <definedName name="Print_Area" localSheetId="38">'GI-28 Doc 8.3'!$A$1:$N$54</definedName>
    <definedName name="Print_Area" localSheetId="41">'GI-28 Doc 9.1'!$A$1:$J$57</definedName>
    <definedName name="Print_Area" localSheetId="19">'Rcap salaires'!$A$1:$Z$36</definedName>
    <definedName name="Print_Area" localSheetId="18">'Récap autres charges'!$A$1:$T$81</definedName>
  </definedNames>
  <calcPr calcId="145621" iterate="1"/>
</workbook>
</file>

<file path=xl/calcChain.xml><?xml version="1.0" encoding="utf-8"?>
<calcChain xmlns="http://schemas.openxmlformats.org/spreadsheetml/2006/main">
  <c r="N28" i="6" l="1"/>
  <c r="M31" i="6"/>
  <c r="N31" i="6" s="1"/>
  <c r="M28" i="6"/>
  <c r="M20" i="6"/>
  <c r="N20" i="6" s="1"/>
  <c r="N18" i="6"/>
  <c r="M18" i="6"/>
  <c r="M16" i="6"/>
  <c r="N16" i="6" s="1"/>
  <c r="N14" i="6"/>
  <c r="M14" i="6"/>
  <c r="A50" i="46" l="1"/>
  <c r="A51" i="7"/>
  <c r="S24" i="5"/>
  <c r="R29" i="88"/>
  <c r="S29" i="88" s="1"/>
  <c r="F31" i="6" l="1"/>
  <c r="F18" i="6"/>
  <c r="I43" i="1" l="1"/>
  <c r="I33" i="89"/>
  <c r="G33" i="89"/>
  <c r="G32" i="89"/>
  <c r="G34" i="89" s="1"/>
  <c r="E32" i="89"/>
  <c r="E34" i="89" s="1"/>
  <c r="G30" i="89"/>
  <c r="E30" i="89"/>
  <c r="I30" i="89" s="1"/>
  <c r="I28" i="89"/>
  <c r="G28" i="89"/>
  <c r="E28" i="89"/>
  <c r="G20" i="89"/>
  <c r="G19" i="89"/>
  <c r="I19" i="89" s="1"/>
  <c r="I18" i="89"/>
  <c r="G18" i="89"/>
  <c r="E18" i="89"/>
  <c r="E20" i="89" s="1"/>
  <c r="I16" i="89"/>
  <c r="I14" i="89"/>
  <c r="I34" i="89" l="1"/>
  <c r="I20" i="89"/>
  <c r="I32" i="89"/>
  <c r="F20" i="6" l="1"/>
  <c r="I23" i="1"/>
  <c r="I21" i="1"/>
  <c r="I19" i="1"/>
  <c r="Q19" i="1" s="1"/>
  <c r="I17" i="1"/>
  <c r="R29" i="7" l="1"/>
  <c r="S29" i="7"/>
  <c r="S13" i="46"/>
  <c r="S22" i="46"/>
  <c r="R22" i="46"/>
  <c r="S20" i="46"/>
  <c r="S18" i="46"/>
  <c r="I25" i="46"/>
  <c r="I36" i="1" s="1"/>
  <c r="O9" i="46"/>
  <c r="S28" i="7"/>
  <c r="S27" i="7"/>
  <c r="S26" i="7"/>
  <c r="S24" i="7"/>
  <c r="S23" i="7"/>
  <c r="S22" i="7"/>
  <c r="S20" i="7"/>
  <c r="I33" i="7"/>
  <c r="I38" i="1" s="1"/>
  <c r="I19" i="88"/>
  <c r="I26" i="5"/>
  <c r="I32" i="1" s="1"/>
  <c r="I15" i="1"/>
  <c r="I25" i="3"/>
  <c r="I30" i="1" s="1"/>
  <c r="S25" i="46" l="1"/>
  <c r="I33" i="88"/>
  <c r="I34" i="1" s="1"/>
  <c r="Q34" i="1" s="1"/>
  <c r="R36" i="1"/>
  <c r="R21" i="1"/>
  <c r="R19" i="1"/>
  <c r="A49" i="17"/>
  <c r="I13" i="1"/>
  <c r="I25" i="1" s="1"/>
  <c r="I32" i="17"/>
  <c r="I25" i="17"/>
  <c r="R34" i="1" l="1"/>
  <c r="I34" i="17"/>
  <c r="I28" i="1" s="1"/>
  <c r="I40" i="1" s="1"/>
  <c r="I46" i="1" s="1"/>
  <c r="S49" i="88"/>
  <c r="A49" i="88"/>
  <c r="S46" i="88"/>
  <c r="O29" i="88"/>
  <c r="Q29" i="88" s="1"/>
  <c r="K29" i="88"/>
  <c r="F29" i="88"/>
  <c r="M27" i="88"/>
  <c r="R27" i="88" s="1"/>
  <c r="S27" i="88" s="1"/>
  <c r="K27" i="88"/>
  <c r="H27" i="88"/>
  <c r="F27" i="88"/>
  <c r="D27" i="88"/>
  <c r="M25" i="88"/>
  <c r="R25" i="88" s="1"/>
  <c r="S25" i="88" s="1"/>
  <c r="K25" i="88"/>
  <c r="H25" i="88"/>
  <c r="F25" i="88"/>
  <c r="D25" i="88"/>
  <c r="M23" i="88"/>
  <c r="R23" i="88" s="1"/>
  <c r="S23" i="88" s="1"/>
  <c r="K23" i="88"/>
  <c r="H23" i="88"/>
  <c r="F23" i="88"/>
  <c r="D23" i="88"/>
  <c r="M21" i="88"/>
  <c r="R21" i="88" s="1"/>
  <c r="S21" i="88" s="1"/>
  <c r="K21" i="88"/>
  <c r="H21" i="88"/>
  <c r="F21" i="88"/>
  <c r="D21" i="88"/>
  <c r="M19" i="88"/>
  <c r="R19" i="88" s="1"/>
  <c r="K19" i="88"/>
  <c r="H19" i="88"/>
  <c r="F19" i="88"/>
  <c r="D19" i="88"/>
  <c r="M14" i="88"/>
  <c r="R14" i="88" s="1"/>
  <c r="S14" i="88" s="1"/>
  <c r="K14" i="88"/>
  <c r="H14" i="88"/>
  <c r="F14" i="88"/>
  <c r="D14" i="88"/>
  <c r="O19" i="88" l="1"/>
  <c r="O27" i="88"/>
  <c r="Q27" i="88" s="1"/>
  <c r="K33" i="88"/>
  <c r="R33" i="88"/>
  <c r="S33" i="88" s="1"/>
  <c r="S19" i="88"/>
  <c r="O23" i="88"/>
  <c r="Q23" i="88" s="1"/>
  <c r="D33" i="88"/>
  <c r="H33" i="88"/>
  <c r="F33" i="88"/>
  <c r="M33" i="88"/>
  <c r="O14" i="88"/>
  <c r="Q14" i="88" s="1"/>
  <c r="O25" i="88"/>
  <c r="Q19" i="88"/>
  <c r="O21" i="88"/>
  <c r="Q21" i="88" s="1"/>
  <c r="O33" i="88" l="1"/>
  <c r="Q33" i="88" s="1"/>
  <c r="Q25" i="88"/>
  <c r="K30" i="9"/>
  <c r="O67" i="14" l="1"/>
  <c r="O41" i="14"/>
  <c r="J28" i="6" l="1"/>
  <c r="L28" i="6" s="1"/>
  <c r="M39" i="13" l="1"/>
  <c r="N43" i="13" s="1"/>
  <c r="M19" i="13"/>
  <c r="N25" i="13" s="1"/>
  <c r="D28" i="7"/>
  <c r="D27" i="7"/>
  <c r="D26" i="7"/>
  <c r="D25" i="7"/>
  <c r="D24" i="7"/>
  <c r="D23" i="7"/>
  <c r="D22" i="7"/>
  <c r="D21" i="7"/>
  <c r="D20" i="7"/>
  <c r="H28" i="7"/>
  <c r="H27" i="7"/>
  <c r="H26" i="7"/>
  <c r="H25" i="7"/>
  <c r="H24" i="7"/>
  <c r="H23" i="7"/>
  <c r="H22" i="7"/>
  <c r="H21" i="7"/>
  <c r="H20" i="7"/>
  <c r="D17" i="7"/>
  <c r="H17" i="7"/>
  <c r="D12" i="7"/>
  <c r="H12" i="7"/>
  <c r="M12" i="7"/>
  <c r="R12" i="7" s="1"/>
  <c r="S12" i="7" s="1"/>
  <c r="M17" i="7"/>
  <c r="M28" i="7"/>
  <c r="R28" i="7" s="1"/>
  <c r="M27" i="7"/>
  <c r="R27" i="7" s="1"/>
  <c r="M26" i="7"/>
  <c r="R26" i="7" s="1"/>
  <c r="M25" i="7"/>
  <c r="R25" i="7" s="1"/>
  <c r="S25" i="7" s="1"/>
  <c r="M24" i="7"/>
  <c r="R24" i="7" s="1"/>
  <c r="M23" i="7"/>
  <c r="R23" i="7" s="1"/>
  <c r="M21" i="7"/>
  <c r="R21" i="7" s="1"/>
  <c r="S21" i="7" s="1"/>
  <c r="M20" i="7"/>
  <c r="R20" i="7" s="1"/>
  <c r="M22" i="7"/>
  <c r="R22" i="7" s="1"/>
  <c r="S51" i="7"/>
  <c r="S48" i="7"/>
  <c r="Q28" i="7"/>
  <c r="K28" i="7"/>
  <c r="F28" i="7"/>
  <c r="K27" i="7"/>
  <c r="F27" i="7"/>
  <c r="Q27" i="7"/>
  <c r="K26" i="7"/>
  <c r="F26" i="7"/>
  <c r="K25" i="7"/>
  <c r="F25" i="7"/>
  <c r="K24" i="7"/>
  <c r="F24" i="7"/>
  <c r="K23" i="7"/>
  <c r="F23" i="7"/>
  <c r="K22" i="7"/>
  <c r="F22" i="7"/>
  <c r="K21" i="7"/>
  <c r="F21" i="7"/>
  <c r="K20" i="7"/>
  <c r="F20" i="7"/>
  <c r="K17" i="7"/>
  <c r="F17" i="7"/>
  <c r="K12" i="7"/>
  <c r="F12" i="7"/>
  <c r="O8" i="7"/>
  <c r="R17" i="7" l="1"/>
  <c r="S17" i="7" s="1"/>
  <c r="M33" i="7"/>
  <c r="O21" i="7"/>
  <c r="Q21" i="7" s="1"/>
  <c r="O25" i="7"/>
  <c r="Q25" i="7" s="1"/>
  <c r="O24" i="7"/>
  <c r="Q24" i="7" s="1"/>
  <c r="D33" i="7"/>
  <c r="O27" i="7"/>
  <c r="F33" i="7"/>
  <c r="O23" i="7"/>
  <c r="Q23" i="7" s="1"/>
  <c r="K33" i="7"/>
  <c r="O17" i="7"/>
  <c r="Q17" i="7" s="1"/>
  <c r="O12" i="7"/>
  <c r="Q12" i="7" s="1"/>
  <c r="O22" i="7"/>
  <c r="Q22" i="7" s="1"/>
  <c r="H33" i="7"/>
  <c r="O20" i="7"/>
  <c r="Q20" i="7" s="1"/>
  <c r="O28" i="7"/>
  <c r="O26" i="7"/>
  <c r="Q26" i="7" s="1"/>
  <c r="R33" i="7" l="1"/>
  <c r="S33" i="7" s="1"/>
  <c r="O33" i="7"/>
  <c r="Q33" i="7" s="1"/>
  <c r="M59" i="85" l="1"/>
  <c r="B59" i="85"/>
  <c r="M56" i="85"/>
  <c r="M45" i="85"/>
  <c r="M33" i="85"/>
  <c r="R56" i="87"/>
  <c r="A56" i="87"/>
  <c r="R53" i="87"/>
  <c r="D30" i="87"/>
  <c r="F25" i="87"/>
  <c r="Q22" i="87"/>
  <c r="R22" i="87" s="1"/>
  <c r="P22" i="87"/>
  <c r="N22" i="87"/>
  <c r="J20" i="87"/>
  <c r="F20" i="87"/>
  <c r="J18" i="87"/>
  <c r="J25" i="87" s="1"/>
  <c r="F18" i="87"/>
  <c r="J13" i="87"/>
  <c r="F13" i="87"/>
  <c r="F27" i="87" s="1"/>
  <c r="Q9" i="87"/>
  <c r="N9" i="87"/>
  <c r="H9" i="87"/>
  <c r="D9" i="87"/>
  <c r="Q8" i="87"/>
  <c r="N8" i="87"/>
  <c r="H8" i="87"/>
  <c r="D8" i="87"/>
  <c r="S50" i="46"/>
  <c r="N54" i="6" s="1"/>
  <c r="S47" i="46"/>
  <c r="O22" i="46"/>
  <c r="Q22" i="46" s="1"/>
  <c r="K20" i="46"/>
  <c r="F20" i="46"/>
  <c r="K18" i="46"/>
  <c r="F18" i="46"/>
  <c r="K13" i="46"/>
  <c r="F13" i="46"/>
  <c r="H9" i="46"/>
  <c r="D9" i="46"/>
  <c r="H8" i="46"/>
  <c r="D8" i="46"/>
  <c r="F25" i="46" l="1"/>
  <c r="K25" i="46"/>
  <c r="F27" i="46"/>
  <c r="E10" i="6" l="1"/>
  <c r="E7" i="86" s="1"/>
  <c r="E9" i="6"/>
  <c r="E6" i="86" s="1"/>
  <c r="C10" i="6"/>
  <c r="C7" i="86" s="1"/>
  <c r="C9" i="6"/>
  <c r="C6" i="86" s="1"/>
  <c r="H9" i="5"/>
  <c r="H9" i="88" s="1"/>
  <c r="D9" i="5"/>
  <c r="D9" i="88" s="1"/>
  <c r="D8" i="5"/>
  <c r="D8" i="88" s="1"/>
  <c r="O7" i="17"/>
  <c r="O7" i="3" s="1"/>
  <c r="H7" i="17"/>
  <c r="H7" i="3" s="1"/>
  <c r="H8" i="5" s="1"/>
  <c r="D8" i="4" l="1"/>
  <c r="H9" i="4"/>
  <c r="D9" i="4"/>
  <c r="H8" i="88"/>
  <c r="H8" i="4"/>
  <c r="E21" i="86"/>
  <c r="G21" i="86"/>
  <c r="C21" i="86"/>
  <c r="G61" i="86" l="1"/>
  <c r="G58" i="86"/>
  <c r="N54" i="13"/>
  <c r="N52" i="13"/>
  <c r="M80" i="1" l="1"/>
  <c r="H80" i="1"/>
  <c r="F80" i="1"/>
  <c r="G80" i="1"/>
  <c r="L80" i="1"/>
  <c r="D80" i="1"/>
  <c r="G43" i="1"/>
  <c r="L43" i="1"/>
  <c r="G78" i="1"/>
  <c r="H78" i="1"/>
  <c r="L78" i="1"/>
  <c r="M78" i="1"/>
  <c r="D78" i="1"/>
  <c r="Q29" i="4"/>
  <c r="R29" i="4" s="1"/>
  <c r="N29" i="4"/>
  <c r="P29" i="4" s="1"/>
  <c r="D82" i="1"/>
  <c r="F79" i="1"/>
  <c r="G79" i="1"/>
  <c r="H79" i="1"/>
  <c r="K79" i="1"/>
  <c r="L79" i="1"/>
  <c r="M79" i="1"/>
  <c r="D79" i="1"/>
  <c r="K80" i="1"/>
  <c r="J18" i="6"/>
  <c r="L18" i="6" s="1"/>
  <c r="G81" i="1" l="1"/>
  <c r="L81" i="1"/>
  <c r="K57" i="9" l="1"/>
  <c r="M59" i="9" l="1"/>
  <c r="I47" i="9"/>
  <c r="I46" i="9"/>
  <c r="H47" i="9"/>
  <c r="H46" i="9"/>
  <c r="G47" i="9"/>
  <c r="G46" i="9"/>
  <c r="F47" i="9"/>
  <c r="F46" i="9"/>
  <c r="E47" i="9"/>
  <c r="E46" i="9"/>
  <c r="D47" i="9"/>
  <c r="D46" i="9"/>
  <c r="I48" i="9" l="1"/>
  <c r="H48" i="9"/>
  <c r="G48" i="9"/>
  <c r="F48" i="9"/>
  <c r="E48" i="9"/>
  <c r="D48" i="9"/>
  <c r="E49" i="9" s="1"/>
  <c r="N44" i="41"/>
  <c r="N43" i="41"/>
  <c r="L44" i="41"/>
  <c r="L43" i="41"/>
  <c r="N45" i="41"/>
  <c r="L45" i="41"/>
  <c r="J45" i="41"/>
  <c r="J44" i="41"/>
  <c r="J43" i="41"/>
  <c r="H45" i="41"/>
  <c r="H43" i="41"/>
  <c r="P40" i="41"/>
  <c r="P39" i="41"/>
  <c r="P35" i="41"/>
  <c r="I49" i="9" l="1"/>
  <c r="G49" i="9"/>
  <c r="G50" i="9"/>
  <c r="H49" i="9"/>
  <c r="F49" i="9"/>
  <c r="L41" i="41"/>
  <c r="N40" i="41"/>
  <c r="L40" i="41"/>
  <c r="J40" i="41"/>
  <c r="H40" i="41"/>
  <c r="N39" i="41"/>
  <c r="L39" i="41"/>
  <c r="N35" i="41"/>
  <c r="L35" i="41"/>
  <c r="J39" i="41"/>
  <c r="H39" i="41"/>
  <c r="F39" i="41"/>
  <c r="J35" i="41"/>
  <c r="H35" i="41"/>
  <c r="M30" i="9" l="1"/>
  <c r="N25" i="60" l="1"/>
  <c r="N26" i="60"/>
  <c r="N27" i="60"/>
  <c r="N28" i="60"/>
  <c r="N29" i="60"/>
  <c r="N30" i="60"/>
  <c r="N31" i="60"/>
  <c r="N32" i="60"/>
  <c r="N24" i="60"/>
  <c r="T34" i="60" l="1"/>
  <c r="R34" i="60"/>
  <c r="O34" i="60"/>
  <c r="R32" i="60"/>
  <c r="Q32" i="60"/>
  <c r="O32" i="60"/>
  <c r="T31" i="60"/>
  <c r="R31" i="60"/>
  <c r="Q31" i="60"/>
  <c r="O31" i="60"/>
  <c r="T30" i="60"/>
  <c r="O30" i="60"/>
  <c r="L30" i="60"/>
  <c r="Q30" i="60" s="1"/>
  <c r="R30" i="60" s="1"/>
  <c r="Q29" i="60"/>
  <c r="R29" i="60" s="1"/>
  <c r="L29" i="60"/>
  <c r="T29" i="60" s="1"/>
  <c r="J29" i="60"/>
  <c r="H29" i="60"/>
  <c r="F29" i="60"/>
  <c r="D29" i="60"/>
  <c r="T28" i="60"/>
  <c r="O28" i="60"/>
  <c r="L28" i="60"/>
  <c r="Q28" i="60" s="1"/>
  <c r="R28" i="60" s="1"/>
  <c r="J28" i="60"/>
  <c r="H28" i="60"/>
  <c r="F28" i="60"/>
  <c r="D28" i="60"/>
  <c r="T27" i="60"/>
  <c r="Q27" i="60"/>
  <c r="R27" i="60" s="1"/>
  <c r="O27" i="60"/>
  <c r="L26" i="60"/>
  <c r="Q26" i="60" s="1"/>
  <c r="R26" i="60" s="1"/>
  <c r="J26" i="60"/>
  <c r="H26" i="60"/>
  <c r="F26" i="60"/>
  <c r="D26" i="60"/>
  <c r="T25" i="60"/>
  <c r="O25" i="60"/>
  <c r="L25" i="60"/>
  <c r="J25" i="60"/>
  <c r="H25" i="60"/>
  <c r="Q25" i="60" s="1"/>
  <c r="R25" i="60" s="1"/>
  <c r="F25" i="60"/>
  <c r="D25" i="60"/>
  <c r="T24" i="60"/>
  <c r="R24" i="60"/>
  <c r="Q24" i="60"/>
  <c r="O24" i="60"/>
  <c r="L21" i="60"/>
  <c r="T21" i="60" s="1"/>
  <c r="J21" i="60"/>
  <c r="H21" i="60"/>
  <c r="F21" i="60"/>
  <c r="F37" i="60" s="1"/>
  <c r="D21" i="60"/>
  <c r="D37" i="60" s="1"/>
  <c r="L16" i="60"/>
  <c r="J16" i="60"/>
  <c r="H16" i="60"/>
  <c r="F16" i="60"/>
  <c r="D16" i="60"/>
  <c r="Q16" i="60" l="1"/>
  <c r="R16" i="60" s="1"/>
  <c r="H37" i="60"/>
  <c r="N37" i="60" s="1"/>
  <c r="N21" i="60"/>
  <c r="O21" i="60" s="1"/>
  <c r="F52" i="60"/>
  <c r="N16" i="60"/>
  <c r="O16" i="60" s="1"/>
  <c r="Q21" i="60"/>
  <c r="R21" i="60" s="1"/>
  <c r="J37" i="60"/>
  <c r="J52" i="60" s="1"/>
  <c r="L37" i="60"/>
  <c r="D52" i="60"/>
  <c r="O26" i="60"/>
  <c r="T26" i="60"/>
  <c r="T37" i="60" s="1"/>
  <c r="T16" i="60"/>
  <c r="O29" i="60"/>
  <c r="Q37" i="60" l="1"/>
  <c r="R37" i="60" s="1"/>
  <c r="H52" i="60"/>
  <c r="O37" i="60"/>
  <c r="L52" i="60"/>
  <c r="J25" i="43" l="1"/>
  <c r="K26" i="43" s="1"/>
  <c r="M26" i="43" s="1"/>
  <c r="C64" i="83" l="1"/>
  <c r="C63" i="83"/>
  <c r="D63" i="83" s="1"/>
  <c r="E63" i="83" s="1"/>
  <c r="I63" i="83" s="1"/>
  <c r="L25" i="83"/>
  <c r="P25" i="83" s="1"/>
  <c r="Q72" i="84"/>
  <c r="G72" i="84"/>
  <c r="M72" i="84"/>
  <c r="Q71" i="84"/>
  <c r="Q63" i="84"/>
  <c r="O71" i="84"/>
  <c r="O63" i="84"/>
  <c r="M71" i="84"/>
  <c r="M63" i="84"/>
  <c r="K71" i="84"/>
  <c r="K63" i="84"/>
  <c r="B79" i="84"/>
  <c r="C79" i="84" s="1"/>
  <c r="G79" i="84" s="1"/>
  <c r="M79" i="84" s="1"/>
  <c r="B78" i="84"/>
  <c r="C78" i="84" s="1"/>
  <c r="G78" i="84" s="1"/>
  <c r="M78" i="84" s="1"/>
  <c r="G71" i="84"/>
  <c r="G63" i="84"/>
  <c r="K72" i="56"/>
  <c r="G72" i="56"/>
  <c r="AB60" i="56"/>
  <c r="W60" i="56"/>
  <c r="V60" i="56"/>
  <c r="AB59" i="56"/>
  <c r="W59" i="56"/>
  <c r="V59" i="56"/>
  <c r="AB58" i="56"/>
  <c r="W58" i="56"/>
  <c r="V58" i="56"/>
  <c r="AB57" i="56"/>
  <c r="W57" i="56"/>
  <c r="V57" i="56"/>
  <c r="AB56" i="56"/>
  <c r="W56" i="56"/>
  <c r="V56" i="56"/>
  <c r="AM52" i="56"/>
  <c r="AP52" i="56" s="1"/>
  <c r="AL52" i="56"/>
  <c r="AK52" i="56"/>
  <c r="AM51" i="56"/>
  <c r="AP51" i="56" s="1"/>
  <c r="AL51" i="56"/>
  <c r="AK51" i="56"/>
  <c r="W45" i="56"/>
  <c r="W44" i="56"/>
  <c r="W43" i="56"/>
  <c r="W41" i="56"/>
  <c r="V46" i="56"/>
  <c r="AC36" i="56"/>
  <c r="AL33" i="56"/>
  <c r="AA32" i="56"/>
  <c r="W25" i="56"/>
  <c r="W24" i="56"/>
  <c r="W23" i="56"/>
  <c r="U23" i="56"/>
  <c r="W22" i="56"/>
  <c r="L21" i="56"/>
  <c r="L24" i="56" s="1"/>
  <c r="J21" i="56"/>
  <c r="J24" i="56" s="1"/>
  <c r="H21" i="56"/>
  <c r="G12" i="84" s="1"/>
  <c r="F21" i="56"/>
  <c r="F24" i="56" s="1"/>
  <c r="D21" i="56"/>
  <c r="D24" i="56" s="1"/>
  <c r="L16" i="56"/>
  <c r="J16" i="56"/>
  <c r="H16" i="56"/>
  <c r="F16" i="56"/>
  <c r="D16" i="56"/>
  <c r="D72" i="56" s="1"/>
  <c r="F72" i="56" l="1"/>
  <c r="J69" i="56"/>
  <c r="K12" i="84"/>
  <c r="Q12" i="84" s="1"/>
  <c r="S12" i="84" s="1"/>
  <c r="N21" i="56"/>
  <c r="N24" i="56" s="1"/>
  <c r="O24" i="56" s="1"/>
  <c r="L72" i="56"/>
  <c r="S21" i="56"/>
  <c r="S24" i="56" s="1"/>
  <c r="H24" i="56"/>
  <c r="X65" i="56" s="1"/>
  <c r="C12" i="84"/>
  <c r="M12" i="84" s="1"/>
  <c r="O12" i="84" s="1"/>
  <c r="P16" i="56"/>
  <c r="Q16" i="56" s="1"/>
  <c r="V61" i="56"/>
  <c r="H72" i="56"/>
  <c r="L50" i="83"/>
  <c r="P50" i="83" s="1"/>
  <c r="P56" i="83" s="1"/>
  <c r="D64" i="83"/>
  <c r="E64" i="83" s="1"/>
  <c r="I64" i="83" s="1"/>
  <c r="P31" i="83"/>
  <c r="R31" i="83" s="1"/>
  <c r="D69" i="56"/>
  <c r="W65" i="56"/>
  <c r="L69" i="56"/>
  <c r="Y65" i="56"/>
  <c r="V28" i="56"/>
  <c r="F69" i="56"/>
  <c r="J72" i="56"/>
  <c r="N16" i="56"/>
  <c r="O16" i="56" s="1"/>
  <c r="S16" i="56"/>
  <c r="P21" i="56"/>
  <c r="X66" i="56" l="1"/>
  <c r="O21" i="56"/>
  <c r="R56" i="83"/>
  <c r="H69" i="56"/>
  <c r="Y67" i="56"/>
  <c r="Y66" i="56"/>
  <c r="Q21" i="56"/>
  <c r="P24" i="56"/>
  <c r="Q24" i="56" s="1"/>
  <c r="J23" i="55" l="1"/>
  <c r="J26" i="55" s="1"/>
  <c r="H23" i="55"/>
  <c r="H22" i="5" s="1"/>
  <c r="F23" i="55"/>
  <c r="F26" i="55" s="1"/>
  <c r="D23" i="55"/>
  <c r="L23" i="55"/>
  <c r="L16" i="55"/>
  <c r="J16" i="55"/>
  <c r="J59" i="55" s="1"/>
  <c r="H16" i="55"/>
  <c r="H59" i="55" s="1"/>
  <c r="F16" i="55"/>
  <c r="F59" i="55" s="1"/>
  <c r="D16" i="55"/>
  <c r="D59" i="55" s="1"/>
  <c r="P12" i="55"/>
  <c r="N12" i="55"/>
  <c r="P11" i="55"/>
  <c r="N11" i="55"/>
  <c r="S16" i="55" l="1"/>
  <c r="L59" i="55"/>
  <c r="P23" i="55"/>
  <c r="P26" i="55" s="1"/>
  <c r="K10" i="84"/>
  <c r="N16" i="55"/>
  <c r="O16" i="55" s="1"/>
  <c r="N23" i="55"/>
  <c r="N26" i="55" s="1"/>
  <c r="C10" i="84"/>
  <c r="D22" i="5"/>
  <c r="H26" i="55"/>
  <c r="G10" i="84"/>
  <c r="M22" i="5"/>
  <c r="R22" i="5" s="1"/>
  <c r="S22" i="5" s="1"/>
  <c r="D26" i="55"/>
  <c r="P16" i="55"/>
  <c r="Q16" i="55" s="1"/>
  <c r="S23" i="55"/>
  <c r="S26" i="55" s="1"/>
  <c r="L26" i="55"/>
  <c r="Q23" i="55" l="1"/>
  <c r="Q26" i="55"/>
  <c r="O23" i="55"/>
  <c r="Q10" i="84"/>
  <c r="S10" i="84" s="1"/>
  <c r="M10" i="84"/>
  <c r="O10" i="84" s="1"/>
  <c r="O26" i="55"/>
  <c r="N16" i="54" l="1"/>
  <c r="O16" i="54"/>
  <c r="P16" i="54"/>
  <c r="Q16" i="54"/>
  <c r="S16" i="54"/>
  <c r="D21" i="54"/>
  <c r="C8" i="84" s="1"/>
  <c r="F21" i="54"/>
  <c r="F24" i="54" s="1"/>
  <c r="F59" i="54" s="1"/>
  <c r="H21" i="54"/>
  <c r="J21" i="54"/>
  <c r="L21" i="54"/>
  <c r="K8" i="84" s="1"/>
  <c r="J24" i="54"/>
  <c r="J59" i="54" s="1"/>
  <c r="D24" i="54" l="1"/>
  <c r="D59" i="54" s="1"/>
  <c r="P21" i="54"/>
  <c r="P24" i="54" s="1"/>
  <c r="G8" i="84"/>
  <c r="M8" i="84" s="1"/>
  <c r="O8" i="84" s="1"/>
  <c r="L24" i="54"/>
  <c r="L59" i="54" s="1"/>
  <c r="S21" i="54"/>
  <c r="S24" i="54" s="1"/>
  <c r="Q21" i="54"/>
  <c r="N21" i="54"/>
  <c r="H24" i="54"/>
  <c r="H59" i="54" s="1"/>
  <c r="Q8" i="84" l="1"/>
  <c r="S8" i="84" s="1"/>
  <c r="Q24" i="54"/>
  <c r="N24" i="54"/>
  <c r="O24" i="54" s="1"/>
  <c r="O21" i="54"/>
  <c r="L21" i="79" l="1"/>
  <c r="J21" i="79"/>
  <c r="J24" i="79" s="1"/>
  <c r="H21" i="79"/>
  <c r="H24" i="79" s="1"/>
  <c r="F21" i="79"/>
  <c r="F24" i="79" s="1"/>
  <c r="D21" i="79"/>
  <c r="D24" i="79" s="1"/>
  <c r="L16" i="79"/>
  <c r="J16" i="79"/>
  <c r="H16" i="79"/>
  <c r="F16" i="79"/>
  <c r="D16" i="79"/>
  <c r="P12" i="79"/>
  <c r="N12" i="79"/>
  <c r="P11" i="79"/>
  <c r="N11" i="79"/>
  <c r="N16" i="79" l="1"/>
  <c r="O16" i="79" s="1"/>
  <c r="P21" i="79"/>
  <c r="P24" i="79" s="1"/>
  <c r="Q24" i="79" s="1"/>
  <c r="J59" i="79"/>
  <c r="F59" i="79"/>
  <c r="N21" i="79"/>
  <c r="N24" i="79" s="1"/>
  <c r="O24" i="79" s="1"/>
  <c r="S21" i="79"/>
  <c r="S24" i="79" s="1"/>
  <c r="P16" i="79"/>
  <c r="Q16" i="79" s="1"/>
  <c r="D59" i="79"/>
  <c r="L24" i="79"/>
  <c r="L59" i="79" s="1"/>
  <c r="H59" i="79"/>
  <c r="S16" i="79"/>
  <c r="Q21" i="79" l="1"/>
  <c r="O21" i="79"/>
  <c r="L21" i="53"/>
  <c r="J21" i="53"/>
  <c r="J24" i="53" s="1"/>
  <c r="H21" i="53"/>
  <c r="F21" i="53"/>
  <c r="F24" i="53" s="1"/>
  <c r="D21" i="53"/>
  <c r="L16" i="53"/>
  <c r="J16" i="53"/>
  <c r="H16" i="53"/>
  <c r="F16" i="53"/>
  <c r="D16" i="53"/>
  <c r="P12" i="53"/>
  <c r="P12" i="54" s="1"/>
  <c r="N12" i="53"/>
  <c r="N12" i="54" s="1"/>
  <c r="P11" i="53"/>
  <c r="P11" i="54" s="1"/>
  <c r="N11" i="53"/>
  <c r="N11" i="54" s="1"/>
  <c r="P16" i="53" l="1"/>
  <c r="Q16" i="53" s="1"/>
  <c r="N21" i="53"/>
  <c r="N24" i="53" s="1"/>
  <c r="N16" i="53"/>
  <c r="O16" i="53" s="1"/>
  <c r="P21" i="53"/>
  <c r="Q21" i="53" s="1"/>
  <c r="K6" i="84"/>
  <c r="J59" i="53"/>
  <c r="F59" i="53"/>
  <c r="H24" i="53"/>
  <c r="G6" i="84"/>
  <c r="S21" i="53"/>
  <c r="S24" i="53" s="1"/>
  <c r="D24" i="53"/>
  <c r="D59" i="53" s="1"/>
  <c r="C6" i="84"/>
  <c r="C14" i="84" s="1"/>
  <c r="L24" i="53"/>
  <c r="L59" i="53" s="1"/>
  <c r="H59" i="53"/>
  <c r="S16" i="53"/>
  <c r="P24" i="53" l="1"/>
  <c r="Q24" i="53" s="1"/>
  <c r="O21" i="53"/>
  <c r="M6" i="84"/>
  <c r="O6" i="84" s="1"/>
  <c r="G14" i="84"/>
  <c r="M14" i="84" s="1"/>
  <c r="O14" i="84" s="1"/>
  <c r="K14" i="84"/>
  <c r="Q6" i="84"/>
  <c r="S6" i="84" s="1"/>
  <c r="O24" i="53"/>
  <c r="R71" i="83"/>
  <c r="B71" i="83"/>
  <c r="R68" i="83"/>
  <c r="D5" i="82"/>
  <c r="C5" i="82"/>
  <c r="B5" i="82"/>
  <c r="Q14" i="84" l="1"/>
  <c r="S14" i="84" s="1"/>
  <c r="J5" i="82"/>
  <c r="F5" i="82"/>
  <c r="L17" i="12"/>
  <c r="N19" i="12" s="1"/>
  <c r="N39" i="58" l="1"/>
  <c r="N11" i="58"/>
  <c r="N11" i="47" s="1"/>
  <c r="N11" i="48" s="1"/>
  <c r="P12" i="58"/>
  <c r="P12" i="47" s="1"/>
  <c r="P12" i="48" s="1"/>
  <c r="P11" i="58"/>
  <c r="P11" i="47" s="1"/>
  <c r="P11" i="48" s="1"/>
  <c r="N12" i="58"/>
  <c r="N12" i="47" s="1"/>
  <c r="N12" i="48" s="1"/>
  <c r="R9" i="5"/>
  <c r="R8" i="5"/>
  <c r="O9" i="5"/>
  <c r="O8" i="5"/>
  <c r="P23" i="41"/>
  <c r="N23" i="41"/>
  <c r="N16" i="40"/>
  <c r="R8" i="3"/>
  <c r="R7" i="3"/>
  <c r="O8" i="3"/>
  <c r="N16" i="29"/>
  <c r="P12" i="26"/>
  <c r="P12" i="27" s="1"/>
  <c r="P12" i="28" s="1"/>
  <c r="P12" i="29" s="1"/>
  <c r="P12" i="30" s="1"/>
  <c r="P12" i="31" s="1"/>
  <c r="P12" i="37" s="1"/>
  <c r="P12" i="38" s="1"/>
  <c r="P12" i="39" s="1"/>
  <c r="P12" i="40" s="1"/>
  <c r="P12" i="41" s="1"/>
  <c r="P11" i="26"/>
  <c r="P11" i="27" s="1"/>
  <c r="P11" i="28" s="1"/>
  <c r="P11" i="29" s="1"/>
  <c r="P11" i="30" s="1"/>
  <c r="P11" i="31" s="1"/>
  <c r="P11" i="37" s="1"/>
  <c r="P11" i="38" s="1"/>
  <c r="P11" i="39" s="1"/>
  <c r="P11" i="40" s="1"/>
  <c r="P11" i="41" s="1"/>
  <c r="N12" i="26"/>
  <c r="N12" i="27" s="1"/>
  <c r="N12" i="28" s="1"/>
  <c r="N12" i="29" s="1"/>
  <c r="N12" i="30" s="1"/>
  <c r="N12" i="31" s="1"/>
  <c r="N12" i="37" s="1"/>
  <c r="N12" i="38" s="1"/>
  <c r="N12" i="39" s="1"/>
  <c r="N12" i="40" s="1"/>
  <c r="N12" i="41" s="1"/>
  <c r="N11" i="26"/>
  <c r="N11" i="27" s="1"/>
  <c r="N11" i="28" s="1"/>
  <c r="N11" i="29" s="1"/>
  <c r="N11" i="30" s="1"/>
  <c r="N11" i="31" s="1"/>
  <c r="N11" i="37" s="1"/>
  <c r="N11" i="38" s="1"/>
  <c r="N11" i="39" s="1"/>
  <c r="N11" i="40" s="1"/>
  <c r="N11" i="41" s="1"/>
  <c r="N9" i="4" l="1"/>
  <c r="O9" i="88"/>
  <c r="Q9" i="4"/>
  <c r="R9" i="88"/>
  <c r="Q8" i="4"/>
  <c r="R8" i="88"/>
  <c r="N8" i="4"/>
  <c r="O8" i="88"/>
  <c r="M39" i="43"/>
  <c r="M33" i="43"/>
  <c r="D21" i="40"/>
  <c r="D21" i="39"/>
  <c r="M18" i="43" l="1"/>
  <c r="L16" i="58" l="1"/>
  <c r="J16" i="58"/>
  <c r="H16" i="58"/>
  <c r="D16" i="58"/>
  <c r="N16" i="58" l="1"/>
  <c r="A54" i="6"/>
  <c r="M56" i="43"/>
  <c r="M53" i="43"/>
  <c r="B56" i="43"/>
  <c r="N48" i="12"/>
  <c r="N45" i="12"/>
  <c r="B48" i="12"/>
  <c r="M71" i="11"/>
  <c r="M68" i="11"/>
  <c r="B71" i="11"/>
  <c r="R57" i="4"/>
  <c r="R54" i="4"/>
  <c r="S51" i="5"/>
  <c r="S48" i="5"/>
  <c r="M66" i="9"/>
  <c r="M63" i="9"/>
  <c r="B66" i="9"/>
  <c r="S50" i="3"/>
  <c r="S47" i="3"/>
  <c r="O75" i="14"/>
  <c r="B75" i="14"/>
  <c r="S46" i="17"/>
  <c r="O72" i="14" s="1"/>
  <c r="A61" i="86" l="1"/>
  <c r="B55" i="13"/>
  <c r="N55" i="13"/>
  <c r="S39" i="58"/>
  <c r="P39" i="58"/>
  <c r="L37" i="58"/>
  <c r="J37" i="58"/>
  <c r="H37" i="58"/>
  <c r="F37" i="58"/>
  <c r="D37" i="58"/>
  <c r="L35" i="58"/>
  <c r="H14" i="6" s="1"/>
  <c r="J35" i="58"/>
  <c r="H35" i="58"/>
  <c r="E14" i="6" s="1"/>
  <c r="F35" i="58"/>
  <c r="D35" i="58"/>
  <c r="C14" i="6" s="1"/>
  <c r="L31" i="58"/>
  <c r="J31" i="58"/>
  <c r="H31" i="58"/>
  <c r="F31" i="58"/>
  <c r="D31" i="58"/>
  <c r="L29" i="58"/>
  <c r="J29" i="58"/>
  <c r="H29" i="58"/>
  <c r="F29" i="58"/>
  <c r="D29" i="58"/>
  <c r="L27" i="58"/>
  <c r="J27" i="58"/>
  <c r="H27" i="58"/>
  <c r="F27" i="58"/>
  <c r="D27" i="58"/>
  <c r="L25" i="58"/>
  <c r="J25" i="58"/>
  <c r="H25" i="58"/>
  <c r="F25" i="58"/>
  <c r="D25" i="58"/>
  <c r="L23" i="58"/>
  <c r="J23" i="58"/>
  <c r="H23" i="58"/>
  <c r="F23" i="58"/>
  <c r="D23" i="58"/>
  <c r="F16" i="58"/>
  <c r="J14" i="6" l="1"/>
  <c r="L14" i="6" s="1"/>
  <c r="D21" i="58"/>
  <c r="D43" i="58" s="1"/>
  <c r="D57" i="58" s="1"/>
  <c r="N23" i="58"/>
  <c r="N31" i="58"/>
  <c r="N25" i="58"/>
  <c r="O25" i="58" s="1"/>
  <c r="N33" i="58"/>
  <c r="N27" i="58"/>
  <c r="N35" i="58"/>
  <c r="O35" i="58" s="1"/>
  <c r="F21" i="58"/>
  <c r="F43" i="58" s="1"/>
  <c r="F57" i="58" s="1"/>
  <c r="N29" i="58"/>
  <c r="N37" i="58"/>
  <c r="O37" i="58" s="1"/>
  <c r="J21" i="58"/>
  <c r="J43" i="58" s="1"/>
  <c r="J57" i="58" s="1"/>
  <c r="O33" i="58"/>
  <c r="S35" i="58"/>
  <c r="L21" i="58"/>
  <c r="P29" i="58"/>
  <c r="Q29" i="58" s="1"/>
  <c r="O29" i="58"/>
  <c r="P37" i="58"/>
  <c r="Q37" i="58" s="1"/>
  <c r="S27" i="58"/>
  <c r="S23" i="58"/>
  <c r="P27" i="58"/>
  <c r="Q27" i="58" s="1"/>
  <c r="S31" i="58"/>
  <c r="O31" i="58"/>
  <c r="P35" i="58"/>
  <c r="Q35" i="58" s="1"/>
  <c r="P25" i="58"/>
  <c r="Q25" i="58" s="1"/>
  <c r="P33" i="58"/>
  <c r="Q33" i="58" s="1"/>
  <c r="P16" i="58"/>
  <c r="Q16" i="58" s="1"/>
  <c r="P23" i="58"/>
  <c r="Q23" i="58" s="1"/>
  <c r="P31" i="58"/>
  <c r="Q31" i="58" s="1"/>
  <c r="S25" i="58"/>
  <c r="S33" i="58"/>
  <c r="H21" i="58"/>
  <c r="S29" i="58"/>
  <c r="S37" i="58"/>
  <c r="O16" i="58"/>
  <c r="S16" i="58"/>
  <c r="O23" i="58"/>
  <c r="O27" i="58"/>
  <c r="H43" i="58" l="1"/>
  <c r="H57" i="58" s="1"/>
  <c r="N21" i="58"/>
  <c r="N43" i="58" s="1"/>
  <c r="S21" i="58"/>
  <c r="S43" i="58" s="1"/>
  <c r="L43" i="58"/>
  <c r="P21" i="58"/>
  <c r="O43" i="58" l="1"/>
  <c r="L57" i="58"/>
  <c r="Q21" i="58"/>
  <c r="P43" i="58"/>
  <c r="Q43" i="58" s="1"/>
  <c r="O21" i="58"/>
  <c r="F29" i="4" l="1"/>
  <c r="F78" i="1" s="1"/>
  <c r="F81" i="1" s="1"/>
  <c r="J29" i="4"/>
  <c r="K78" i="1" s="1"/>
  <c r="K81" i="1" s="1"/>
  <c r="F27" i="4"/>
  <c r="J27" i="4"/>
  <c r="H27" i="4"/>
  <c r="D27" i="4"/>
  <c r="F25" i="4"/>
  <c r="J23" i="4"/>
  <c r="H23" i="4"/>
  <c r="F23" i="4"/>
  <c r="D23" i="4"/>
  <c r="J21" i="4"/>
  <c r="F21" i="4"/>
  <c r="D21" i="4"/>
  <c r="L14" i="4"/>
  <c r="J14" i="4"/>
  <c r="F14" i="4"/>
  <c r="N27" i="4" l="1"/>
  <c r="P27" i="4" s="1"/>
  <c r="N23" i="4"/>
  <c r="J25" i="4"/>
  <c r="D25" i="4"/>
  <c r="L21" i="4"/>
  <c r="H14" i="4"/>
  <c r="H25" i="4"/>
  <c r="D14" i="4"/>
  <c r="L23" i="4"/>
  <c r="L27" i="4"/>
  <c r="Q27" i="4" s="1"/>
  <c r="R27" i="4" s="1"/>
  <c r="F19" i="4"/>
  <c r="H21" i="4"/>
  <c r="N21" i="4" s="1"/>
  <c r="L25" i="4"/>
  <c r="Q14" i="4" l="1"/>
  <c r="N14" i="4"/>
  <c r="N25" i="4"/>
  <c r="H19" i="4"/>
  <c r="H33" i="4" s="1"/>
  <c r="H34" i="1" s="1"/>
  <c r="J19" i="4"/>
  <c r="D19" i="4"/>
  <c r="D33" i="4" s="1"/>
  <c r="D34" i="1" s="1"/>
  <c r="L19" i="4"/>
  <c r="L35" i="4" s="1"/>
  <c r="L36" i="4" s="1"/>
  <c r="D35" i="4" l="1"/>
  <c r="D37" i="4" s="1"/>
  <c r="D39" i="4" s="1"/>
  <c r="H35" i="4"/>
  <c r="H36" i="4" s="1"/>
  <c r="L33" i="4"/>
  <c r="M34" i="1" s="1"/>
  <c r="N19" i="4"/>
  <c r="N33" i="4" s="1"/>
  <c r="P33" i="4" s="1"/>
  <c r="A57" i="4"/>
  <c r="M24" i="5" l="1"/>
  <c r="K24" i="5"/>
  <c r="D24" i="5"/>
  <c r="R24" i="5" l="1"/>
  <c r="H24" i="5"/>
  <c r="O24" i="5" s="1"/>
  <c r="F24" i="5"/>
  <c r="K22" i="5" l="1"/>
  <c r="F22" i="5"/>
  <c r="O22" i="5" l="1"/>
  <c r="D20" i="5" l="1"/>
  <c r="K20" i="5"/>
  <c r="F20" i="5"/>
  <c r="H20" i="5"/>
  <c r="O20" i="5" l="1"/>
  <c r="M20" i="5"/>
  <c r="R20" i="5" s="1"/>
  <c r="S20" i="5" s="1"/>
  <c r="K18" i="5" l="1"/>
  <c r="D18" i="5"/>
  <c r="F13" i="5"/>
  <c r="H13" i="5" l="1"/>
  <c r="D13" i="5"/>
  <c r="M13" i="5"/>
  <c r="R13" i="5" s="1"/>
  <c r="S13" i="5" s="1"/>
  <c r="K13" i="5"/>
  <c r="F18" i="5"/>
  <c r="M18" i="5"/>
  <c r="R18" i="5" s="1"/>
  <c r="S18" i="5" l="1"/>
  <c r="R26" i="5"/>
  <c r="S26" i="5" s="1"/>
  <c r="H18" i="5"/>
  <c r="O18" i="5" s="1"/>
  <c r="O26" i="5" s="1"/>
  <c r="O13" i="5"/>
  <c r="A51" i="5"/>
  <c r="L22" i="48" l="1"/>
  <c r="J22" i="48"/>
  <c r="H22" i="48"/>
  <c r="F22" i="48"/>
  <c r="D22" i="48"/>
  <c r="L21" i="48"/>
  <c r="J21" i="48"/>
  <c r="H21" i="48"/>
  <c r="F21" i="48"/>
  <c r="D21" i="48"/>
  <c r="L16" i="48"/>
  <c r="J16" i="48"/>
  <c r="H16" i="48"/>
  <c r="F16" i="48"/>
  <c r="D16" i="48"/>
  <c r="N21" i="48" l="1"/>
  <c r="H20" i="87"/>
  <c r="N20" i="87" s="1"/>
  <c r="P20" i="87" s="1"/>
  <c r="H20" i="46"/>
  <c r="D20" i="87"/>
  <c r="D20" i="46"/>
  <c r="M20" i="46"/>
  <c r="R20" i="46" s="1"/>
  <c r="L20" i="87"/>
  <c r="Q20" i="87" s="1"/>
  <c r="R20" i="87" s="1"/>
  <c r="P22" i="48"/>
  <c r="N22" i="48"/>
  <c r="O22" i="48" s="1"/>
  <c r="P21" i="48"/>
  <c r="Q16" i="48"/>
  <c r="N16" i="48"/>
  <c r="P16" i="48"/>
  <c r="H25" i="48"/>
  <c r="H60" i="48" s="1"/>
  <c r="Q22" i="48"/>
  <c r="S16" i="48"/>
  <c r="J25" i="48"/>
  <c r="J60" i="48" s="1"/>
  <c r="F25" i="48"/>
  <c r="F60" i="48" s="1"/>
  <c r="D25" i="48"/>
  <c r="D60" i="48" s="1"/>
  <c r="S21" i="48"/>
  <c r="Q21" i="48"/>
  <c r="O21" i="48"/>
  <c r="S22" i="48"/>
  <c r="O16" i="48"/>
  <c r="L25" i="48"/>
  <c r="O20" i="46" l="1"/>
  <c r="Q20" i="46" s="1"/>
  <c r="N25" i="48"/>
  <c r="O25" i="48" s="1"/>
  <c r="P25" i="48"/>
  <c r="Q25" i="48" s="1"/>
  <c r="S25" i="48"/>
  <c r="L60" i="48"/>
  <c r="L22" i="47" l="1"/>
  <c r="H16" i="6" s="1"/>
  <c r="J22" i="47"/>
  <c r="H22" i="47"/>
  <c r="E16" i="6" s="1"/>
  <c r="F22" i="47"/>
  <c r="D22" i="47"/>
  <c r="C16" i="6" s="1"/>
  <c r="C20" i="6" s="1"/>
  <c r="L21" i="47"/>
  <c r="J21" i="47"/>
  <c r="H21" i="47"/>
  <c r="F21" i="47"/>
  <c r="D21" i="47"/>
  <c r="L16" i="47"/>
  <c r="J16" i="47"/>
  <c r="H16" i="47"/>
  <c r="F16" i="47"/>
  <c r="D16" i="47"/>
  <c r="D13" i="87" l="1"/>
  <c r="D13" i="46"/>
  <c r="S16" i="47"/>
  <c r="L13" i="87"/>
  <c r="M13" i="46"/>
  <c r="R13" i="46" s="1"/>
  <c r="D18" i="87"/>
  <c r="D18" i="46"/>
  <c r="S21" i="47"/>
  <c r="L18" i="87"/>
  <c r="M18" i="46"/>
  <c r="R18" i="46" s="1"/>
  <c r="H18" i="46"/>
  <c r="H18" i="87"/>
  <c r="H13" i="87"/>
  <c r="H13" i="46"/>
  <c r="J16" i="6"/>
  <c r="L16" i="6" s="1"/>
  <c r="E20" i="6"/>
  <c r="C31" i="6"/>
  <c r="C12" i="86"/>
  <c r="C17" i="86" s="1"/>
  <c r="C20" i="86" s="1"/>
  <c r="C23" i="86" s="1"/>
  <c r="H20" i="6"/>
  <c r="H31" i="6" s="1"/>
  <c r="N21" i="47"/>
  <c r="N16" i="47"/>
  <c r="N22" i="47"/>
  <c r="O22" i="47" s="1"/>
  <c r="F25" i="47"/>
  <c r="F60" i="47" s="1"/>
  <c r="D25" i="47"/>
  <c r="D60" i="47" s="1"/>
  <c r="L25" i="47"/>
  <c r="S25" i="47" s="1"/>
  <c r="P21" i="47"/>
  <c r="Q21" i="47" s="1"/>
  <c r="O21" i="47"/>
  <c r="P16" i="47"/>
  <c r="Q16" i="47" s="1"/>
  <c r="O16" i="47"/>
  <c r="H25" i="47"/>
  <c r="P22" i="47"/>
  <c r="Q22" i="47" s="1"/>
  <c r="S22" i="47"/>
  <c r="J25" i="47"/>
  <c r="H25" i="87" l="1"/>
  <c r="N18" i="87"/>
  <c r="N25" i="87" s="1"/>
  <c r="O18" i="46"/>
  <c r="O25" i="46" s="1"/>
  <c r="H25" i="46"/>
  <c r="O13" i="46"/>
  <c r="Q13" i="46" s="1"/>
  <c r="R25" i="46"/>
  <c r="M25" i="46"/>
  <c r="D25" i="87"/>
  <c r="P18" i="87"/>
  <c r="Q13" i="87"/>
  <c r="R13" i="87" s="1"/>
  <c r="L29" i="87"/>
  <c r="L31" i="87" s="1"/>
  <c r="L32" i="87" s="1"/>
  <c r="D25" i="46"/>
  <c r="H29" i="87"/>
  <c r="H31" i="87" s="1"/>
  <c r="H32" i="87" s="1"/>
  <c r="N13" i="87"/>
  <c r="P13" i="87" s="1"/>
  <c r="Q18" i="87"/>
  <c r="L25" i="87"/>
  <c r="D29" i="87"/>
  <c r="D31" i="87" s="1"/>
  <c r="D32" i="87" s="1"/>
  <c r="D27" i="87"/>
  <c r="H27" i="87" s="1"/>
  <c r="D43" i="1"/>
  <c r="H25" i="6"/>
  <c r="G12" i="86"/>
  <c r="G17" i="86" s="1"/>
  <c r="G20" i="86" s="1"/>
  <c r="G23" i="86" s="1"/>
  <c r="E25" i="6"/>
  <c r="E12" i="86"/>
  <c r="E17" i="86" s="1"/>
  <c r="E20" i="86" s="1"/>
  <c r="E23" i="86" s="1"/>
  <c r="J20" i="6"/>
  <c r="L20" i="6" s="1"/>
  <c r="E31" i="6"/>
  <c r="L60" i="47"/>
  <c r="H60" i="47"/>
  <c r="N25" i="47"/>
  <c r="O25" i="47" s="1"/>
  <c r="P25" i="47"/>
  <c r="Q25" i="47" s="1"/>
  <c r="J60" i="47"/>
  <c r="P25" i="87" l="1"/>
  <c r="R18" i="87"/>
  <c r="Q25" i="87"/>
  <c r="R25" i="87" s="1"/>
  <c r="Q25" i="46"/>
  <c r="Q18" i="46"/>
  <c r="D27" i="46"/>
  <c r="H27" i="46" s="1"/>
  <c r="F43" i="1"/>
  <c r="J31" i="6"/>
  <c r="H43" i="1"/>
  <c r="O43" i="1" s="1"/>
  <c r="M43" i="1"/>
  <c r="Q43" i="1" s="1"/>
  <c r="R43" i="1" s="1"/>
  <c r="A50" i="3"/>
  <c r="S23" i="41"/>
  <c r="Q23" i="41"/>
  <c r="O23" i="41"/>
  <c r="L21" i="41"/>
  <c r="J21" i="41"/>
  <c r="J26" i="41" s="1"/>
  <c r="H21" i="41"/>
  <c r="F21" i="41"/>
  <c r="F26" i="41" s="1"/>
  <c r="D21" i="41"/>
  <c r="D26" i="41" s="1"/>
  <c r="L16" i="41"/>
  <c r="J16" i="41"/>
  <c r="H16" i="41"/>
  <c r="F16" i="41"/>
  <c r="D16" i="41"/>
  <c r="K43" i="1" l="1"/>
  <c r="L31" i="6"/>
  <c r="J61" i="41"/>
  <c r="F61" i="41"/>
  <c r="S21" i="41"/>
  <c r="S26" i="41" s="1"/>
  <c r="P21" i="41"/>
  <c r="P26" i="41" s="1"/>
  <c r="N16" i="41"/>
  <c r="H26" i="41"/>
  <c r="H61" i="41" s="1"/>
  <c r="N21" i="41"/>
  <c r="N26" i="41" s="1"/>
  <c r="D61" i="41"/>
  <c r="O16" i="41"/>
  <c r="S16" i="41"/>
  <c r="L26" i="41"/>
  <c r="L61" i="41" s="1"/>
  <c r="P16" i="41"/>
  <c r="Q16" i="41" s="1"/>
  <c r="Q21" i="41" l="1"/>
  <c r="O21" i="41"/>
  <c r="O26" i="41"/>
  <c r="Q26" i="41"/>
  <c r="L21" i="40" l="1"/>
  <c r="L24" i="40" s="1"/>
  <c r="J21" i="40"/>
  <c r="J24" i="40" s="1"/>
  <c r="H21" i="40"/>
  <c r="F21" i="40"/>
  <c r="F24" i="40" s="1"/>
  <c r="D24" i="40"/>
  <c r="S16" i="40"/>
  <c r="Q16" i="40"/>
  <c r="P16" i="40"/>
  <c r="O16" i="40"/>
  <c r="H24" i="40" l="1"/>
  <c r="N21" i="40"/>
  <c r="N24" i="40" s="1"/>
  <c r="O24" i="40" s="1"/>
  <c r="S21" i="40"/>
  <c r="S24" i="40" s="1"/>
  <c r="F59" i="40"/>
  <c r="F17" i="3"/>
  <c r="H59" i="40"/>
  <c r="H17" i="3"/>
  <c r="P21" i="40"/>
  <c r="Q21" i="40" s="1"/>
  <c r="J59" i="40"/>
  <c r="K17" i="3"/>
  <c r="L59" i="40"/>
  <c r="M17" i="3"/>
  <c r="R17" i="3" s="1"/>
  <c r="D59" i="40"/>
  <c r="D17" i="3"/>
  <c r="S17" i="3" l="1"/>
  <c r="P24" i="40"/>
  <c r="Q24" i="40" s="1"/>
  <c r="O21" i="40"/>
  <c r="O17" i="3"/>
  <c r="Q17" i="3" s="1"/>
  <c r="L21" i="39"/>
  <c r="J21" i="39"/>
  <c r="J24" i="39" s="1"/>
  <c r="K21" i="3" s="1"/>
  <c r="H21" i="39"/>
  <c r="F21" i="39"/>
  <c r="F24" i="39" s="1"/>
  <c r="D24" i="39"/>
  <c r="D21" i="3" s="1"/>
  <c r="L16" i="39"/>
  <c r="J16" i="39"/>
  <c r="H16" i="39"/>
  <c r="F16" i="39"/>
  <c r="D16" i="39"/>
  <c r="P21" i="39" l="1"/>
  <c r="N16" i="39"/>
  <c r="H24" i="39"/>
  <c r="H21" i="3" s="1"/>
  <c r="O21" i="3" s="1"/>
  <c r="N21" i="39"/>
  <c r="N24" i="39" s="1"/>
  <c r="O24" i="39" s="1"/>
  <c r="P16" i="39"/>
  <c r="Q16" i="39" s="1"/>
  <c r="F59" i="39"/>
  <c r="F21" i="3"/>
  <c r="S21" i="39"/>
  <c r="S24" i="39" s="1"/>
  <c r="J59" i="39"/>
  <c r="Q21" i="39"/>
  <c r="P24" i="39"/>
  <c r="Q24" i="39" s="1"/>
  <c r="D59" i="39"/>
  <c r="L24" i="39"/>
  <c r="O16" i="39"/>
  <c r="S16" i="39"/>
  <c r="H59" i="39" l="1"/>
  <c r="O21" i="39"/>
  <c r="L59" i="39"/>
  <c r="M21" i="3"/>
  <c r="R21" i="3" s="1"/>
  <c r="S21" i="3" s="1"/>
  <c r="L21" i="38"/>
  <c r="L24" i="38" s="1"/>
  <c r="M19" i="3" s="1"/>
  <c r="R19" i="3" s="1"/>
  <c r="J21" i="38"/>
  <c r="J24" i="38" s="1"/>
  <c r="K19" i="3" s="1"/>
  <c r="H21" i="38"/>
  <c r="F21" i="38"/>
  <c r="F24" i="38" s="1"/>
  <c r="D21" i="38"/>
  <c r="D24" i="38" s="1"/>
  <c r="D19" i="3" s="1"/>
  <c r="L16" i="38"/>
  <c r="J16" i="38"/>
  <c r="H16" i="38"/>
  <c r="F16" i="38"/>
  <c r="D16" i="38"/>
  <c r="S19" i="3" l="1"/>
  <c r="P16" i="38"/>
  <c r="Q16" i="38" s="1"/>
  <c r="H24" i="38"/>
  <c r="H59" i="38" s="1"/>
  <c r="N21" i="38"/>
  <c r="O21" i="38" s="1"/>
  <c r="N16" i="38"/>
  <c r="O16" i="38" s="1"/>
  <c r="S21" i="38"/>
  <c r="S24" i="38" s="1"/>
  <c r="D59" i="38"/>
  <c r="J59" i="38"/>
  <c r="F59" i="38"/>
  <c r="F19" i="3"/>
  <c r="L59" i="38"/>
  <c r="P21" i="38"/>
  <c r="P24" i="38" s="1"/>
  <c r="Q24" i="38" s="1"/>
  <c r="S16" i="38"/>
  <c r="H19" i="3" l="1"/>
  <c r="O19" i="3" s="1"/>
  <c r="Q21" i="38"/>
  <c r="N24" i="38"/>
  <c r="O24" i="38" s="1"/>
  <c r="Q21" i="3"/>
  <c r="L21" i="37"/>
  <c r="L24" i="37" s="1"/>
  <c r="M23" i="3" s="1"/>
  <c r="R23" i="3" s="1"/>
  <c r="J21" i="37"/>
  <c r="J24" i="37" s="1"/>
  <c r="K23" i="3" s="1"/>
  <c r="H21" i="37"/>
  <c r="F21" i="37"/>
  <c r="F24" i="37" s="1"/>
  <c r="F23" i="3" s="1"/>
  <c r="D21" i="37"/>
  <c r="D24" i="37" s="1"/>
  <c r="D23" i="3" s="1"/>
  <c r="L16" i="37"/>
  <c r="S16" i="37" s="1"/>
  <c r="J16" i="37"/>
  <c r="H16" i="37"/>
  <c r="F16" i="37"/>
  <c r="D16" i="37"/>
  <c r="S23" i="3" l="1"/>
  <c r="R25" i="3"/>
  <c r="S25" i="3" s="1"/>
  <c r="N16" i="37"/>
  <c r="O16" i="37" s="1"/>
  <c r="Q19" i="3"/>
  <c r="H24" i="37"/>
  <c r="H23" i="3" s="1"/>
  <c r="O23" i="3" s="1"/>
  <c r="O25" i="3" s="1"/>
  <c r="N21" i="37"/>
  <c r="N24" i="37" s="1"/>
  <c r="O24" i="37" s="1"/>
  <c r="S21" i="37"/>
  <c r="S24" i="37" s="1"/>
  <c r="H12" i="3"/>
  <c r="P16" i="37"/>
  <c r="Q16" i="37" s="1"/>
  <c r="P21" i="37"/>
  <c r="Q21" i="37" s="1"/>
  <c r="J59" i="37"/>
  <c r="K12" i="3"/>
  <c r="K15" i="1" s="1"/>
  <c r="D59" i="37"/>
  <c r="D12" i="3"/>
  <c r="D15" i="1" s="1"/>
  <c r="L59" i="37"/>
  <c r="M12" i="3"/>
  <c r="R12" i="3" s="1"/>
  <c r="S12" i="3" s="1"/>
  <c r="F59" i="37"/>
  <c r="F12" i="3"/>
  <c r="F15" i="1" s="1"/>
  <c r="M15" i="1" l="1"/>
  <c r="P24" i="37"/>
  <c r="Q24" i="37" s="1"/>
  <c r="H59" i="37"/>
  <c r="O21" i="37"/>
  <c r="H15" i="1"/>
  <c r="O15" i="1" s="1"/>
  <c r="O12" i="3"/>
  <c r="Q23" i="3"/>
  <c r="L21" i="31"/>
  <c r="J21" i="31"/>
  <c r="J24" i="31" s="1"/>
  <c r="H21" i="31"/>
  <c r="F21" i="31"/>
  <c r="F24" i="31" s="1"/>
  <c r="D21" i="31"/>
  <c r="L16" i="31"/>
  <c r="J16" i="31"/>
  <c r="H16" i="31"/>
  <c r="F16" i="31"/>
  <c r="D16" i="31"/>
  <c r="Q15" i="1" l="1"/>
  <c r="R15" i="1" s="1"/>
  <c r="H24" i="31"/>
  <c r="H59" i="31" s="1"/>
  <c r="H30" i="17"/>
  <c r="D24" i="31"/>
  <c r="D30" i="17"/>
  <c r="L24" i="31"/>
  <c r="L59" i="31" s="1"/>
  <c r="M30" i="17"/>
  <c r="R30" i="17" s="1"/>
  <c r="S30" i="17" s="1"/>
  <c r="J59" i="31"/>
  <c r="S21" i="31"/>
  <c r="S24" i="31" s="1"/>
  <c r="D59" i="31"/>
  <c r="F59" i="31"/>
  <c r="S16" i="31"/>
  <c r="F30" i="17"/>
  <c r="P16" i="31"/>
  <c r="Q16" i="31" s="1"/>
  <c r="P21" i="31"/>
  <c r="Q21" i="31" s="1"/>
  <c r="N16" i="31"/>
  <c r="O16" i="31" s="1"/>
  <c r="N21" i="31"/>
  <c r="N24" i="31" s="1"/>
  <c r="K30" i="17"/>
  <c r="Q12" i="3"/>
  <c r="O24" i="31"/>
  <c r="P24" i="31" l="1"/>
  <c r="Q24" i="31" s="1"/>
  <c r="O21" i="31"/>
  <c r="O30" i="17"/>
  <c r="Q30" i="17" s="1"/>
  <c r="L21" i="30"/>
  <c r="J21" i="30"/>
  <c r="H21" i="30"/>
  <c r="F21" i="30"/>
  <c r="D21" i="30"/>
  <c r="L16" i="30"/>
  <c r="J16" i="30"/>
  <c r="H16" i="30"/>
  <c r="F16" i="30"/>
  <c r="D16" i="30"/>
  <c r="N16" i="30" l="1"/>
  <c r="O16" i="30" s="1"/>
  <c r="N21" i="30"/>
  <c r="N24" i="30" s="1"/>
  <c r="P21" i="30"/>
  <c r="Q21" i="30" s="1"/>
  <c r="D24" i="30"/>
  <c r="D59" i="30" s="1"/>
  <c r="D28" i="17"/>
  <c r="L24" i="30"/>
  <c r="L59" i="30" s="1"/>
  <c r="M28" i="17"/>
  <c r="R28" i="17" s="1"/>
  <c r="F24" i="30"/>
  <c r="F59" i="30" s="1"/>
  <c r="F28" i="17"/>
  <c r="P16" i="30"/>
  <c r="Q16" i="30" s="1"/>
  <c r="H24" i="30"/>
  <c r="H59" i="30" s="1"/>
  <c r="H28" i="17"/>
  <c r="S16" i="30"/>
  <c r="J24" i="30"/>
  <c r="J59" i="30" s="1"/>
  <c r="K28" i="17"/>
  <c r="S21" i="30"/>
  <c r="S24" i="30" s="1"/>
  <c r="S28" i="17" l="1"/>
  <c r="R32" i="17"/>
  <c r="S32" i="17" s="1"/>
  <c r="O28" i="17"/>
  <c r="O32" i="17" s="1"/>
  <c r="O24" i="30"/>
  <c r="O21" i="30"/>
  <c r="P24" i="30"/>
  <c r="Q24" i="30" s="1"/>
  <c r="L21" i="29"/>
  <c r="J21" i="29"/>
  <c r="H21" i="29"/>
  <c r="F21" i="29"/>
  <c r="D21" i="29"/>
  <c r="S16" i="29"/>
  <c r="Q16" i="29"/>
  <c r="P16" i="29"/>
  <c r="O16" i="29"/>
  <c r="Q28" i="17" l="1"/>
  <c r="N21" i="29"/>
  <c r="O21" i="29" s="1"/>
  <c r="P21" i="29"/>
  <c r="S21" i="29"/>
  <c r="S24" i="29" s="1"/>
  <c r="H24" i="29"/>
  <c r="H59" i="29" s="1"/>
  <c r="H23" i="17"/>
  <c r="Q21" i="29"/>
  <c r="J24" i="29"/>
  <c r="J59" i="29" s="1"/>
  <c r="K23" i="17"/>
  <c r="D24" i="29"/>
  <c r="D59" i="29" s="1"/>
  <c r="D23" i="17"/>
  <c r="L24" i="29"/>
  <c r="L59" i="29" s="1"/>
  <c r="M23" i="17"/>
  <c r="R23" i="17" s="1"/>
  <c r="S23" i="17" s="1"/>
  <c r="F24" i="29"/>
  <c r="F59" i="29" s="1"/>
  <c r="F23" i="17"/>
  <c r="N24" i="29"/>
  <c r="O23" i="17" l="1"/>
  <c r="O24" i="29"/>
  <c r="P24" i="29"/>
  <c r="Q24" i="29" s="1"/>
  <c r="L21" i="28"/>
  <c r="S21" i="28" s="1"/>
  <c r="S24" i="28" s="1"/>
  <c r="J21" i="28"/>
  <c r="H21" i="28"/>
  <c r="F21" i="28"/>
  <c r="D21" i="28"/>
  <c r="L16" i="28"/>
  <c r="S16" i="28" s="1"/>
  <c r="J16" i="28"/>
  <c r="H16" i="28"/>
  <c r="F16" i="28"/>
  <c r="D16" i="28"/>
  <c r="N21" i="28" l="1"/>
  <c r="O21" i="28" s="1"/>
  <c r="P16" i="28"/>
  <c r="Q16" i="28" s="1"/>
  <c r="N16" i="28"/>
  <c r="O16" i="28" s="1"/>
  <c r="J24" i="28"/>
  <c r="J59" i="28" s="1"/>
  <c r="K21" i="17"/>
  <c r="D24" i="28"/>
  <c r="D59" i="28" s="1"/>
  <c r="D21" i="17"/>
  <c r="L24" i="28"/>
  <c r="L59" i="28" s="1"/>
  <c r="M21" i="17"/>
  <c r="R21" i="17" s="1"/>
  <c r="S21" i="17" s="1"/>
  <c r="H24" i="28"/>
  <c r="H59" i="28" s="1"/>
  <c r="H21" i="17"/>
  <c r="P21" i="28"/>
  <c r="Q21" i="28" s="1"/>
  <c r="F24" i="28"/>
  <c r="F59" i="28" s="1"/>
  <c r="F21" i="17"/>
  <c r="O21" i="17" l="1"/>
  <c r="P24" i="28"/>
  <c r="Q24" i="28" s="1"/>
  <c r="N24" i="28"/>
  <c r="O24" i="28" s="1"/>
  <c r="L21" i="27"/>
  <c r="J21" i="27"/>
  <c r="H21" i="27"/>
  <c r="F21" i="27"/>
  <c r="D21" i="27"/>
  <c r="L16" i="27"/>
  <c r="S16" i="27" s="1"/>
  <c r="J16" i="27"/>
  <c r="H16" i="27"/>
  <c r="F16" i="27"/>
  <c r="D16" i="27"/>
  <c r="N21" i="27" l="1"/>
  <c r="O21" i="27" s="1"/>
  <c r="P16" i="27"/>
  <c r="Q16" i="27" s="1"/>
  <c r="N16" i="27"/>
  <c r="O16" i="27" s="1"/>
  <c r="P21" i="27"/>
  <c r="Q21" i="27" s="1"/>
  <c r="S21" i="27"/>
  <c r="S24" i="27" s="1"/>
  <c r="H24" i="27"/>
  <c r="H59" i="27" s="1"/>
  <c r="H19" i="17"/>
  <c r="D24" i="27"/>
  <c r="D59" i="27" s="1"/>
  <c r="D19" i="17"/>
  <c r="L24" i="27"/>
  <c r="M19" i="17"/>
  <c r="R19" i="17" s="1"/>
  <c r="S19" i="17" s="1"/>
  <c r="J24" i="27"/>
  <c r="J59" i="27" s="1"/>
  <c r="K19" i="17"/>
  <c r="L59" i="27"/>
  <c r="F24" i="27"/>
  <c r="F59" i="27" s="1"/>
  <c r="F19" i="17"/>
  <c r="N24" i="27"/>
  <c r="O24" i="27" l="1"/>
  <c r="P24" i="27"/>
  <c r="Q24" i="27" s="1"/>
  <c r="O19" i="17"/>
  <c r="L21" i="26"/>
  <c r="M17" i="17" s="1"/>
  <c r="R17" i="17" s="1"/>
  <c r="J21" i="26"/>
  <c r="H21" i="26"/>
  <c r="H17" i="17" s="1"/>
  <c r="F21" i="26"/>
  <c r="D21" i="26"/>
  <c r="D17" i="17" s="1"/>
  <c r="L16" i="26"/>
  <c r="J16" i="26"/>
  <c r="H16" i="26"/>
  <c r="F16" i="26"/>
  <c r="D16" i="26"/>
  <c r="S17" i="17" l="1"/>
  <c r="R25" i="17"/>
  <c r="P16" i="26"/>
  <c r="Q16" i="26" s="1"/>
  <c r="N21" i="26"/>
  <c r="N24" i="26" s="1"/>
  <c r="N16" i="26"/>
  <c r="O16" i="26" s="1"/>
  <c r="M12" i="17"/>
  <c r="F24" i="26"/>
  <c r="F56" i="26" s="1"/>
  <c r="F17" i="17"/>
  <c r="D12" i="17"/>
  <c r="L24" i="26"/>
  <c r="L56" i="26" s="1"/>
  <c r="H12" i="17"/>
  <c r="H24" i="26"/>
  <c r="H56" i="26" s="1"/>
  <c r="P21" i="26"/>
  <c r="Q21" i="26" s="1"/>
  <c r="D24" i="26"/>
  <c r="O24" i="26" s="1"/>
  <c r="F12" i="17"/>
  <c r="K12" i="17"/>
  <c r="S16" i="26"/>
  <c r="J24" i="26"/>
  <c r="J56" i="26" s="1"/>
  <c r="K17" i="17"/>
  <c r="S21" i="26"/>
  <c r="S24" i="26" s="1"/>
  <c r="O12" i="17" l="1"/>
  <c r="M13" i="1"/>
  <c r="R12" i="17"/>
  <c r="S12" i="17" s="1"/>
  <c r="S25" i="17"/>
  <c r="R34" i="17"/>
  <c r="S34" i="17" s="1"/>
  <c r="O21" i="26"/>
  <c r="O17" i="17"/>
  <c r="O25" i="17" s="1"/>
  <c r="O34" i="17" s="1"/>
  <c r="P24" i="26"/>
  <c r="Q24" i="26" s="1"/>
  <c r="Q12" i="17"/>
  <c r="D56" i="26"/>
  <c r="Q13" i="1" l="1"/>
  <c r="F23" i="1"/>
  <c r="K23" i="1"/>
  <c r="R13" i="1" l="1"/>
  <c r="M38" i="1"/>
  <c r="H23" i="1"/>
  <c r="M23" i="1"/>
  <c r="H38" i="1"/>
  <c r="F38" i="1"/>
  <c r="K38" i="1"/>
  <c r="Q23" i="1" l="1"/>
  <c r="R23" i="1" s="1"/>
  <c r="Q38" i="1"/>
  <c r="R38" i="1" s="1"/>
  <c r="D38" i="1"/>
  <c r="O38" i="1" s="1"/>
  <c r="F19" i="1"/>
  <c r="K19" i="1"/>
  <c r="P38" i="1" l="1"/>
  <c r="P25" i="4"/>
  <c r="Q25" i="4"/>
  <c r="R25" i="4" s="1"/>
  <c r="Q23" i="4"/>
  <c r="R23" i="4" s="1"/>
  <c r="P23" i="4"/>
  <c r="Q21" i="4"/>
  <c r="R21" i="4" s="1"/>
  <c r="P21" i="4"/>
  <c r="Q19" i="4"/>
  <c r="Q33" i="4" s="1"/>
  <c r="R33" i="4" s="1"/>
  <c r="M19" i="1"/>
  <c r="R14" i="4"/>
  <c r="P14" i="4"/>
  <c r="H19" i="1"/>
  <c r="J33" i="4"/>
  <c r="K34" i="1" s="1"/>
  <c r="P19" i="4" l="1"/>
  <c r="R19" i="4"/>
  <c r="O34" i="1" l="1"/>
  <c r="P34" i="1" s="1"/>
  <c r="Q24" i="5"/>
  <c r="F26" i="5"/>
  <c r="D26" i="5"/>
  <c r="F17" i="1"/>
  <c r="K17" i="1"/>
  <c r="K26" i="5" l="1"/>
  <c r="K32" i="1" s="1"/>
  <c r="Q22" i="5"/>
  <c r="Q20" i="5"/>
  <c r="M26" i="5"/>
  <c r="M32" i="1" s="1"/>
  <c r="M17" i="1"/>
  <c r="Q13" i="5"/>
  <c r="H17" i="1"/>
  <c r="H26" i="5"/>
  <c r="F32" i="1"/>
  <c r="Q17" i="1" l="1"/>
  <c r="Q32" i="1"/>
  <c r="R32" i="1" s="1"/>
  <c r="Q26" i="5"/>
  <c r="H32" i="1"/>
  <c r="Q18" i="5"/>
  <c r="R17" i="1" l="1"/>
  <c r="F21" i="1"/>
  <c r="K21" i="1"/>
  <c r="M21" i="1" l="1"/>
  <c r="Q21" i="1" s="1"/>
  <c r="Q25" i="1" s="1"/>
  <c r="H21" i="1"/>
  <c r="D21" i="1"/>
  <c r="F36" i="1"/>
  <c r="M36" i="1"/>
  <c r="Q36" i="1" s="1"/>
  <c r="K36" i="1"/>
  <c r="M25" i="1" l="1"/>
  <c r="O21" i="1"/>
  <c r="P21" i="1" s="1"/>
  <c r="H36" i="1"/>
  <c r="D36" i="1"/>
  <c r="O36" i="1" l="1"/>
  <c r="P36" i="1" s="1"/>
  <c r="M25" i="3" l="1"/>
  <c r="M30" i="1" s="1"/>
  <c r="D25" i="3"/>
  <c r="F25" i="3"/>
  <c r="F30" i="1" s="1"/>
  <c r="H25" i="3"/>
  <c r="P15" i="1"/>
  <c r="K25" i="3"/>
  <c r="K30" i="1" s="1"/>
  <c r="Q30" i="1" l="1"/>
  <c r="R30" i="1" s="1"/>
  <c r="H30" i="1"/>
  <c r="D30" i="1"/>
  <c r="Q25" i="3"/>
  <c r="O30" i="1" l="1"/>
  <c r="P30" i="1" s="1"/>
  <c r="H13" i="1"/>
  <c r="Q19" i="17"/>
  <c r="Q21" i="17"/>
  <c r="D13" i="1"/>
  <c r="Q23" i="17"/>
  <c r="D32" i="17"/>
  <c r="H32" i="17"/>
  <c r="K32" i="17"/>
  <c r="M32" i="17"/>
  <c r="F32" i="17"/>
  <c r="K25" i="17"/>
  <c r="F13" i="1"/>
  <c r="F25" i="1" s="1"/>
  <c r="F25" i="17"/>
  <c r="K13" i="1"/>
  <c r="K25" i="1" s="1"/>
  <c r="O13" i="1" l="1"/>
  <c r="R25" i="1"/>
  <c r="H25" i="1"/>
  <c r="Q32" i="17"/>
  <c r="H25" i="17"/>
  <c r="D25" i="17"/>
  <c r="D34" i="17" s="1"/>
  <c r="M25" i="17"/>
  <c r="K34" i="17"/>
  <c r="K28" i="1" s="1"/>
  <c r="K40" i="1" s="1"/>
  <c r="K46" i="1" s="1"/>
  <c r="F34" i="17"/>
  <c r="F28" i="1" s="1"/>
  <c r="P13" i="1" l="1"/>
  <c r="M34" i="17"/>
  <c r="M28" i="1" s="1"/>
  <c r="Q28" i="1" s="1"/>
  <c r="Q40" i="1" s="1"/>
  <c r="Q46" i="1" s="1"/>
  <c r="Q17" i="17"/>
  <c r="Q34" i="17"/>
  <c r="Q25" i="17"/>
  <c r="H34" i="17"/>
  <c r="D17" i="1"/>
  <c r="O17" i="1" s="1"/>
  <c r="D19" i="1"/>
  <c r="D23" i="1"/>
  <c r="O23" i="1" s="1"/>
  <c r="D32" i="1"/>
  <c r="O32" i="1" s="1"/>
  <c r="M40" i="1" l="1"/>
  <c r="M46" i="1" s="1"/>
  <c r="R28" i="1"/>
  <c r="C25" i="6"/>
  <c r="O19" i="1"/>
  <c r="P19" i="1" s="1"/>
  <c r="P32" i="1"/>
  <c r="P23" i="1"/>
  <c r="D28" i="1"/>
  <c r="H28" i="1"/>
  <c r="D25" i="1"/>
  <c r="F29" i="5"/>
  <c r="D29" i="5"/>
  <c r="D27" i="3"/>
  <c r="F27" i="3"/>
  <c r="F33" i="4"/>
  <c r="F34" i="1" s="1"/>
  <c r="F40" i="1" s="1"/>
  <c r="F46" i="1" s="1"/>
  <c r="O25" i="1" l="1"/>
  <c r="R40" i="1"/>
  <c r="O28" i="1"/>
  <c r="O40" i="1" s="1"/>
  <c r="P17" i="1"/>
  <c r="D40" i="1"/>
  <c r="H40" i="1"/>
  <c r="H27" i="3"/>
  <c r="D46" i="1" l="1"/>
  <c r="P28" i="1"/>
  <c r="P40" i="1"/>
  <c r="P25" i="1"/>
  <c r="H46" i="1"/>
  <c r="H75" i="1" l="1"/>
  <c r="H76" i="1" s="1"/>
  <c r="H81" i="1" s="1"/>
  <c r="D75" i="1"/>
  <c r="D76" i="1" s="1"/>
  <c r="D81" i="1" l="1"/>
  <c r="D8" i="82"/>
  <c r="C8" i="82"/>
  <c r="B8" i="82"/>
  <c r="J8" i="82" l="1"/>
  <c r="L8" i="82" s="1"/>
  <c r="F8" i="82"/>
  <c r="H8" i="82" s="1"/>
  <c r="D7" i="82" l="1"/>
  <c r="C7" i="82"/>
  <c r="B7" i="82"/>
  <c r="J7" i="82" l="1"/>
  <c r="L7" i="82" s="1"/>
  <c r="F7" i="82"/>
  <c r="H7" i="82" s="1"/>
  <c r="D6" i="82" l="1"/>
  <c r="C6" i="82"/>
  <c r="B6" i="82"/>
  <c r="F6" i="82" l="1"/>
  <c r="H6" i="82" s="1"/>
  <c r="J6" i="82"/>
  <c r="L6" i="82" s="1"/>
  <c r="D4" i="82"/>
  <c r="C4" i="82"/>
  <c r="B4" i="82"/>
  <c r="B9" i="82" s="1"/>
  <c r="D9" i="82" l="1"/>
  <c r="J4" i="82"/>
  <c r="F4" i="82"/>
  <c r="C9" i="82"/>
  <c r="H4" i="82" l="1"/>
  <c r="F9" i="82"/>
  <c r="H9" i="82" s="1"/>
  <c r="L4" i="82"/>
  <c r="J9" i="82"/>
  <c r="L9" i="82" s="1"/>
  <c r="M75" i="1" l="1"/>
  <c r="R46" i="1"/>
  <c r="O46" i="1"/>
  <c r="P46" i="1" s="1"/>
  <c r="P43" i="1"/>
  <c r="M76" i="1" l="1"/>
  <c r="M81" i="1" l="1"/>
</calcChain>
</file>

<file path=xl/comments1.xml><?xml version="1.0" encoding="utf-8"?>
<comments xmlns="http://schemas.openxmlformats.org/spreadsheetml/2006/main">
  <authors>
    <author>Mariane Bilodeau</author>
  </authors>
  <commentList>
    <comment ref="D21" authorId="0">
      <text>
        <r>
          <rPr>
            <b/>
            <sz val="9"/>
            <color indexed="81"/>
            <rFont val="Tahoma"/>
            <family val="2"/>
          </rPr>
          <t>Mariane Bilodeau:</t>
        </r>
        <r>
          <rPr>
            <sz val="9"/>
            <color indexed="81"/>
            <rFont val="Tahoma"/>
            <family val="2"/>
          </rPr>
          <t xml:space="preserve">
-12000 APCHQ arait dû être au CC25436
</t>
        </r>
      </text>
    </comment>
  </commentList>
</comments>
</file>

<file path=xl/comments2.xml><?xml version="1.0" encoding="utf-8"?>
<comments xmlns="http://schemas.openxmlformats.org/spreadsheetml/2006/main">
  <authors>
    <author>Mariane Bilodeau</author>
  </authors>
  <commentList>
    <comment ref="D21" authorId="0">
      <text>
        <r>
          <rPr>
            <b/>
            <sz val="9"/>
            <color indexed="81"/>
            <rFont val="Tahoma"/>
            <family val="2"/>
          </rPr>
          <t>Mariane Bilodeau:</t>
        </r>
        <r>
          <rPr>
            <sz val="9"/>
            <color indexed="81"/>
            <rFont val="Tahoma"/>
            <family val="2"/>
          </rPr>
          <t xml:space="preserve">
+12000 APCHQ imputer au CC25434 au lieu du CC25436</t>
        </r>
      </text>
    </comment>
  </commentList>
</comments>
</file>

<file path=xl/comments3.xml><?xml version="1.0" encoding="utf-8"?>
<comments xmlns="http://schemas.openxmlformats.org/spreadsheetml/2006/main">
  <authors>
    <author>Jean-Benoit Trahan</author>
  </authors>
  <commentList>
    <comment ref="C23" authorId="0">
      <text>
        <r>
          <rPr>
            <b/>
            <sz val="9"/>
            <color indexed="81"/>
            <rFont val="Tahoma"/>
            <family val="2"/>
          </rPr>
          <t>Jean-Benoit Trahan:</t>
        </r>
        <r>
          <rPr>
            <sz val="9"/>
            <color indexed="81"/>
            <rFont val="Tahoma"/>
            <family val="2"/>
          </rPr>
          <t xml:space="preserve">
Ligne à masquer cette année</t>
        </r>
      </text>
    </comment>
  </commentList>
</comments>
</file>

<file path=xl/comments4.xml><?xml version="1.0" encoding="utf-8"?>
<comments xmlns="http://schemas.openxmlformats.org/spreadsheetml/2006/main">
  <authors>
    <author>Mireille Boucher-Martin</author>
  </authors>
  <commentList>
    <comment ref="A78" authorId="0">
      <text>
        <r>
          <rPr>
            <b/>
            <sz val="9"/>
            <color indexed="81"/>
            <rFont val="Tahoma"/>
            <family val="2"/>
          </rPr>
          <t>Mireille Boucher-Martin:</t>
        </r>
        <r>
          <rPr>
            <sz val="9"/>
            <color indexed="81"/>
            <rFont val="Tahoma"/>
            <family val="2"/>
          </rPr>
          <t xml:space="preserve">
selon fichier volumes
</t>
        </r>
      </text>
    </comment>
    <comment ref="A79" authorId="0">
      <text>
        <r>
          <rPr>
            <b/>
            <sz val="9"/>
            <color indexed="81"/>
            <rFont val="Tahoma"/>
            <family val="2"/>
          </rPr>
          <t>Mireille Boucher-Martin:</t>
        </r>
        <r>
          <rPr>
            <sz val="9"/>
            <color indexed="81"/>
            <rFont val="Tahoma"/>
            <family val="2"/>
          </rPr>
          <t xml:space="preserve">
selon fichier volumes
</t>
        </r>
      </text>
    </comment>
  </commentList>
</comments>
</file>

<file path=xl/comments5.xml><?xml version="1.0" encoding="utf-8"?>
<comments xmlns="http://schemas.openxmlformats.org/spreadsheetml/2006/main">
  <authors>
    <author>Mireille Boucher-Martin</author>
  </authors>
  <commentList>
    <comment ref="T25" authorId="0">
      <text>
        <r>
          <rPr>
            <b/>
            <sz val="9"/>
            <color indexed="81"/>
            <rFont val="Tahoma"/>
            <family val="2"/>
          </rPr>
          <t>Mireille Boucher-Martin:</t>
        </r>
        <r>
          <rPr>
            <sz val="9"/>
            <color indexed="81"/>
            <rFont val="Tahoma"/>
            <family val="2"/>
          </rPr>
          <t xml:space="preserve">
Normalement, ça sera noyé dans mon regroupement de CC.  Je ne crois pas que j'aurai à en parler...</t>
        </r>
      </text>
    </comment>
  </commentList>
</comments>
</file>

<file path=xl/comments6.xml><?xml version="1.0" encoding="utf-8"?>
<comments xmlns="http://schemas.openxmlformats.org/spreadsheetml/2006/main">
  <authors>
    <author>Mireille Boucher-Martin</author>
  </authors>
  <commentList>
    <comment ref="AJ51" authorId="0">
      <text>
        <r>
          <rPr>
            <b/>
            <sz val="9"/>
            <color indexed="81"/>
            <rFont val="Tahoma"/>
            <family val="2"/>
          </rPr>
          <t>Mireille Boucher-Martin:</t>
        </r>
        <r>
          <rPr>
            <sz val="9"/>
            <color indexed="81"/>
            <rFont val="Tahoma"/>
            <family val="2"/>
          </rPr>
          <t xml:space="preserve">
selon fichier volumes
</t>
        </r>
      </text>
    </comment>
    <comment ref="AJ52" authorId="0">
      <text>
        <r>
          <rPr>
            <b/>
            <sz val="9"/>
            <color indexed="81"/>
            <rFont val="Tahoma"/>
            <family val="2"/>
          </rPr>
          <t>Mireille Boucher-Martin:</t>
        </r>
        <r>
          <rPr>
            <sz val="9"/>
            <color indexed="81"/>
            <rFont val="Tahoma"/>
            <family val="2"/>
          </rPr>
          <t xml:space="preserve">
selon fichier volumes
</t>
        </r>
      </text>
    </comment>
    <comment ref="AJ56" authorId="0">
      <text>
        <r>
          <rPr>
            <b/>
            <sz val="9"/>
            <color indexed="81"/>
            <rFont val="Tahoma"/>
            <family val="2"/>
          </rPr>
          <t>Mireille Boucher-Martin:</t>
        </r>
        <r>
          <rPr>
            <sz val="9"/>
            <color indexed="81"/>
            <rFont val="Tahoma"/>
            <family val="2"/>
          </rPr>
          <t xml:space="preserve">
dont 2 hivers rigoureux?</t>
        </r>
      </text>
    </comment>
  </commentList>
</comments>
</file>

<file path=xl/comments7.xml><?xml version="1.0" encoding="utf-8"?>
<comments xmlns="http://schemas.openxmlformats.org/spreadsheetml/2006/main">
  <authors>
    <author>Jean-Benoit Trahan</author>
  </authors>
  <commentList>
    <comment ref="B27" authorId="0">
      <text>
        <r>
          <rPr>
            <b/>
            <sz val="9"/>
            <color indexed="81"/>
            <rFont val="Tahoma"/>
            <family val="2"/>
          </rPr>
          <t>Jean-Benoit Trahan:</t>
        </r>
        <r>
          <rPr>
            <sz val="9"/>
            <color indexed="81"/>
            <rFont val="Tahoma"/>
            <family val="2"/>
          </rPr>
          <t xml:space="preserve">
Lignes 5, 6 et 7, je mettrais ça dans un bloc</t>
        </r>
      </text>
    </comment>
    <comment ref="B39" authorId="0">
      <text>
        <r>
          <rPr>
            <b/>
            <sz val="9"/>
            <color indexed="81"/>
            <rFont val="Tahoma"/>
            <family val="2"/>
          </rPr>
          <t>Jean-Benoit Trahan:</t>
        </r>
        <r>
          <rPr>
            <sz val="9"/>
            <color indexed="81"/>
            <rFont val="Tahoma"/>
            <family val="2"/>
          </rPr>
          <t xml:space="preserve">
Ligne 11 à masquer pour cette année</t>
        </r>
      </text>
    </comment>
  </commentList>
</comments>
</file>

<file path=xl/comments8.xml><?xml version="1.0" encoding="utf-8"?>
<comments xmlns="http://schemas.openxmlformats.org/spreadsheetml/2006/main">
  <authors>
    <author>Jean-Benoit Trahan</author>
  </authors>
  <commentList>
    <comment ref="B34" authorId="0">
      <text>
        <r>
          <rPr>
            <b/>
            <sz val="9"/>
            <color indexed="81"/>
            <rFont val="Tahoma"/>
            <family val="2"/>
          </rPr>
          <t>Jean-Benoit Trahan:</t>
        </r>
        <r>
          <rPr>
            <sz val="9"/>
            <color indexed="81"/>
            <rFont val="Tahoma"/>
            <family val="2"/>
          </rPr>
          <t xml:space="preserve">
Ligne à masquer cette année.</t>
        </r>
      </text>
    </comment>
  </commentList>
</comments>
</file>

<file path=xl/comments9.xml><?xml version="1.0" encoding="utf-8"?>
<comments xmlns="http://schemas.openxmlformats.org/spreadsheetml/2006/main">
  <authors>
    <author>Mariane Bilodeau</author>
  </authors>
  <commentList>
    <comment ref="B14" authorId="0">
      <text>
        <r>
          <rPr>
            <b/>
            <sz val="9"/>
            <color indexed="81"/>
            <rFont val="Tahoma"/>
            <family val="2"/>
          </rPr>
          <t>Mariane Bilodeau:</t>
        </r>
        <r>
          <rPr>
            <sz val="9"/>
            <color indexed="81"/>
            <rFont val="Tahoma"/>
            <family val="2"/>
          </rPr>
          <t xml:space="preserve">
Selon la fermeture des livres</t>
        </r>
      </text>
    </comment>
    <comment ref="B16" authorId="0">
      <text>
        <r>
          <rPr>
            <b/>
            <sz val="9"/>
            <color indexed="81"/>
            <rFont val="Tahoma"/>
            <family val="2"/>
          </rPr>
          <t>Mariane Bilodeau:</t>
        </r>
        <r>
          <rPr>
            <sz val="9"/>
            <color indexed="81"/>
            <rFont val="Tahoma"/>
            <family val="2"/>
          </rPr>
          <t xml:space="preserve">
Selon la fermeture des livres</t>
        </r>
      </text>
    </comment>
    <comment ref="B28" authorId="0">
      <text>
        <r>
          <rPr>
            <b/>
            <sz val="9"/>
            <color indexed="81"/>
            <rFont val="Tahoma"/>
            <family val="2"/>
          </rPr>
          <t>Mariane Bilodeau:</t>
        </r>
        <r>
          <rPr>
            <sz val="9"/>
            <color indexed="81"/>
            <rFont val="Tahoma"/>
            <family val="2"/>
          </rPr>
          <t xml:space="preserve">
selon le dernier LeadLag</t>
        </r>
      </text>
    </comment>
    <comment ref="B30" authorId="0">
      <text>
        <r>
          <rPr>
            <b/>
            <sz val="9"/>
            <color indexed="81"/>
            <rFont val="Tahoma"/>
            <family val="2"/>
          </rPr>
          <t>Mariane Bilodeau:</t>
        </r>
        <r>
          <rPr>
            <sz val="9"/>
            <color indexed="81"/>
            <rFont val="Tahoma"/>
            <family val="2"/>
          </rPr>
          <t xml:space="preserve">
Selon la fermeture des livres</t>
        </r>
      </text>
    </comment>
  </commentList>
</comments>
</file>

<file path=xl/sharedStrings.xml><?xml version="1.0" encoding="utf-8"?>
<sst xmlns="http://schemas.openxmlformats.org/spreadsheetml/2006/main" count="1940" uniqueCount="554">
  <si>
    <t>SALAIRES</t>
  </si>
  <si>
    <t xml:space="preserve">Administration                     </t>
  </si>
  <si>
    <t xml:space="preserve">TOTAL          </t>
  </si>
  <si>
    <t>AUTRES CHARGES</t>
  </si>
  <si>
    <t>GRAND TOTAL</t>
  </si>
  <si>
    <t>Service à la clientèle</t>
  </si>
  <si>
    <t>Conduites et branchements</t>
  </si>
  <si>
    <t>TOTAL</t>
  </si>
  <si>
    <t>GAZIFÈRE INC.</t>
  </si>
  <si>
    <t>SOMMAIRE DES CHARGES D'EXPLOITATION</t>
  </si>
  <si>
    <t>Régulation et mesurage</t>
  </si>
  <si>
    <t>Administration et général</t>
  </si>
  <si>
    <t>TOTAL AUTRES CHARGES</t>
  </si>
  <si>
    <t>Ventes commerciales</t>
  </si>
  <si>
    <t xml:space="preserve">Ventes résidentielles          </t>
  </si>
  <si>
    <t>TOTAL VENTES</t>
  </si>
  <si>
    <t>Crédit et recouvrement</t>
  </si>
  <si>
    <t>Relevé des compteurs</t>
  </si>
  <si>
    <t xml:space="preserve">Facturation des clients </t>
  </si>
  <si>
    <t>TOTAL COMPTABILITÉ</t>
  </si>
  <si>
    <t>DES ABONNÉS</t>
  </si>
  <si>
    <t xml:space="preserve">Charges d'administration </t>
  </si>
  <si>
    <t xml:space="preserve">Assurances générales         </t>
  </si>
  <si>
    <t xml:space="preserve">Honoraires professionnels    </t>
  </si>
  <si>
    <t xml:space="preserve">Avantages sociaux           </t>
  </si>
  <si>
    <t>Mauvaises créances</t>
  </si>
  <si>
    <t>GAZIFÈRE INC</t>
  </si>
  <si>
    <t>Réel</t>
  </si>
  <si>
    <t>Budget</t>
  </si>
  <si>
    <t>ENTRETIEN</t>
  </si>
  <si>
    <t>OPÉRATION ET ENTRETIEN</t>
  </si>
  <si>
    <t>(000$)</t>
  </si>
  <si>
    <t>Moins: Frais de gestion capitalisés</t>
  </si>
  <si>
    <t>Réglementation</t>
  </si>
  <si>
    <t>Frais généraux &amp; avantages sociaux capitalisés</t>
  </si>
  <si>
    <t>ADMINISTRATION</t>
  </si>
  <si>
    <t>Écart</t>
  </si>
  <si>
    <t>Affaires réglementaires</t>
  </si>
  <si>
    <t>(1)</t>
  </si>
  <si>
    <t>(2)</t>
  </si>
  <si>
    <t>(3)</t>
  </si>
  <si>
    <t>(4)</t>
  </si>
  <si>
    <t>(5)</t>
  </si>
  <si>
    <t>(6)</t>
  </si>
  <si>
    <t>(7)</t>
  </si>
  <si>
    <t>(8)</t>
  </si>
  <si>
    <t>(9)</t>
  </si>
  <si>
    <t>(10)</t>
  </si>
  <si>
    <t>(11)</t>
  </si>
  <si>
    <t>Notes:</t>
  </si>
  <si>
    <t>(12)</t>
  </si>
  <si>
    <t>Page 1 de 1</t>
  </si>
  <si>
    <t>%</t>
  </si>
  <si>
    <t xml:space="preserve">Comptes différés </t>
  </si>
  <si>
    <t xml:space="preserve">        - Charges réglementaires</t>
  </si>
  <si>
    <t>AFFAIRES RÉGLEMENTAIRES</t>
  </si>
  <si>
    <t>Document 7</t>
  </si>
  <si>
    <t xml:space="preserve">MONTANT TRANSFÉRÉ AUX ACTIVITÉS </t>
  </si>
  <si>
    <t>ANALYSE DES ÉCARTS - OPÉRATION ET ENTRETIEN</t>
  </si>
  <si>
    <t>Document 5</t>
  </si>
  <si>
    <t>ANALYSE DES ÉCARTS - ADMINISTRATION</t>
  </si>
  <si>
    <t>ANALYSE DES ÉCARTS - AFFAIRES RÉGLEMENTAIRES</t>
  </si>
  <si>
    <t>Document 2.1</t>
  </si>
  <si>
    <t>Document 3.1</t>
  </si>
  <si>
    <t>Document 4.1</t>
  </si>
  <si>
    <t>Document 5.1</t>
  </si>
  <si>
    <t>Document 6.1</t>
  </si>
  <si>
    <t>INFORMATIQUE</t>
  </si>
  <si>
    <t>Document 7.1</t>
  </si>
  <si>
    <t>Opération et Entretien</t>
  </si>
  <si>
    <t>OPÉRATION</t>
  </si>
  <si>
    <t xml:space="preserve">(1) Voir GI-4, document 6.1, page 1 de 1 </t>
  </si>
  <si>
    <t>(2) Somme réelle accumulée dans ces comptes du 1er mars 2003 au 28 février 2004.</t>
  </si>
  <si>
    <t>Note:</t>
  </si>
  <si>
    <t>SERVICES ENTRE COMPAGNIES</t>
  </si>
  <si>
    <t>AFFILIÉES</t>
  </si>
  <si>
    <t>SERVICES ENTRE COMPAGNIES AFFILIÉES</t>
  </si>
  <si>
    <t>TOTAL IMPUTÉ AUX CHARGES</t>
  </si>
  <si>
    <t>D'EXPLOITATION RÉGLEMENTÉES</t>
  </si>
  <si>
    <t>ANALYSE DES ÉCARTS - SERVICES ENTRE COMPAGNIES AFFILIÉES</t>
  </si>
  <si>
    <t>No de</t>
  </si>
  <si>
    <t>ligne</t>
  </si>
  <si>
    <t>CHARGES D'EXPLOITATION RÉELLES ET NOMBRE DE CLIENTS  MOYEN RÉEL</t>
  </si>
  <si>
    <t>CHARGES D'EXPLOITATION TOTALES</t>
  </si>
  <si>
    <t>NOMBRE MOYEN DE CLIENTS</t>
  </si>
  <si>
    <t>Coût par client  (dollars courants)</t>
  </si>
  <si>
    <t>INDICE D'INFLATION</t>
  </si>
  <si>
    <t>Coût par client  (dollars constants)</t>
  </si>
  <si>
    <t>CHARGES D'EXPLOITATION PROJETÉES SELON LA FORMULE ET NOMBRE DE CLIENTS MOYEN PROJETÉ</t>
  </si>
  <si>
    <t>25436 / 25451</t>
  </si>
  <si>
    <t>Informatique</t>
  </si>
  <si>
    <t>SERVICE À LA CLIENTÈLE</t>
  </si>
  <si>
    <t>CAUSE TARIFAIRE 2016</t>
  </si>
  <si>
    <t>CC25401</t>
  </si>
  <si>
    <t>(3+9)</t>
  </si>
  <si>
    <t xml:space="preserve">Charges </t>
  </si>
  <si>
    <t>GI-xx</t>
  </si>
  <si>
    <t>Document x</t>
  </si>
  <si>
    <t>Original: 2015-08-xx</t>
  </si>
  <si>
    <t>Requête 3924-2015</t>
  </si>
  <si>
    <t>cross check</t>
  </si>
  <si>
    <t>CONDUITES ET BRANCHEMENTS</t>
  </si>
  <si>
    <t>CC25404</t>
  </si>
  <si>
    <t>RÉGULATION ET MESURAGE</t>
  </si>
  <si>
    <t>CC25406</t>
  </si>
  <si>
    <t>ADMINISTRATION ET GÉNÉRAL</t>
  </si>
  <si>
    <t>CC25408</t>
  </si>
  <si>
    <t>CONDUITES ET BRANCHEMENTS - Entretien</t>
  </si>
  <si>
    <t>CC25411</t>
  </si>
  <si>
    <t>RÉGULATION ET MESURAGE - Entretien</t>
  </si>
  <si>
    <t>CC25413</t>
  </si>
  <si>
    <t>CAUSE TARIFAIRE  2016</t>
  </si>
  <si>
    <t>ADMINISTRATION - Ventes</t>
  </si>
  <si>
    <t>CC25430</t>
  </si>
  <si>
    <t>Charges administratives</t>
  </si>
  <si>
    <t>VENTES - Commerciales</t>
  </si>
  <si>
    <t>CC25432</t>
  </si>
  <si>
    <t>VENTES - Résidentielles</t>
  </si>
  <si>
    <t>CC25434</t>
  </si>
  <si>
    <t>ADVERTISING</t>
  </si>
  <si>
    <t>CC25436</t>
  </si>
  <si>
    <t>COMMUNICATION</t>
  </si>
  <si>
    <t>CC25451</t>
  </si>
  <si>
    <t>Communication / Publicité</t>
  </si>
  <si>
    <t>CIS</t>
  </si>
  <si>
    <t>CC25440</t>
  </si>
  <si>
    <t>Internal  Allocations</t>
  </si>
  <si>
    <t>IT SERVICES</t>
  </si>
  <si>
    <t>CC25441</t>
  </si>
  <si>
    <t>IT Services</t>
  </si>
  <si>
    <t>ANALYSE DES ÉCARTS - INFORMATIQUE</t>
  </si>
  <si>
    <t>WORK MANAGEMENT CENTRE</t>
  </si>
  <si>
    <t>CC25442</t>
  </si>
  <si>
    <t>RELEVÉ DES COMPTEURS</t>
  </si>
  <si>
    <t>CC25444</t>
  </si>
  <si>
    <t>FACTURATION DES CLIENTS</t>
  </si>
  <si>
    <t>CC25446</t>
  </si>
  <si>
    <t>CRÉDIT ET RECOUVREMENT</t>
  </si>
  <si>
    <t>CC25448</t>
  </si>
  <si>
    <t>CC25450</t>
  </si>
  <si>
    <t>Fonds de pension</t>
  </si>
  <si>
    <t>STIP / Stock units</t>
  </si>
  <si>
    <t>Management Fees</t>
  </si>
  <si>
    <t>CC25452</t>
  </si>
  <si>
    <t xml:space="preserve">        - CFR regroupés suite D-2010-112</t>
  </si>
  <si>
    <t xml:space="preserve">        - Température</t>
  </si>
  <si>
    <t xml:space="preserve">        - Gaz perdu</t>
  </si>
  <si>
    <t xml:space="preserve">        - Quote part AEÉ</t>
  </si>
  <si>
    <t xml:space="preserve">        - Programme d'efficacité énergétique</t>
  </si>
  <si>
    <t xml:space="preserve">        - SPEDE</t>
  </si>
  <si>
    <t xml:space="preserve">        - Francisation</t>
  </si>
  <si>
    <t>(13)</t>
  </si>
  <si>
    <t>sera masqué</t>
  </si>
  <si>
    <t>Cause</t>
  </si>
  <si>
    <t>2015 (3+9)</t>
  </si>
  <si>
    <t>Nouvelle allocation</t>
  </si>
  <si>
    <t>Cause 2016</t>
  </si>
  <si>
    <t>4 = 3-1</t>
  </si>
  <si>
    <t>6 = 3-2</t>
  </si>
  <si>
    <t>Publicité / Communication</t>
  </si>
  <si>
    <t>Activités non réglementées</t>
  </si>
  <si>
    <t>DISPATCH</t>
  </si>
  <si>
    <t>CC25449</t>
  </si>
  <si>
    <t>25442 - 25449</t>
  </si>
  <si>
    <t>CC25420</t>
  </si>
  <si>
    <t>CC25421</t>
  </si>
  <si>
    <t>CC25422</t>
  </si>
  <si>
    <t>CC25423</t>
  </si>
  <si>
    <t>O&amp;M</t>
  </si>
  <si>
    <t>CHECK</t>
  </si>
  <si>
    <t>ok</t>
  </si>
  <si>
    <t>Document 8.1</t>
  </si>
  <si>
    <t>(14)</t>
  </si>
  <si>
    <t>Économie de salaires en 2014 suite à un poste vacant de Directeur service à la clientèle (8 mois),</t>
  </si>
  <si>
    <t>GI-28</t>
  </si>
  <si>
    <t>ANALYSE DES ÉCARTS - VENTES ET COMMUNICATION</t>
  </si>
  <si>
    <t>VENTES ET COMMUNICATION</t>
  </si>
  <si>
    <t xml:space="preserve">Ventes et communication                              </t>
  </si>
  <si>
    <t>Frais de scolarité et autres charges</t>
  </si>
  <si>
    <t>Pas de charge ponctuelle de sécurité informatique</t>
  </si>
  <si>
    <t>Var B2016 vs</t>
  </si>
  <si>
    <t>R2014</t>
  </si>
  <si>
    <t>F2015</t>
  </si>
  <si>
    <t>B2016</t>
  </si>
  <si>
    <t>R2014 ($)</t>
  </si>
  <si>
    <t>R2014 (%)</t>
  </si>
  <si>
    <t>F2015 ($)</t>
  </si>
  <si>
    <t>F2015 (%)</t>
  </si>
  <si>
    <t>Explications:</t>
  </si>
  <si>
    <t>Variation augmentations annuelles</t>
  </si>
  <si>
    <t>Variation 2016 vs 2015 de 25.7</t>
  </si>
  <si>
    <t>L'augmentation de 25.7K$ s'explique par l'augmentation annuelle des salaires de l'odre de 2 à 2.5% selon les catégorie d'employés, par l'ajout d'en employé temps partiel (Analiste des reporting, pour 19K$) ainsi que par divers ajustements salariaux mineurs.</t>
  </si>
  <si>
    <t>Variation 2016 vs 2015 de 23.8</t>
  </si>
  <si>
    <t>La variation de 23.8K s'explique par une augmentation salariale annuelle de l'ordre de 2% à 2.5% selon les catégorie d'employés, au retour d'une personne en congé maladie long terme, qui avait été partiellement remplacée en 2015, ainsi qu'.à divers ajustements salariux mineurs. Ces augmentations étants partiellement compensées par l'économie en pleine année (versus 10 mois en 2015) du poste  de directrice adjointe au service à la clientèle non comblé.</t>
  </si>
  <si>
    <t>Variation 2016 vs 2015 de 4.4</t>
  </si>
  <si>
    <t>--</t>
  </si>
  <si>
    <t>Variation 2016 vs 2015 de 8.9</t>
  </si>
  <si>
    <t>vs Réel 2014</t>
  </si>
  <si>
    <t>vs 2015 (3+9)</t>
  </si>
  <si>
    <t>4 = 2-1</t>
  </si>
  <si>
    <t>4 =2-1</t>
  </si>
  <si>
    <t>Prévision 2015 vs Réel 2014</t>
  </si>
  <si>
    <t xml:space="preserve">Cause 2016 vs Prévision 2015 </t>
  </si>
  <si>
    <t>Var F2015 vs</t>
  </si>
  <si>
    <t>Variation 2015 vs 2014 de 10</t>
  </si>
  <si>
    <t>La variation annuelle s'explique par l'augmentation annuelle des salaires de l'odre de 2 à 2.5% selon les catégorie d'employés ainsi que par un poste temporairement vacant en 2014.</t>
  </si>
  <si>
    <t>Variation 2016 vs 2014 de -7.3</t>
  </si>
  <si>
    <t>La variation de -7.3K s'explique par les augmentations salariales annuelles de l'ordre de 2% à 2.5% selon les catégories d'employé, par des postes laissés temporairement vacants en 2014, ces deux augmentations étant compensées (et même plus que compensées) par un poste laissé vacant en 2015.</t>
  </si>
  <si>
    <t>La variation de la charge salariale s'explique par les augmentations salariales annuelles variant de 2% à 2.5% par an, selon les catégories d'employés , par une augmentation de la charge 2015 due à des postes laissés temporairement vacants en 2014, ces deux augmentations étant presqu'entièrement compensées par un poste laissé vacant en 2015.</t>
  </si>
  <si>
    <t>Variation 2016 vs 2014 de 5.6</t>
  </si>
  <si>
    <t>Variation 2016 vs 2014 de -0.3</t>
  </si>
  <si>
    <t>La variation annuelle s'explique par l'augmentation annuelle des salaires de l'odre de 2 à 2.5% selon les catégorie d'employés, compensée par un partiellemet et temporairement accru en 2014 pour effecturer un projet spécial.</t>
  </si>
  <si>
    <t>La variation de la charge salariale s'explique par les augmentations salariales annuelles variant de 2% à 2.5% par an, selon les catégories d'employés , par une augmentation de la charge 2016 due à des postes laissés temporairement vacants en 2015, par un l'ajout d'un nouveau poste à temps partiel (19K - pour combler les besoins grandissant au niveau des demandes de reportings et d'analyses liés au Service à la clientèle), ces augmentations étant partiellement compensées par un poste laissé vacant.</t>
  </si>
  <si>
    <t>La variation annuelle s'explique par l'augmentation annuelle des salaires de l'odre de 2 à 2.5% selon les catégorie d'employés, ainsi que par un poste laissé temporairement vacant en 2015.</t>
  </si>
  <si>
    <t>ANALYSE DES ÉCARTS - SERVICE À LA CLIENTÈLE</t>
  </si>
  <si>
    <t xml:space="preserve">La variation s'explique principalement par une augmentation des frais de couriers (9K) due à l'augmentation estimée du coût des timbres ainsi qu'aux additions clients nettes du nombre d'adhésions-clients à notre service de facture en ligne. 
Le solde de la variation s'explique par une augmentation des autres coûts tels que le papier pour les factures émises, les avis de rappel et les avis finaux envoyés sous pli séparés de la facture, les enveloppes, les frais de notre sous-traitant concernant la vérification de compteurs au besoin, le tout considérant la croissance de la clientèle ainsi que l'inflation (4.5%). </t>
  </si>
  <si>
    <t>Explications</t>
  </si>
  <si>
    <t>L'augmentation de 25.7K$ s'explique par l'augmentation annuelle des salaires de l'odre de 2 à 2.5% selon les catégorie d'employés ainsi que par l'ajout d'un employé temps partiel (Analiste des reportings).</t>
  </si>
  <si>
    <t>La variation des autres charges s'explique principalement par un déplacement 2015 non récurrent suite à la gestion des changements (projet Wams).</t>
  </si>
  <si>
    <t>Variations B2016/R2014/F2015</t>
  </si>
  <si>
    <t>(voir onglet "Analyse salaires")</t>
  </si>
  <si>
    <t>Variation 2015 vs 2014 de -0.3</t>
  </si>
  <si>
    <t>La variation annuelle s'explique par l'augmentation annuelle des salaires de l'odre de 2 à 2.5% selon les catégorie d'employés, compensée par un poste partiellement et temporairement accru en 2014 pour effectuer un projet spécial.</t>
  </si>
  <si>
    <t>Variation 2015 vs 2014 de 4.3</t>
  </si>
  <si>
    <t>La variation s'explique principalement par une participation d'employés au programme de remboursement d'études supérieures en 2015.</t>
  </si>
  <si>
    <t>Variation 2016 vs 2015 de -1.2</t>
  </si>
  <si>
    <t>La variation s'explique principalement par unediminution de la participation d'employés au programme de remboursement d'études supérieures en 2016.</t>
  </si>
  <si>
    <t>Explication</t>
  </si>
  <si>
    <t>Réel 2014</t>
  </si>
  <si>
    <t>vs Cause 2016</t>
  </si>
  <si>
    <t>(voir onglet "Analyse de variation"</t>
  </si>
  <si>
    <t>Augmentation annuelle liée à la croissance de la clientèle.</t>
  </si>
  <si>
    <t>Variation 2015 vs 2014 de -7.3K$</t>
  </si>
  <si>
    <t>Variation 2016 vs 2015 de 23.8K$</t>
  </si>
  <si>
    <t xml:space="preserve">La variation de 23.8K s'explique principalement par l'augmentation salariale annuelle de l'ordre de 2% à 2.5% selon les catégories d'employés ainsi que par un poste temporairement vacant en 2015 mais comblé en 2016. </t>
  </si>
  <si>
    <t>Variation 2015 vs 2014 de 19.4</t>
  </si>
  <si>
    <t>(voir onglet "Autres analyses et charges")</t>
  </si>
  <si>
    <t>La variation s'explique principalement par une augmentation des frais de couriers (18K) due à l'augmentation estimée du coût des timbres ainsi qu'aux additions clients nettes du nombre d'adhésions-clients à notre service de facture en ligne. 
Le solde de la variation s'explique par une augmentation des autres coûts tels que le papier pour les factures émises, les avis de rappel et les avis finaux envoyés sous pli séparés de la facture, les enveloppes, les frais de notre sous-traitant concernant la vérification de compteurs au besoin, le tout considérant la croissance de la clientèle ainsi que l'inflation (4.3%). Enfin une légère augmentation des employés adhérant au programme de remboursement d'études supérieures explique également une portion de cette augmentation.</t>
  </si>
  <si>
    <t>--: augmentations salariales annuelles</t>
  </si>
  <si>
    <t>Ecarts principaux 2015/2014 - voir onglet VIOLET</t>
  </si>
  <si>
    <t xml:space="preserve">Lakeside redunluck increase in rate per contract  and in units </t>
  </si>
  <si>
    <t>I AM PLANNING AN INCREASE IN POSTAGE BUT WILL COMPENSATE WILL REVENUE</t>
  </si>
  <si>
    <t>CREDIT CONFERENCE 2016 QUEBEC</t>
  </si>
  <si>
    <t>Revenus moindre  en 2015</t>
  </si>
  <si>
    <t>Stretch imposé en 2015</t>
  </si>
  <si>
    <t>à comparer au 11.6, ÉCART 1K</t>
  </si>
  <si>
    <t>augmentation des dépenses (fournitures, sous-contractant et courrier)</t>
  </si>
  <si>
    <t>inflation à 2.1%</t>
  </si>
  <si>
    <t>augmentation frais de déplacement ponctuel</t>
  </si>
  <si>
    <t>augmentation des frais de déplacements</t>
  </si>
  <si>
    <t>autres augmentations</t>
  </si>
  <si>
    <t>effet volumes sur redunlocks, redlocks, 48 hres (5%)</t>
  </si>
  <si>
    <t>strectch imposé</t>
  </si>
  <si>
    <t>baisse de revenus en 2015</t>
  </si>
  <si>
    <t>Ecarts principaux 2016/2015 - voir onglet bleu</t>
  </si>
  <si>
    <t>Synthèse pages ci-après</t>
  </si>
  <si>
    <t>effet volumes (+20 u) = .7K (2.2%) et effet prix (+.77$) =.7K (2.2%)</t>
  </si>
  <si>
    <t>Les autres charges (fermeture et de réouverture des compteurs, frais de courrier (envois des avis)) sont influencés directement par la croissance de la clientèle et par l'inflation. Elles sont partiellement compensées par une hausse des refacturations de ces frais aux clients.</t>
  </si>
  <si>
    <t>Office and technology services</t>
  </si>
  <si>
    <t>Postage: effet volumes (+3192 u) = 2.3K (2.2%) et effet prix (+.05$) =2.7K (2.2%)</t>
  </si>
  <si>
    <t>on doit fermer les compteurs:
effet volumes: plus de redlocks +1.6K
aug agence de collection: 1.2K</t>
  </si>
  <si>
    <t>Conférence bi-annuelle en 2015 versus pas cette conférence en 2016</t>
  </si>
  <si>
    <t>Revenus: Effet volumes sur avis et 48 hres (les tarifs sont idem entre 2015 et 2016)</t>
  </si>
  <si>
    <t>à comparer au 4.9K ci-dessus</t>
  </si>
  <si>
    <t>Nombre moyen de clients:</t>
  </si>
  <si>
    <t>Inflation</t>
  </si>
  <si>
    <t>Tx var total</t>
  </si>
  <si>
    <t>Nbre</t>
  </si>
  <si>
    <t>var</t>
  </si>
  <si>
    <t>var %</t>
  </si>
  <si>
    <t>C2016</t>
  </si>
  <si>
    <t>Ecarts principaux 2016/2014 - voir onglet orange</t>
  </si>
  <si>
    <t>Selon une tendance historique, on prévoit une hausse des créances difficiles résultant en une hausse des frais de fermeture et de réouverture des compteurs et une hausse des frais de courrier (envois des avis), partiellement compensées par une hausse des refacturation de ces frais aux clients.</t>
  </si>
  <si>
    <t xml:space="preserve"> à comparer au 16.5K ci à-côté</t>
  </si>
  <si>
    <t>Cette tendance hitorique ayant eu un imapct plus important en 2015 qu'en 2016…</t>
  </si>
  <si>
    <t>hausse annuelle</t>
  </si>
  <si>
    <t>hausse 2 ans</t>
  </si>
  <si>
    <t>Supervision / Répartition</t>
  </si>
  <si>
    <t>Explications 2015 vs 2014:</t>
  </si>
  <si>
    <t>RAS</t>
  </si>
  <si>
    <t>N/S</t>
  </si>
  <si>
    <t>Les autres charges (fermeture et de réouverture des compteurs, frais de courrier (envois des avis)) sont influencés directement par la croissance de la clientèle et par l'inflation. Elles sont partiellement compensées par une hausse des refacturations de ces frais aux clients.
De plus, les hivers rigoureux 2014 et 2015 génèrent une hausse des créances en retard et par conséquent une certaine hausse de frais correspondants en 2015, par exemple, de frais d'agence de recouvrement. 
On note également une hausse des frais de déplacement et de congrès de l'ordre de 1.5K$ en 2015, dépense qui survient tous les 2 ans en relation avec la fréquence du congrès de l'institut canadien du crédit.</t>
  </si>
  <si>
    <t>Explications 2016 vs 2015:</t>
  </si>
  <si>
    <t>La variation s'explique principalement par une diminution de la participation d'employés au programme de remboursement d'études supérieures en 2016.</t>
  </si>
  <si>
    <t>(1)     25442</t>
  </si>
  <si>
    <t>(1)     25449</t>
  </si>
  <si>
    <t>(2)     25444</t>
  </si>
  <si>
    <t>(3)     25446</t>
  </si>
  <si>
    <t>(4)     25448</t>
  </si>
  <si>
    <t>(5)     25442</t>
  </si>
  <si>
    <t>(5)     25449</t>
  </si>
  <si>
    <t>(6)     25444</t>
  </si>
  <si>
    <t>(7)     25446</t>
  </si>
  <si>
    <t>(8)     25448</t>
  </si>
  <si>
    <t>Déterminons la portion sujette à la variation tx d'inflation + tx de croissance:</t>
  </si>
  <si>
    <t>25446 Facturations des clients</t>
  </si>
  <si>
    <t>Dépenses</t>
  </si>
  <si>
    <t>Off materials + supplies</t>
  </si>
  <si>
    <t>Outside contract labour</t>
  </si>
  <si>
    <t>Postage / courrier</t>
  </si>
  <si>
    <t>Equipment rent + leases</t>
  </si>
  <si>
    <t>25448 Crédit et recouvrement</t>
  </si>
  <si>
    <t>Other outside services</t>
  </si>
  <si>
    <t>Other equipment - mat</t>
  </si>
  <si>
    <t>variation 2015</t>
  </si>
  <si>
    <t>Var 2016</t>
  </si>
  <si>
    <t>Variation des charges directement influencées par la croissance de la clientèle et l'inflation (coût du papier pour factures émises et les avis de rappel, enveloppes, frais de sous-traitant pour les vérification de compteurs, pour les fermetures et réouverture de compteurs).</t>
  </si>
  <si>
    <t>Tx de croissance et inflation</t>
  </si>
  <si>
    <t>Augmentation des frais de courrier dû notamment à l'augmentation estimée des frais de timbres</t>
  </si>
  <si>
    <t>variation</t>
  </si>
  <si>
    <t xml:space="preserve">Dans les autres variations, notons la baisse apparente de frais de déplacement et de congrès: cette dépense survenant tous les deux ans en lien avec la fréquence du congrès de l'Institut canadien du crédit (dernier congrès en 2015) et une baisse des frais de participation au programme de remboursement d'études supérieures. </t>
  </si>
  <si>
    <t xml:space="preserve"> et un départ suite à un congé de maternité (6 mois).</t>
  </si>
  <si>
    <t>Frais de déplacement suite aux nouveaux projets (Wams, Click mobile, Technologia)</t>
  </si>
  <si>
    <t>Nouvelle Licence Oracle quad quore et frais de soutien et services</t>
  </si>
  <si>
    <t xml:space="preserve">Nouveau contrat de soutien &amp; services suite aux nouvelles fonctionnalités IVR Stack8, </t>
  </si>
  <si>
    <t>Dashboard.  Travaux sur Technologia et modem Click mobile</t>
  </si>
  <si>
    <t>Audit de sécurité informatique de UCIR (outils de partage de données informatique) et</t>
  </si>
  <si>
    <t>EGD support pour les modifications/configurations sur les serveurs.</t>
  </si>
  <si>
    <t>Nouvelle refacturation des coûts d'EI vs EGD</t>
  </si>
  <si>
    <r>
      <t xml:space="preserve">Nouveaux logiciels que l'on ne payaient pas avant avec EGD </t>
    </r>
    <r>
      <rPr>
        <sz val="8"/>
        <rFont val="Calibri"/>
        <family val="2"/>
        <scheme val="minor"/>
      </rPr>
      <t>(Enmar,Datapak,Leak survey…)</t>
    </r>
  </si>
  <si>
    <t>Frais Click mobile (configuration, services généraux)</t>
  </si>
  <si>
    <t>Améliorations, modifications des fonctionnalités, mise à jour des serveurs</t>
  </si>
  <si>
    <t>Upgrade système téléphonique (vitesse), modifications/améliorations des serveurs</t>
  </si>
  <si>
    <t>Soutien annuel de Wams versus Envision</t>
  </si>
  <si>
    <t xml:space="preserve">        - Retraite</t>
  </si>
  <si>
    <t>A</t>
  </si>
  <si>
    <t>La dynamique du service a évolué depuis 2009 (moment où le service est passé à 3 personnes): la veille réglementaire doit être accrue, les demandes croissent en complexité, la demande de reporting Groupe s'est également accrue.  On prévoit également une hausse des dossiers à traiter: à court terme, renouvellement de mécanisme 2017, 2 projets d'investissement &gt;450K$ en 2016</t>
  </si>
  <si>
    <t>Ajout d'un poste d'analyste sénior et augmentation salariale annuelle.</t>
  </si>
  <si>
    <t>-&gt; on ne peut pas parler du Groupe, c'est supposé être marginal puisque seulement 1% de notre activité va au NR selon étude BDR.</t>
  </si>
  <si>
    <t>La variation des autres charges hors comptes différés s'expliquent par 2 éléments;</t>
  </si>
  <si>
    <t xml:space="preserve">La variation de la charge salariale s'explique par l'augmentation annuelle des salaires ainsi que par l'ajout d'un poste d'analyste sénior. </t>
  </si>
  <si>
    <t>La variation de la charge salariale s'explique par les augmentations annuelles variant de 2% à 2.5% par an, selon les catégories d'employés, ainsi que par 2 postes de supervision laissés temporairement vacants en 2014.</t>
  </si>
  <si>
    <t>Administration des ventes</t>
  </si>
  <si>
    <t>Augmentation de frais professionnels liés à la traduction française: charges d'exploitation encourrues pour respecter notre programme de francisation, augmentation par rapport à 2014.</t>
  </si>
  <si>
    <t>Augmentation de frais professionnels liés à la modification de notre site web, notamment pour prendre une part plus importante dans les médias sociaux ainsi que modification du graphisme du site.</t>
  </si>
  <si>
    <t>Augmentation des coûts de matériel publicitaire et d'impression.  Par exemple, les encarts de grille de tarifs joints à nos factures se sont étoffés pour y inclure des explication concernant le marché carbone en 2015.</t>
  </si>
  <si>
    <t>Inflation et variations d'autres dépenses ponctuelles</t>
  </si>
  <si>
    <t>La variation de la charge salariale s'explique par les augmentations annuelles variant de 2% à 2.5% par an, selon les catégories d'employés, ainsi que par l'ajout d'un poste d'agent de communication. Ce nouveau poste, en plus de venir en soutien à l'employée présentement en fonction, aura comme tâche de développer l'animation des communautés virtuelles pour le compte de Gazifère (réseaux sociaux) en favorisant l'interaction et l'échange avec les internautes, ainsi que la tâche de développer les communications corporatives.</t>
  </si>
  <si>
    <t>Marketing (radio media + Adverting&amp;Public Relation)</t>
  </si>
  <si>
    <t>Donations &amp; Sponsorships</t>
  </si>
  <si>
    <t>Augmentation du budget commandites</t>
  </si>
  <si>
    <t>Réel 2011</t>
  </si>
  <si>
    <t>Réel 2012</t>
  </si>
  <si>
    <t>Réel 2013</t>
  </si>
  <si>
    <t>Commandites</t>
  </si>
  <si>
    <t>Variation 1 an</t>
  </si>
  <si>
    <t>Variation 2 ans</t>
  </si>
  <si>
    <t>Promotion et relations publiques</t>
  </si>
  <si>
    <t>Total</t>
  </si>
  <si>
    <t>Amortissements des programmes commerciaux</t>
  </si>
  <si>
    <t>Inflation et autres dépenses ponctuelles</t>
  </si>
  <si>
    <t>Variation des budgets de frais de déplacement afin de développer de nouveaux projets, de nouveaux partenariats et les connaissances de l'équipe afin d'assurer une meilleure position concurrentielle.</t>
  </si>
  <si>
    <t>Augmentation du budget de promotion suite à la volonté de promouvoir la conversion d'appareils et le développement de notre marché.</t>
  </si>
  <si>
    <t>La variation de la charge salariale s'explique par les augmentations annuelles variant de 2% à 2.5% par an, selon les catégories d'employés, par une économie de salaires en 2014 suite à un poste de direction laissé vacant (8 mois), ainsi qu'à un congé maternité non remplacé.</t>
  </si>
  <si>
    <t>Les variations s'expliquent comme suit:</t>
  </si>
  <si>
    <t>Autres variations et inflation</t>
  </si>
  <si>
    <t>Amélioration et modernisation du système téléphonique (vitesse) et des serveurs dédiés</t>
  </si>
  <si>
    <t>Ainsi, les autres charges informatiques  sont constituées de frais de licences non immobilisables, de frais de soutien (contractuels ou internes), de frais de configuration, amélioration ou mise à jour des outils informatiques utilisés par l'ensemble des acteurs de Gazifère ayant un lien direct avec la clientèle, que ces acteurs se situent au niveau des services des Opérations (entretien, détection des fuites,...), des services à la clientèle (ventes secteur commercial, ventes secteur résidentiel, facturation...), pour ne nommer que ceux-ci. Les frais informatiques qui ne sont pas directement liés à la clientèle, apparaissent dans les services respectifs. Par exemple, les frais de soutien pour le logiciel comptable apparaissent dans le service Administration, qui comporte la fonction comptable.</t>
  </si>
  <si>
    <t>Ces frais sont encourrus dans l'objectif de suivi des améliorations technologiques, d'amélioration aux installations en place ou encore, de mise à niveau et conformité avec les outils développés ou configurés par Enbridge Gas Distribution ou Enbridge inc.</t>
  </si>
  <si>
    <t>A cet effet, nous pouvons mentionner que la division Gas Distribution d'Enbridge travaille à la mise en place d'un nouveau système de gestion des travaux et des actifs.  En effet, le projet WAMS (Work Assets Management Solution) met en place la solution Maximo (IBM) en remplacement de la suite STORMS (d'EnVision), toujours en place.  EnVision ayant plus de 11 ans et ne rencontrant plus nos besoins d'utilisation actuels et futurs.</t>
  </si>
  <si>
    <t>Les services informatiques dont il est question ici sont en relation avec le soutien à un système majeur pour Gazifère, qu'est CIS, notre système d'information clients, comportant la facturation, ainsi qu'aux frais de soutien pour les applications ayant un lien direct avec la clientèle.</t>
  </si>
  <si>
    <t>Suite à l'acquisition de nouveaux serveurs Oracle utiles à l'application CIS (serveurs de base de données Oracle pour notre système de facturation aux clients) en 2013 et 2014 (les serveurs avaient 5 ans), nous avons du faire l'acquisition de licences Oracles additionnelles pour CPU Intel quatre-coeurs (Oracle quad-core).</t>
  </si>
  <si>
    <t>Taux de variation total</t>
  </si>
  <si>
    <t>La seconde est la promotion de quelques individus dans le domaine de la maintenance.</t>
  </si>
  <si>
    <t xml:space="preserve">La troisième est l'ajout de deux postes découlant d'un effort accru associé à la sécurité ainsi qu'au respect               </t>
  </si>
  <si>
    <t xml:space="preserve">partiront à la retraite au cours des prochaines années.      </t>
  </si>
  <si>
    <t>que par le passé nécessitera une augmentation des inspections, pour 10 000 $. Un montant additionnel de</t>
  </si>
  <si>
    <t>mis en place chez la clientèle actuelle et nouvelle. La fin de vie utile d'un parc d'équipements plus important</t>
  </si>
  <si>
    <t>qui demanderont un effort accru. D'une part, il est prévu une augmentation des inspections des équipements</t>
  </si>
  <si>
    <t>emergency response). Cet ajout découle principalement d'une augmentation des besoins de vérification</t>
  </si>
  <si>
    <t>26 000 $ proviendra quant à lui du processus de réponse d'urgence chez la clientèle (house heating</t>
  </si>
  <si>
    <t>Prévision 2016 vs prévision  2015</t>
  </si>
  <si>
    <t xml:space="preserve">laissé vacant par la mise en place du superviseur sera remplacé à compter de janvier 2016. Ce poste ne </t>
  </si>
  <si>
    <t xml:space="preserve">représente pas seulement un remplacement dans les fonctions passées. En effet, il représente plutôt une nouvelle </t>
  </si>
  <si>
    <t xml:space="preserve">fonction reliée à l'accroissement des travaux et à la réalisation des objectifs plus ambitieux au niveau de la qualité </t>
  </si>
  <si>
    <t>Découle de la réduction des charges sociales capitalisées.</t>
  </si>
  <si>
    <t>ainsi que par l'augmentation des autres charges sociales, le tout pour 177 000 $.</t>
  </si>
  <si>
    <t>Variation diverses de plusieurs petits postes de dépenses, tant à la hausse qu'à la baisse.</t>
  </si>
  <si>
    <t>La variation majeure provient de la hausse du loyer du siège social de Gazifère, pour 49 300 $.</t>
  </si>
  <si>
    <t>Variation des charges d'assurances (automobile, administrateurs et dirigeants, assurances</t>
  </si>
  <si>
    <t>responsabilité, siège social)</t>
  </si>
  <si>
    <t>Augmentation des budgets de promotion et commandites de manière à revenir à un budget similaire au budget 2012.  En effet, des coupures internes ont été portées à ces dépenses entre 2012 et 2014. Le tableau ci-dessous récapitule les variations (dollars courants).</t>
  </si>
  <si>
    <t>A noter qu'en considérant une inflation moyenne de 2% l'an, la dépense 2012 atteindrait 261 000$ en2016.</t>
  </si>
  <si>
    <t>Augmentation des frais de courrier dû notamment à l'augmentation estimée des frais de timbres.</t>
  </si>
  <si>
    <t xml:space="preserve">La croissance des salaires au service des opérations s'explique principalement par trois composantes.   </t>
  </si>
  <si>
    <t>Variation de la refacturation des frais informatiques groupe (le mode d'allocation n'ayant pas évolué, mais les coûts à partager ayant évolué): augmentation concernant le soutien aux infrastructures (95 000$), augmentation concernant les frais de certains logiciels des opérations (leaksurvey, eqat...) (34 000$), compensées partiellement par une diminution des frais relatifs à un outil de partage des données (UCIR), la version étant stabilisée (-39 000$).</t>
  </si>
  <si>
    <t>Amélioration des fonctions IVR (Interactive Voice Response), notre système de menu téléphonique , avec augmentation des frais de soutien. Par la même occasion le tableau de bord (Dashboard, gestion des appels) sera également amélioré.</t>
  </si>
  <si>
    <t>AUTRES</t>
  </si>
  <si>
    <t>Moins: portion transférée aux ANR :</t>
  </si>
  <si>
    <t>Administration</t>
  </si>
  <si>
    <t>Autres</t>
  </si>
  <si>
    <t>ANR</t>
  </si>
  <si>
    <t>Montant de base à allouer</t>
  </si>
  <si>
    <t>Ratio à allouer aux ANR</t>
  </si>
  <si>
    <t>Frais de gestion alloués aux ANR</t>
  </si>
  <si>
    <t>CALCUL DES ACTIVITÉS NON RÉGLEMENTÉES AUX SERVICES ENTRE COMPAGNIES AFFILIÉES</t>
  </si>
  <si>
    <t>Document 8.2</t>
  </si>
  <si>
    <r>
      <t xml:space="preserve">Frais de gestion total inclut aux différentes charges d'exploitation  </t>
    </r>
    <r>
      <rPr>
        <b/>
        <sz val="9"/>
        <rFont val="Calibri"/>
        <family val="2"/>
        <scheme val="minor"/>
      </rPr>
      <t>(1)</t>
    </r>
  </si>
  <si>
    <t>Moins : 1/3 des frais entre compagnies affiliées de nature</t>
  </si>
  <si>
    <r>
      <t xml:space="preserve">administrative hors frais relatif au système d'information financière  </t>
    </r>
    <r>
      <rPr>
        <b/>
        <sz val="9"/>
        <rFont val="Calibri"/>
        <family val="2"/>
        <scheme val="minor"/>
      </rPr>
      <t>(2)</t>
    </r>
  </si>
  <si>
    <r>
      <t xml:space="preserve">Plus:  1/3 des frais (E.I. moins EFS support)  </t>
    </r>
    <r>
      <rPr>
        <b/>
        <sz val="9"/>
        <rFont val="Calibri"/>
        <family val="2"/>
        <scheme val="minor"/>
      </rPr>
      <t>(2)</t>
    </r>
  </si>
  <si>
    <t>(somme des lignes 1 à 6 plus $13.2, soit  $4 572.5 multiplié par 10,2% moins $13.2)</t>
  </si>
  <si>
    <t>(4+8)</t>
  </si>
  <si>
    <t>2015 (4+8)</t>
  </si>
  <si>
    <t>(1) Voir GI-28, document 5.1, page 1 de 1, ligne 1.</t>
  </si>
  <si>
    <t>(2) Voir GI-28, document 5.1, page 1 de 1, ligne 2.</t>
  </si>
  <si>
    <t>(3) Voir GI-28, document 5.1, page 1 de 1, ligne 3.</t>
  </si>
  <si>
    <t>(4) Voir GI-28, document 5.1, page 1 de 1, ligne 4.</t>
  </si>
  <si>
    <t>(6) Correspond à 10,2% des frais d'administration totaux (somme des lignes 1 à 6 multiplié par 10,2%).</t>
  </si>
  <si>
    <t>(5) Correspond à 10,2% des frais d'administration totaux plus un montant de $13.2 de Pension affecté aux ANR,</t>
  </si>
  <si>
    <t>(1) Voir GI-28, document 7.1, page 1 de 1, ligne 1.</t>
  </si>
  <si>
    <t>(2) Voir GI-28, document 7.1, page 1 de 1, ligne 2.</t>
  </si>
  <si>
    <t>(3) Voir GI-28, document 7.1, page 1 de 1, ligne 3.</t>
  </si>
  <si>
    <t>(1) Voir GI-28, document 8, page 1 de 1, ligne 4.</t>
  </si>
  <si>
    <t>Taux de croissance annuel moyen</t>
  </si>
  <si>
    <t>(4) Correspond à 10,2% des frais informatiques totaux moins un montant de $46.4 de charges de salaires directement affectées aux activités non réglementées, (somme des lignes 1 à 3 moins $46.4, soit  $673.8 multiplié par 10,2%). Ces charges de salaires correspondent à un poste laissé temporairement vacant en 2014.</t>
  </si>
  <si>
    <t>(5) Correspond à 10,2% des frais informatiques totaux moins un montant de $144.6 de charges de salaires directement affectées aux activités non réglementées, (somme des lignes 1 à 3 moins $144.6, soit  $701.1 multiplié par 10,2%).</t>
  </si>
  <si>
    <t>(6) Correspond à 10,2% des frais informatiques totaux moins un montant de $147.2 de charges de salaires directement affectées aux activités non réglementées, (somme des lignes 1 à 3 moins $147.2, soit  $740.3 multiplié par 10,2%).</t>
  </si>
  <si>
    <t>L'élaboration de l'implantation et l'implantation elle-même nécessitent des investissements humain et matériel. Il peut s'agir de mise à niveau d'outil, de configuration ou encore de remplacement d'outil, par exemple. L'élaboration du projet WAMS, débutée en 2014, a ainsi intégré, à ce jour, la solution ClickMobile. ClickMobile est une plate-forme d'application mobile conçue pour connecter les travailleurs mobiles avec les systèmes de "back-end" entreprise (en français, les "systèmes dorsaux de traitement", par exemples: logiciel cartographiant les gazoducs, logiciel d'accès au positionnement satellite,...). ClickMobile a remplacé l'application EField.</t>
  </si>
  <si>
    <t>La majeure partie des frais de soutien est facturée à Gazifère par des sociétés affiliées et, à cet effet, est présentée en pièce GI-28 document 8 et document 8.1.</t>
  </si>
  <si>
    <t>Dont les variations des frais de nature informatique suivantes;</t>
  </si>
  <si>
    <t>L'écart découle principalement d'une réduction associée aux charges de pension.</t>
  </si>
  <si>
    <t>Application de la méthode d'allocation entre les activités réglementées et non réglementées.</t>
  </si>
  <si>
    <t>L'écart découle de l'application de la formule d'allocation de coût actuellement en place. Les charges</t>
  </si>
  <si>
    <t>L'élément prinicpal qui pousse les coûts à la hausse sont les bénéfices aux employés.</t>
  </si>
  <si>
    <t xml:space="preserve">Outre les effets de l'inflation, l'écart s'explique principalement par les éléments suivants : </t>
  </si>
  <si>
    <t>1- Un coût de 85 600 $ relié aux ressources humaines (non salarial, prime de relocalisation)</t>
  </si>
  <si>
    <t>4- Un crédit reçu de Gazifère en 2014 qui ne s'applique pas en 2015 pour 31 714 $.</t>
  </si>
  <si>
    <t xml:space="preserve">Fournier-Montclair) considéré désormais comme vital. </t>
  </si>
  <si>
    <t>Outre les effets de l'inflation, l'écart s'explique principalement par l'ajout d'un coût de 60 000 $ pour 2015</t>
  </si>
  <si>
    <t>pour un de nos entrepreneurs pour la surveillance d'un réseau de pipeline (Jacques Cartier-</t>
  </si>
  <si>
    <t xml:space="preserve">Outre les effets de l'inflation, la hausse provient principalement d'un recours accru à des services légaux </t>
  </si>
  <si>
    <t>concernant une poursuite (20 000 $) et une hausse importante de facturation pour certains services spécialisés</t>
  </si>
  <si>
    <t>dont l'hydro évacuation pour 44 000 $.</t>
  </si>
  <si>
    <t xml:space="preserve">et de la sécurité du travail de nos entrepreneurs. </t>
  </si>
  <si>
    <t>Outre l'effet de l'inflation, les coûts additionnels de 56 000 $ s'expliquent principalement par deux projets</t>
  </si>
  <si>
    <t xml:space="preserve">d'un plus grand nombre de résidences pour des raisons de sécurité des occupants. Ces tâches additionnelles </t>
  </si>
  <si>
    <t xml:space="preserve">Autres </t>
  </si>
  <si>
    <t>(4+8) 2015</t>
  </si>
  <si>
    <t>La variation de la charge salariale s'explique par les augmentations salariales annuelles variant de 2% à 2.5% par an, selon les catégories d'employés , par une augmentation de la charge 2016 due à des postes laissés temporairement vacants en 2015, par un l'ajout d'un nouveau poste à temps partiel (19 000$ - pour combler les besoins grandissant au niveau des demandes de rapports et d'analyses liés au Service à la clientèle), ces augmentations étant partiellement compensées par un poste laissé vacant.</t>
  </si>
  <si>
    <t>La variation des autres charges hors comptes différés provient principalement des frais professionnels non récurrents de 2015 (-190 000$) et de nouveaux frais non récurrents, également liés au renouvellement du mécanisme, de l'ordre de 192 000$.  Le solde de la variation s'explique par l'inflation ainsi que par d'autres variations mineures.</t>
  </si>
  <si>
    <t>Frais concernant la configuration et services liés à Clickmobile.</t>
  </si>
  <si>
    <t>Audit de sécurité informatique (procédure EGD),dépense ponctuelle.</t>
  </si>
  <si>
    <t>Autres variations et inflation.</t>
  </si>
  <si>
    <t>Variation due à l'audit de sécurité informatique, non récurrente.</t>
  </si>
  <si>
    <t>Frais de soutien annuels de WAMS (plus élevés que ceux de EnVision).</t>
  </si>
  <si>
    <t xml:space="preserve">La première est l'augmentation salariale qui a eu un impact de croissance de l'ordre de 2 à 2,5 % par année.     </t>
  </si>
  <si>
    <t>des normes, tels que la Régie du bâtiment du Québec, les relations avec la municipalité et par incidence, la</t>
  </si>
  <si>
    <t xml:space="preserve">croissance de la supervision des entrepreneurs de Gazifère. Ainsi, un poste de gestionnaire de chantier a été </t>
  </si>
  <si>
    <t>requis ainsi qu'un poste d'aviseur de sécurité et de formation. À noter que ce poste inclus également la formation</t>
  </si>
  <si>
    <t xml:space="preserve">technique interne désormais offerte en français, tel que requis par l'Office de la langue française, du coaching </t>
  </si>
  <si>
    <t>et du transfert de connaissance. Cela s'applique également dans une période de transition où plusieurs employés</t>
  </si>
  <si>
    <t xml:space="preserve">Les postes ont été mis en place en janvier 2015 et comblés à l'interne par des techniciens. Un de ces 2 postes de </t>
  </si>
  <si>
    <t>technicien a été comblé, l'autre a été laissé temporairement vacant.</t>
  </si>
  <si>
    <t>2- Des frais professionnels associés à la francisation de 20 000 $.</t>
  </si>
  <si>
    <t xml:space="preserve">3- Recours plus important aux contracteurs dû au poste d'un technicien laissé vacant. De plus, l'ampleur du </t>
  </si>
  <si>
    <t xml:space="preserve">travail effectué sur les compteurs a été beaucoup plus bas que la normale en 2014. 2015 présente un retour à la </t>
  </si>
  <si>
    <t>normale.</t>
  </si>
  <si>
    <t>La hausse de coût s'explique par l'inflation salariale, de l'ordre de 2 à 2.5 %. De plus, le poste de technicien</t>
  </si>
  <si>
    <t>sont effectuées par les entrepreneurs de Gazifère.</t>
  </si>
  <si>
    <t xml:space="preserve">Outre l'augmentation salariale de 2 à 2.5 % des salaires, la variation est expliquée par </t>
  </si>
  <si>
    <t xml:space="preserve">l'ajout d'un poste (partiellement en 2015) pour 66 000 $ ainsi qu'un règlement d'une </t>
  </si>
  <si>
    <t>situation de ressources humaines (225 000 $) limité à 2015.</t>
  </si>
  <si>
    <t xml:space="preserve">responsabilité, siège social) ainsi que la hausse du loyer du siège social pour 19 800 $, </t>
  </si>
  <si>
    <t>compensé par d'autres postes à la baisse.</t>
  </si>
  <si>
    <t xml:space="preserve">L'écart s'explique par une réduction de charges en relation avec les obligations reliées </t>
  </si>
  <si>
    <t xml:space="preserve">à la Régie du bâtiment du Québec et les négociations ayant mené à une entente avec la </t>
  </si>
  <si>
    <t>Ville de Gatineau.</t>
  </si>
  <si>
    <t xml:space="preserve"> que programmes santé pour les employés, inflations et autres pour 58 700 $.</t>
  </si>
  <si>
    <t>L'augmentation des salaires 2 à 2.5 % ainsi que la prise en charge de la portion restante de</t>
  </si>
  <si>
    <t>l'ajout du poste en 2015 représente les hausses de coûts. La baisse du coût s'explique par la</t>
  </si>
  <si>
    <t>ces charges, d'une part de 10,2 % allouée aux activités non réglementées pour la part restante.</t>
  </si>
  <si>
    <t>Diminution des coûts formations données par une société affiliée depuis l'arrivée d'un formateur francophone chez Gazifère en début d'année 2015, associée à une augmentation des frais de consultation pour les services de régulation et mesure (Services des Opérations).</t>
  </si>
  <si>
    <t>Dans les autres variations, notons une hausse apparente de frais de déplacement et de congrès: cette dépense survenant tous les deux ans en lien avec la fréquence du congrès de l'Institut canadien du crédit et d'une hausse des frais de participation au programme de remboursement d'études supérieures. Les hivers rigoureux 2014 et 2015 ont généré une hausse des créances en retard et par conséquent une certaine hausse de frais correspondant en 2015, par exemple, des frais d'agences de recouvrement.</t>
  </si>
  <si>
    <t>non récurrence du coût spécifique des ressources humaines en 2015.</t>
  </si>
  <si>
    <t>Inflation des honoraires professionnels.</t>
  </si>
  <si>
    <t>en partie par une hausse de la bonification aux employés (inflation salariale et nombre d'employés)</t>
  </si>
  <si>
    <t>Les frais non récurrents de relocalisation d'un employé en 2014 .</t>
  </si>
  <si>
    <t>Une augmentation des frais professionnels relatifs aux études non récurrentes liées au renouvellement du mécanisme.  Notons entres autres études: étude sur les taux d'amortissement, étude sur le taux d'allocation aux activités non réglementées, étude d'analyse des coûts EI et EGD, études sur les impacts du passage aux US GAAP, étude d'allocation des coûts et étude du leadlag.</t>
  </si>
  <si>
    <t xml:space="preserve">entre compagnies affiliées ont cru, le tout en lien avec l'application d'une désallocation de 33 % de </t>
  </si>
  <si>
    <t>FRAIS DE SERVICES ENTRE COMPAGNIES AFFILIÉES ALLOUÉS AUX ANR</t>
  </si>
  <si>
    <t>- 82 000 $ en 2014 associé à la bonification aux employés. D'autres charges sociales, tels</t>
  </si>
  <si>
    <t>Principalement expliqué par une réduction de 533 000 $ des  charges de pension ), compensée</t>
  </si>
  <si>
    <t>en partie par une hausse de 199 000 $ provenant de la bonification des employés (ajouts de</t>
  </si>
  <si>
    <t xml:space="preserve">postes et comblement de postes devenus vacants en 2014) ainsi qu'un impact non récurrent de </t>
  </si>
  <si>
    <t xml:space="preserve">Principalement expliqué par une réduction de 541 000 $ des charges de pension, compensée </t>
  </si>
  <si>
    <t>(2) Selon la décision D-2005-58.</t>
  </si>
  <si>
    <t>SOMMAIRE DES CHARGES D'EXPLOITATION - COMPARATIF 2005 vs 2016</t>
  </si>
  <si>
    <t>3 = 2-1</t>
  </si>
  <si>
    <t>vs Cause 2005</t>
  </si>
  <si>
    <t>Document 2.2</t>
  </si>
  <si>
    <t>Original: 2015-09-09</t>
  </si>
  <si>
    <t>Document 1.1</t>
  </si>
  <si>
    <t>(1) Voir GI-28, document 2.2, page 1 de 1, ligne 1.</t>
  </si>
  <si>
    <t>(7) Voir GI-28, document 2.2, page 1 de 1, ligne 10.</t>
  </si>
  <si>
    <t>(3) Voir GI-28, document 2, page 1 de 1, ligne 1, colonne 3.</t>
  </si>
  <si>
    <t>(4) Voir GI-28, document 2, page 1 de 1, ligne 10, colonne 3.</t>
  </si>
  <si>
    <t>Document 3.2</t>
  </si>
  <si>
    <t>(3) Voir GI-28, document 3, page 1 de 1, ligne 1, colonne 3.</t>
  </si>
  <si>
    <t>(4) Voir GI-28, document 3, page 1 de 1, ligne 6, colonne 3.</t>
  </si>
  <si>
    <t>Document 4.2</t>
  </si>
  <si>
    <t>(3) Voir GI-28, document 4, page 1 de 1, ligne 1, colonne 3.</t>
  </si>
  <si>
    <t>(4) Voir GI-28, document 4, page 1 de 1, ligne 6, colonne 3.</t>
  </si>
  <si>
    <t>Document 5.2</t>
  </si>
  <si>
    <t>(2) Correspond à 10,2% des frais d'administration totaux (somme des lignes 1 à 6 multiplié par 10,2%).</t>
  </si>
  <si>
    <t>(4) Voir GI-28, document 5, page 1 de 1, ligne 1, colonne 3.</t>
  </si>
  <si>
    <t>(5) Voir GI-28, document 5, page 1 de 1, ligne 8, colonne 3.</t>
  </si>
  <si>
    <t>Document 6.2</t>
  </si>
  <si>
    <t>Document 7.2</t>
  </si>
  <si>
    <t>Document 8.3</t>
  </si>
  <si>
    <t xml:space="preserve">        - MAPR</t>
  </si>
  <si>
    <t>(2) Disposition du solde du compte "Mécanisme d'ajustement pour pertes de revenu" autorisé</t>
  </si>
  <si>
    <t>par la décision D-2004-78.</t>
  </si>
  <si>
    <t>(4) Voir GI-28, document 6, page 1 de 1, ligne 1, colonne 3.</t>
  </si>
  <si>
    <t>(5) Voir GI-28, document 6, page 1 de 1, ligne 12, colonne 3.</t>
  </si>
  <si>
    <t>(1) Voir GI-28, document 7, page 1 de 1, ligne 1, colonne 3.</t>
  </si>
  <si>
    <t>(2) Voir GI-28, document 7, page 1 de 1, ligne 5, colonne 3.</t>
  </si>
  <si>
    <t>(2) Voir GI-28, document 3.2, page 1 de 1, ligne 1.</t>
  </si>
  <si>
    <t>(8) Voir GI-28, document 3.2, page 1 de 1, ligne 6.</t>
  </si>
  <si>
    <t>(3) Voir GI-28, document 4.2, page 1 de 1, ligne 1.</t>
  </si>
  <si>
    <t>(9) Voir GI-28, document 4.2, page 1 de 1, ligne 6.</t>
  </si>
  <si>
    <t>(4) Voir GI-28, document 5.2, page 1 de 1, ligne 1.</t>
  </si>
  <si>
    <t>(10) Voir GI-28, document 5.2, page 1 de 1, ligne 8.</t>
  </si>
  <si>
    <t>(5) Voir GI-28, document 7.2, page 1 de 1, ligne 1.</t>
  </si>
  <si>
    <t>(11) Voir GI-28, document 7.2, page 1 de 1, ligne 5.</t>
  </si>
  <si>
    <t>(6) Voir GI-28, document 6.2, page 1 de 1, ligne 1.</t>
  </si>
  <si>
    <r>
      <t xml:space="preserve">NON RÉGLEMENTÉES  </t>
    </r>
    <r>
      <rPr>
        <b/>
        <sz val="9"/>
        <rFont val="Calibri"/>
        <family val="2"/>
        <scheme val="minor"/>
      </rPr>
      <t xml:space="preserve"> </t>
    </r>
  </si>
  <si>
    <t>(3) Voir GI-28, document 8.2, page 1 de 1, ligne 7, colonne 3.</t>
  </si>
  <si>
    <t>(4) Voir GI-28, document 8, page 1 de 1, ligne 6. colonne 3.</t>
  </si>
  <si>
    <t>montant facturé par Enbridge Inc. de $117 267 tel qu'imposée par la décision D-2005-58.</t>
  </si>
  <si>
    <t xml:space="preserve">soit 1 615 600 multiplié par 10,2% tel que prévu dans la décision D-2000-48 plus la réduction du </t>
  </si>
  <si>
    <t>2005-2016</t>
  </si>
  <si>
    <t>(1) Voir Requête 3537-2004, D-2005-58, GI-4, document 1, page 1 de 1, ligne 14, colonne 2, révisé le 2005-05-11.</t>
  </si>
  <si>
    <t>(2) Voir Requête 3537-2004, D-2005-58, GI-4, document 9, page 1 de 1, ligne 3.</t>
  </si>
  <si>
    <t>(3) Voir GI-28, document 1, page 1 de 1, ligne 16, colonne 3.</t>
  </si>
  <si>
    <t>(4) Voir GI-26, document 3, page 3 de 3, ligne 47, colonne 3.</t>
  </si>
  <si>
    <t>Document 9.1</t>
  </si>
  <si>
    <t>ANALYSE DE L'ÉVOLUTION DES CHARGES D'EXPLOITATION PAR CLIENT - COMPARATIF 2005 vs 2016</t>
  </si>
  <si>
    <t>(13) Voir GI-28, document 8.3, page 1 de 1, ligne 6.</t>
  </si>
  <si>
    <t xml:space="preserve">(1) Correspond à 10,2% des coûts pour services entre compagnies affliées (ligne 4, colonne 1, </t>
  </si>
  <si>
    <t>(14) Voir la Requête 3537-2004, D-2005-58, GI-4, document 1, page 1 de 1, ligne 14, colonne 2,</t>
  </si>
  <si>
    <t>révisé le 11 mai 2005.</t>
  </si>
  <si>
    <t>(1) Voir la Requête 3537-2004, D-2005-58, GI-4, document 1, page 1 de 1, ligne 1, colonne 2,</t>
  </si>
  <si>
    <t>(2) Voir la Requête 3537-2004, D-2005-58, GI-4, document 1, page 1 de 1, ligne 7, colonne 2,</t>
  </si>
  <si>
    <t>(1) Voir la Requête 3537-2004, D-2005-58, GI-4, document 1, page 1 de 1, ligne 2, colonne 2,</t>
  </si>
  <si>
    <t>(2) Voir la Requête 3537-2004, D-2005-58, GI-4, document 1, page 1 de 1, ligne 8, colonne 2,</t>
  </si>
  <si>
    <t>(1) Voir la Requête 3537-2004, D-2005-58, GI-4, document 1, page 1 de 1, ligne 3, colonne 2,</t>
  </si>
  <si>
    <t>(2) Voir la Requête 3537-2004, D-2005-58, GI-4, document 1, page 1 de 1, ligne 9, colonne 2,</t>
  </si>
  <si>
    <t>(1) Voir la Requête 3537-2004, D-2005-58, GI-4, document 1, page 1 de 1, ligne 4, colonne 2,</t>
  </si>
  <si>
    <t>(3) Voir la Requête 3537-2004, D-2005-58, GI-4, document 1, page 1 de 1, ligne 10, colonne 2,</t>
  </si>
  <si>
    <t>(1) Voir la Requête 3537-2004, D-2005-58, GI-4, document 1, page 1 de 1, ligne 5, colonne 2,</t>
  </si>
  <si>
    <t>(3) Voir la Requête 3537-2004, D-2005-58, GI-4, document 1, page 1 de 1, ligne 11, colonne 2,</t>
  </si>
  <si>
    <t>(2) Voir la Requête 3537-2004, D-2005-58, GI-4, document 7, page 1 de 1, ligne 8, colonne 2,</t>
  </si>
  <si>
    <t>(12) Voir GI-28, document 6.2, page 1 de 1, ligne 13.</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</si>
</sst>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0.00_);[Red]\(&quot;$&quot;#,##0.00\)"/>
    <numFmt numFmtId="44" formatCode="_(&quot;$&quot;* #,##0.00_);_(&quot;$&quot;* \(#,##0.00\);_(&quot;$&quot;* &quot;-&quot;??_);_(@_)"/>
    <numFmt numFmtId="43" formatCode="_(* #,##0.00_);_(* \(#,##0.00\);_(* &quot;-&quot;??_);_(@_)"/>
    <numFmt numFmtId="164" formatCode="General_)"/>
    <numFmt numFmtId="165" formatCode="#,##0.0_);\(#,##0.0\)"/>
    <numFmt numFmtId="166" formatCode="#,##0.0_);[Red]\(#,##0.0\)"/>
    <numFmt numFmtId="167" formatCode="0.0%"/>
    <numFmt numFmtId="168" formatCode="0.0_);[Red]\(0.0\)"/>
    <numFmt numFmtId="169" formatCode="0.00_);[Red]\(0.00\)"/>
    <numFmt numFmtId="170" formatCode="#,##0.0"/>
    <numFmt numFmtId="171" formatCode="_-* #,##0.00_-;\-* #,##0.00_-;_-* &quot;-&quot;??_-;_-@_-"/>
    <numFmt numFmtId="172" formatCode="_ * #,##0.00_)\ _$_ ;_ * \(#,##0.00\)\ _$_ ;_ * &quot;-&quot;??_)\ _$_ ;_ @_ "/>
    <numFmt numFmtId="173" formatCode=";;;"/>
    <numFmt numFmtId="174" formatCode="#,##0.000_);[Red]\(#,##0.000\)"/>
    <numFmt numFmtId="175" formatCode="0.000"/>
    <numFmt numFmtId="176" formatCode="0.0"/>
    <numFmt numFmtId="177" formatCode="_(* #,##0.0_);_(* \(#,##0.0\);_(* &quot;-&quot;??_);_(@_)"/>
  </numFmts>
  <fonts count="8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Courier"/>
      <family val="3"/>
    </font>
    <font>
      <b/>
      <sz val="12"/>
      <name val="Arial"/>
      <family val="2"/>
    </font>
    <font>
      <b/>
      <sz val="12"/>
      <color indexed="8"/>
      <name val="Arial"/>
      <family val="2"/>
    </font>
    <font>
      <sz val="12"/>
      <name val="Arial"/>
      <family val="2"/>
    </font>
    <font>
      <sz val="10"/>
      <name val="Courier"/>
      <family val="3"/>
    </font>
    <font>
      <b/>
      <sz val="12"/>
      <color indexed="8"/>
      <name val="Calibri"/>
      <family val="2"/>
      <scheme val="minor"/>
    </font>
    <font>
      <sz val="12"/>
      <name val="Calibri"/>
      <family val="2"/>
      <scheme val="minor"/>
    </font>
    <font>
      <b/>
      <sz val="12"/>
      <name val="Calibri"/>
      <family val="2"/>
      <scheme val="minor"/>
    </font>
    <font>
      <sz val="8"/>
      <name val="Calibri"/>
      <family val="2"/>
      <scheme val="minor"/>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Geneva"/>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2"/>
      <color indexed="8"/>
      <name val="Calibri"/>
      <family val="2"/>
      <scheme val="minor"/>
    </font>
    <font>
      <b/>
      <sz val="9"/>
      <color indexed="81"/>
      <name val="Tahoma"/>
      <family val="2"/>
    </font>
    <font>
      <sz val="9"/>
      <color indexed="81"/>
      <name val="Tahoma"/>
      <family val="2"/>
    </font>
    <font>
      <sz val="10"/>
      <name val="Helvetica-Narrow"/>
      <family val="2"/>
    </font>
    <font>
      <sz val="10"/>
      <name val="Arial MT"/>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name val="Courier"/>
      <family val="3"/>
    </font>
    <font>
      <sz val="10"/>
      <name val="Calibri"/>
      <family val="2"/>
      <scheme val="minor"/>
    </font>
    <font>
      <sz val="9"/>
      <color rgb="FF0070C0"/>
      <name val="Calibri"/>
      <family val="2"/>
      <scheme val="minor"/>
    </font>
    <font>
      <sz val="12"/>
      <color rgb="FF0070C0"/>
      <name val="Calibri"/>
      <family val="2"/>
      <scheme val="minor"/>
    </font>
    <font>
      <sz val="8"/>
      <color rgb="FF0070C0"/>
      <name val="Calibri"/>
      <family val="2"/>
      <scheme val="minor"/>
    </font>
    <font>
      <b/>
      <sz val="10"/>
      <name val="Calibri"/>
      <family val="2"/>
      <scheme val="minor"/>
    </font>
    <font>
      <sz val="8"/>
      <name val="Arial"/>
      <family val="2"/>
    </font>
    <font>
      <sz val="9"/>
      <name val="Arial"/>
      <family val="2"/>
    </font>
    <font>
      <b/>
      <u/>
      <sz val="12"/>
      <name val="Calibri"/>
      <family val="2"/>
      <scheme val="minor"/>
    </font>
    <font>
      <sz val="11"/>
      <color theme="0"/>
      <name val="Calibri"/>
      <family val="2"/>
      <scheme val="minor"/>
    </font>
    <font>
      <sz val="10"/>
      <color theme="1"/>
      <name val="Calibri"/>
      <family val="2"/>
      <scheme val="minor"/>
    </font>
    <font>
      <sz val="11"/>
      <name val="Calibri"/>
      <family val="2"/>
      <scheme val="minor"/>
    </font>
    <font>
      <sz val="9"/>
      <name val="Calibri"/>
      <family val="2"/>
      <scheme val="minor"/>
    </font>
    <font>
      <b/>
      <u/>
      <sz val="10"/>
      <name val="Arial"/>
      <family val="2"/>
    </font>
    <font>
      <sz val="11"/>
      <name val="Arial"/>
      <family val="2"/>
    </font>
    <font>
      <sz val="12"/>
      <color theme="8" tint="-0.249977111117893"/>
      <name val="Calibri"/>
      <family val="2"/>
      <scheme val="minor"/>
    </font>
    <font>
      <i/>
      <sz val="12"/>
      <name val="Calibri"/>
      <family val="2"/>
      <scheme val="minor"/>
    </font>
    <font>
      <i/>
      <sz val="11"/>
      <name val="Calibri"/>
      <family val="2"/>
      <scheme val="minor"/>
    </font>
    <font>
      <sz val="12"/>
      <color rgb="FF222222"/>
      <name val="Arial"/>
      <family val="2"/>
    </font>
    <font>
      <sz val="12"/>
      <color rgb="FF333333"/>
      <name val="Arial"/>
      <family val="2"/>
    </font>
    <font>
      <b/>
      <sz val="12"/>
      <color rgb="FF333333"/>
      <name val="Arial"/>
      <family val="2"/>
    </font>
    <font>
      <u/>
      <sz val="12"/>
      <name val="Calibri"/>
      <family val="2"/>
      <scheme val="minor"/>
    </font>
    <font>
      <b/>
      <sz val="9"/>
      <name val="Calibri"/>
      <family val="2"/>
      <scheme val="minor"/>
    </font>
    <font>
      <b/>
      <sz val="12"/>
      <color rgb="FF0070C0"/>
      <name val="Calibri"/>
      <family val="2"/>
      <scheme val="minor"/>
    </font>
    <font>
      <sz val="8"/>
      <color rgb="FFFF0000"/>
      <name val="Calibri"/>
      <family val="2"/>
      <scheme val="minor"/>
    </font>
    <font>
      <sz val="12"/>
      <color rgb="FFFF0000"/>
      <name val="Calibri"/>
      <family val="2"/>
      <scheme val="minor"/>
    </font>
    <font>
      <sz val="10"/>
      <name val="Arial"/>
      <family val="2"/>
    </font>
    <font>
      <sz val="11"/>
      <color indexed="8"/>
      <name val="Calibri"/>
      <family val="2"/>
      <scheme val="minor"/>
    </font>
  </fonts>
  <fills count="36">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0" tint="-4.9989318521683403E-2"/>
        <bgColor indexed="64"/>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7" tint="0.39997558519241921"/>
        <bgColor indexed="64"/>
      </patternFill>
    </fill>
    <fill>
      <patternFill patternType="solid">
        <fgColor rgb="FF00B0F0"/>
        <bgColor indexed="64"/>
      </patternFill>
    </fill>
    <fill>
      <patternFill patternType="darkHorizontal">
        <fgColor rgb="FFFFC000"/>
        <bgColor rgb="FF00B0F0"/>
      </patternFill>
    </fill>
    <fill>
      <patternFill patternType="solid">
        <fgColor rgb="FFEBE600"/>
        <bgColor indexed="64"/>
      </patternFill>
    </fill>
  </fills>
  <borders count="39">
    <border>
      <left/>
      <right/>
      <top/>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medium">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s>
  <cellStyleXfs count="1046">
    <xf numFmtId="0" fontId="0" fillId="0" borderId="0"/>
    <xf numFmtId="164" fontId="19" fillId="0" borderId="0"/>
    <xf numFmtId="164" fontId="19" fillId="0" borderId="0"/>
    <xf numFmtId="164" fontId="19" fillId="0" borderId="0"/>
    <xf numFmtId="164" fontId="19" fillId="0" borderId="0"/>
    <xf numFmtId="164" fontId="23" fillId="0" borderId="0"/>
    <xf numFmtId="9" fontId="18" fillId="0" borderId="0" applyFont="0" applyFill="0" applyBorder="0" applyAlignment="0" applyProtection="0"/>
    <xf numFmtId="0" fontId="17" fillId="0" borderId="0"/>
    <xf numFmtId="9" fontId="17" fillId="0" borderId="0" applyFont="0" applyFill="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30" fillId="0" borderId="0" applyNumberFormat="0" applyFill="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2" fillId="21" borderId="6" applyNumberFormat="0" applyAlignment="0" applyProtection="0"/>
    <xf numFmtId="0" fontId="32" fillId="21" borderId="6" applyNumberFormat="0" applyAlignment="0" applyProtection="0"/>
    <xf numFmtId="0" fontId="32" fillId="21" borderId="6" applyNumberFormat="0" applyAlignment="0" applyProtection="0"/>
    <xf numFmtId="0" fontId="32" fillId="21" borderId="6" applyNumberFormat="0" applyAlignment="0" applyProtection="0"/>
    <xf numFmtId="0" fontId="32" fillId="21" borderId="6" applyNumberFormat="0" applyAlignment="0" applyProtection="0"/>
    <xf numFmtId="0" fontId="33" fillId="0" borderId="7" applyNumberFormat="0" applyFill="0" applyAlignment="0" applyProtection="0"/>
    <xf numFmtId="0" fontId="34" fillId="22" borderId="8" applyNumberFormat="0" applyAlignment="0" applyProtection="0"/>
    <xf numFmtId="0" fontId="34" fillId="22" borderId="8" applyNumberFormat="0" applyAlignment="0" applyProtection="0"/>
    <xf numFmtId="0" fontId="34" fillId="22" borderId="8" applyNumberFormat="0" applyAlignment="0" applyProtection="0"/>
    <xf numFmtId="0" fontId="34" fillId="22" borderId="8" applyNumberFormat="0" applyAlignment="0" applyProtection="0"/>
    <xf numFmtId="171" fontId="18" fillId="0" borderId="0" applyFont="0" applyFill="0" applyBorder="0" applyAlignment="0" applyProtection="0"/>
    <xf numFmtId="172" fontId="17" fillId="0" borderId="0" applyFont="0" applyFill="0" applyBorder="0" applyAlignment="0" applyProtection="0"/>
    <xf numFmtId="171" fontId="18" fillId="0" borderId="0" applyFont="0" applyFill="0" applyBorder="0" applyAlignment="0" applyProtection="0"/>
    <xf numFmtId="172" fontId="17" fillId="0" borderId="0" applyFont="0" applyFill="0" applyBorder="0" applyAlignment="0" applyProtection="0"/>
    <xf numFmtId="43" fontId="18" fillId="0" borderId="0" applyFont="0" applyFill="0" applyBorder="0" applyAlignment="0" applyProtection="0"/>
    <xf numFmtId="0" fontId="28" fillId="23" borderId="9" applyNumberFormat="0" applyFont="0" applyAlignment="0" applyProtection="0"/>
    <xf numFmtId="8" fontId="35" fillId="0" borderId="0" applyFont="0" applyFill="0" applyBorder="0" applyAlignment="0" applyProtection="0"/>
    <xf numFmtId="0" fontId="36" fillId="8" borderId="6" applyNumberFormat="0" applyAlignment="0" applyProtection="0"/>
    <xf numFmtId="0" fontId="18" fillId="0" borderId="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9" fillId="0" borderId="10" applyNumberFormat="0" applyFill="0" applyAlignment="0" applyProtection="0"/>
    <xf numFmtId="0" fontId="39" fillId="0" borderId="10" applyNumberFormat="0" applyFill="0" applyAlignment="0" applyProtection="0"/>
    <xf numFmtId="0" fontId="39" fillId="0" borderId="10" applyNumberFormat="0" applyFill="0" applyAlignment="0" applyProtection="0"/>
    <xf numFmtId="0" fontId="39" fillId="0" borderId="10"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6" fillId="8" borderId="6" applyNumberFormat="0" applyAlignment="0" applyProtection="0"/>
    <xf numFmtId="0" fontId="36" fillId="8" borderId="6" applyNumberFormat="0" applyAlignment="0" applyProtection="0"/>
    <xf numFmtId="0" fontId="36" fillId="8" borderId="6" applyNumberFormat="0" applyAlignment="0" applyProtection="0"/>
    <xf numFmtId="0" fontId="36" fillId="8" borderId="6" applyNumberFormat="0" applyAlignment="0" applyProtection="0"/>
    <xf numFmtId="0" fontId="31" fillId="4" borderId="0" applyNumberFormat="0" applyBorder="0" applyAlignment="0" applyProtection="0"/>
    <xf numFmtId="0" fontId="33" fillId="0" borderId="7"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172" fontId="17" fillId="0" borderId="0" applyFont="0" applyFill="0" applyBorder="0" applyAlignment="0" applyProtection="0"/>
    <xf numFmtId="172"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8" fillId="0" borderId="0"/>
    <xf numFmtId="0" fontId="18" fillId="0" borderId="0"/>
    <xf numFmtId="0" fontId="18" fillId="0" borderId="0"/>
    <xf numFmtId="0" fontId="17" fillId="0" borderId="0"/>
    <xf numFmtId="0" fontId="17" fillId="0" borderId="0"/>
    <xf numFmtId="0" fontId="18" fillId="0" borderId="0"/>
    <xf numFmtId="0" fontId="17" fillId="0" borderId="0"/>
    <xf numFmtId="0" fontId="17" fillId="0" borderId="0"/>
    <xf numFmtId="0" fontId="18" fillId="0" borderId="0"/>
    <xf numFmtId="0" fontId="17"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28" fillId="23" borderId="9" applyNumberFormat="0" applyFont="0" applyAlignment="0" applyProtection="0"/>
    <xf numFmtId="0" fontId="28" fillId="23" borderId="9" applyNumberFormat="0" applyFont="0" applyAlignment="0" applyProtection="0"/>
    <xf numFmtId="0" fontId="28" fillId="23" borderId="9" applyNumberFormat="0" applyFont="0" applyAlignment="0" applyProtection="0"/>
    <xf numFmtId="0" fontId="28" fillId="23" borderId="9" applyNumberFormat="0" applyFon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0" fontId="43" fillId="21" borderId="13"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8" fillId="5" borderId="0" applyNumberFormat="0" applyBorder="0" applyAlignment="0" applyProtection="0"/>
    <xf numFmtId="0" fontId="43" fillId="21" borderId="13" applyNumberFormat="0" applyAlignment="0" applyProtection="0"/>
    <xf numFmtId="0" fontId="37"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39" fillId="0" borderId="10" applyNumberFormat="0" applyFill="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4" fillId="22" borderId="8"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9" fontId="16" fillId="0" borderId="0" applyFont="0" applyFill="0" applyBorder="0" applyAlignment="0" applyProtection="0"/>
    <xf numFmtId="164" fontId="19" fillId="0" borderId="0"/>
    <xf numFmtId="0" fontId="15" fillId="0" borderId="0"/>
    <xf numFmtId="9" fontId="15" fillId="0" borderId="0" applyFont="0" applyFill="0" applyBorder="0" applyAlignment="0" applyProtection="0"/>
    <xf numFmtId="172" fontId="15" fillId="0" borderId="0" applyFont="0" applyFill="0" applyBorder="0" applyAlignment="0" applyProtection="0"/>
    <xf numFmtId="0" fontId="1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172"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2" fontId="15"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0" fontId="15" fillId="0" borderId="0"/>
    <xf numFmtId="172" fontId="15" fillId="0" borderId="0" applyFont="0" applyFill="0" applyBorder="0" applyAlignment="0" applyProtection="0"/>
    <xf numFmtId="43" fontId="15" fillId="0" borderId="0" applyFont="0" applyFill="0" applyBorder="0" applyAlignment="0" applyProtection="0"/>
    <xf numFmtId="0" fontId="14" fillId="0" borderId="0"/>
    <xf numFmtId="9" fontId="14" fillId="0" borderId="0" applyFont="0" applyFill="0" applyBorder="0" applyAlignment="0" applyProtection="0"/>
    <xf numFmtId="43" fontId="14" fillId="0" borderId="0" applyFont="0" applyFill="0" applyBorder="0" applyAlignment="0" applyProtection="0"/>
    <xf numFmtId="166" fontId="49" fillId="0" borderId="0" applyFont="0" applyFill="0" applyBorder="0" applyAlignment="0" applyProtection="0"/>
    <xf numFmtId="0" fontId="50" fillId="0" borderId="0"/>
    <xf numFmtId="173" fontId="49" fillId="0" borderId="0" applyFont="0" applyFill="0" applyBorder="0" applyAlignment="0" applyProtection="0"/>
    <xf numFmtId="172" fontId="14" fillId="0" borderId="0" applyFont="0" applyFill="0" applyBorder="0" applyAlignment="0" applyProtection="0"/>
    <xf numFmtId="0" fontId="14" fillId="0" borderId="0"/>
    <xf numFmtId="0" fontId="18" fillId="0" borderId="0"/>
    <xf numFmtId="0" fontId="14" fillId="0" borderId="0"/>
    <xf numFmtId="0" fontId="18" fillId="0" borderId="0"/>
    <xf numFmtId="0" fontId="18" fillId="0" borderId="0"/>
    <xf numFmtId="0" fontId="14" fillId="0" borderId="0"/>
    <xf numFmtId="0" fontId="18" fillId="0" borderId="0"/>
    <xf numFmtId="0" fontId="14" fillId="0" borderId="0"/>
    <xf numFmtId="40" fontId="51" fillId="26" borderId="0">
      <alignment horizontal="right"/>
    </xf>
    <xf numFmtId="0" fontId="52" fillId="26" borderId="0">
      <alignment horizontal="right"/>
    </xf>
    <xf numFmtId="0" fontId="53" fillId="26" borderId="15"/>
    <xf numFmtId="0" fontId="53" fillId="0" borderId="0" applyBorder="0">
      <alignment horizontal="centerContinuous"/>
    </xf>
    <xf numFmtId="0" fontId="54" fillId="0" borderId="0" applyBorder="0">
      <alignment horizontal="centerContinuous"/>
    </xf>
    <xf numFmtId="9" fontId="14" fillId="0" borderId="0" applyFont="0" applyFill="0" applyBorder="0" applyAlignment="0" applyProtection="0"/>
    <xf numFmtId="0" fontId="18" fillId="0" borderId="0"/>
    <xf numFmtId="9" fontId="14"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172"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172"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2" fontId="12" fillId="0" borderId="0" applyFont="0" applyFill="0" applyBorder="0" applyAlignment="0" applyProtection="0"/>
    <xf numFmtId="9" fontId="12" fillId="0" borderId="0" applyFont="0" applyFill="0" applyBorder="0" applyAlignment="0" applyProtection="0"/>
    <xf numFmtId="172" fontId="1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12" fillId="0" borderId="0" applyFont="0" applyFill="0" applyBorder="0" applyAlignment="0" applyProtection="0"/>
    <xf numFmtId="0" fontId="12" fillId="0" borderId="0"/>
    <xf numFmtId="0" fontId="18" fillId="0" borderId="0"/>
    <xf numFmtId="9" fontId="12" fillId="0" borderId="0" applyFont="0" applyFill="0" applyBorder="0" applyAlignment="0" applyProtection="0"/>
    <xf numFmtId="0" fontId="12" fillId="0" borderId="0"/>
    <xf numFmtId="164" fontId="55" fillId="0" borderId="0"/>
    <xf numFmtId="172"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172"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9" fontId="12" fillId="0" borderId="0" applyFont="0" applyFill="0" applyBorder="0" applyAlignment="0" applyProtection="0"/>
    <xf numFmtId="0" fontId="18" fillId="0" borderId="0"/>
    <xf numFmtId="0" fontId="18" fillId="0" borderId="0"/>
    <xf numFmtId="9" fontId="12" fillId="0" borderId="0" applyFont="0" applyFill="0" applyBorder="0" applyAlignment="0" applyProtection="0"/>
    <xf numFmtId="0" fontId="12" fillId="0" borderId="0"/>
    <xf numFmtId="0" fontId="12" fillId="0" borderId="0"/>
    <xf numFmtId="172" fontId="12" fillId="0" borderId="0" applyFont="0" applyFill="0" applyBorder="0" applyAlignment="0" applyProtection="0"/>
    <xf numFmtId="0" fontId="12" fillId="0" borderId="0"/>
    <xf numFmtId="0" fontId="12" fillId="0" borderId="0"/>
    <xf numFmtId="0" fontId="12" fillId="0" borderId="0"/>
    <xf numFmtId="172" fontId="12" fillId="0" borderId="0" applyFont="0" applyFill="0" applyBorder="0" applyAlignment="0" applyProtection="0"/>
    <xf numFmtId="0" fontId="12" fillId="0" borderId="0"/>
    <xf numFmtId="172" fontId="12" fillId="0" borderId="0" applyFont="0" applyFill="0" applyBorder="0" applyAlignment="0" applyProtection="0"/>
    <xf numFmtId="0" fontId="12" fillId="0" borderId="0"/>
    <xf numFmtId="172" fontId="12" fillId="0" borderId="0" applyFont="0" applyFill="0" applyBorder="0" applyAlignment="0" applyProtection="0"/>
    <xf numFmtId="0" fontId="18" fillId="0" borderId="0"/>
    <xf numFmtId="172" fontId="12" fillId="0" borderId="0" applyFont="0" applyFill="0" applyBorder="0" applyAlignment="0" applyProtection="0"/>
    <xf numFmtId="172" fontId="12" fillId="0" borderId="0" applyFont="0" applyFill="0" applyBorder="0" applyAlignment="0" applyProtection="0"/>
    <xf numFmtId="0" fontId="11" fillId="0" borderId="0"/>
    <xf numFmtId="9" fontId="11" fillId="0" borderId="0" applyFont="0" applyFill="0" applyBorder="0" applyAlignment="0" applyProtection="0"/>
    <xf numFmtId="172"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172"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2" fontId="11" fillId="0" borderId="0" applyFont="0" applyFill="0" applyBorder="0" applyAlignment="0" applyProtection="0"/>
    <xf numFmtId="9" fontId="11" fillId="0" borderId="0" applyFont="0" applyFill="0" applyBorder="0" applyAlignment="0" applyProtection="0"/>
    <xf numFmtId="0" fontId="11" fillId="0" borderId="0"/>
    <xf numFmtId="172" fontId="11" fillId="0" borderId="0" applyFont="0" applyFill="0" applyBorder="0" applyAlignment="0" applyProtection="0"/>
    <xf numFmtId="0" fontId="10" fillId="0" borderId="0"/>
    <xf numFmtId="9" fontId="10" fillId="0" borderId="0" applyFont="0" applyFill="0" applyBorder="0" applyAlignment="0" applyProtection="0"/>
    <xf numFmtId="172"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172"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2" fontId="10" fillId="0" borderId="0" applyFont="0" applyFill="0" applyBorder="0" applyAlignment="0" applyProtection="0"/>
    <xf numFmtId="9" fontId="10" fillId="0" borderId="0" applyFont="0" applyFill="0" applyBorder="0" applyAlignment="0" applyProtection="0"/>
    <xf numFmtId="0" fontId="10" fillId="0" borderId="0"/>
    <xf numFmtId="172" fontId="10" fillId="0" borderId="0" applyFont="0" applyFill="0" applyBorder="0" applyAlignment="0" applyProtection="0"/>
    <xf numFmtId="0" fontId="9" fillId="0" borderId="0"/>
    <xf numFmtId="0" fontId="8" fillId="0" borderId="0"/>
    <xf numFmtId="9" fontId="8" fillId="0" borderId="0" applyFont="0" applyFill="0" applyBorder="0" applyAlignment="0" applyProtection="0"/>
    <xf numFmtId="172"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172"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2" fontId="8" fillId="0" borderId="0" applyFont="0" applyFill="0" applyBorder="0" applyAlignment="0" applyProtection="0"/>
    <xf numFmtId="9" fontId="8" fillId="0" borderId="0" applyFont="0" applyFill="0" applyBorder="0" applyAlignment="0" applyProtection="0"/>
    <xf numFmtId="0" fontId="8" fillId="0" borderId="0"/>
    <xf numFmtId="172" fontId="8"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43" fontId="81" fillId="0" borderId="0" applyFont="0" applyFill="0" applyBorder="0" applyAlignment="0" applyProtection="0"/>
    <xf numFmtId="0" fontId="3" fillId="0" borderId="0"/>
    <xf numFmtId="172"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2" fontId="3" fillId="0" borderId="0" applyFont="0" applyFill="0" applyBorder="0" applyAlignment="0" applyProtection="0"/>
    <xf numFmtId="9"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172"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72" fontId="3" fillId="0" borderId="0" applyFont="0" applyFill="0" applyBorder="0" applyAlignment="0" applyProtection="0"/>
    <xf numFmtId="0" fontId="3" fillId="0" borderId="0"/>
    <xf numFmtId="0" fontId="3" fillId="0" borderId="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 fillId="0" borderId="0"/>
  </cellStyleXfs>
  <cellXfs count="629">
    <xf numFmtId="0" fontId="0" fillId="0" borderId="0" xfId="0"/>
    <xf numFmtId="164" fontId="21" fillId="0" borderId="0" xfId="1" quotePrefix="1" applyNumberFormat="1" applyFont="1" applyFill="1" applyBorder="1" applyAlignment="1" applyProtection="1">
      <alignment horizontal="centerContinuous"/>
    </xf>
    <xf numFmtId="164" fontId="20" fillId="0" borderId="0" xfId="1" applyNumberFormat="1" applyFont="1" applyBorder="1" applyAlignment="1" applyProtection="1">
      <alignment horizontal="centerContinuous"/>
    </xf>
    <xf numFmtId="164" fontId="21" fillId="0" borderId="0" xfId="1" applyNumberFormat="1" applyFont="1" applyFill="1" applyBorder="1" applyAlignment="1" applyProtection="1">
      <alignment horizontal="centerContinuous"/>
    </xf>
    <xf numFmtId="164" fontId="21" fillId="0" borderId="0" xfId="5" applyFont="1" applyFill="1" applyBorder="1" applyAlignment="1" applyProtection="1">
      <alignment horizontal="centerContinuous"/>
    </xf>
    <xf numFmtId="0" fontId="20" fillId="0" borderId="0" xfId="0" applyFont="1" applyBorder="1" applyAlignment="1">
      <alignment horizontal="center"/>
    </xf>
    <xf numFmtId="0" fontId="22" fillId="0" borderId="0" xfId="0" applyFont="1" applyBorder="1"/>
    <xf numFmtId="168" fontId="22" fillId="0" borderId="0" xfId="0" applyNumberFormat="1" applyFont="1" applyBorder="1"/>
    <xf numFmtId="3" fontId="0" fillId="0" borderId="0" xfId="0" applyNumberFormat="1"/>
    <xf numFmtId="164" fontId="24" fillId="0" borderId="0" xfId="1" quotePrefix="1" applyNumberFormat="1" applyFont="1" applyFill="1" applyBorder="1" applyAlignment="1" applyProtection="1">
      <alignment horizontal="centerContinuous"/>
    </xf>
    <xf numFmtId="164" fontId="26" fillId="0" borderId="0" xfId="1" applyNumberFormat="1" applyFont="1" applyBorder="1" applyAlignment="1" applyProtection="1">
      <alignment horizontal="centerContinuous"/>
    </xf>
    <xf numFmtId="164" fontId="24" fillId="0" borderId="0" xfId="1" applyNumberFormat="1" applyFont="1" applyFill="1" applyBorder="1" applyAlignment="1" applyProtection="1">
      <alignment horizontal="centerContinuous"/>
    </xf>
    <xf numFmtId="164" fontId="24" fillId="0" borderId="0" xfId="5" applyFont="1" applyFill="1" applyBorder="1" applyAlignment="1" applyProtection="1">
      <alignment horizontal="centerContinuous"/>
    </xf>
    <xf numFmtId="164" fontId="26" fillId="0" borderId="0" xfId="2" applyNumberFormat="1" applyFont="1" applyAlignment="1" applyProtection="1">
      <alignment horizontal="left"/>
    </xf>
    <xf numFmtId="0" fontId="25" fillId="0" borderId="0" xfId="7" applyFont="1" applyAlignment="1">
      <alignment horizontal="right"/>
    </xf>
    <xf numFmtId="0" fontId="25" fillId="0" borderId="0" xfId="189" applyFont="1" applyAlignment="1">
      <alignment horizontal="right"/>
    </xf>
    <xf numFmtId="0" fontId="25" fillId="0" borderId="0" xfId="0" applyFont="1" applyAlignment="1">
      <alignment horizontal="centerContinuous"/>
    </xf>
    <xf numFmtId="0" fontId="25" fillId="0" borderId="0" xfId="0" applyFont="1"/>
    <xf numFmtId="164" fontId="46" fillId="0" borderId="0" xfId="1" applyFont="1" applyFill="1" applyAlignment="1">
      <alignment horizontal="left"/>
    </xf>
    <xf numFmtId="164" fontId="25" fillId="0" borderId="0" xfId="1" applyFont="1"/>
    <xf numFmtId="166" fontId="25" fillId="0" borderId="0" xfId="0" applyNumberFormat="1" applyFont="1"/>
    <xf numFmtId="164" fontId="46" fillId="0" borderId="0" xfId="1" applyFont="1" applyFill="1" applyBorder="1"/>
    <xf numFmtId="164" fontId="46" fillId="0" borderId="0" xfId="1" applyNumberFormat="1" applyFont="1" applyFill="1" applyAlignment="1" applyProtection="1">
      <alignment horizontal="center"/>
    </xf>
    <xf numFmtId="164" fontId="26" fillId="0" borderId="0" xfId="1" applyNumberFormat="1" applyFont="1" applyAlignment="1" applyProtection="1">
      <alignment horizontal="left"/>
    </xf>
    <xf numFmtId="166" fontId="25" fillId="0" borderId="3" xfId="0" applyNumberFormat="1" applyFont="1" applyBorder="1"/>
    <xf numFmtId="0" fontId="25" fillId="0" borderId="0" xfId="0" quotePrefix="1" applyFont="1"/>
    <xf numFmtId="164" fontId="26" fillId="0" borderId="0" xfId="1" applyFont="1"/>
    <xf numFmtId="164" fontId="25" fillId="0" borderId="0" xfId="1" applyNumberFormat="1" applyFont="1" applyAlignment="1" applyProtection="1">
      <alignment horizontal="left"/>
    </xf>
    <xf numFmtId="167" fontId="25" fillId="0" borderId="0" xfId="6" applyNumberFormat="1" applyFont="1"/>
    <xf numFmtId="164" fontId="46" fillId="0" borderId="0" xfId="1" applyFont="1" applyFill="1" applyAlignment="1">
      <alignment horizontal="center"/>
    </xf>
    <xf numFmtId="166" fontId="25" fillId="0" borderId="2" xfId="0" applyNumberFormat="1" applyFont="1" applyBorder="1"/>
    <xf numFmtId="166" fontId="25" fillId="0" borderId="1" xfId="0" applyNumberFormat="1" applyFont="1" applyBorder="1"/>
    <xf numFmtId="0" fontId="25" fillId="0" borderId="0" xfId="0" applyFont="1" applyAlignment="1">
      <alignment horizontal="center"/>
    </xf>
    <xf numFmtId="164" fontId="46" fillId="0" borderId="0" xfId="1" applyFont="1" applyFill="1" applyBorder="1" applyAlignment="1">
      <alignment horizontal="center"/>
    </xf>
    <xf numFmtId="164" fontId="26" fillId="0" borderId="0" xfId="1" quotePrefix="1" applyNumberFormat="1" applyFont="1" applyAlignment="1" applyProtection="1">
      <alignment horizontal="left"/>
    </xf>
    <xf numFmtId="164" fontId="46" fillId="0" borderId="0" xfId="1" applyNumberFormat="1" applyFont="1" applyFill="1" applyBorder="1" applyAlignment="1" applyProtection="1">
      <alignment horizontal="center"/>
    </xf>
    <xf numFmtId="164" fontId="25" fillId="0" borderId="0" xfId="1" applyFont="1" applyBorder="1" applyAlignment="1">
      <alignment horizontal="center"/>
    </xf>
    <xf numFmtId="164" fontId="25" fillId="0" borderId="0" xfId="1" applyFont="1" applyBorder="1"/>
    <xf numFmtId="164" fontId="25" fillId="0" borderId="0" xfId="1" applyNumberFormat="1" applyFont="1" applyBorder="1" applyAlignment="1" applyProtection="1">
      <alignment horizontal="left"/>
    </xf>
    <xf numFmtId="166" fontId="25" fillId="0" borderId="0" xfId="0" applyNumberFormat="1" applyFont="1" applyBorder="1"/>
    <xf numFmtId="0" fontId="25" fillId="0" borderId="0" xfId="0" applyFont="1" applyBorder="1"/>
    <xf numFmtId="167" fontId="25" fillId="0" borderId="0" xfId="6" applyNumberFormat="1" applyFont="1" applyBorder="1"/>
    <xf numFmtId="0" fontId="25" fillId="0" borderId="5" xfId="0" applyFont="1" applyBorder="1"/>
    <xf numFmtId="0" fontId="26" fillId="0" borderId="0" xfId="0" applyFont="1" applyAlignment="1">
      <alignment horizontal="centerContinuous"/>
    </xf>
    <xf numFmtId="164" fontId="46" fillId="0" borderId="0" xfId="4" applyFont="1" applyFill="1"/>
    <xf numFmtId="164" fontId="26" fillId="0" borderId="0" xfId="3" applyNumberFormat="1" applyFont="1" applyAlignment="1" applyProtection="1">
      <alignment horizontal="left"/>
    </xf>
    <xf numFmtId="164" fontId="46" fillId="0" borderId="0" xfId="4" applyFont="1" applyFill="1" applyAlignment="1" applyProtection="1">
      <alignment horizontal="center"/>
    </xf>
    <xf numFmtId="164" fontId="46" fillId="0" borderId="0" xfId="4" applyFont="1" applyFill="1" applyAlignment="1" applyProtection="1"/>
    <xf numFmtId="164" fontId="46" fillId="0" borderId="0" xfId="4" applyFont="1" applyFill="1" applyAlignment="1">
      <alignment horizontal="center"/>
    </xf>
    <xf numFmtId="164" fontId="46" fillId="0" borderId="0" xfId="4" applyFont="1" applyFill="1" applyBorder="1" applyAlignment="1" applyProtection="1"/>
    <xf numFmtId="0" fontId="25" fillId="0" borderId="0" xfId="0" quotePrefix="1" applyFont="1" applyBorder="1"/>
    <xf numFmtId="164" fontId="24" fillId="0" borderId="0" xfId="4" applyFont="1" applyFill="1" applyAlignment="1" applyProtection="1"/>
    <xf numFmtId="164" fontId="25" fillId="0" borderId="0" xfId="4" applyFont="1"/>
    <xf numFmtId="164" fontId="26" fillId="0" borderId="0" xfId="4" applyFont="1"/>
    <xf numFmtId="164" fontId="25" fillId="0" borderId="0" xfId="4" applyFont="1" applyAlignment="1">
      <alignment horizontal="center"/>
    </xf>
    <xf numFmtId="0" fontId="26" fillId="0" borderId="0" xfId="0" applyFont="1"/>
    <xf numFmtId="0" fontId="25" fillId="0" borderId="0" xfId="0" applyFont="1" applyAlignment="1">
      <alignment horizontal="left"/>
    </xf>
    <xf numFmtId="164" fontId="46" fillId="0" borderId="0" xfId="5" applyFont="1" applyFill="1"/>
    <xf numFmtId="164" fontId="24" fillId="0" borderId="0" xfId="5" applyFont="1" applyFill="1" applyAlignment="1" applyProtection="1"/>
    <xf numFmtId="164" fontId="46" fillId="0" borderId="0" xfId="5" applyFont="1" applyFill="1" applyAlignment="1" applyProtection="1">
      <alignment horizontal="center"/>
    </xf>
    <xf numFmtId="164" fontId="46" fillId="0" borderId="0" xfId="5" applyFont="1" applyFill="1" applyAlignment="1" applyProtection="1"/>
    <xf numFmtId="164" fontId="46" fillId="0" borderId="0" xfId="5" applyFont="1" applyFill="1" applyAlignment="1">
      <alignment horizontal="center"/>
    </xf>
    <xf numFmtId="164" fontId="24" fillId="0" borderId="0" xfId="5" applyFont="1" applyFill="1"/>
    <xf numFmtId="0" fontId="25" fillId="0" borderId="0" xfId="272" applyFont="1"/>
    <xf numFmtId="0" fontId="26" fillId="0" borderId="0" xfId="272" applyFont="1"/>
    <xf numFmtId="0" fontId="25" fillId="0" borderId="0" xfId="272" applyFont="1" applyAlignment="1">
      <alignment horizontal="center"/>
    </xf>
    <xf numFmtId="166" fontId="25" fillId="0" borderId="3" xfId="272" applyNumberFormat="1" applyFont="1" applyBorder="1"/>
    <xf numFmtId="166" fontId="25" fillId="0" borderId="0" xfId="272" applyNumberFormat="1" applyFont="1"/>
    <xf numFmtId="167" fontId="25" fillId="0" borderId="0" xfId="273" applyNumberFormat="1" applyFont="1" applyBorder="1"/>
    <xf numFmtId="166" fontId="25" fillId="0" borderId="5" xfId="272" applyNumberFormat="1" applyFont="1" applyBorder="1"/>
    <xf numFmtId="0" fontId="25" fillId="0" borderId="0" xfId="272" applyFont="1" applyAlignment="1">
      <alignment horizontal="right"/>
    </xf>
    <xf numFmtId="164" fontId="46" fillId="0" borderId="0" xfId="274" applyNumberFormat="1" applyFont="1" applyFill="1" applyAlignment="1" applyProtection="1">
      <alignment horizontal="center"/>
    </xf>
    <xf numFmtId="164" fontId="25" fillId="0" borderId="0" xfId="274" applyNumberFormat="1" applyFont="1" applyAlignment="1" applyProtection="1">
      <alignment horizontal="left"/>
    </xf>
    <xf numFmtId="164" fontId="25" fillId="0" borderId="0" xfId="274" quotePrefix="1" applyNumberFormat="1" applyFont="1" applyAlignment="1" applyProtection="1">
      <alignment horizontal="left"/>
    </xf>
    <xf numFmtId="164" fontId="46" fillId="0" borderId="0" xfId="274" applyFont="1" applyFill="1" applyAlignment="1">
      <alignment horizontal="center"/>
    </xf>
    <xf numFmtId="164" fontId="25" fillId="0" borderId="0" xfId="274" applyFont="1"/>
    <xf numFmtId="164" fontId="25" fillId="0" borderId="0" xfId="2" applyFont="1"/>
    <xf numFmtId="0" fontId="25" fillId="0" borderId="0" xfId="0" applyFont="1" applyAlignment="1">
      <alignment horizontal="right"/>
    </xf>
    <xf numFmtId="0" fontId="26" fillId="0" borderId="0" xfId="0" applyFont="1" applyAlignment="1">
      <alignment horizontal="center"/>
    </xf>
    <xf numFmtId="167" fontId="25" fillId="0" borderId="5" xfId="6" applyNumberFormat="1" applyFont="1" applyBorder="1"/>
    <xf numFmtId="0" fontId="15" fillId="0" borderId="0" xfId="275"/>
    <xf numFmtId="0" fontId="26" fillId="0" borderId="0" xfId="275" applyFont="1" applyFill="1" applyAlignment="1">
      <alignment horizontal="center"/>
    </xf>
    <xf numFmtId="0" fontId="25" fillId="0" borderId="0" xfId="275" applyFont="1" applyFill="1"/>
    <xf numFmtId="0" fontId="26" fillId="0" borderId="0" xfId="275" applyFont="1" applyAlignment="1">
      <alignment horizontal="center"/>
    </xf>
    <xf numFmtId="0" fontId="26" fillId="0" borderId="0" xfId="275" applyFont="1" applyFill="1" applyBorder="1" applyAlignment="1">
      <alignment horizontal="center"/>
    </xf>
    <xf numFmtId="0" fontId="26" fillId="0" borderId="0" xfId="275" applyFont="1" applyBorder="1" applyAlignment="1">
      <alignment horizontal="center"/>
    </xf>
    <xf numFmtId="0" fontId="25" fillId="0" borderId="1" xfId="275" applyFont="1" applyFill="1" applyBorder="1" applyAlignment="1">
      <alignment horizontal="center"/>
    </xf>
    <xf numFmtId="0" fontId="25" fillId="0" borderId="1" xfId="275" applyFont="1" applyBorder="1" applyAlignment="1">
      <alignment horizontal="center"/>
    </xf>
    <xf numFmtId="0" fontId="25" fillId="0" borderId="0" xfId="275" applyFont="1" applyBorder="1" applyAlignment="1">
      <alignment horizontal="center"/>
    </xf>
    <xf numFmtId="0" fontId="25" fillId="0" borderId="0" xfId="275" applyFont="1" applyAlignment="1">
      <alignment horizontal="center"/>
    </xf>
    <xf numFmtId="0" fontId="25" fillId="0" borderId="0" xfId="275" quotePrefix="1" applyFont="1" applyAlignment="1">
      <alignment horizontal="center"/>
    </xf>
    <xf numFmtId="0" fontId="25" fillId="25" borderId="1" xfId="275" applyFont="1" applyFill="1" applyBorder="1" applyAlignment="1">
      <alignment horizontal="center"/>
    </xf>
    <xf numFmtId="167" fontId="27" fillId="0" borderId="0" xfId="276" applyNumberFormat="1" applyFont="1" applyBorder="1"/>
    <xf numFmtId="0" fontId="26" fillId="25" borderId="0" xfId="275" applyFont="1" applyFill="1" applyAlignment="1">
      <alignment horizontal="center"/>
    </xf>
    <xf numFmtId="0" fontId="27" fillId="0" borderId="0" xfId="275" applyFont="1" applyAlignment="1">
      <alignment horizontal="center"/>
    </xf>
    <xf numFmtId="0" fontId="25" fillId="25" borderId="0" xfId="275" applyFont="1" applyFill="1"/>
    <xf numFmtId="0" fontId="25" fillId="25" borderId="0" xfId="275" applyFont="1" applyFill="1" applyAlignment="1">
      <alignment horizontal="center"/>
    </xf>
    <xf numFmtId="164" fontId="24" fillId="0" borderId="0" xfId="5" applyFont="1" applyFill="1" applyBorder="1" applyAlignment="1" applyProtection="1">
      <alignment horizontal="center"/>
    </xf>
    <xf numFmtId="0" fontId="15" fillId="0" borderId="0" xfId="300"/>
    <xf numFmtId="0" fontId="26" fillId="0" borderId="0" xfId="300" applyFont="1" applyFill="1" applyAlignment="1">
      <alignment horizontal="center"/>
    </xf>
    <xf numFmtId="0" fontId="25" fillId="0" borderId="0" xfId="300" applyFont="1" applyFill="1"/>
    <xf numFmtId="0" fontId="26" fillId="0" borderId="0" xfId="300" applyFont="1" applyFill="1" applyBorder="1" applyAlignment="1">
      <alignment horizontal="center"/>
    </xf>
    <xf numFmtId="0" fontId="26" fillId="0" borderId="0" xfId="300" applyFont="1" applyBorder="1" applyAlignment="1">
      <alignment horizontal="center"/>
    </xf>
    <xf numFmtId="0" fontId="25" fillId="0" borderId="1" xfId="300" applyFont="1" applyFill="1" applyBorder="1" applyAlignment="1">
      <alignment horizontal="center"/>
    </xf>
    <xf numFmtId="0" fontId="25" fillId="0" borderId="0" xfId="300" applyFont="1" applyBorder="1" applyAlignment="1">
      <alignment horizontal="center"/>
    </xf>
    <xf numFmtId="0" fontId="25" fillId="0" borderId="0" xfId="300" applyFont="1" applyAlignment="1">
      <alignment horizontal="center"/>
    </xf>
    <xf numFmtId="0" fontId="25" fillId="0" borderId="0" xfId="300" quotePrefix="1" applyFont="1" applyAlignment="1">
      <alignment horizontal="center"/>
    </xf>
    <xf numFmtId="0" fontId="25" fillId="25" borderId="1" xfId="300" applyFont="1" applyFill="1" applyBorder="1" applyAlignment="1">
      <alignment horizontal="center"/>
    </xf>
    <xf numFmtId="167" fontId="27" fillId="0" borderId="0" xfId="276" applyNumberFormat="1" applyFont="1" applyBorder="1"/>
    <xf numFmtId="0" fontId="26" fillId="25" borderId="0" xfId="300" applyFont="1" applyFill="1" applyAlignment="1">
      <alignment horizontal="center"/>
    </xf>
    <xf numFmtId="0" fontId="27" fillId="0" borderId="0" xfId="300" applyFont="1" applyAlignment="1">
      <alignment horizontal="center"/>
    </xf>
    <xf numFmtId="0" fontId="25" fillId="25" borderId="0" xfId="300" applyFont="1" applyFill="1"/>
    <xf numFmtId="0" fontId="25" fillId="25" borderId="0" xfId="300" applyFont="1" applyFill="1" applyAlignment="1">
      <alignment horizontal="center"/>
    </xf>
    <xf numFmtId="43" fontId="25" fillId="0" borderId="3" xfId="318" applyFont="1" applyBorder="1"/>
    <xf numFmtId="0" fontId="25" fillId="0" borderId="0" xfId="323" applyFont="1" applyAlignment="1">
      <alignment horizontal="centerContinuous"/>
    </xf>
    <xf numFmtId="0" fontId="25" fillId="0" borderId="0" xfId="323" applyFont="1"/>
    <xf numFmtId="0" fontId="27" fillId="0" borderId="0" xfId="323" applyFont="1" applyAlignment="1">
      <alignment horizontal="center"/>
    </xf>
    <xf numFmtId="0" fontId="25" fillId="0" borderId="0" xfId="323" applyFont="1" applyAlignment="1">
      <alignment horizontal="center"/>
    </xf>
    <xf numFmtId="0" fontId="25" fillId="25" borderId="0" xfId="323" applyFont="1" applyFill="1"/>
    <xf numFmtId="0" fontId="26" fillId="0" borderId="0" xfId="323" applyFont="1"/>
    <xf numFmtId="0" fontId="26" fillId="0" borderId="0" xfId="323" applyFont="1" applyFill="1" applyAlignment="1">
      <alignment horizontal="center"/>
    </xf>
    <xf numFmtId="0" fontId="25" fillId="0" borderId="0" xfId="323" applyFont="1" applyFill="1"/>
    <xf numFmtId="0" fontId="26" fillId="0" borderId="0" xfId="323" applyFont="1" applyAlignment="1">
      <alignment horizontal="center"/>
    </xf>
    <xf numFmtId="0" fontId="26" fillId="25" borderId="0" xfId="323" applyFont="1" applyFill="1" applyAlignment="1">
      <alignment horizontal="center"/>
    </xf>
    <xf numFmtId="0" fontId="26" fillId="0" borderId="0" xfId="323" applyFont="1" applyFill="1" applyBorder="1" applyAlignment="1">
      <alignment horizontal="center"/>
    </xf>
    <xf numFmtId="0" fontId="26" fillId="0" borderId="0" xfId="323" applyFont="1" applyBorder="1" applyAlignment="1">
      <alignment horizontal="center"/>
    </xf>
    <xf numFmtId="0" fontId="25" fillId="0" borderId="1" xfId="323" applyFont="1" applyFill="1" applyBorder="1" applyAlignment="1">
      <alignment horizontal="center"/>
    </xf>
    <xf numFmtId="0" fontId="25" fillId="0" borderId="1" xfId="323" applyFont="1" applyBorder="1" applyAlignment="1">
      <alignment horizontal="center"/>
    </xf>
    <xf numFmtId="0" fontId="25" fillId="0" borderId="0" xfId="323" applyFont="1" applyBorder="1" applyAlignment="1">
      <alignment horizontal="center"/>
    </xf>
    <xf numFmtId="0" fontId="25" fillId="25" borderId="1" xfId="323" applyFont="1" applyFill="1" applyBorder="1" applyAlignment="1">
      <alignment horizontal="center"/>
    </xf>
    <xf numFmtId="0" fontId="25" fillId="0" borderId="0" xfId="323" quotePrefix="1" applyFont="1" applyAlignment="1">
      <alignment horizontal="center"/>
    </xf>
    <xf numFmtId="0" fontId="14" fillId="0" borderId="0" xfId="323"/>
    <xf numFmtId="0" fontId="25" fillId="25" borderId="0" xfId="323" applyFont="1" applyFill="1" applyAlignment="1">
      <alignment horizontal="center"/>
    </xf>
    <xf numFmtId="166" fontId="25" fillId="0" borderId="3" xfId="323" applyNumberFormat="1" applyFont="1" applyBorder="1"/>
    <xf numFmtId="166" fontId="25" fillId="0" borderId="0" xfId="323" applyNumberFormat="1" applyFont="1"/>
    <xf numFmtId="167" fontId="25" fillId="0" borderId="0" xfId="336" applyNumberFormat="1" applyFont="1" applyBorder="1"/>
    <xf numFmtId="167" fontId="27" fillId="0" borderId="0" xfId="336" applyNumberFormat="1" applyFont="1" applyBorder="1"/>
    <xf numFmtId="166" fontId="25" fillId="25" borderId="3" xfId="323" applyNumberFormat="1" applyFont="1" applyFill="1" applyBorder="1"/>
    <xf numFmtId="166" fontId="25" fillId="0" borderId="0" xfId="323" applyNumberFormat="1" applyFont="1" applyBorder="1"/>
    <xf numFmtId="167" fontId="25" fillId="0" borderId="0" xfId="336" applyNumberFormat="1" applyFont="1"/>
    <xf numFmtId="166" fontId="25" fillId="25" borderId="0" xfId="323" applyNumberFormat="1" applyFont="1" applyFill="1"/>
    <xf numFmtId="166" fontId="25" fillId="0" borderId="5" xfId="323" applyNumberFormat="1" applyFont="1" applyBorder="1"/>
    <xf numFmtId="166" fontId="25" fillId="25" borderId="5" xfId="323" applyNumberFormat="1" applyFont="1" applyFill="1" applyBorder="1"/>
    <xf numFmtId="0" fontId="25" fillId="0" borderId="0" xfId="323" quotePrefix="1" applyFont="1"/>
    <xf numFmtId="166" fontId="25" fillId="0" borderId="0" xfId="323" applyNumberFormat="1" applyFont="1" applyFill="1"/>
    <xf numFmtId="167" fontId="27" fillId="0" borderId="0" xfId="336" applyNumberFormat="1" applyFont="1" applyFill="1" applyBorder="1"/>
    <xf numFmtId="166" fontId="25" fillId="0" borderId="0" xfId="323" applyNumberFormat="1" applyFont="1" applyFill="1" applyBorder="1"/>
    <xf numFmtId="0" fontId="25" fillId="0" borderId="0" xfId="323" applyFont="1" applyFill="1" applyBorder="1"/>
    <xf numFmtId="0" fontId="25" fillId="0" borderId="0" xfId="323" applyFont="1" applyBorder="1"/>
    <xf numFmtId="0" fontId="25" fillId="0" borderId="0" xfId="323" applyFont="1" applyAlignment="1">
      <alignment horizontal="right"/>
    </xf>
    <xf numFmtId="0" fontId="27" fillId="2" borderId="0" xfId="323" applyFont="1" applyFill="1"/>
    <xf numFmtId="38" fontId="27" fillId="2" borderId="0" xfId="323" applyNumberFormat="1" applyFont="1" applyFill="1"/>
    <xf numFmtId="0" fontId="25" fillId="2" borderId="0" xfId="323" applyFont="1" applyFill="1"/>
    <xf numFmtId="0" fontId="26" fillId="0" borderId="0" xfId="323" applyFont="1" applyFill="1"/>
    <xf numFmtId="0" fontId="25" fillId="0" borderId="0" xfId="323" quotePrefix="1" applyNumberFormat="1" applyFont="1"/>
    <xf numFmtId="0" fontId="27" fillId="0" borderId="0" xfId="0" applyFont="1" applyAlignment="1">
      <alignment horizontal="center"/>
    </xf>
    <xf numFmtId="0" fontId="25" fillId="25" borderId="0" xfId="0" applyFont="1" applyFill="1"/>
    <xf numFmtId="0" fontId="26" fillId="0" borderId="0" xfId="0" applyFont="1" applyFill="1" applyAlignment="1">
      <alignment horizontal="center"/>
    </xf>
    <xf numFmtId="0" fontId="25" fillId="0" borderId="0" xfId="0" applyFont="1" applyFill="1"/>
    <xf numFmtId="0" fontId="26" fillId="25" borderId="0" xfId="0" applyFont="1" applyFill="1" applyAlignment="1">
      <alignment horizontal="center"/>
    </xf>
    <xf numFmtId="0" fontId="26" fillId="0" borderId="0" xfId="0" applyFont="1" applyFill="1" applyBorder="1" applyAlignment="1">
      <alignment horizontal="center"/>
    </xf>
    <xf numFmtId="0" fontId="26" fillId="0" borderId="0" xfId="0" applyFont="1" applyBorder="1" applyAlignment="1">
      <alignment horizontal="center"/>
    </xf>
    <xf numFmtId="0" fontId="25" fillId="0" borderId="1" xfId="0" applyFont="1" applyFill="1" applyBorder="1" applyAlignment="1">
      <alignment horizontal="center"/>
    </xf>
    <xf numFmtId="0" fontId="25" fillId="0" borderId="1" xfId="0" applyFont="1" applyBorder="1" applyAlignment="1">
      <alignment horizontal="center"/>
    </xf>
    <xf numFmtId="0" fontId="25" fillId="0" borderId="0" xfId="0" applyFont="1" applyBorder="1" applyAlignment="1">
      <alignment horizontal="center"/>
    </xf>
    <xf numFmtId="0" fontId="25" fillId="25" borderId="1" xfId="0" applyFont="1" applyFill="1" applyBorder="1" applyAlignment="1">
      <alignment horizontal="center"/>
    </xf>
    <xf numFmtId="0" fontId="25" fillId="0" borderId="0" xfId="0" quotePrefix="1" applyFont="1" applyAlignment="1">
      <alignment horizontal="center"/>
    </xf>
    <xf numFmtId="0" fontId="25" fillId="25" borderId="0" xfId="0" applyFont="1" applyFill="1" applyAlignment="1">
      <alignment horizontal="center"/>
    </xf>
    <xf numFmtId="0" fontId="27" fillId="0" borderId="0" xfId="323" applyFont="1"/>
    <xf numFmtId="0" fontId="25" fillId="25" borderId="5" xfId="323" applyFont="1" applyFill="1" applyBorder="1"/>
    <xf numFmtId="0" fontId="25" fillId="0" borderId="5" xfId="323" applyFont="1" applyBorder="1"/>
    <xf numFmtId="43" fontId="25" fillId="25" borderId="3" xfId="318" applyFont="1" applyFill="1" applyBorder="1"/>
    <xf numFmtId="166" fontId="25" fillId="0" borderId="5" xfId="0" applyNumberFormat="1" applyFont="1" applyBorder="1"/>
    <xf numFmtId="164" fontId="25" fillId="0" borderId="0" xfId="1" applyFont="1" applyAlignment="1"/>
    <xf numFmtId="174" fontId="27" fillId="0" borderId="0" xfId="0" applyNumberFormat="1" applyFont="1"/>
    <xf numFmtId="167" fontId="27" fillId="0" borderId="0" xfId="817" applyNumberFormat="1" applyFont="1"/>
    <xf numFmtId="0" fontId="26" fillId="0" borderId="0" xfId="805" applyFont="1" applyBorder="1" applyAlignment="1">
      <alignment horizontal="center"/>
    </xf>
    <xf numFmtId="0" fontId="25" fillId="0" borderId="1" xfId="805" applyFont="1" applyBorder="1" applyAlignment="1">
      <alignment horizontal="center"/>
    </xf>
    <xf numFmtId="0" fontId="26" fillId="0" borderId="0" xfId="805" applyFont="1" applyFill="1" applyBorder="1" applyAlignment="1">
      <alignment horizontal="center"/>
    </xf>
    <xf numFmtId="0" fontId="25" fillId="0" borderId="0" xfId="805" applyFont="1"/>
    <xf numFmtId="0" fontId="25" fillId="0" borderId="0" xfId="805" quotePrefix="1" applyFont="1" applyAlignment="1">
      <alignment horizontal="center"/>
    </xf>
    <xf numFmtId="0" fontId="26" fillId="0" borderId="0" xfId="805" applyFont="1"/>
    <xf numFmtId="0" fontId="25" fillId="0" borderId="0" xfId="805" applyFont="1" applyBorder="1" applyAlignment="1">
      <alignment horizontal="center"/>
    </xf>
    <xf numFmtId="166" fontId="25" fillId="0" borderId="0" xfId="0" quotePrefix="1" applyNumberFormat="1" applyFont="1"/>
    <xf numFmtId="37" fontId="27" fillId="27" borderId="0" xfId="0" applyNumberFormat="1" applyFont="1" applyFill="1"/>
    <xf numFmtId="0" fontId="0" fillId="0" borderId="0" xfId="0" applyAlignment="1">
      <alignment horizontal="right"/>
    </xf>
    <xf numFmtId="167" fontId="25" fillId="25" borderId="0" xfId="817" applyNumberFormat="1" applyFont="1" applyFill="1"/>
    <xf numFmtId="167" fontId="25" fillId="0" borderId="0" xfId="817" applyNumberFormat="1" applyFont="1"/>
    <xf numFmtId="167" fontId="27" fillId="0" borderId="0" xfId="817" applyNumberFormat="1" applyFont="1" applyBorder="1"/>
    <xf numFmtId="167" fontId="25" fillId="0" borderId="0" xfId="817" applyNumberFormat="1" applyFont="1" applyBorder="1"/>
    <xf numFmtId="166" fontId="25" fillId="0" borderId="0" xfId="805" applyNumberFormat="1" applyFont="1"/>
    <xf numFmtId="166" fontId="25" fillId="0" borderId="3" xfId="805" applyNumberFormat="1" applyFont="1" applyBorder="1"/>
    <xf numFmtId="0" fontId="25" fillId="25" borderId="0" xfId="805" applyFont="1" applyFill="1" applyAlignment="1">
      <alignment horizontal="center"/>
    </xf>
    <xf numFmtId="0" fontId="25" fillId="0" borderId="0" xfId="805" applyFont="1" applyAlignment="1">
      <alignment horizontal="center"/>
    </xf>
    <xf numFmtId="0" fontId="25" fillId="0" borderId="1" xfId="805" applyFont="1" applyFill="1" applyBorder="1" applyAlignment="1">
      <alignment horizontal="center"/>
    </xf>
    <xf numFmtId="0" fontId="26" fillId="25" borderId="0" xfId="805" applyFont="1" applyFill="1" applyAlignment="1">
      <alignment horizontal="center"/>
    </xf>
    <xf numFmtId="0" fontId="26" fillId="0" borderId="0" xfId="805" applyFont="1" applyAlignment="1">
      <alignment horizontal="center"/>
    </xf>
    <xf numFmtId="0" fontId="26" fillId="0" borderId="0" xfId="805" applyFont="1" applyFill="1" applyAlignment="1">
      <alignment horizontal="center"/>
    </xf>
    <xf numFmtId="0" fontId="25" fillId="0" borderId="0" xfId="805" applyFont="1" applyFill="1"/>
    <xf numFmtId="0" fontId="25" fillId="0" borderId="0" xfId="805" applyFont="1" applyAlignment="1">
      <alignment horizontal="centerContinuous"/>
    </xf>
    <xf numFmtId="0" fontId="59" fillId="27" borderId="0" xfId="0" applyFont="1" applyFill="1"/>
    <xf numFmtId="37" fontId="59" fillId="27" borderId="0" xfId="341" applyNumberFormat="1" applyFont="1" applyFill="1" applyBorder="1"/>
    <xf numFmtId="0" fontId="25" fillId="27" borderId="0" xfId="0" applyFont="1" applyFill="1"/>
    <xf numFmtId="37" fontId="59" fillId="27" borderId="0" xfId="341" applyNumberFormat="1" applyFont="1" applyFill="1"/>
    <xf numFmtId="0" fontId="58" fillId="27" borderId="0" xfId="0" applyFont="1" applyFill="1"/>
    <xf numFmtId="0" fontId="58" fillId="27" borderId="0" xfId="0" applyFont="1" applyFill="1" applyAlignment="1">
      <alignment horizontal="right"/>
    </xf>
    <xf numFmtId="0" fontId="57" fillId="27" borderId="0" xfId="0" applyFont="1" applyFill="1" applyAlignment="1">
      <alignment horizontal="right"/>
    </xf>
    <xf numFmtId="0" fontId="25" fillId="2" borderId="0" xfId="805" applyFont="1" applyFill="1"/>
    <xf numFmtId="38" fontId="27" fillId="2" borderId="0" xfId="805" applyNumberFormat="1" applyFont="1" applyFill="1"/>
    <xf numFmtId="0" fontId="27" fillId="2" borderId="0" xfId="805" applyFont="1" applyFill="1"/>
    <xf numFmtId="0" fontId="25" fillId="0" borderId="0" xfId="805" applyFont="1" applyAlignment="1">
      <alignment horizontal="right"/>
    </xf>
    <xf numFmtId="0" fontId="25" fillId="0" borderId="0" xfId="805" quotePrefix="1" applyFont="1"/>
    <xf numFmtId="0" fontId="25" fillId="25" borderId="5" xfId="805" applyFont="1" applyFill="1" applyBorder="1"/>
    <xf numFmtId="0" fontId="25" fillId="0" borderId="5" xfId="805" applyFont="1" applyBorder="1"/>
    <xf numFmtId="166" fontId="25" fillId="0" borderId="5" xfId="805" applyNumberFormat="1" applyFont="1" applyBorder="1"/>
    <xf numFmtId="166" fontId="25" fillId="0" borderId="0" xfId="805" applyNumberFormat="1" applyFont="1" applyFill="1"/>
    <xf numFmtId="0" fontId="27" fillId="0" borderId="0" xfId="805" applyFont="1"/>
    <xf numFmtId="166" fontId="25" fillId="25" borderId="0" xfId="805" applyNumberFormat="1" applyFont="1" applyFill="1"/>
    <xf numFmtId="166" fontId="25" fillId="0" borderId="0" xfId="805" applyNumberFormat="1" applyFont="1" applyBorder="1"/>
    <xf numFmtId="0" fontId="27" fillId="0" borderId="0" xfId="805" applyFont="1" applyAlignment="1">
      <alignment horizontal="center"/>
    </xf>
    <xf numFmtId="37" fontId="59" fillId="27" borderId="2" xfId="341" applyNumberFormat="1" applyFont="1" applyFill="1" applyBorder="1"/>
    <xf numFmtId="165" fontId="59" fillId="27" borderId="0" xfId="0" applyNumberFormat="1" applyFont="1" applyFill="1"/>
    <xf numFmtId="0" fontId="25" fillId="25" borderId="1" xfId="805" applyFont="1" applyFill="1" applyBorder="1" applyAlignment="1">
      <alignment horizontal="center"/>
    </xf>
    <xf numFmtId="0" fontId="25" fillId="25" borderId="0" xfId="805" applyFont="1" applyFill="1"/>
    <xf numFmtId="166" fontId="25" fillId="25" borderId="3" xfId="805" applyNumberFormat="1" applyFont="1" applyFill="1" applyBorder="1"/>
    <xf numFmtId="0" fontId="12" fillId="0" borderId="0" xfId="805"/>
    <xf numFmtId="168" fontId="25" fillId="0" borderId="0" xfId="0" applyNumberFormat="1" applyFont="1" applyAlignment="1">
      <alignment horizontal="centerContinuous"/>
    </xf>
    <xf numFmtId="0" fontId="25" fillId="0" borderId="3" xfId="0" applyFont="1" applyBorder="1"/>
    <xf numFmtId="170" fontId="25" fillId="0" borderId="3" xfId="0" applyNumberFormat="1" applyFont="1" applyBorder="1"/>
    <xf numFmtId="176" fontId="25" fillId="0" borderId="0" xfId="0" applyNumberFormat="1" applyFont="1" applyBorder="1"/>
    <xf numFmtId="170" fontId="25" fillId="0" borderId="0" xfId="0" applyNumberFormat="1" applyFont="1" applyBorder="1"/>
    <xf numFmtId="166" fontId="60" fillId="0" borderId="0" xfId="0" quotePrefix="1" applyNumberFormat="1" applyFont="1" applyBorder="1"/>
    <xf numFmtId="166" fontId="60" fillId="0" borderId="0" xfId="0" quotePrefix="1" applyNumberFormat="1" applyFont="1" applyBorder="1" applyAlignment="1">
      <alignment horizontal="center"/>
    </xf>
    <xf numFmtId="166" fontId="25" fillId="0" borderId="0" xfId="272" applyNumberFormat="1" applyFont="1" applyBorder="1"/>
    <xf numFmtId="168" fontId="25" fillId="0" borderId="0" xfId="0" applyNumberFormat="1" applyFont="1"/>
    <xf numFmtId="168" fontId="25" fillId="0" borderId="3" xfId="0" applyNumberFormat="1" applyFont="1" applyBorder="1"/>
    <xf numFmtId="168" fontId="25" fillId="0" borderId="0" xfId="0" applyNumberFormat="1" applyFont="1" applyBorder="1"/>
    <xf numFmtId="168" fontId="25" fillId="0" borderId="5" xfId="0" applyNumberFormat="1" applyFont="1" applyBorder="1"/>
    <xf numFmtId="167" fontId="61" fillId="0" borderId="0" xfId="6" applyNumberFormat="1" applyFont="1"/>
    <xf numFmtId="167" fontId="61" fillId="0" borderId="16" xfId="6" applyNumberFormat="1" applyFont="1" applyBorder="1"/>
    <xf numFmtId="167" fontId="0" fillId="0" borderId="0" xfId="6" applyNumberFormat="1" applyFont="1"/>
    <xf numFmtId="0" fontId="18" fillId="0" borderId="0" xfId="0" applyFont="1"/>
    <xf numFmtId="0" fontId="63" fillId="0" borderId="0" xfId="0" applyFont="1"/>
    <xf numFmtId="174" fontId="25" fillId="0" borderId="0" xfId="805" applyNumberFormat="1" applyFont="1"/>
    <xf numFmtId="167" fontId="27" fillId="0" borderId="0" xfId="276" quotePrefix="1" applyNumberFormat="1" applyFont="1" applyBorder="1"/>
    <xf numFmtId="176" fontId="25" fillId="0" borderId="0" xfId="0" applyNumberFormat="1" applyFont="1" applyFill="1"/>
    <xf numFmtId="0" fontId="25" fillId="0" borderId="0" xfId="0" applyFont="1" applyFill="1" applyBorder="1"/>
    <xf numFmtId="0" fontId="26" fillId="0" borderId="0" xfId="0" applyFont="1" applyAlignment="1">
      <alignment horizontal="center"/>
    </xf>
    <xf numFmtId="0" fontId="26" fillId="25" borderId="0" xfId="323" applyFont="1" applyFill="1" applyAlignment="1">
      <alignment horizontal="center"/>
    </xf>
    <xf numFmtId="0" fontId="26" fillId="25" borderId="0" xfId="0" applyFont="1" applyFill="1" applyAlignment="1">
      <alignment horizontal="center"/>
    </xf>
    <xf numFmtId="0" fontId="7" fillId="0" borderId="0" xfId="835" applyFont="1" applyAlignment="1" applyProtection="1">
      <protection locked="0"/>
    </xf>
    <xf numFmtId="177" fontId="25" fillId="0" borderId="0" xfId="315" applyNumberFormat="1" applyFont="1" applyBorder="1"/>
    <xf numFmtId="0" fontId="18" fillId="0" borderId="0" xfId="378"/>
    <xf numFmtId="170" fontId="18" fillId="0" borderId="0" xfId="378" applyNumberFormat="1"/>
    <xf numFmtId="170" fontId="18" fillId="0" borderId="16" xfId="378" applyNumberFormat="1" applyBorder="1"/>
    <xf numFmtId="0" fontId="18" fillId="0" borderId="16" xfId="378" applyBorder="1"/>
    <xf numFmtId="0" fontId="18" fillId="0" borderId="0" xfId="378" quotePrefix="1" applyFont="1" applyAlignment="1">
      <alignment horizontal="right"/>
    </xf>
    <xf numFmtId="0" fontId="62" fillId="0" borderId="0" xfId="378" quotePrefix="1" applyFont="1"/>
    <xf numFmtId="176" fontId="18" fillId="0" borderId="0" xfId="378" applyNumberFormat="1"/>
    <xf numFmtId="0" fontId="18" fillId="25" borderId="20" xfId="378" applyFill="1" applyBorder="1"/>
    <xf numFmtId="0" fontId="18" fillId="25" borderId="0" xfId="378" applyFill="1" applyBorder="1"/>
    <xf numFmtId="0" fontId="18" fillId="25" borderId="21" xfId="378" applyFill="1" applyBorder="1"/>
    <xf numFmtId="0" fontId="18" fillId="0" borderId="0" xfId="378" applyFont="1"/>
    <xf numFmtId="0" fontId="18" fillId="0" borderId="0" xfId="378" applyFont="1" applyAlignment="1">
      <alignment vertical="top" wrapText="1"/>
    </xf>
    <xf numFmtId="0" fontId="18" fillId="30" borderId="22" xfId="378" applyFont="1" applyFill="1" applyBorder="1"/>
    <xf numFmtId="0" fontId="18" fillId="25" borderId="23" xfId="378" applyFont="1" applyFill="1" applyBorder="1"/>
    <xf numFmtId="0" fontId="18" fillId="25" borderId="23" xfId="378" applyFill="1" applyBorder="1"/>
    <xf numFmtId="0" fontId="18" fillId="25" borderId="24" xfId="378" applyFill="1" applyBorder="1"/>
    <xf numFmtId="0" fontId="18" fillId="29" borderId="20" xfId="378" applyFill="1" applyBorder="1"/>
    <xf numFmtId="0" fontId="18" fillId="29" borderId="0" xfId="378" applyFill="1" applyBorder="1"/>
    <xf numFmtId="0" fontId="18" fillId="29" borderId="21" xfId="378" applyFill="1" applyBorder="1"/>
    <xf numFmtId="0" fontId="18" fillId="29" borderId="23" xfId="378" applyFill="1" applyBorder="1"/>
    <xf numFmtId="0" fontId="18" fillId="29" borderId="24" xfId="378" applyFill="1" applyBorder="1"/>
    <xf numFmtId="0" fontId="22" fillId="0" borderId="0" xfId="378" applyFont="1"/>
    <xf numFmtId="0" fontId="22" fillId="0" borderId="0" xfId="378" applyFont="1" applyAlignment="1">
      <alignment horizontal="centerContinuous"/>
    </xf>
    <xf numFmtId="168" fontId="22" fillId="0" borderId="0" xfId="378" applyNumberFormat="1" applyFont="1" applyAlignment="1">
      <alignment horizontal="centerContinuous"/>
    </xf>
    <xf numFmtId="0" fontId="63" fillId="0" borderId="0" xfId="378" applyFont="1"/>
    <xf numFmtId="0" fontId="25" fillId="0" borderId="0" xfId="378" applyFont="1" applyAlignment="1">
      <alignment horizontal="center"/>
    </xf>
    <xf numFmtId="0" fontId="26" fillId="0" borderId="0" xfId="378" applyFont="1"/>
    <xf numFmtId="0" fontId="25" fillId="0" borderId="0" xfId="378" applyFont="1"/>
    <xf numFmtId="168" fontId="25" fillId="0" borderId="0" xfId="378" applyNumberFormat="1" applyFont="1"/>
    <xf numFmtId="168" fontId="25" fillId="0" borderId="3" xfId="378" applyNumberFormat="1" applyFont="1" applyBorder="1"/>
    <xf numFmtId="168" fontId="25" fillId="0" borderId="0" xfId="378" applyNumberFormat="1" applyFont="1" applyBorder="1"/>
    <xf numFmtId="0" fontId="22" fillId="0" borderId="0" xfId="378" applyFont="1" applyAlignment="1">
      <alignment horizontal="right"/>
    </xf>
    <xf numFmtId="0" fontId="25" fillId="0" borderId="0" xfId="950" applyFont="1" applyAlignment="1">
      <alignment horizontal="centerContinuous"/>
    </xf>
    <xf numFmtId="0" fontId="25" fillId="0" borderId="0" xfId="950" applyFont="1"/>
    <xf numFmtId="0" fontId="27" fillId="0" borderId="0" xfId="950" applyFont="1" applyAlignment="1">
      <alignment horizontal="center"/>
    </xf>
    <xf numFmtId="0" fontId="25" fillId="0" borderId="0" xfId="950" applyFont="1" applyAlignment="1">
      <alignment horizontal="center"/>
    </xf>
    <xf numFmtId="0" fontId="25" fillId="25" borderId="0" xfId="950" applyFont="1" applyFill="1"/>
    <xf numFmtId="0" fontId="26" fillId="0" borderId="0" xfId="950" applyFont="1"/>
    <xf numFmtId="0" fontId="26" fillId="0" borderId="0" xfId="950" applyFont="1" applyFill="1" applyAlignment="1">
      <alignment horizontal="center"/>
    </xf>
    <xf numFmtId="0" fontId="25" fillId="0" borderId="0" xfId="950" applyFont="1" applyFill="1"/>
    <xf numFmtId="0" fontId="26" fillId="0" borderId="0" xfId="950" applyFont="1" applyAlignment="1">
      <alignment horizontal="center"/>
    </xf>
    <xf numFmtId="0" fontId="26" fillId="25" borderId="0" xfId="950" applyFont="1" applyFill="1" applyAlignment="1">
      <alignment horizontal="center"/>
    </xf>
    <xf numFmtId="0" fontId="26" fillId="0" borderId="0" xfId="950" applyFont="1" applyFill="1" applyBorder="1" applyAlignment="1">
      <alignment horizontal="center"/>
    </xf>
    <xf numFmtId="0" fontId="26" fillId="0" borderId="0" xfId="950" applyFont="1" applyBorder="1" applyAlignment="1">
      <alignment horizontal="center"/>
    </xf>
    <xf numFmtId="0" fontId="25" fillId="0" borderId="1" xfId="950" applyFont="1" applyFill="1" applyBorder="1" applyAlignment="1">
      <alignment horizontal="center"/>
    </xf>
    <xf numFmtId="0" fontId="25" fillId="0" borderId="1" xfId="950" applyFont="1" applyBorder="1" applyAlignment="1">
      <alignment horizontal="center"/>
    </xf>
    <xf numFmtId="0" fontId="25" fillId="0" borderId="0" xfId="950" applyFont="1" applyBorder="1" applyAlignment="1">
      <alignment horizontal="center"/>
    </xf>
    <xf numFmtId="0" fontId="25" fillId="25" borderId="1" xfId="950" applyFont="1" applyFill="1" applyBorder="1" applyAlignment="1">
      <alignment horizontal="center"/>
    </xf>
    <xf numFmtId="0" fontId="25" fillId="0" borderId="0" xfId="950" quotePrefix="1" applyFont="1" applyAlignment="1">
      <alignment horizontal="center"/>
    </xf>
    <xf numFmtId="0" fontId="6" fillId="0" borderId="0" xfId="950"/>
    <xf numFmtId="0" fontId="25" fillId="25" borderId="0" xfId="950" applyFont="1" applyFill="1" applyAlignment="1">
      <alignment horizontal="center"/>
    </xf>
    <xf numFmtId="166" fontId="25" fillId="0" borderId="3" xfId="950" applyNumberFormat="1" applyFont="1" applyBorder="1"/>
    <xf numFmtId="166" fontId="25" fillId="0" borderId="0" xfId="950" applyNumberFormat="1" applyFont="1"/>
    <xf numFmtId="177" fontId="25" fillId="0" borderId="3" xfId="318" applyNumberFormat="1" applyFont="1" applyBorder="1"/>
    <xf numFmtId="166" fontId="25" fillId="25" borderId="3" xfId="950" applyNumberFormat="1" applyFont="1" applyFill="1" applyBorder="1"/>
    <xf numFmtId="166" fontId="25" fillId="0" borderId="0" xfId="950" applyNumberFormat="1" applyFont="1" applyBorder="1"/>
    <xf numFmtId="166" fontId="25" fillId="25" borderId="0" xfId="950" applyNumberFormat="1" applyFont="1" applyFill="1"/>
    <xf numFmtId="166" fontId="25" fillId="0" borderId="5" xfId="950" applyNumberFormat="1" applyFont="1" applyBorder="1"/>
    <xf numFmtId="166" fontId="25" fillId="25" borderId="5" xfId="950" applyNumberFormat="1" applyFont="1" applyFill="1" applyBorder="1"/>
    <xf numFmtId="0" fontId="25" fillId="0" borderId="0" xfId="950" quotePrefix="1" applyFont="1"/>
    <xf numFmtId="0" fontId="25" fillId="0" borderId="0" xfId="950" applyFont="1" applyAlignment="1">
      <alignment horizontal="right"/>
    </xf>
    <xf numFmtId="0" fontId="27" fillId="2" borderId="0" xfId="950" applyFont="1" applyFill="1"/>
    <xf numFmtId="38" fontId="27" fillId="2" borderId="0" xfId="950" applyNumberFormat="1" applyFont="1" applyFill="1"/>
    <xf numFmtId="0" fontId="25" fillId="2" borderId="0" xfId="950" applyFont="1" applyFill="1"/>
    <xf numFmtId="0" fontId="25" fillId="0" borderId="0" xfId="950" applyFont="1" applyAlignment="1">
      <alignment horizontal="left" vertical="center" wrapText="1"/>
    </xf>
    <xf numFmtId="0" fontId="25" fillId="30" borderId="0" xfId="0" applyFont="1" applyFill="1"/>
    <xf numFmtId="0" fontId="66" fillId="32" borderId="0" xfId="950" applyFont="1" applyFill="1"/>
    <xf numFmtId="0" fontId="25" fillId="32" borderId="0" xfId="950" applyFont="1" applyFill="1"/>
    <xf numFmtId="3" fontId="25" fillId="32" borderId="0" xfId="950" applyNumberFormat="1" applyFont="1" applyFill="1"/>
    <xf numFmtId="49" fontId="25" fillId="32" borderId="0" xfId="950" applyNumberFormat="1" applyFont="1" applyFill="1"/>
    <xf numFmtId="3" fontId="25" fillId="0" borderId="0" xfId="950" applyNumberFormat="1" applyFont="1"/>
    <xf numFmtId="0" fontId="25" fillId="32" borderId="0" xfId="950" applyFont="1" applyFill="1" applyAlignment="1">
      <alignment horizontal="left" wrapText="1"/>
    </xf>
    <xf numFmtId="3" fontId="25" fillId="32" borderId="4" xfId="950" applyNumberFormat="1" applyFont="1" applyFill="1" applyBorder="1"/>
    <xf numFmtId="3" fontId="25" fillId="32" borderId="0" xfId="950" applyNumberFormat="1" applyFont="1" applyFill="1" applyBorder="1"/>
    <xf numFmtId="0" fontId="25" fillId="32" borderId="25" xfId="950" applyFont="1" applyFill="1" applyBorder="1"/>
    <xf numFmtId="0" fontId="25" fillId="32" borderId="26" xfId="950" applyFont="1" applyFill="1" applyBorder="1"/>
    <xf numFmtId="0" fontId="25" fillId="32" borderId="27" xfId="950" applyFont="1" applyFill="1" applyBorder="1"/>
    <xf numFmtId="0" fontId="27" fillId="32" borderId="28" xfId="950" applyFont="1" applyFill="1" applyBorder="1"/>
    <xf numFmtId="0" fontId="25" fillId="32" borderId="0" xfId="950" applyFont="1" applyFill="1" applyBorder="1"/>
    <xf numFmtId="0" fontId="25" fillId="32" borderId="29" xfId="950" applyFont="1" applyFill="1" applyBorder="1"/>
    <xf numFmtId="0" fontId="25" fillId="32" borderId="28" xfId="950" applyFont="1" applyFill="1" applyBorder="1"/>
    <xf numFmtId="176" fontId="25" fillId="32" borderId="0" xfId="950" applyNumberFormat="1" applyFont="1" applyFill="1" applyBorder="1"/>
    <xf numFmtId="0" fontId="25" fillId="32" borderId="30" xfId="950" applyFont="1" applyFill="1" applyBorder="1"/>
    <xf numFmtId="0" fontId="25" fillId="32" borderId="31" xfId="950" applyFont="1" applyFill="1" applyBorder="1"/>
    <xf numFmtId="0" fontId="25" fillId="32" borderId="32" xfId="950" applyFont="1" applyFill="1" applyBorder="1"/>
    <xf numFmtId="0" fontId="66" fillId="33" borderId="0" xfId="950" applyFont="1" applyFill="1"/>
    <xf numFmtId="0" fontId="25" fillId="33" borderId="0" xfId="950" applyFont="1" applyFill="1"/>
    <xf numFmtId="3" fontId="25" fillId="33" borderId="0" xfId="950" applyNumberFormat="1" applyFont="1" applyFill="1"/>
    <xf numFmtId="49" fontId="25" fillId="33" borderId="0" xfId="950" applyNumberFormat="1" applyFont="1" applyFill="1"/>
    <xf numFmtId="3" fontId="25" fillId="33" borderId="4" xfId="950" applyNumberFormat="1" applyFont="1" applyFill="1" applyBorder="1"/>
    <xf numFmtId="167" fontId="25" fillId="0" borderId="0" xfId="950" applyNumberFormat="1" applyFont="1"/>
    <xf numFmtId="0" fontId="66" fillId="31" borderId="0" xfId="950" applyFont="1" applyFill="1"/>
    <xf numFmtId="0" fontId="25" fillId="31" borderId="0" xfId="950" applyFont="1" applyFill="1"/>
    <xf numFmtId="3" fontId="66" fillId="31" borderId="0" xfId="950" applyNumberFormat="1" applyFont="1" applyFill="1"/>
    <xf numFmtId="49" fontId="66" fillId="31" borderId="0" xfId="950" applyNumberFormat="1" applyFont="1" applyFill="1"/>
    <xf numFmtId="3" fontId="66" fillId="31" borderId="4" xfId="950" applyNumberFormat="1" applyFont="1" applyFill="1" applyBorder="1"/>
    <xf numFmtId="0" fontId="20" fillId="0" borderId="0" xfId="0" applyFont="1" applyBorder="1"/>
    <xf numFmtId="0" fontId="25" fillId="0" borderId="0" xfId="950" applyFont="1" applyBorder="1"/>
    <xf numFmtId="169" fontId="22" fillId="0" borderId="0" xfId="0" applyNumberFormat="1" applyFont="1" applyBorder="1"/>
    <xf numFmtId="0" fontId="26" fillId="30" borderId="0" xfId="0" applyFont="1" applyFill="1" applyBorder="1" applyAlignment="1">
      <alignment horizontal="center"/>
    </xf>
    <xf numFmtId="0" fontId="26" fillId="30" borderId="0" xfId="0" applyFont="1" applyFill="1" applyAlignment="1">
      <alignment horizontal="center"/>
    </xf>
    <xf numFmtId="164" fontId="25" fillId="30" borderId="0" xfId="1" applyNumberFormat="1" applyFont="1" applyFill="1" applyAlignment="1" applyProtection="1">
      <alignment horizontal="left"/>
    </xf>
    <xf numFmtId="166" fontId="25" fillId="0" borderId="0" xfId="0" applyNumberFormat="1" applyFont="1" applyFill="1"/>
    <xf numFmtId="166" fontId="25" fillId="0" borderId="16" xfId="0" applyNumberFormat="1" applyFont="1" applyBorder="1"/>
    <xf numFmtId="0" fontId="0" fillId="25" borderId="0" xfId="0" applyFill="1"/>
    <xf numFmtId="166" fontId="0" fillId="0" borderId="0" xfId="0" applyNumberFormat="1"/>
    <xf numFmtId="167" fontId="0" fillId="0" borderId="0" xfId="0" applyNumberFormat="1"/>
    <xf numFmtId="166" fontId="0" fillId="0" borderId="16" xfId="0" applyNumberFormat="1" applyBorder="1"/>
    <xf numFmtId="0" fontId="68" fillId="0" borderId="0" xfId="0" applyFont="1"/>
    <xf numFmtId="0" fontId="61" fillId="0" borderId="0" xfId="0" quotePrefix="1" applyFont="1"/>
    <xf numFmtId="0" fontId="18" fillId="0" borderId="0" xfId="0" applyFont="1" applyAlignment="1">
      <alignment horizontal="right"/>
    </xf>
    <xf numFmtId="3" fontId="0" fillId="0" borderId="16" xfId="0" applyNumberFormat="1" applyBorder="1"/>
    <xf numFmtId="176" fontId="25" fillId="0" borderId="0" xfId="378" applyNumberFormat="1" applyFont="1"/>
    <xf numFmtId="176" fontId="25" fillId="0" borderId="2" xfId="378" applyNumberFormat="1" applyFont="1" applyBorder="1"/>
    <xf numFmtId="176" fontId="25" fillId="0" borderId="0" xfId="378" applyNumberFormat="1" applyFont="1" applyBorder="1"/>
    <xf numFmtId="0" fontId="25" fillId="0" borderId="0" xfId="378" applyFont="1" applyAlignment="1">
      <alignment horizontal="left"/>
    </xf>
    <xf numFmtId="0" fontId="22" fillId="0" borderId="0" xfId="378" applyFont="1" applyFill="1" applyAlignment="1">
      <alignment horizontal="centerContinuous"/>
    </xf>
    <xf numFmtId="0" fontId="25" fillId="0" borderId="0" xfId="951" applyFont="1"/>
    <xf numFmtId="0" fontId="27" fillId="0" borderId="0" xfId="951" applyFont="1" applyAlignment="1">
      <alignment horizontal="center"/>
    </xf>
    <xf numFmtId="0" fontId="25" fillId="25" borderId="0" xfId="951" applyFont="1" applyFill="1"/>
    <xf numFmtId="0" fontId="26" fillId="0" borderId="0" xfId="951" applyFont="1"/>
    <xf numFmtId="0" fontId="26" fillId="0" borderId="0" xfId="951" applyFont="1" applyFill="1" applyBorder="1" applyAlignment="1">
      <alignment horizontal="center"/>
    </xf>
    <xf numFmtId="0" fontId="25" fillId="0" borderId="0" xfId="951" applyFont="1" applyFill="1"/>
    <xf numFmtId="0" fontId="26" fillId="0" borderId="0" xfId="951" applyFont="1" applyFill="1" applyAlignment="1">
      <alignment horizontal="center"/>
    </xf>
    <xf numFmtId="0" fontId="26" fillId="0" borderId="0" xfId="951" applyFont="1" applyAlignment="1">
      <alignment horizontal="center"/>
    </xf>
    <xf numFmtId="0" fontId="26" fillId="25" borderId="0" xfId="951" applyFont="1" applyFill="1" applyAlignment="1">
      <alignment horizontal="center"/>
    </xf>
    <xf numFmtId="0" fontId="26" fillId="0" borderId="0" xfId="951" applyFont="1" applyBorder="1" applyAlignment="1">
      <alignment horizontal="center"/>
    </xf>
    <xf numFmtId="0" fontId="25" fillId="0" borderId="1" xfId="951" applyFont="1" applyFill="1" applyBorder="1" applyAlignment="1">
      <alignment horizontal="center"/>
    </xf>
    <xf numFmtId="0" fontId="25" fillId="0" borderId="1" xfId="951" applyFont="1" applyBorder="1" applyAlignment="1">
      <alignment horizontal="center"/>
    </xf>
    <xf numFmtId="0" fontId="25" fillId="0" borderId="0" xfId="951" applyFont="1" applyBorder="1" applyAlignment="1">
      <alignment horizontal="center"/>
    </xf>
    <xf numFmtId="0" fontId="25" fillId="25" borderId="1" xfId="951" applyFont="1" applyFill="1" applyBorder="1" applyAlignment="1">
      <alignment horizontal="center"/>
    </xf>
    <xf numFmtId="0" fontId="25" fillId="0" borderId="0" xfId="951" applyFont="1" applyAlignment="1">
      <alignment horizontal="center"/>
    </xf>
    <xf numFmtId="0" fontId="25" fillId="0" borderId="0" xfId="951" quotePrefix="1" applyFont="1" applyAlignment="1">
      <alignment horizontal="center"/>
    </xf>
    <xf numFmtId="0" fontId="25" fillId="25" borderId="0" xfId="951" applyFont="1" applyFill="1" applyAlignment="1">
      <alignment horizontal="center"/>
    </xf>
    <xf numFmtId="166" fontId="25" fillId="0" borderId="3" xfId="951" applyNumberFormat="1" applyFont="1" applyBorder="1"/>
    <xf numFmtId="166" fontId="25" fillId="0" borderId="0" xfId="951" applyNumberFormat="1" applyFont="1"/>
    <xf numFmtId="167" fontId="25" fillId="0" borderId="0" xfId="952" applyNumberFormat="1" applyFont="1" applyBorder="1"/>
    <xf numFmtId="167" fontId="27" fillId="0" borderId="0" xfId="952" applyNumberFormat="1" applyFont="1" applyBorder="1"/>
    <xf numFmtId="43" fontId="25" fillId="0" borderId="3" xfId="953" applyFont="1" applyBorder="1"/>
    <xf numFmtId="166" fontId="25" fillId="25" borderId="3" xfId="951" applyNumberFormat="1" applyFont="1" applyFill="1" applyBorder="1"/>
    <xf numFmtId="166" fontId="25" fillId="0" borderId="0" xfId="951" applyNumberFormat="1" applyFont="1" applyBorder="1"/>
    <xf numFmtId="167" fontId="25" fillId="0" borderId="0" xfId="952" applyNumberFormat="1" applyFont="1"/>
    <xf numFmtId="166" fontId="25" fillId="25" borderId="0" xfId="951" applyNumberFormat="1" applyFont="1" applyFill="1"/>
    <xf numFmtId="0" fontId="25" fillId="0" borderId="0" xfId="951" quotePrefix="1" applyFont="1"/>
    <xf numFmtId="166" fontId="25" fillId="0" borderId="5" xfId="951" applyNumberFormat="1" applyFont="1" applyBorder="1"/>
    <xf numFmtId="0" fontId="25" fillId="0" borderId="5" xfId="951" applyFont="1" applyBorder="1"/>
    <xf numFmtId="0" fontId="25" fillId="25" borderId="5" xfId="951" applyFont="1" applyFill="1" applyBorder="1"/>
    <xf numFmtId="0" fontId="25" fillId="0" borderId="0" xfId="951" applyFont="1" applyAlignment="1">
      <alignment horizontal="right"/>
    </xf>
    <xf numFmtId="0" fontId="27" fillId="2" borderId="0" xfId="951" applyFont="1" applyFill="1"/>
    <xf numFmtId="38" fontId="27" fillId="2" borderId="0" xfId="951" applyNumberFormat="1" applyFont="1" applyFill="1"/>
    <xf numFmtId="0" fontId="25" fillId="2" borderId="0" xfId="951" applyFont="1" applyFill="1"/>
    <xf numFmtId="0" fontId="26" fillId="25" borderId="0" xfId="951" applyFont="1" applyFill="1" applyAlignment="1">
      <alignment horizontal="center"/>
    </xf>
    <xf numFmtId="0" fontId="70" fillId="31" borderId="0" xfId="951" applyFont="1" applyFill="1"/>
    <xf numFmtId="0" fontId="25" fillId="0" borderId="0" xfId="0" applyFont="1" applyAlignment="1">
      <alignment horizontal="left" wrapText="1"/>
    </xf>
    <xf numFmtId="17" fontId="25" fillId="0" borderId="0" xfId="323" applyNumberFormat="1" applyFont="1"/>
    <xf numFmtId="38" fontId="25" fillId="0" borderId="0" xfId="323" applyNumberFormat="1" applyFont="1"/>
    <xf numFmtId="38" fontId="25" fillId="0" borderId="0" xfId="323" applyNumberFormat="1" applyFont="1" applyAlignment="1">
      <alignment horizontal="right"/>
    </xf>
    <xf numFmtId="9" fontId="25" fillId="0" borderId="0" xfId="323" applyNumberFormat="1" applyFont="1"/>
    <xf numFmtId="17" fontId="66" fillId="0" borderId="0" xfId="323" applyNumberFormat="1" applyFont="1"/>
    <xf numFmtId="17" fontId="66" fillId="0" borderId="0" xfId="323" quotePrefix="1" applyNumberFormat="1" applyFont="1"/>
    <xf numFmtId="17" fontId="66" fillId="0" borderId="0" xfId="323" applyNumberFormat="1" applyFont="1" applyAlignment="1">
      <alignment horizontal="right"/>
    </xf>
    <xf numFmtId="0" fontId="72" fillId="0" borderId="16" xfId="0" applyFont="1" applyBorder="1"/>
    <xf numFmtId="170" fontId="25" fillId="0" borderId="0" xfId="323" applyNumberFormat="1" applyFont="1"/>
    <xf numFmtId="170" fontId="25" fillId="0" borderId="5" xfId="323" applyNumberFormat="1" applyFont="1" applyBorder="1"/>
    <xf numFmtId="170" fontId="72" fillId="0" borderId="16" xfId="323" applyNumberFormat="1" applyFont="1" applyBorder="1"/>
    <xf numFmtId="170" fontId="72" fillId="0" borderId="16" xfId="0" applyNumberFormat="1" applyFont="1" applyBorder="1"/>
    <xf numFmtId="0" fontId="25" fillId="0" borderId="16" xfId="0" applyFont="1" applyBorder="1"/>
    <xf numFmtId="0" fontId="4" fillId="0" borderId="0" xfId="835" applyFont="1" applyAlignment="1" applyProtection="1">
      <protection locked="0"/>
    </xf>
    <xf numFmtId="0" fontId="72" fillId="0" borderId="0" xfId="0" applyFont="1" applyBorder="1"/>
    <xf numFmtId="170" fontId="72" fillId="0" borderId="0" xfId="323" applyNumberFormat="1" applyFont="1" applyBorder="1"/>
    <xf numFmtId="170" fontId="72" fillId="0" borderId="0" xfId="0" applyNumberFormat="1" applyFont="1" applyBorder="1"/>
    <xf numFmtId="0" fontId="66" fillId="0" borderId="0" xfId="0" applyFont="1" applyBorder="1"/>
    <xf numFmtId="0" fontId="73" fillId="0" borderId="0" xfId="0" applyFont="1" applyAlignment="1">
      <alignment vertical="center"/>
    </xf>
    <xf numFmtId="0" fontId="25" fillId="0" borderId="0" xfId="0" applyFont="1" applyAlignment="1">
      <alignment wrapText="1"/>
    </xf>
    <xf numFmtId="0" fontId="74" fillId="0" borderId="0" xfId="0" applyFont="1" applyAlignment="1">
      <alignment vertical="center"/>
    </xf>
    <xf numFmtId="0" fontId="75" fillId="0" borderId="0" xfId="0" applyFont="1" applyAlignment="1">
      <alignment horizontal="left" vertical="center" indent="1"/>
    </xf>
    <xf numFmtId="0" fontId="22" fillId="0" borderId="33" xfId="378" applyFont="1" applyBorder="1"/>
    <xf numFmtId="0" fontId="22" fillId="0" borderId="5" xfId="378" applyFont="1" applyBorder="1"/>
    <xf numFmtId="0" fontId="22" fillId="0" borderId="34" xfId="378" applyFont="1" applyBorder="1"/>
    <xf numFmtId="0" fontId="66" fillId="0" borderId="35" xfId="950" applyFont="1" applyBorder="1"/>
    <xf numFmtId="0" fontId="66" fillId="0" borderId="0" xfId="950" applyFont="1" applyBorder="1"/>
    <xf numFmtId="0" fontId="69" fillId="0" borderId="0" xfId="0" applyFont="1" applyBorder="1"/>
    <xf numFmtId="0" fontId="22" fillId="0" borderId="0" xfId="378" applyFont="1" applyBorder="1"/>
    <xf numFmtId="0" fontId="69" fillId="0" borderId="15" xfId="0" applyFont="1" applyBorder="1"/>
    <xf numFmtId="0" fontId="64" fillId="0" borderId="0" xfId="950" applyFont="1" applyBorder="1"/>
    <xf numFmtId="0" fontId="69" fillId="0" borderId="0" xfId="378" applyFont="1" applyBorder="1"/>
    <xf numFmtId="3" fontId="66" fillId="0" borderId="0" xfId="950" applyNumberFormat="1" applyFont="1" applyBorder="1"/>
    <xf numFmtId="3" fontId="64" fillId="0" borderId="0" xfId="950" applyNumberFormat="1" applyFont="1" applyBorder="1"/>
    <xf numFmtId="167" fontId="66" fillId="0" borderId="0" xfId="6" applyNumberFormat="1" applyFont="1" applyBorder="1"/>
    <xf numFmtId="167" fontId="66" fillId="0" borderId="0" xfId="950" applyNumberFormat="1" applyFont="1" applyBorder="1"/>
    <xf numFmtId="0" fontId="22" fillId="0" borderId="36" xfId="378" applyFont="1" applyBorder="1"/>
    <xf numFmtId="0" fontId="22" fillId="0" borderId="2" xfId="378" applyFont="1" applyBorder="1"/>
    <xf numFmtId="0" fontId="22" fillId="0" borderId="37" xfId="378" applyFont="1" applyBorder="1"/>
    <xf numFmtId="0" fontId="25" fillId="0" borderId="0" xfId="378" applyFont="1" applyAlignment="1">
      <alignment horizontal="right"/>
    </xf>
    <xf numFmtId="166" fontId="25" fillId="2" borderId="0" xfId="951" applyNumberFormat="1" applyFont="1" applyFill="1"/>
    <xf numFmtId="0" fontId="25" fillId="0" borderId="0" xfId="0" applyFont="1" applyBorder="1" applyAlignment="1">
      <alignment horizontal="centerContinuous"/>
    </xf>
    <xf numFmtId="168" fontId="25" fillId="0" borderId="0" xfId="0" applyNumberFormat="1" applyFont="1" applyBorder="1" applyAlignment="1">
      <alignment horizontal="centerContinuous"/>
    </xf>
    <xf numFmtId="0" fontId="76" fillId="0" borderId="0" xfId="0" applyFont="1" applyBorder="1"/>
    <xf numFmtId="176" fontId="25" fillId="0" borderId="3" xfId="0" applyNumberFormat="1" applyFont="1" applyBorder="1"/>
    <xf numFmtId="176" fontId="25" fillId="0" borderId="0" xfId="0" applyNumberFormat="1" applyFont="1"/>
    <xf numFmtId="176" fontId="25" fillId="0" borderId="0" xfId="0" applyNumberFormat="1" applyFont="1" applyAlignment="1">
      <alignment horizontal="right"/>
    </xf>
    <xf numFmtId="0" fontId="67" fillId="0" borderId="0" xfId="0" applyFont="1"/>
    <xf numFmtId="0" fontId="77" fillId="0" borderId="0" xfId="0" quotePrefix="1" applyFont="1"/>
    <xf numFmtId="0" fontId="77" fillId="0" borderId="0" xfId="0" applyFont="1"/>
    <xf numFmtId="0" fontId="77" fillId="0" borderId="0" xfId="0" quotePrefix="1" applyFont="1" applyBorder="1"/>
    <xf numFmtId="166" fontId="77" fillId="0" borderId="0" xfId="0" quotePrefix="1" applyNumberFormat="1" applyFont="1"/>
    <xf numFmtId="166" fontId="77" fillId="0" borderId="0" xfId="0" quotePrefix="1" applyNumberFormat="1" applyFont="1" applyBorder="1"/>
    <xf numFmtId="166" fontId="77" fillId="0" borderId="0" xfId="0" quotePrefix="1" applyNumberFormat="1" applyFont="1" applyBorder="1" applyAlignment="1">
      <alignment horizontal="center"/>
    </xf>
    <xf numFmtId="166" fontId="77" fillId="0" borderId="0" xfId="272" quotePrefix="1" applyNumberFormat="1" applyFont="1" applyBorder="1" applyAlignment="1">
      <alignment horizontal="center"/>
    </xf>
    <xf numFmtId="0" fontId="77" fillId="0" borderId="0" xfId="0" quotePrefix="1" applyFont="1" applyAlignment="1">
      <alignment horizontal="center"/>
    </xf>
    <xf numFmtId="0" fontId="25" fillId="0" borderId="0" xfId="0" quotePrefix="1" applyFont="1" applyBorder="1" applyAlignment="1">
      <alignment horizontal="left"/>
    </xf>
    <xf numFmtId="0" fontId="25" fillId="0" borderId="0" xfId="0" quotePrefix="1" applyFont="1" applyBorder="1" applyAlignment="1">
      <alignment horizontal="right"/>
    </xf>
    <xf numFmtId="164" fontId="25" fillId="35" borderId="0" xfId="274" applyNumberFormat="1" applyFont="1" applyFill="1" applyAlignment="1" applyProtection="1">
      <alignment horizontal="left"/>
    </xf>
    <xf numFmtId="0" fontId="77" fillId="0" borderId="0" xfId="0" quotePrefix="1" applyFont="1" applyFill="1"/>
    <xf numFmtId="0" fontId="26" fillId="0" borderId="0" xfId="0" applyFont="1" applyAlignment="1">
      <alignment horizontal="center"/>
    </xf>
    <xf numFmtId="0" fontId="26" fillId="0" borderId="0" xfId="0" applyFont="1" applyAlignment="1">
      <alignment horizontal="center"/>
    </xf>
    <xf numFmtId="165" fontId="25" fillId="0" borderId="0" xfId="0" applyNumberFormat="1" applyFont="1"/>
    <xf numFmtId="0" fontId="78" fillId="27" borderId="0" xfId="0" applyFont="1" applyFill="1" applyAlignment="1">
      <alignment horizontal="right"/>
    </xf>
    <xf numFmtId="0" fontId="25" fillId="28" borderId="0" xfId="0" applyFont="1" applyFill="1"/>
    <xf numFmtId="166" fontId="25" fillId="27" borderId="0" xfId="0" applyNumberFormat="1" applyFont="1" applyFill="1"/>
    <xf numFmtId="166" fontId="25" fillId="27" borderId="0" xfId="0" applyNumberFormat="1" applyFont="1" applyFill="1" applyBorder="1"/>
    <xf numFmtId="166" fontId="25" fillId="27" borderId="2" xfId="0" applyNumberFormat="1" applyFont="1" applyFill="1" applyBorder="1"/>
    <xf numFmtId="37" fontId="25" fillId="0" borderId="0" xfId="0" applyNumberFormat="1" applyFont="1"/>
    <xf numFmtId="175" fontId="27" fillId="0" borderId="0" xfId="0" applyNumberFormat="1" applyFont="1"/>
    <xf numFmtId="37" fontId="79" fillId="27" borderId="5" xfId="341" applyNumberFormat="1" applyFont="1" applyFill="1" applyBorder="1"/>
    <xf numFmtId="0" fontId="80" fillId="27" borderId="0" xfId="0" applyFont="1" applyFill="1"/>
    <xf numFmtId="176" fontId="25" fillId="2" borderId="0" xfId="0" applyNumberFormat="1" applyFont="1" applyFill="1"/>
    <xf numFmtId="0" fontId="56" fillId="0" borderId="0" xfId="0" applyFont="1"/>
    <xf numFmtId="0" fontId="25" fillId="0" borderId="2" xfId="0" applyFont="1" applyBorder="1" applyAlignment="1">
      <alignment horizontal="center"/>
    </xf>
    <xf numFmtId="10" fontId="26" fillId="0" borderId="0" xfId="6" applyNumberFormat="1" applyFont="1" applyAlignment="1">
      <alignment horizontal="center"/>
    </xf>
    <xf numFmtId="0" fontId="56" fillId="0" borderId="0" xfId="0" applyFont="1" applyAlignment="1">
      <alignment horizontal="right"/>
    </xf>
    <xf numFmtId="0" fontId="56" fillId="0" borderId="0" xfId="0" applyFont="1" applyBorder="1"/>
    <xf numFmtId="0" fontId="26" fillId="0" borderId="0" xfId="0" applyFont="1" applyBorder="1"/>
    <xf numFmtId="170" fontId="56" fillId="0" borderId="0" xfId="0" applyNumberFormat="1" applyFont="1" applyBorder="1"/>
    <xf numFmtId="10" fontId="26" fillId="0" borderId="0" xfId="6" applyNumberFormat="1" applyFont="1" applyBorder="1" applyAlignment="1">
      <alignment horizontal="center"/>
    </xf>
    <xf numFmtId="4" fontId="56" fillId="0" borderId="0" xfId="0" applyNumberFormat="1" applyFont="1" applyBorder="1"/>
    <xf numFmtId="0" fontId="56" fillId="0" borderId="0" xfId="0" applyFont="1" applyBorder="1" applyAlignment="1">
      <alignment horizontal="center"/>
    </xf>
    <xf numFmtId="3" fontId="56" fillId="0" borderId="0" xfId="0" applyNumberFormat="1" applyFont="1" applyBorder="1"/>
    <xf numFmtId="177" fontId="25" fillId="0" borderId="0" xfId="954" applyNumberFormat="1" applyFont="1" applyBorder="1"/>
    <xf numFmtId="0" fontId="26" fillId="0" borderId="0" xfId="955" applyFont="1"/>
    <xf numFmtId="177" fontId="25" fillId="0" borderId="38" xfId="954" applyNumberFormat="1" applyFont="1" applyBorder="1"/>
    <xf numFmtId="177" fontId="25" fillId="0" borderId="5" xfId="954" applyNumberFormat="1" applyFont="1" applyBorder="1"/>
    <xf numFmtId="4" fontId="25" fillId="0" borderId="0" xfId="0" applyNumberFormat="1" applyFont="1" applyBorder="1"/>
    <xf numFmtId="0" fontId="25" fillId="0" borderId="0" xfId="955" quotePrefix="1" applyFont="1"/>
    <xf numFmtId="177" fontId="25" fillId="0" borderId="0" xfId="954" applyNumberFormat="1" applyFont="1"/>
    <xf numFmtId="0" fontId="25" fillId="0" borderId="0" xfId="955" applyFont="1"/>
    <xf numFmtId="0" fontId="56" fillId="0" borderId="0" xfId="955" quotePrefix="1" applyFont="1" applyBorder="1"/>
    <xf numFmtId="0" fontId="56" fillId="0" borderId="0" xfId="955" applyFont="1" applyBorder="1"/>
    <xf numFmtId="0" fontId="60" fillId="0" borderId="0" xfId="955" applyFont="1" applyBorder="1"/>
    <xf numFmtId="177" fontId="56" fillId="0" borderId="0" xfId="954" applyNumberFormat="1" applyFont="1" applyBorder="1"/>
    <xf numFmtId="0" fontId="56" fillId="0" borderId="0" xfId="955" applyFont="1"/>
    <xf numFmtId="167" fontId="56" fillId="0" borderId="0" xfId="6" applyNumberFormat="1" applyFont="1" applyBorder="1"/>
    <xf numFmtId="177" fontId="25" fillId="0" borderId="0" xfId="955" applyNumberFormat="1" applyFont="1"/>
    <xf numFmtId="0" fontId="26" fillId="0" borderId="0" xfId="0" applyFont="1" applyAlignment="1">
      <alignment horizontal="center"/>
    </xf>
    <xf numFmtId="0" fontId="26" fillId="25" borderId="0" xfId="0" applyFont="1" applyFill="1" applyAlignment="1">
      <alignment horizontal="center"/>
    </xf>
    <xf numFmtId="0" fontId="25" fillId="0" borderId="0" xfId="0" applyFont="1" applyAlignment="1">
      <alignment horizontal="left" wrapText="1"/>
    </xf>
    <xf numFmtId="0" fontId="26" fillId="0" borderId="0" xfId="0" applyFont="1" applyBorder="1" applyAlignment="1">
      <alignment horizontal="center"/>
    </xf>
    <xf numFmtId="166" fontId="25" fillId="0" borderId="0" xfId="0" applyNumberFormat="1" applyFont="1" applyFill="1" applyBorder="1"/>
    <xf numFmtId="166" fontId="77" fillId="0" borderId="0" xfId="0" quotePrefix="1" applyNumberFormat="1" applyFont="1" applyFill="1" applyBorder="1" applyAlignment="1">
      <alignment horizontal="center"/>
    </xf>
    <xf numFmtId="167" fontId="27" fillId="0" borderId="0" xfId="1042" applyNumberFormat="1" applyFont="1" applyBorder="1"/>
    <xf numFmtId="0" fontId="25" fillId="0" borderId="0" xfId="1043" applyFont="1"/>
    <xf numFmtId="0" fontId="25" fillId="0" borderId="0" xfId="1044" applyFont="1" applyAlignment="1">
      <alignment horizontal="right"/>
    </xf>
    <xf numFmtId="168" fontId="25" fillId="0" borderId="0" xfId="0" applyNumberFormat="1" applyFont="1" applyFill="1"/>
    <xf numFmtId="167" fontId="27" fillId="0" borderId="0" xfId="1042" applyNumberFormat="1" applyFont="1" applyFill="1" applyBorder="1"/>
    <xf numFmtId="0" fontId="25" fillId="0" borderId="0" xfId="0" quotePrefix="1" applyFont="1" applyFill="1"/>
    <xf numFmtId="0" fontId="25" fillId="0" borderId="0" xfId="0" applyFont="1" applyBorder="1" applyAlignment="1">
      <alignment horizontal="left" wrapText="1"/>
    </xf>
    <xf numFmtId="166" fontId="25" fillId="0" borderId="2" xfId="0" applyNumberFormat="1" applyFont="1" applyFill="1" applyBorder="1"/>
    <xf numFmtId="0" fontId="26" fillId="0" borderId="0" xfId="0" applyFont="1" applyAlignment="1">
      <alignment horizontal="center"/>
    </xf>
    <xf numFmtId="0" fontId="26" fillId="25" borderId="0" xfId="0" applyFont="1" applyFill="1" applyAlignment="1">
      <alignment horizontal="center"/>
    </xf>
    <xf numFmtId="0" fontId="26" fillId="0" borderId="0" xfId="0" applyFont="1" applyBorder="1" applyAlignment="1">
      <alignment horizontal="center"/>
    </xf>
    <xf numFmtId="168" fontId="25" fillId="0" borderId="0" xfId="0" applyNumberFormat="1" applyFont="1" applyFill="1" applyBorder="1"/>
    <xf numFmtId="176" fontId="22" fillId="0" borderId="0" xfId="378" applyNumberFormat="1" applyFont="1"/>
    <xf numFmtId="43" fontId="56" fillId="0" borderId="0" xfId="0" applyNumberFormat="1" applyFont="1" applyBorder="1"/>
    <xf numFmtId="0" fontId="25" fillId="0" borderId="0" xfId="0" quotePrefix="1" applyFont="1" applyFill="1" applyBorder="1"/>
    <xf numFmtId="177" fontId="56" fillId="0" borderId="0" xfId="954" applyNumberFormat="1" applyFont="1" applyFill="1" applyBorder="1"/>
    <xf numFmtId="0" fontId="77" fillId="0" borderId="0" xfId="0" quotePrefix="1" applyFont="1" applyFill="1" applyAlignment="1">
      <alignment horizontal="center"/>
    </xf>
    <xf numFmtId="37" fontId="79" fillId="27" borderId="0" xfId="341" applyNumberFormat="1" applyFont="1" applyFill="1" applyBorder="1"/>
    <xf numFmtId="166" fontId="25" fillId="28" borderId="0" xfId="0" applyNumberFormat="1" applyFont="1" applyFill="1"/>
    <xf numFmtId="166" fontId="25" fillId="28" borderId="1" xfId="0" applyNumberFormat="1" applyFont="1" applyFill="1" applyBorder="1"/>
    <xf numFmtId="0" fontId="25" fillId="0" borderId="0" xfId="300" applyFont="1" applyFill="1" applyAlignment="1">
      <alignment horizontal="center"/>
    </xf>
    <xf numFmtId="0" fontId="56" fillId="0" borderId="0" xfId="378" applyFont="1"/>
    <xf numFmtId="0" fontId="25" fillId="0" borderId="2" xfId="378" applyFont="1" applyBorder="1" applyAlignment="1">
      <alignment horizontal="center"/>
    </xf>
    <xf numFmtId="0" fontId="25" fillId="0" borderId="0" xfId="378" applyFont="1" applyBorder="1" applyAlignment="1">
      <alignment horizontal="center"/>
    </xf>
    <xf numFmtId="0" fontId="26" fillId="0" borderId="0" xfId="378" applyFont="1" applyFill="1" applyBorder="1" applyAlignment="1">
      <alignment horizontal="center"/>
    </xf>
    <xf numFmtId="0" fontId="26" fillId="0" borderId="5" xfId="378" applyFont="1" applyBorder="1" applyAlignment="1">
      <alignment horizontal="center"/>
    </xf>
    <xf numFmtId="0" fontId="56" fillId="0" borderId="0" xfId="378" applyFont="1" applyAlignment="1">
      <alignment horizontal="center"/>
    </xf>
    <xf numFmtId="3" fontId="56" fillId="0" borderId="0" xfId="378" applyNumberFormat="1" applyFont="1"/>
    <xf numFmtId="170" fontId="77" fillId="0" borderId="0" xfId="378" quotePrefix="1" applyNumberFormat="1" applyFont="1" applyAlignment="1">
      <alignment horizontal="center"/>
    </xf>
    <xf numFmtId="4" fontId="56" fillId="0" borderId="0" xfId="378" applyNumberFormat="1" applyFont="1"/>
    <xf numFmtId="0" fontId="56" fillId="0" borderId="0" xfId="378" quotePrefix="1" applyFont="1"/>
    <xf numFmtId="4" fontId="26" fillId="0" borderId="0" xfId="378" applyNumberFormat="1" applyFont="1"/>
    <xf numFmtId="4" fontId="56" fillId="0" borderId="0" xfId="378" applyNumberFormat="1" applyFont="1" applyFill="1"/>
    <xf numFmtId="0" fontId="56" fillId="0" borderId="0" xfId="378" applyFont="1" applyFill="1"/>
    <xf numFmtId="0" fontId="25" fillId="0" borderId="0" xfId="378" applyFont="1" applyFill="1"/>
    <xf numFmtId="0" fontId="25" fillId="0" borderId="0" xfId="1045" applyFont="1" applyAlignment="1">
      <alignment horizontal="right"/>
    </xf>
    <xf numFmtId="166" fontId="25" fillId="0" borderId="1" xfId="0" applyNumberFormat="1" applyFont="1" applyFill="1" applyBorder="1"/>
    <xf numFmtId="0" fontId="66" fillId="0" borderId="0" xfId="0" applyFont="1"/>
    <xf numFmtId="164" fontId="82" fillId="0" borderId="0" xfId="4" applyFont="1" applyFill="1"/>
    <xf numFmtId="0" fontId="66" fillId="0" borderId="0" xfId="0" applyFont="1" applyAlignment="1">
      <alignment horizontal="left"/>
    </xf>
    <xf numFmtId="0" fontId="66" fillId="0" borderId="0" xfId="0" quotePrefix="1" applyFont="1"/>
    <xf numFmtId="0" fontId="66" fillId="0" borderId="0" xfId="0" applyFont="1" applyAlignment="1">
      <alignment horizontal="center"/>
    </xf>
    <xf numFmtId="0" fontId="26" fillId="25" borderId="0" xfId="275" applyFont="1" applyFill="1" applyAlignment="1">
      <alignment horizontal="center"/>
    </xf>
    <xf numFmtId="0" fontId="26" fillId="25" borderId="0" xfId="300" applyFont="1" applyFill="1" applyAlignment="1">
      <alignment horizontal="center"/>
    </xf>
    <xf numFmtId="0" fontId="26" fillId="25" borderId="0" xfId="275" applyFont="1" applyFill="1" applyBorder="1" applyAlignment="1">
      <alignment horizontal="center"/>
    </xf>
    <xf numFmtId="0" fontId="26" fillId="0" borderId="0" xfId="0" applyFont="1" applyAlignment="1">
      <alignment horizontal="center"/>
    </xf>
    <xf numFmtId="0" fontId="26" fillId="25" borderId="0" xfId="300" applyFont="1" applyFill="1" applyBorder="1" applyAlignment="1">
      <alignment horizontal="center"/>
    </xf>
    <xf numFmtId="164" fontId="24" fillId="0" borderId="0" xfId="1" quotePrefix="1" applyNumberFormat="1" applyFont="1" applyFill="1" applyBorder="1" applyAlignment="1" applyProtection="1">
      <alignment horizontal="center"/>
    </xf>
    <xf numFmtId="164" fontId="26" fillId="0" borderId="0" xfId="1" applyNumberFormat="1" applyFont="1" applyBorder="1" applyAlignment="1" applyProtection="1">
      <alignment horizontal="center"/>
    </xf>
    <xf numFmtId="164" fontId="24" fillId="0" borderId="0" xfId="1" applyNumberFormat="1" applyFont="1" applyFill="1" applyBorder="1" applyAlignment="1" applyProtection="1">
      <alignment horizontal="center"/>
    </xf>
    <xf numFmtId="164" fontId="24" fillId="0" borderId="0" xfId="5" applyFont="1" applyFill="1" applyBorder="1" applyAlignment="1" applyProtection="1">
      <alignment horizontal="center"/>
    </xf>
    <xf numFmtId="0" fontId="26" fillId="25" borderId="0" xfId="323" applyFont="1" applyFill="1" applyBorder="1" applyAlignment="1">
      <alignment horizontal="center"/>
    </xf>
    <xf numFmtId="0" fontId="26" fillId="25" borderId="0" xfId="323" applyFont="1" applyFill="1" applyAlignment="1">
      <alignment horizontal="center"/>
    </xf>
    <xf numFmtId="0" fontId="26" fillId="25" borderId="0" xfId="0" applyFont="1" applyFill="1" applyAlignment="1">
      <alignment horizontal="center"/>
    </xf>
    <xf numFmtId="0" fontId="26" fillId="25" borderId="0" xfId="0" applyFont="1" applyFill="1" applyBorder="1" applyAlignment="1">
      <alignment horizontal="center"/>
    </xf>
    <xf numFmtId="0" fontId="25" fillId="0" borderId="0" xfId="0" applyFont="1" applyAlignment="1">
      <alignment horizontal="left" wrapText="1"/>
    </xf>
    <xf numFmtId="0" fontId="66" fillId="0" borderId="0" xfId="950" applyFont="1" applyBorder="1" applyAlignment="1">
      <alignment horizontal="center" wrapText="1"/>
    </xf>
    <xf numFmtId="168" fontId="25" fillId="0" borderId="0" xfId="378" applyNumberFormat="1" applyFont="1" applyAlignment="1">
      <alignment horizontal="left" wrapText="1"/>
    </xf>
    <xf numFmtId="0" fontId="25" fillId="0" borderId="0" xfId="378" applyFont="1" applyAlignment="1">
      <alignment horizontal="left" wrapText="1"/>
    </xf>
    <xf numFmtId="0" fontId="25" fillId="0" borderId="0" xfId="378" applyFont="1" applyAlignment="1">
      <alignment horizontal="center" wrapText="1"/>
    </xf>
    <xf numFmtId="0" fontId="18" fillId="0" borderId="0" xfId="0" applyFont="1" applyAlignment="1">
      <alignment horizontal="left" wrapText="1"/>
    </xf>
    <xf numFmtId="0" fontId="0" fillId="0" borderId="0" xfId="0" applyAlignment="1">
      <alignment horizontal="left" wrapText="1"/>
    </xf>
    <xf numFmtId="0" fontId="27" fillId="29" borderId="20" xfId="950" applyFont="1" applyFill="1" applyBorder="1" applyAlignment="1">
      <alignment horizontal="left" vertical="center" wrapText="1"/>
    </xf>
    <xf numFmtId="0" fontId="27" fillId="29" borderId="22" xfId="950" applyFont="1" applyFill="1" applyBorder="1" applyAlignment="1">
      <alignment horizontal="left" vertical="center" wrapText="1"/>
    </xf>
    <xf numFmtId="0" fontId="61" fillId="29" borderId="0" xfId="378" quotePrefix="1" applyFont="1" applyFill="1" applyBorder="1" applyAlignment="1">
      <alignment horizontal="left" wrapText="1"/>
    </xf>
    <xf numFmtId="0" fontId="61" fillId="29" borderId="23" xfId="378" quotePrefix="1" applyFont="1" applyFill="1" applyBorder="1" applyAlignment="1">
      <alignment horizontal="left" wrapText="1"/>
    </xf>
    <xf numFmtId="0" fontId="27" fillId="29" borderId="17" xfId="950" applyFont="1" applyFill="1" applyBorder="1" applyAlignment="1">
      <alignment horizontal="left" vertical="center" wrapText="1"/>
    </xf>
    <xf numFmtId="0" fontId="61" fillId="29" borderId="18" xfId="378" quotePrefix="1" applyFont="1" applyFill="1" applyBorder="1" applyAlignment="1">
      <alignment horizontal="left" wrapText="1"/>
    </xf>
    <xf numFmtId="0" fontId="61" fillId="29" borderId="19" xfId="378" quotePrefix="1" applyFont="1" applyFill="1" applyBorder="1" applyAlignment="1">
      <alignment horizontal="left" wrapText="1"/>
    </xf>
    <xf numFmtId="0" fontId="61" fillId="29" borderId="21" xfId="378" quotePrefix="1" applyFont="1" applyFill="1" applyBorder="1" applyAlignment="1">
      <alignment horizontal="left" wrapText="1"/>
    </xf>
    <xf numFmtId="0" fontId="18" fillId="0" borderId="0" xfId="378" applyFont="1" applyAlignment="1">
      <alignment horizontal="left" wrapText="1"/>
    </xf>
    <xf numFmtId="0" fontId="18" fillId="0" borderId="0" xfId="378" applyAlignment="1">
      <alignment horizontal="left" wrapText="1"/>
    </xf>
    <xf numFmtId="0" fontId="18" fillId="29" borderId="0" xfId="378" quotePrefix="1" applyFont="1" applyFill="1" applyBorder="1" applyAlignment="1">
      <alignment horizontal="left" wrapText="1"/>
    </xf>
    <xf numFmtId="0" fontId="18" fillId="29" borderId="0" xfId="378" applyFill="1" applyBorder="1" applyAlignment="1">
      <alignment horizontal="left" wrapText="1"/>
    </xf>
    <xf numFmtId="0" fontId="18" fillId="29" borderId="21" xfId="378" applyFill="1" applyBorder="1" applyAlignment="1">
      <alignment horizontal="left" wrapText="1"/>
    </xf>
    <xf numFmtId="0" fontId="27" fillId="25" borderId="17" xfId="950" applyFont="1" applyFill="1" applyBorder="1" applyAlignment="1">
      <alignment horizontal="left" vertical="center" wrapText="1"/>
    </xf>
    <xf numFmtId="0" fontId="27" fillId="25" borderId="20" xfId="950" applyFont="1" applyFill="1" applyBorder="1" applyAlignment="1">
      <alignment horizontal="left" vertical="center" wrapText="1"/>
    </xf>
    <xf numFmtId="0" fontId="61" fillId="25" borderId="18" xfId="378" quotePrefix="1" applyFont="1" applyFill="1" applyBorder="1" applyAlignment="1">
      <alignment horizontal="left" wrapText="1"/>
    </xf>
    <xf numFmtId="0" fontId="61" fillId="25" borderId="19" xfId="378" quotePrefix="1" applyFont="1" applyFill="1" applyBorder="1" applyAlignment="1">
      <alignment horizontal="left" wrapText="1"/>
    </xf>
    <xf numFmtId="0" fontId="61" fillId="25" borderId="0" xfId="378" quotePrefix="1" applyFont="1" applyFill="1" applyBorder="1" applyAlignment="1">
      <alignment horizontal="left" wrapText="1"/>
    </xf>
    <xf numFmtId="0" fontId="61" fillId="25" borderId="21" xfId="378" quotePrefix="1" applyFont="1" applyFill="1" applyBorder="1" applyAlignment="1">
      <alignment horizontal="left" wrapText="1"/>
    </xf>
    <xf numFmtId="0" fontId="18" fillId="0" borderId="0" xfId="378" applyFont="1" applyAlignment="1">
      <alignment horizontal="left" vertical="top" wrapText="1"/>
    </xf>
    <xf numFmtId="0" fontId="25" fillId="0" borderId="0" xfId="950" applyFont="1" applyAlignment="1">
      <alignment horizontal="left" vertical="center" wrapText="1"/>
    </xf>
    <xf numFmtId="0" fontId="56" fillId="0" borderId="0" xfId="950" applyFont="1" applyAlignment="1">
      <alignment horizontal="left" wrapText="1"/>
    </xf>
    <xf numFmtId="0" fontId="65" fillId="0" borderId="0" xfId="0" applyFont="1" applyAlignment="1">
      <alignment horizontal="left" wrapText="1"/>
    </xf>
    <xf numFmtId="0" fontId="25" fillId="0" borderId="0" xfId="950" applyFont="1" applyAlignment="1">
      <alignment horizontal="left" wrapText="1"/>
    </xf>
    <xf numFmtId="0" fontId="26" fillId="25" borderId="0" xfId="950" applyFont="1" applyFill="1" applyBorder="1" applyAlignment="1">
      <alignment horizontal="center"/>
    </xf>
    <xf numFmtId="0" fontId="26" fillId="25" borderId="0" xfId="950" applyFont="1" applyFill="1" applyAlignment="1">
      <alignment horizontal="center"/>
    </xf>
    <xf numFmtId="164" fontId="24" fillId="0" borderId="0" xfId="1" quotePrefix="1" applyNumberFormat="1" applyFont="1" applyFill="1" applyBorder="1" applyAlignment="1" applyProtection="1">
      <alignment horizontal="center" wrapText="1"/>
    </xf>
    <xf numFmtId="164" fontId="26" fillId="0" borderId="0" xfId="1" applyNumberFormat="1" applyFont="1" applyBorder="1" applyAlignment="1" applyProtection="1">
      <alignment horizontal="center" wrapText="1"/>
    </xf>
    <xf numFmtId="0" fontId="0" fillId="0" borderId="0" xfId="0" applyAlignment="1">
      <alignment horizontal="center" wrapText="1"/>
    </xf>
    <xf numFmtId="164" fontId="24" fillId="0" borderId="0" xfId="1" applyNumberFormat="1" applyFont="1" applyFill="1" applyBorder="1" applyAlignment="1" applyProtection="1">
      <alignment horizontal="center" wrapText="1"/>
    </xf>
    <xf numFmtId="164" fontId="24" fillId="0" borderId="0" xfId="5" applyFont="1" applyFill="1" applyBorder="1" applyAlignment="1" applyProtection="1">
      <alignment horizontal="center" wrapText="1"/>
    </xf>
    <xf numFmtId="0" fontId="25" fillId="2" borderId="0" xfId="950" applyFont="1" applyFill="1" applyAlignment="1">
      <alignment horizontal="left" wrapText="1"/>
    </xf>
    <xf numFmtId="0" fontId="0" fillId="2" borderId="0" xfId="0" quotePrefix="1" applyFill="1" applyAlignment="1">
      <alignment horizontal="left" wrapText="1"/>
    </xf>
    <xf numFmtId="0" fontId="0" fillId="2" borderId="0" xfId="0" applyFill="1" applyAlignment="1">
      <alignment horizontal="left" wrapText="1"/>
    </xf>
    <xf numFmtId="0" fontId="25" fillId="31" borderId="0" xfId="950" applyFont="1" applyFill="1" applyAlignment="1">
      <alignment horizontal="left" wrapText="1"/>
    </xf>
    <xf numFmtId="0" fontId="25" fillId="34" borderId="0" xfId="950" applyFont="1" applyFill="1" applyAlignment="1">
      <alignment horizontal="left" wrapText="1"/>
    </xf>
    <xf numFmtId="0" fontId="25" fillId="33" borderId="0" xfId="950" applyFont="1" applyFill="1" applyAlignment="1">
      <alignment horizontal="left"/>
    </xf>
    <xf numFmtId="0" fontId="56" fillId="31" borderId="0" xfId="950" applyFont="1" applyFill="1" applyAlignment="1">
      <alignment horizontal="left" wrapText="1"/>
    </xf>
    <xf numFmtId="0" fontId="67" fillId="31" borderId="0" xfId="950" applyFont="1" applyFill="1" applyAlignment="1">
      <alignment horizontal="left" wrapText="1"/>
    </xf>
    <xf numFmtId="0" fontId="0" fillId="33" borderId="0" xfId="0" applyFill="1" applyAlignment="1" applyProtection="1">
      <alignment horizontal="left" wrapText="1"/>
      <protection locked="0"/>
    </xf>
    <xf numFmtId="0" fontId="25" fillId="33" borderId="0" xfId="950" applyFont="1" applyFill="1" applyAlignment="1">
      <alignment horizontal="left" wrapText="1"/>
    </xf>
    <xf numFmtId="0" fontId="25" fillId="32" borderId="0" xfId="950" applyFont="1" applyFill="1" applyAlignment="1">
      <alignment horizontal="left" wrapText="1"/>
    </xf>
    <xf numFmtId="0" fontId="0" fillId="31" borderId="0" xfId="0" quotePrefix="1" applyFill="1" applyAlignment="1">
      <alignment horizontal="left" wrapText="1"/>
    </xf>
    <xf numFmtId="0" fontId="0" fillId="31" borderId="0" xfId="0" applyFill="1" applyAlignment="1">
      <alignment horizontal="left" wrapText="1"/>
    </xf>
    <xf numFmtId="0" fontId="26" fillId="25" borderId="0" xfId="805" applyFont="1" applyFill="1" applyBorder="1" applyAlignment="1">
      <alignment horizontal="center"/>
    </xf>
    <xf numFmtId="0" fontId="26" fillId="25" borderId="0" xfId="805" applyFont="1" applyFill="1" applyAlignment="1">
      <alignment horizontal="center"/>
    </xf>
    <xf numFmtId="0" fontId="25" fillId="0" borderId="0" xfId="951" applyFont="1" applyAlignment="1">
      <alignment horizontal="left" wrapText="1"/>
    </xf>
    <xf numFmtId="0" fontId="71" fillId="0" borderId="0" xfId="951" quotePrefix="1" applyFont="1" applyAlignment="1">
      <alignment horizontal="left" wrapText="1"/>
    </xf>
    <xf numFmtId="0" fontId="71" fillId="0" borderId="0" xfId="951" applyFont="1" applyAlignment="1">
      <alignment horizontal="left" wrapText="1"/>
    </xf>
    <xf numFmtId="0" fontId="26" fillId="25" borderId="0" xfId="951" applyFont="1" applyFill="1" applyAlignment="1">
      <alignment horizontal="center"/>
    </xf>
    <xf numFmtId="0" fontId="26" fillId="25" borderId="0" xfId="951" applyFont="1" applyFill="1" applyBorder="1" applyAlignment="1">
      <alignment horizontal="center"/>
    </xf>
    <xf numFmtId="0" fontId="25" fillId="0" borderId="0" xfId="0" quotePrefix="1" applyFont="1" applyAlignment="1">
      <alignment horizontal="left" wrapText="1"/>
    </xf>
    <xf numFmtId="0" fontId="25" fillId="0" borderId="0" xfId="0" applyFont="1" applyFill="1" applyAlignment="1">
      <alignment horizontal="left" wrapText="1"/>
    </xf>
    <xf numFmtId="0" fontId="25" fillId="0" borderId="0" xfId="0" applyFont="1" applyBorder="1" applyAlignment="1">
      <alignment horizontal="left" wrapText="1"/>
    </xf>
    <xf numFmtId="0" fontId="26" fillId="0" borderId="0" xfId="378" applyFont="1" applyAlignment="1">
      <alignment horizontal="center"/>
    </xf>
    <xf numFmtId="0" fontId="26" fillId="0" borderId="0" xfId="378" applyFont="1" applyBorder="1" applyAlignment="1">
      <alignment horizontal="center" wrapText="1"/>
    </xf>
  </cellXfs>
  <cellStyles count="1046">
    <cellStyle name="20 % - Accent1 2" xfId="9"/>
    <cellStyle name="20 % - Accent2 2" xfId="10"/>
    <cellStyle name="20 % - Accent3 2" xfId="11"/>
    <cellStyle name="20 % - Accent4 2" xfId="12"/>
    <cellStyle name="20 % - Accent5 2" xfId="13"/>
    <cellStyle name="20 % - Accent6 2" xfId="14"/>
    <cellStyle name="20% - Accent1 2" xfId="15"/>
    <cellStyle name="20% - Accent1 3" xfId="16"/>
    <cellStyle name="20% - Accent1 4" xfId="17"/>
    <cellStyle name="20% - Accent1 5" xfId="18"/>
    <cellStyle name="20% - Accent2 2" xfId="19"/>
    <cellStyle name="20% - Accent2 3" xfId="20"/>
    <cellStyle name="20% - Accent2 4" xfId="21"/>
    <cellStyle name="20% - Accent2 5" xfId="22"/>
    <cellStyle name="20% - Accent3 2" xfId="23"/>
    <cellStyle name="20% - Accent3 3" xfId="24"/>
    <cellStyle name="20% - Accent3 4" xfId="25"/>
    <cellStyle name="20% - Accent3 5" xfId="26"/>
    <cellStyle name="20% - Accent4 2" xfId="27"/>
    <cellStyle name="20% - Accent4 3" xfId="28"/>
    <cellStyle name="20% - Accent4 4" xfId="29"/>
    <cellStyle name="20% - Accent4 5" xfId="30"/>
    <cellStyle name="20% - Accent5 2" xfId="31"/>
    <cellStyle name="20% - Accent5 3" xfId="32"/>
    <cellStyle name="20% - Accent5 4" xfId="33"/>
    <cellStyle name="20% - Accent5 5" xfId="34"/>
    <cellStyle name="20% - Accent6 2" xfId="35"/>
    <cellStyle name="20% - Accent6 3" xfId="36"/>
    <cellStyle name="20% - Accent6 4" xfId="37"/>
    <cellStyle name="20% - Accent6 5" xfId="38"/>
    <cellStyle name="40 % - Accent1 2" xfId="39"/>
    <cellStyle name="40 % - Accent2 2" xfId="40"/>
    <cellStyle name="40 % - Accent3 2" xfId="41"/>
    <cellStyle name="40 % - Accent4 2" xfId="42"/>
    <cellStyle name="40 % - Accent5 2" xfId="43"/>
    <cellStyle name="40 % - Accent6 2" xfId="44"/>
    <cellStyle name="40% - Accent1 2" xfId="45"/>
    <cellStyle name="40% - Accent1 3" xfId="46"/>
    <cellStyle name="40% - Accent1 4" xfId="47"/>
    <cellStyle name="40% - Accent1 5" xfId="48"/>
    <cellStyle name="40% - Accent2 2" xfId="49"/>
    <cellStyle name="40% - Accent2 3" xfId="50"/>
    <cellStyle name="40% - Accent2 4" xfId="51"/>
    <cellStyle name="40% - Accent2 5" xfId="52"/>
    <cellStyle name="40% - Accent3 2" xfId="53"/>
    <cellStyle name="40% - Accent3 3" xfId="54"/>
    <cellStyle name="40% - Accent3 4" xfId="55"/>
    <cellStyle name="40% - Accent3 5" xfId="56"/>
    <cellStyle name="40% - Accent4 2" xfId="57"/>
    <cellStyle name="40% - Accent4 3" xfId="58"/>
    <cellStyle name="40% - Accent4 4" xfId="59"/>
    <cellStyle name="40% - Accent4 5" xfId="60"/>
    <cellStyle name="40% - Accent5 2" xfId="61"/>
    <cellStyle name="40% - Accent5 3" xfId="62"/>
    <cellStyle name="40% - Accent5 4" xfId="63"/>
    <cellStyle name="40% - Accent5 5" xfId="64"/>
    <cellStyle name="40% - Accent6 2" xfId="65"/>
    <cellStyle name="40% - Accent6 3" xfId="66"/>
    <cellStyle name="40% - Accent6 4" xfId="67"/>
    <cellStyle name="40% - Accent6 5" xfId="68"/>
    <cellStyle name="60 % - Accent1 2" xfId="69"/>
    <cellStyle name="60 % - Accent2 2" xfId="70"/>
    <cellStyle name="60 % - Accent3 2" xfId="71"/>
    <cellStyle name="60 % - Accent4 2" xfId="72"/>
    <cellStyle name="60 % - Accent5 2" xfId="73"/>
    <cellStyle name="60 % - Accent6 2" xfId="74"/>
    <cellStyle name="60% - Accent1 2" xfId="75"/>
    <cellStyle name="60% - Accent1 3" xfId="76"/>
    <cellStyle name="60% - Accent1 4" xfId="77"/>
    <cellStyle name="60% - Accent1 5" xfId="78"/>
    <cellStyle name="60% - Accent2 2" xfId="79"/>
    <cellStyle name="60% - Accent2 3" xfId="80"/>
    <cellStyle name="60% - Accent2 4" xfId="81"/>
    <cellStyle name="60% - Accent2 5" xfId="82"/>
    <cellStyle name="60% - Accent3 2" xfId="83"/>
    <cellStyle name="60% - Accent3 3" xfId="84"/>
    <cellStyle name="60% - Accent3 4" xfId="85"/>
    <cellStyle name="60% - Accent3 5" xfId="86"/>
    <cellStyle name="60% - Accent4 2" xfId="87"/>
    <cellStyle name="60% - Accent4 3" xfId="88"/>
    <cellStyle name="60% - Accent4 4" xfId="89"/>
    <cellStyle name="60% - Accent4 5" xfId="90"/>
    <cellStyle name="60% - Accent5 2" xfId="91"/>
    <cellStyle name="60% - Accent5 3" xfId="92"/>
    <cellStyle name="60% - Accent5 4" xfId="93"/>
    <cellStyle name="60% - Accent5 5" xfId="94"/>
    <cellStyle name="60% - Accent6 2" xfId="95"/>
    <cellStyle name="60% - Accent6 3" xfId="96"/>
    <cellStyle name="60% - Accent6 4" xfId="97"/>
    <cellStyle name="60% - Accent6 5" xfId="98"/>
    <cellStyle name="Accent1 2" xfId="99"/>
    <cellStyle name="Accent1 3" xfId="100"/>
    <cellStyle name="Accent1 4" xfId="101"/>
    <cellStyle name="Accent1 5" xfId="102"/>
    <cellStyle name="Accent2 2" xfId="103"/>
    <cellStyle name="Accent2 3" xfId="104"/>
    <cellStyle name="Accent2 4" xfId="105"/>
    <cellStyle name="Accent2 5" xfId="106"/>
    <cellStyle name="Accent3 2" xfId="107"/>
    <cellStyle name="Accent3 3" xfId="108"/>
    <cellStyle name="Accent3 4" xfId="109"/>
    <cellStyle name="Accent3 5" xfId="110"/>
    <cellStyle name="Accent4 2" xfId="111"/>
    <cellStyle name="Accent4 3" xfId="112"/>
    <cellStyle name="Accent4 4" xfId="113"/>
    <cellStyle name="Accent4 5" xfId="114"/>
    <cellStyle name="Accent5 2" xfId="115"/>
    <cellStyle name="Accent5 3" xfId="116"/>
    <cellStyle name="Accent5 4" xfId="117"/>
    <cellStyle name="Accent5 5" xfId="118"/>
    <cellStyle name="Accent6 2" xfId="119"/>
    <cellStyle name="Accent6 3" xfId="120"/>
    <cellStyle name="Accent6 4" xfId="121"/>
    <cellStyle name="Accent6 5" xfId="122"/>
    <cellStyle name="Avertissement 2" xfId="123"/>
    <cellStyle name="Bad 2" xfId="124"/>
    <cellStyle name="Bad 3" xfId="125"/>
    <cellStyle name="Bad 4" xfId="126"/>
    <cellStyle name="Bad 5" xfId="127"/>
    <cellStyle name="Calcul 2" xfId="128"/>
    <cellStyle name="Calculation 2" xfId="129"/>
    <cellStyle name="Calculation 3" xfId="130"/>
    <cellStyle name="Calculation 4" xfId="131"/>
    <cellStyle name="Calculation 5" xfId="132"/>
    <cellStyle name="Cellule liée 2" xfId="133"/>
    <cellStyle name="Check Cell 2" xfId="134"/>
    <cellStyle name="Check Cell 3" xfId="135"/>
    <cellStyle name="Check Cell 4" xfId="136"/>
    <cellStyle name="Check Cell 5" xfId="137"/>
    <cellStyle name="Comma [0.0]" xfId="319"/>
    <cellStyle name="Comma 2" xfId="138"/>
    <cellStyle name="Comma 3" xfId="139"/>
    <cellStyle name="Comma 3 2" xfId="297"/>
    <cellStyle name="Comma 3 2 2" xfId="827"/>
    <cellStyle name="Comma 3 2 3" xfId="1035"/>
    <cellStyle name="Comma 3 3" xfId="362"/>
    <cellStyle name="Comma 3 4" xfId="856"/>
    <cellStyle name="Comma 3 5" xfId="894"/>
    <cellStyle name="Comma 3 6" xfId="933"/>
    <cellStyle name="Comma 3 7" xfId="976"/>
    <cellStyle name="Comma 4" xfId="140"/>
    <cellStyle name="Comma 5" xfId="141"/>
    <cellStyle name="Comma 5 2" xfId="310"/>
    <cellStyle name="Comma 5 2 2" xfId="823"/>
    <cellStyle name="Comma 5 2 3" xfId="1031"/>
    <cellStyle name="Comma 5 3" xfId="375"/>
    <cellStyle name="Comma 5 4" xfId="869"/>
    <cellStyle name="Comma 5 5" xfId="907"/>
    <cellStyle name="Comma 5 6" xfId="946"/>
    <cellStyle name="Comma 5 7" xfId="989"/>
    <cellStyle name="Comma 6" xfId="142"/>
    <cellStyle name="Commentaire 2" xfId="143"/>
    <cellStyle name="Currency_Final2000 TAA_Template" xfId="144"/>
    <cellStyle name="Entrée 2" xfId="145"/>
    <cellStyle name="Excel Built-in Normal" xfId="146"/>
    <cellStyle name="Exhibits" xfId="320"/>
    <cellStyle name="Explanatory Text 2" xfId="147"/>
    <cellStyle name="Explanatory Text 3" xfId="148"/>
    <cellStyle name="Explanatory Text 4" xfId="149"/>
    <cellStyle name="Explanatory Text 5" xfId="150"/>
    <cellStyle name="Good 2" xfId="151"/>
    <cellStyle name="Good 3" xfId="152"/>
    <cellStyle name="Good 4" xfId="153"/>
    <cellStyle name="Good 5" xfId="154"/>
    <cellStyle name="Heading 1 2" xfId="155"/>
    <cellStyle name="Heading 1 3" xfId="156"/>
    <cellStyle name="Heading 1 4" xfId="157"/>
    <cellStyle name="Heading 1 5" xfId="158"/>
    <cellStyle name="Heading 2 2" xfId="159"/>
    <cellStyle name="Heading 2 3" xfId="160"/>
    <cellStyle name="Heading 2 4" xfId="161"/>
    <cellStyle name="Heading 2 5" xfId="162"/>
    <cellStyle name="Heading 3 2" xfId="163"/>
    <cellStyle name="Heading 3 3" xfId="164"/>
    <cellStyle name="Heading 3 4" xfId="165"/>
    <cellStyle name="Heading 3 5" xfId="166"/>
    <cellStyle name="Heading 4 2" xfId="167"/>
    <cellStyle name="Heading 4 3" xfId="168"/>
    <cellStyle name="Heading 4 4" xfId="169"/>
    <cellStyle name="Heading 4 5" xfId="170"/>
    <cellStyle name="Hidden" xfId="321"/>
    <cellStyle name="Input 2" xfId="171"/>
    <cellStyle name="Input 3" xfId="172"/>
    <cellStyle name="Input 4" xfId="173"/>
    <cellStyle name="Input 5" xfId="174"/>
    <cellStyle name="Insatisfaisant 2" xfId="175"/>
    <cellStyle name="Linked Cell 2" xfId="176"/>
    <cellStyle name="Linked Cell 3" xfId="177"/>
    <cellStyle name="Linked Cell 4" xfId="178"/>
    <cellStyle name="Linked Cell 5" xfId="179"/>
    <cellStyle name="Milliers" xfId="954" builtinId="3"/>
    <cellStyle name="Milliers 10" xfId="953"/>
    <cellStyle name="Milliers 11" xfId="956"/>
    <cellStyle name="Milliers 2" xfId="180"/>
    <cellStyle name="Milliers 2 2" xfId="181"/>
    <cellStyle name="Milliers 2 2 2" xfId="314"/>
    <cellStyle name="Milliers 2 2 3" xfId="377"/>
    <cellStyle name="Milliers 2 2 4" xfId="872"/>
    <cellStyle name="Milliers 2 2 5" xfId="910"/>
    <cellStyle name="Milliers 2 2 6" xfId="949"/>
    <cellStyle name="Milliers 2 2 7" xfId="991"/>
    <cellStyle name="Milliers 2 3" xfId="182"/>
    <cellStyle name="Milliers 2 4" xfId="277"/>
    <cellStyle name="Milliers 2 5" xfId="837"/>
    <cellStyle name="Milliers 2 6" xfId="875"/>
    <cellStyle name="Milliers 2 7" xfId="914"/>
    <cellStyle name="Milliers 3" xfId="315"/>
    <cellStyle name="Milliers 3 2" xfId="786"/>
    <cellStyle name="Milliers 3 2 2" xfId="996"/>
    <cellStyle name="Milliers 3 3" xfId="780"/>
    <cellStyle name="Milliers 3 4" xfId="992"/>
    <cellStyle name="Milliers 4" xfId="318"/>
    <cellStyle name="Milliers 4 2" xfId="829"/>
    <cellStyle name="Milliers 4 3" xfId="1037"/>
    <cellStyle name="Milliers 5" xfId="322"/>
    <cellStyle name="Milliers 5 2" xfId="813"/>
    <cellStyle name="Milliers 5 3" xfId="1023"/>
    <cellStyle name="Milliers 6" xfId="831"/>
    <cellStyle name="Milliers 6 2" xfId="1039"/>
    <cellStyle name="Milliers 7" xfId="833"/>
    <cellStyle name="Milliers 7 2" xfId="1040"/>
    <cellStyle name="Milliers 8" xfId="834"/>
    <cellStyle name="Milliers 8 2" xfId="1041"/>
    <cellStyle name="Milliers 9" xfId="342"/>
    <cellStyle name="Monétaire 2" xfId="183"/>
    <cellStyle name="Neutral 2" xfId="184"/>
    <cellStyle name="Neutral 3" xfId="185"/>
    <cellStyle name="Neutral 4" xfId="186"/>
    <cellStyle name="Neutral 5" xfId="187"/>
    <cellStyle name="Neutre 2" xfId="188"/>
    <cellStyle name="Normal" xfId="0" builtinId="0"/>
    <cellStyle name="Normal 10" xfId="189"/>
    <cellStyle name="Normal 10 10" xfId="1045"/>
    <cellStyle name="Normal 10 2" xfId="190"/>
    <cellStyle name="Normal 10 2 2" xfId="300"/>
    <cellStyle name="Normal 10 2 2 2" xfId="805"/>
    <cellStyle name="Normal 10 2 2 3" xfId="1015"/>
    <cellStyle name="Normal 10 2 3" xfId="365"/>
    <cellStyle name="Normal 10 2 4" xfId="859"/>
    <cellStyle name="Normal 10 2 5" xfId="897"/>
    <cellStyle name="Normal 10 2 6" xfId="936"/>
    <cellStyle name="Normal 10 2 7" xfId="979"/>
    <cellStyle name="Normal 10 3" xfId="284"/>
    <cellStyle name="Normal 10 3 2" xfId="789"/>
    <cellStyle name="Normal 10 3 2 2" xfId="999"/>
    <cellStyle name="Normal 10 3 3" xfId="378"/>
    <cellStyle name="Normal 10 4" xfId="349"/>
    <cellStyle name="Normal 10 5" xfId="843"/>
    <cellStyle name="Normal 10 6" xfId="881"/>
    <cellStyle name="Normal 10 7" xfId="920"/>
    <cellStyle name="Normal 10 8" xfId="963"/>
    <cellStyle name="Normal 10 9" xfId="1044"/>
    <cellStyle name="Normal 11" xfId="191"/>
    <cellStyle name="Normal 11 2" xfId="192"/>
    <cellStyle name="Normal 11 2 2" xfId="301"/>
    <cellStyle name="Normal 11 2 2 2" xfId="800"/>
    <cellStyle name="Normal 11 2 2 3" xfId="1010"/>
    <cellStyle name="Normal 11 2 3" xfId="366"/>
    <cellStyle name="Normal 11 2 4" xfId="860"/>
    <cellStyle name="Normal 11 2 5" xfId="898"/>
    <cellStyle name="Normal 11 2 6" xfId="937"/>
    <cellStyle name="Normal 11 2 7" xfId="980"/>
    <cellStyle name="Normal 11 3" xfId="285"/>
    <cellStyle name="Normal 11 3 2" xfId="790"/>
    <cellStyle name="Normal 11 3 2 2" xfId="1000"/>
    <cellStyle name="Normal 11 3 3" xfId="379"/>
    <cellStyle name="Normal 11 4" xfId="350"/>
    <cellStyle name="Normal 11 5" xfId="844"/>
    <cellStyle name="Normal 11 6" xfId="882"/>
    <cellStyle name="Normal 11 7" xfId="921"/>
    <cellStyle name="Normal 11 8" xfId="964"/>
    <cellStyle name="Normal 12" xfId="193"/>
    <cellStyle name="Normal 12 2" xfId="194"/>
    <cellStyle name="Normal 12 2 2" xfId="302"/>
    <cellStyle name="Normal 12 2 2 2" xfId="825"/>
    <cellStyle name="Normal 12 2 2 3" xfId="1033"/>
    <cellStyle name="Normal 12 2 3" xfId="367"/>
    <cellStyle name="Normal 12 2 4" xfId="861"/>
    <cellStyle name="Normal 12 2 5" xfId="899"/>
    <cellStyle name="Normal 12 2 6" xfId="938"/>
    <cellStyle name="Normal 12 2 7" xfId="981"/>
    <cellStyle name="Normal 12 3" xfId="286"/>
    <cellStyle name="Normal 12 3 2" xfId="791"/>
    <cellStyle name="Normal 12 3 2 2" xfId="1001"/>
    <cellStyle name="Normal 12 3 3" xfId="380"/>
    <cellStyle name="Normal 12 4" xfId="351"/>
    <cellStyle name="Normal 12 5" xfId="845"/>
    <cellStyle name="Normal 12 6" xfId="883"/>
    <cellStyle name="Normal 12 7" xfId="922"/>
    <cellStyle name="Normal 12 8" xfId="965"/>
    <cellStyle name="Normal 13" xfId="195"/>
    <cellStyle name="Normal 13 10" xfId="709"/>
    <cellStyle name="Normal 13 11" xfId="710"/>
    <cellStyle name="Normal 13 12" xfId="711"/>
    <cellStyle name="Normal 13 13" xfId="712"/>
    <cellStyle name="Normal 13 14" xfId="713"/>
    <cellStyle name="Normal 13 15" xfId="714"/>
    <cellStyle name="Normal 13 16" xfId="715"/>
    <cellStyle name="Normal 13 17" xfId="381"/>
    <cellStyle name="Normal 13 17 2" xfId="793"/>
    <cellStyle name="Normal 13 17 2 2" xfId="1003"/>
    <cellStyle name="Normal 13 18" xfId="353"/>
    <cellStyle name="Normal 13 19" xfId="847"/>
    <cellStyle name="Normal 13 2" xfId="196"/>
    <cellStyle name="Normal 13 2 2" xfId="304"/>
    <cellStyle name="Normal 13 2 2 2" xfId="798"/>
    <cellStyle name="Normal 13 2 2 2 2" xfId="1008"/>
    <cellStyle name="Normal 13 2 2 3" xfId="716"/>
    <cellStyle name="Normal 13 2 3" xfId="369"/>
    <cellStyle name="Normal 13 2 4" xfId="863"/>
    <cellStyle name="Normal 13 2 5" xfId="901"/>
    <cellStyle name="Normal 13 2 6" xfId="940"/>
    <cellStyle name="Normal 13 2 7" xfId="983"/>
    <cellStyle name="Normal 13 20" xfId="885"/>
    <cellStyle name="Normal 13 21" xfId="924"/>
    <cellStyle name="Normal 13 22" xfId="967"/>
    <cellStyle name="Normal 13 3" xfId="288"/>
    <cellStyle name="Normal 13 3 2" xfId="809"/>
    <cellStyle name="Normal 13 3 2 2" xfId="1019"/>
    <cellStyle name="Normal 13 3 3" xfId="717"/>
    <cellStyle name="Normal 13 4" xfId="718"/>
    <cellStyle name="Normal 13 5" xfId="719"/>
    <cellStyle name="Normal 13 6" xfId="720"/>
    <cellStyle name="Normal 13 7" xfId="721"/>
    <cellStyle name="Normal 13 8" xfId="722"/>
    <cellStyle name="Normal 13 9" xfId="723"/>
    <cellStyle name="Normal 14" xfId="197"/>
    <cellStyle name="Normal 14 10" xfId="382"/>
    <cellStyle name="Normal 14 11" xfId="383"/>
    <cellStyle name="Normal 14 12" xfId="384"/>
    <cellStyle name="Normal 14 13" xfId="385"/>
    <cellStyle name="Normal 14 14" xfId="386"/>
    <cellStyle name="Normal 14 15" xfId="724"/>
    <cellStyle name="Normal 14 16" xfId="354"/>
    <cellStyle name="Normal 14 17" xfId="848"/>
    <cellStyle name="Normal 14 18" xfId="886"/>
    <cellStyle name="Normal 14 19" xfId="925"/>
    <cellStyle name="Normal 14 2" xfId="198"/>
    <cellStyle name="Normal 14 2 2" xfId="305"/>
    <cellStyle name="Normal 14 2 2 2" xfId="803"/>
    <cellStyle name="Normal 14 2 2 2 2" xfId="1013"/>
    <cellStyle name="Normal 14 2 2 3" xfId="387"/>
    <cellStyle name="Normal 14 2 3" xfId="370"/>
    <cellStyle name="Normal 14 2 4" xfId="864"/>
    <cellStyle name="Normal 14 2 5" xfId="902"/>
    <cellStyle name="Normal 14 2 6" xfId="941"/>
    <cellStyle name="Normal 14 2 7" xfId="984"/>
    <cellStyle name="Normal 14 20" xfId="968"/>
    <cellStyle name="Normal 14 3" xfId="289"/>
    <cellStyle name="Normal 14 3 2" xfId="794"/>
    <cellStyle name="Normal 14 3 2 2" xfId="1004"/>
    <cellStyle name="Normal 14 3 3" xfId="388"/>
    <cellStyle name="Normal 14 4" xfId="389"/>
    <cellStyle name="Normal 14 5" xfId="390"/>
    <cellStyle name="Normal 14 6" xfId="391"/>
    <cellStyle name="Normal 14 7" xfId="392"/>
    <cellStyle name="Normal 14 8" xfId="393"/>
    <cellStyle name="Normal 14 9" xfId="394"/>
    <cellStyle name="Normal 15" xfId="199"/>
    <cellStyle name="Normal 15 2" xfId="200"/>
    <cellStyle name="Normal 15 2 2" xfId="306"/>
    <cellStyle name="Normal 15 2 2 2" xfId="822"/>
    <cellStyle name="Normal 15 2 2 3" xfId="1030"/>
    <cellStyle name="Normal 15 2 3" xfId="371"/>
    <cellStyle name="Normal 15 2 4" xfId="865"/>
    <cellStyle name="Normal 15 2 5" xfId="903"/>
    <cellStyle name="Normal 15 2 6" xfId="942"/>
    <cellStyle name="Normal 15 2 7" xfId="985"/>
    <cellStyle name="Normal 15 3" xfId="290"/>
    <cellStyle name="Normal 15 3 2" xfId="795"/>
    <cellStyle name="Normal 15 3 2 2" xfId="1005"/>
    <cellStyle name="Normal 15 3 3" xfId="395"/>
    <cellStyle name="Normal 15 4" xfId="355"/>
    <cellStyle name="Normal 15 5" xfId="849"/>
    <cellStyle name="Normal 15 6" xfId="887"/>
    <cellStyle name="Normal 15 7" xfId="926"/>
    <cellStyle name="Normal 15 8" xfId="969"/>
    <cellStyle name="Normal 16" xfId="201"/>
    <cellStyle name="Normal 16 10" xfId="396"/>
    <cellStyle name="Normal 16 11" xfId="397"/>
    <cellStyle name="Normal 16 12" xfId="398"/>
    <cellStyle name="Normal 16 13" xfId="399"/>
    <cellStyle name="Normal 16 14" xfId="400"/>
    <cellStyle name="Normal 16 15" xfId="725"/>
    <cellStyle name="Normal 16 16" xfId="356"/>
    <cellStyle name="Normal 16 17" xfId="850"/>
    <cellStyle name="Normal 16 18" xfId="888"/>
    <cellStyle name="Normal 16 19" xfId="927"/>
    <cellStyle name="Normal 16 2" xfId="202"/>
    <cellStyle name="Normal 16 2 2" xfId="307"/>
    <cellStyle name="Normal 16 2 2 2" xfId="824"/>
    <cellStyle name="Normal 16 2 2 2 2" xfId="1032"/>
    <cellStyle name="Normal 16 2 2 3" xfId="401"/>
    <cellStyle name="Normal 16 2 3" xfId="372"/>
    <cellStyle name="Normal 16 2 4" xfId="866"/>
    <cellStyle name="Normal 16 2 5" xfId="904"/>
    <cellStyle name="Normal 16 2 6" xfId="943"/>
    <cellStyle name="Normal 16 2 7" xfId="986"/>
    <cellStyle name="Normal 16 20" xfId="970"/>
    <cellStyle name="Normal 16 3" xfId="291"/>
    <cellStyle name="Normal 16 3 2" xfId="796"/>
    <cellStyle name="Normal 16 3 2 2" xfId="1006"/>
    <cellStyle name="Normal 16 3 3" xfId="402"/>
    <cellStyle name="Normal 16 4" xfId="403"/>
    <cellStyle name="Normal 16 5" xfId="404"/>
    <cellStyle name="Normal 16 6" xfId="405"/>
    <cellStyle name="Normal 16 7" xfId="406"/>
    <cellStyle name="Normal 16 8" xfId="407"/>
    <cellStyle name="Normal 16 9" xfId="408"/>
    <cellStyle name="Normal 17" xfId="203"/>
    <cellStyle name="Normal 17 2" xfId="204"/>
    <cellStyle name="Normal 17 2 2" xfId="308"/>
    <cellStyle name="Normal 17 2 2 2" xfId="802"/>
    <cellStyle name="Normal 17 2 2 3" xfId="1012"/>
    <cellStyle name="Normal 17 2 3" xfId="373"/>
    <cellStyle name="Normal 17 2 4" xfId="867"/>
    <cellStyle name="Normal 17 2 5" xfId="905"/>
    <cellStyle name="Normal 17 2 6" xfId="944"/>
    <cellStyle name="Normal 17 2 7" xfId="987"/>
    <cellStyle name="Normal 17 3" xfId="292"/>
    <cellStyle name="Normal 17 3 2" xfId="797"/>
    <cellStyle name="Normal 17 3 2 2" xfId="1007"/>
    <cellStyle name="Normal 17 3 3" xfId="409"/>
    <cellStyle name="Normal 17 4" xfId="357"/>
    <cellStyle name="Normal 17 5" xfId="851"/>
    <cellStyle name="Normal 17 6" xfId="889"/>
    <cellStyle name="Normal 17 7" xfId="928"/>
    <cellStyle name="Normal 17 8" xfId="971"/>
    <cellStyle name="Normal 18" xfId="205"/>
    <cellStyle name="Normal 18 2" xfId="206"/>
    <cellStyle name="Normal 19" xfId="207"/>
    <cellStyle name="Normal 19 2" xfId="309"/>
    <cellStyle name="Normal 19 2 2" xfId="799"/>
    <cellStyle name="Normal 19 2 2 2" xfId="1009"/>
    <cellStyle name="Normal 19 2 3" xfId="410"/>
    <cellStyle name="Normal 19 3" xfId="374"/>
    <cellStyle name="Normal 19 4" xfId="868"/>
    <cellStyle name="Normal 19 5" xfId="906"/>
    <cellStyle name="Normal 19 6" xfId="945"/>
    <cellStyle name="Normal 19 7" xfId="988"/>
    <cellStyle name="Normal 2" xfId="7"/>
    <cellStyle name="Normal 2 2" xfId="278"/>
    <cellStyle name="Normal 2 2 2" xfId="818"/>
    <cellStyle name="Normal 2 2 3" xfId="781"/>
    <cellStyle name="Normal 2 2 4" xfId="993"/>
    <cellStyle name="Normal 2 3" xfId="323"/>
    <cellStyle name="Normal 2 3 2" xfId="784"/>
    <cellStyle name="Normal 2 3 3" xfId="911"/>
    <cellStyle name="Normal 2 3 3 2" xfId="950"/>
    <cellStyle name="Normal 2 3 4" xfId="995"/>
    <cellStyle name="Normal 2 3 5" xfId="1043"/>
    <cellStyle name="Normal 20" xfId="208"/>
    <cellStyle name="Normal 20 2" xfId="209"/>
    <cellStyle name="Normal 20 2 2" xfId="210"/>
    <cellStyle name="Normal 20 3" xfId="211"/>
    <cellStyle name="Normal 21" xfId="212"/>
    <cellStyle name="Normal 21 2" xfId="213"/>
    <cellStyle name="Normal 21 3" xfId="324"/>
    <cellStyle name="Normal 21 4" xfId="325"/>
    <cellStyle name="Normal 21 4 2" xfId="821"/>
    <cellStyle name="Normal 21 4 3" xfId="1029"/>
    <cellStyle name="Normal 22" xfId="214"/>
    <cellStyle name="Normal 22 2" xfId="326"/>
    <cellStyle name="Normal 22 3" xfId="327"/>
    <cellStyle name="Normal 22 4" xfId="328"/>
    <cellStyle name="Normal 22 4 2" xfId="815"/>
    <cellStyle name="Normal 22 4 3" xfId="1025"/>
    <cellStyle name="Normal 22 5" xfId="411"/>
    <cellStyle name="Normal 23" xfId="272"/>
    <cellStyle name="Normal 23 2" xfId="337"/>
    <cellStyle name="Normal 24" xfId="275"/>
    <cellStyle name="Normal 24 2" xfId="412"/>
    <cellStyle name="Normal 25" xfId="316"/>
    <cellStyle name="Normal 25 10" xfId="413"/>
    <cellStyle name="Normal 25 11" xfId="414"/>
    <cellStyle name="Normal 25 12" xfId="415"/>
    <cellStyle name="Normal 25 13" xfId="416"/>
    <cellStyle name="Normal 25 14" xfId="417"/>
    <cellStyle name="Normal 25 15" xfId="726"/>
    <cellStyle name="Normal 25 2" xfId="418"/>
    <cellStyle name="Normal 25 3" xfId="419"/>
    <cellStyle name="Normal 25 4" xfId="420"/>
    <cellStyle name="Normal 25 5" xfId="421"/>
    <cellStyle name="Normal 25 6" xfId="422"/>
    <cellStyle name="Normal 25 7" xfId="423"/>
    <cellStyle name="Normal 25 8" xfId="424"/>
    <cellStyle name="Normal 25 9" xfId="425"/>
    <cellStyle name="Normal 26" xfId="339"/>
    <cellStyle name="Normal 26 2" xfId="727"/>
    <cellStyle name="Normal 27" xfId="426"/>
    <cellStyle name="Normal 27 10" xfId="427"/>
    <cellStyle name="Normal 27 11" xfId="428"/>
    <cellStyle name="Normal 27 12" xfId="429"/>
    <cellStyle name="Normal 27 13" xfId="430"/>
    <cellStyle name="Normal 27 14" xfId="431"/>
    <cellStyle name="Normal 27 2" xfId="432"/>
    <cellStyle name="Normal 27 3" xfId="433"/>
    <cellStyle name="Normal 27 4" xfId="434"/>
    <cellStyle name="Normal 27 5" xfId="435"/>
    <cellStyle name="Normal 27 6" xfId="436"/>
    <cellStyle name="Normal 27 7" xfId="437"/>
    <cellStyle name="Normal 27 8" xfId="438"/>
    <cellStyle name="Normal 27 9" xfId="439"/>
    <cellStyle name="Normal 28" xfId="728"/>
    <cellStyle name="Normal 28 10" xfId="440"/>
    <cellStyle name="Normal 28 11" xfId="441"/>
    <cellStyle name="Normal 28 12" xfId="442"/>
    <cellStyle name="Normal 28 13" xfId="443"/>
    <cellStyle name="Normal 28 14" xfId="444"/>
    <cellStyle name="Normal 28 2" xfId="445"/>
    <cellStyle name="Normal 28 3" xfId="446"/>
    <cellStyle name="Normal 28 4" xfId="447"/>
    <cellStyle name="Normal 28 5" xfId="448"/>
    <cellStyle name="Normal 28 6" xfId="449"/>
    <cellStyle name="Normal 28 7" xfId="450"/>
    <cellStyle name="Normal 28 8" xfId="451"/>
    <cellStyle name="Normal 28 9" xfId="452"/>
    <cellStyle name="Normal 29" xfId="453"/>
    <cellStyle name="Normal 3" xfId="215"/>
    <cellStyle name="Normal 3 2" xfId="216"/>
    <cellStyle name="Normal 3 3" xfId="217"/>
    <cellStyle name="Normal 3 4" xfId="218"/>
    <cellStyle name="Normal 3 4 2" xfId="294"/>
    <cellStyle name="Normal 3 4 2 2" xfId="807"/>
    <cellStyle name="Normal 3 4 2 3" xfId="1017"/>
    <cellStyle name="Normal 3 4 3" xfId="359"/>
    <cellStyle name="Normal 3 4 4" xfId="853"/>
    <cellStyle name="Normal 3 4 5" xfId="891"/>
    <cellStyle name="Normal 3 4 6" xfId="930"/>
    <cellStyle name="Normal 3 4 7" xfId="973"/>
    <cellStyle name="Normal 3 5" xfId="219"/>
    <cellStyle name="Normal 3 5 2" xfId="279"/>
    <cellStyle name="Normal 3 5 2 2" xfId="812"/>
    <cellStyle name="Normal 3 5 2 3" xfId="1022"/>
    <cellStyle name="Normal 3 5 3" xfId="344"/>
    <cellStyle name="Normal 3 5 4" xfId="838"/>
    <cellStyle name="Normal 3 5 5" xfId="876"/>
    <cellStyle name="Normal 3 5 6" xfId="915"/>
    <cellStyle name="Normal 3 5 7" xfId="958"/>
    <cellStyle name="Normal 3 6" xfId="329"/>
    <cellStyle name="Normal 3 6 2" xfId="819"/>
    <cellStyle name="Normal 3 6 3" xfId="785"/>
    <cellStyle name="Normal 30" xfId="454"/>
    <cellStyle name="Normal 31" xfId="729"/>
    <cellStyle name="Normal 31 10" xfId="455"/>
    <cellStyle name="Normal 31 11" xfId="456"/>
    <cellStyle name="Normal 31 12" xfId="457"/>
    <cellStyle name="Normal 31 13" xfId="458"/>
    <cellStyle name="Normal 31 14" xfId="459"/>
    <cellStyle name="Normal 31 2" xfId="460"/>
    <cellStyle name="Normal 31 3" xfId="461"/>
    <cellStyle name="Normal 31 4" xfId="462"/>
    <cellStyle name="Normal 31 5" xfId="463"/>
    <cellStyle name="Normal 31 6" xfId="464"/>
    <cellStyle name="Normal 31 7" xfId="465"/>
    <cellStyle name="Normal 31 8" xfId="466"/>
    <cellStyle name="Normal 31 9" xfId="467"/>
    <cellStyle name="Normal 32" xfId="730"/>
    <cellStyle name="Normal 32 10" xfId="468"/>
    <cellStyle name="Normal 32 11" xfId="469"/>
    <cellStyle name="Normal 32 12" xfId="470"/>
    <cellStyle name="Normal 32 13" xfId="471"/>
    <cellStyle name="Normal 32 14" xfId="472"/>
    <cellStyle name="Normal 32 2" xfId="473"/>
    <cellStyle name="Normal 32 3" xfId="474"/>
    <cellStyle name="Normal 32 4" xfId="475"/>
    <cellStyle name="Normal 32 5" xfId="476"/>
    <cellStyle name="Normal 32 6" xfId="477"/>
    <cellStyle name="Normal 32 7" xfId="478"/>
    <cellStyle name="Normal 32 8" xfId="479"/>
    <cellStyle name="Normal 32 9" xfId="480"/>
    <cellStyle name="Normal 33" xfId="731"/>
    <cellStyle name="Normal 33 10" xfId="481"/>
    <cellStyle name="Normal 33 11" xfId="482"/>
    <cellStyle name="Normal 33 12" xfId="483"/>
    <cellStyle name="Normal 33 13" xfId="484"/>
    <cellStyle name="Normal 33 14" xfId="485"/>
    <cellStyle name="Normal 33 2" xfId="486"/>
    <cellStyle name="Normal 33 3" xfId="487"/>
    <cellStyle name="Normal 33 4" xfId="488"/>
    <cellStyle name="Normal 33 5" xfId="489"/>
    <cellStyle name="Normal 33 6" xfId="490"/>
    <cellStyle name="Normal 33 7" xfId="491"/>
    <cellStyle name="Normal 33 8" xfId="492"/>
    <cellStyle name="Normal 33 9" xfId="493"/>
    <cellStyle name="Normal 34" xfId="732"/>
    <cellStyle name="Normal 34 10" xfId="494"/>
    <cellStyle name="Normal 34 11" xfId="495"/>
    <cellStyle name="Normal 34 12" xfId="496"/>
    <cellStyle name="Normal 34 13" xfId="497"/>
    <cellStyle name="Normal 34 14" xfId="498"/>
    <cellStyle name="Normal 34 2" xfId="499"/>
    <cellStyle name="Normal 34 3" xfId="500"/>
    <cellStyle name="Normal 34 4" xfId="501"/>
    <cellStyle name="Normal 34 5" xfId="502"/>
    <cellStyle name="Normal 34 6" xfId="503"/>
    <cellStyle name="Normal 34 7" xfId="504"/>
    <cellStyle name="Normal 34 8" xfId="505"/>
    <cellStyle name="Normal 34 9" xfId="506"/>
    <cellStyle name="Normal 35" xfId="733"/>
    <cellStyle name="Normal 35 10" xfId="507"/>
    <cellStyle name="Normal 35 11" xfId="508"/>
    <cellStyle name="Normal 35 12" xfId="509"/>
    <cellStyle name="Normal 35 13" xfId="510"/>
    <cellStyle name="Normal 35 14" xfId="511"/>
    <cellStyle name="Normal 35 2" xfId="512"/>
    <cellStyle name="Normal 35 3" xfId="513"/>
    <cellStyle name="Normal 35 4" xfId="514"/>
    <cellStyle name="Normal 35 5" xfId="515"/>
    <cellStyle name="Normal 35 6" xfId="516"/>
    <cellStyle name="Normal 35 7" xfId="517"/>
    <cellStyle name="Normal 35 8" xfId="518"/>
    <cellStyle name="Normal 35 9" xfId="519"/>
    <cellStyle name="Normal 36" xfId="520"/>
    <cellStyle name="Normal 37" xfId="521"/>
    <cellStyle name="Normal 38" xfId="522"/>
    <cellStyle name="Normal 39" xfId="523"/>
    <cellStyle name="Normal 4" xfId="220"/>
    <cellStyle name="Normal 4 2" xfId="221"/>
    <cellStyle name="Normal 4 3" xfId="222"/>
    <cellStyle name="Normal 4 4" xfId="223"/>
    <cellStyle name="Normal 4 4 2" xfId="295"/>
    <cellStyle name="Normal 4 4 2 2" xfId="830"/>
    <cellStyle name="Normal 4 4 2 3" xfId="1038"/>
    <cellStyle name="Normal 4 4 3" xfId="360"/>
    <cellStyle name="Normal 4 4 4" xfId="854"/>
    <cellStyle name="Normal 4 4 5" xfId="892"/>
    <cellStyle name="Normal 4 4 6" xfId="931"/>
    <cellStyle name="Normal 4 4 7" xfId="974"/>
    <cellStyle name="Normal 4 5" xfId="224"/>
    <cellStyle name="Normal 4 5 2" xfId="280"/>
    <cellStyle name="Normal 4 5 2 2" xfId="811"/>
    <cellStyle name="Normal 4 5 2 3" xfId="1021"/>
    <cellStyle name="Normal 4 5 3" xfId="345"/>
    <cellStyle name="Normal 4 5 4" xfId="839"/>
    <cellStyle name="Normal 4 5 5" xfId="877"/>
    <cellStyle name="Normal 4 5 6" xfId="916"/>
    <cellStyle name="Normal 4 5 7" xfId="959"/>
    <cellStyle name="Normal 40" xfId="734"/>
    <cellStyle name="Normal 40 10" xfId="524"/>
    <cellStyle name="Normal 40 11" xfId="525"/>
    <cellStyle name="Normal 40 12" xfId="526"/>
    <cellStyle name="Normal 40 13" xfId="527"/>
    <cellStyle name="Normal 40 14" xfId="528"/>
    <cellStyle name="Normal 40 15" xfId="735"/>
    <cellStyle name="Normal 40 16" xfId="736"/>
    <cellStyle name="Normal 40 2" xfId="529"/>
    <cellStyle name="Normal 40 3" xfId="530"/>
    <cellStyle name="Normal 40 4" xfId="531"/>
    <cellStyle name="Normal 40 5" xfId="532"/>
    <cellStyle name="Normal 40 6" xfId="533"/>
    <cellStyle name="Normal 40 7" xfId="534"/>
    <cellStyle name="Normal 40 8" xfId="535"/>
    <cellStyle name="Normal 40 9" xfId="536"/>
    <cellStyle name="Normal 41" xfId="737"/>
    <cellStyle name="Normal 41 10" xfId="537"/>
    <cellStyle name="Normal 41 11" xfId="538"/>
    <cellStyle name="Normal 41 12" xfId="539"/>
    <cellStyle name="Normal 41 13" xfId="540"/>
    <cellStyle name="Normal 41 14" xfId="541"/>
    <cellStyle name="Normal 41 15" xfId="738"/>
    <cellStyle name="Normal 41 16" xfId="739"/>
    <cellStyle name="Normal 41 2" xfId="542"/>
    <cellStyle name="Normal 41 3" xfId="543"/>
    <cellStyle name="Normal 41 4" xfId="544"/>
    <cellStyle name="Normal 41 5" xfId="545"/>
    <cellStyle name="Normal 41 6" xfId="546"/>
    <cellStyle name="Normal 41 7" xfId="547"/>
    <cellStyle name="Normal 41 8" xfId="548"/>
    <cellStyle name="Normal 41 9" xfId="549"/>
    <cellStyle name="Normal 42" xfId="740"/>
    <cellStyle name="Normal 42 10" xfId="550"/>
    <cellStyle name="Normal 42 11" xfId="551"/>
    <cellStyle name="Normal 42 12" xfId="552"/>
    <cellStyle name="Normal 42 13" xfId="553"/>
    <cellStyle name="Normal 42 14" xfId="554"/>
    <cellStyle name="Normal 42 15" xfId="741"/>
    <cellStyle name="Normal 42 16" xfId="742"/>
    <cellStyle name="Normal 42 2" xfId="555"/>
    <cellStyle name="Normal 42 3" xfId="556"/>
    <cellStyle name="Normal 42 4" xfId="557"/>
    <cellStyle name="Normal 42 5" xfId="558"/>
    <cellStyle name="Normal 42 6" xfId="559"/>
    <cellStyle name="Normal 42 7" xfId="560"/>
    <cellStyle name="Normal 42 8" xfId="561"/>
    <cellStyle name="Normal 42 9" xfId="562"/>
    <cellStyle name="Normal 43" xfId="743"/>
    <cellStyle name="Normal 43 10" xfId="563"/>
    <cellStyle name="Normal 43 11" xfId="564"/>
    <cellStyle name="Normal 43 12" xfId="565"/>
    <cellStyle name="Normal 43 13" xfId="566"/>
    <cellStyle name="Normal 43 14" xfId="567"/>
    <cellStyle name="Normal 43 15" xfId="744"/>
    <cellStyle name="Normal 43 16" xfId="745"/>
    <cellStyle name="Normal 43 2" xfId="568"/>
    <cellStyle name="Normal 43 3" xfId="569"/>
    <cellStyle name="Normal 43 4" xfId="570"/>
    <cellStyle name="Normal 43 5" xfId="571"/>
    <cellStyle name="Normal 43 6" xfId="572"/>
    <cellStyle name="Normal 43 7" xfId="573"/>
    <cellStyle name="Normal 43 8" xfId="574"/>
    <cellStyle name="Normal 43 9" xfId="575"/>
    <cellStyle name="Normal 44" xfId="576"/>
    <cellStyle name="Normal 44 10" xfId="577"/>
    <cellStyle name="Normal 44 11" xfId="578"/>
    <cellStyle name="Normal 44 12" xfId="579"/>
    <cellStyle name="Normal 44 13" xfId="580"/>
    <cellStyle name="Normal 44 14" xfId="581"/>
    <cellStyle name="Normal 44 15" xfId="746"/>
    <cellStyle name="Normal 44 16" xfId="747"/>
    <cellStyle name="Normal 44 2" xfId="582"/>
    <cellStyle name="Normal 44 3" xfId="583"/>
    <cellStyle name="Normal 44 4" xfId="584"/>
    <cellStyle name="Normal 44 5" xfId="585"/>
    <cellStyle name="Normal 44 6" xfId="586"/>
    <cellStyle name="Normal 44 7" xfId="587"/>
    <cellStyle name="Normal 44 8" xfId="588"/>
    <cellStyle name="Normal 44 9" xfId="589"/>
    <cellStyle name="Normal 45" xfId="748"/>
    <cellStyle name="Normal 45 10" xfId="590"/>
    <cellStyle name="Normal 45 11" xfId="591"/>
    <cellStyle name="Normal 45 12" xfId="592"/>
    <cellStyle name="Normal 45 13" xfId="593"/>
    <cellStyle name="Normal 45 14" xfId="594"/>
    <cellStyle name="Normal 45 15" xfId="749"/>
    <cellStyle name="Normal 45 16" xfId="750"/>
    <cellStyle name="Normal 45 2" xfId="595"/>
    <cellStyle name="Normal 45 3" xfId="596"/>
    <cellStyle name="Normal 45 4" xfId="597"/>
    <cellStyle name="Normal 45 5" xfId="598"/>
    <cellStyle name="Normal 45 6" xfId="599"/>
    <cellStyle name="Normal 45 7" xfId="600"/>
    <cellStyle name="Normal 45 8" xfId="601"/>
    <cellStyle name="Normal 45 9" xfId="602"/>
    <cellStyle name="Normal 46" xfId="751"/>
    <cellStyle name="Normal 46 10" xfId="603"/>
    <cellStyle name="Normal 46 11" xfId="604"/>
    <cellStyle name="Normal 46 12" xfId="605"/>
    <cellStyle name="Normal 46 13" xfId="606"/>
    <cellStyle name="Normal 46 14" xfId="607"/>
    <cellStyle name="Normal 46 15" xfId="752"/>
    <cellStyle name="Normal 46 16" xfId="753"/>
    <cellStyle name="Normal 46 2" xfId="608"/>
    <cellStyle name="Normal 46 3" xfId="609"/>
    <cellStyle name="Normal 46 4" xfId="610"/>
    <cellStyle name="Normal 46 5" xfId="611"/>
    <cellStyle name="Normal 46 6" xfId="612"/>
    <cellStyle name="Normal 46 7" xfId="613"/>
    <cellStyle name="Normal 46 8" xfId="614"/>
    <cellStyle name="Normal 46 9" xfId="615"/>
    <cellStyle name="Normal 47" xfId="754"/>
    <cellStyle name="Normal 47 10" xfId="616"/>
    <cellStyle name="Normal 47 11" xfId="617"/>
    <cellStyle name="Normal 47 12" xfId="618"/>
    <cellStyle name="Normal 47 13" xfId="619"/>
    <cellStyle name="Normal 47 14" xfId="620"/>
    <cellStyle name="Normal 47 15" xfId="755"/>
    <cellStyle name="Normal 47 16" xfId="756"/>
    <cellStyle name="Normal 47 2" xfId="621"/>
    <cellStyle name="Normal 47 3" xfId="622"/>
    <cellStyle name="Normal 47 4" xfId="623"/>
    <cellStyle name="Normal 47 5" xfId="624"/>
    <cellStyle name="Normal 47 6" xfId="625"/>
    <cellStyle name="Normal 47 7" xfId="626"/>
    <cellStyle name="Normal 47 8" xfId="627"/>
    <cellStyle name="Normal 47 9" xfId="628"/>
    <cellStyle name="Normal 48" xfId="757"/>
    <cellStyle name="Normal 48 10" xfId="629"/>
    <cellStyle name="Normal 48 11" xfId="630"/>
    <cellStyle name="Normal 48 12" xfId="631"/>
    <cellStyle name="Normal 48 13" xfId="632"/>
    <cellStyle name="Normal 48 14" xfId="633"/>
    <cellStyle name="Normal 48 15" xfId="758"/>
    <cellStyle name="Normal 48 16" xfId="759"/>
    <cellStyle name="Normal 48 2" xfId="634"/>
    <cellStyle name="Normal 48 3" xfId="635"/>
    <cellStyle name="Normal 48 4" xfId="636"/>
    <cellStyle name="Normal 48 5" xfId="637"/>
    <cellStyle name="Normal 48 6" xfId="638"/>
    <cellStyle name="Normal 48 7" xfId="639"/>
    <cellStyle name="Normal 48 8" xfId="640"/>
    <cellStyle name="Normal 48 9" xfId="641"/>
    <cellStyle name="Normal 49" xfId="642"/>
    <cellStyle name="Normal 49 10" xfId="643"/>
    <cellStyle name="Normal 49 11" xfId="644"/>
    <cellStyle name="Normal 49 12" xfId="645"/>
    <cellStyle name="Normal 49 13" xfId="646"/>
    <cellStyle name="Normal 49 14" xfId="647"/>
    <cellStyle name="Normal 49 15" xfId="760"/>
    <cellStyle name="Normal 49 16" xfId="761"/>
    <cellStyle name="Normal 49 2" xfId="648"/>
    <cellStyle name="Normal 49 3" xfId="649"/>
    <cellStyle name="Normal 49 4" xfId="650"/>
    <cellStyle name="Normal 49 5" xfId="651"/>
    <cellStyle name="Normal 49 6" xfId="652"/>
    <cellStyle name="Normal 49 7" xfId="653"/>
    <cellStyle name="Normal 49 8" xfId="654"/>
    <cellStyle name="Normal 49 9" xfId="655"/>
    <cellStyle name="Normal 5" xfId="225"/>
    <cellStyle name="Normal 50" xfId="656"/>
    <cellStyle name="Normal 50 10" xfId="657"/>
    <cellStyle name="Normal 50 11" xfId="658"/>
    <cellStyle name="Normal 50 12" xfId="659"/>
    <cellStyle name="Normal 50 13" xfId="660"/>
    <cellStyle name="Normal 50 14" xfId="661"/>
    <cellStyle name="Normal 50 2" xfId="662"/>
    <cellStyle name="Normal 50 3" xfId="663"/>
    <cellStyle name="Normal 50 4" xfId="664"/>
    <cellStyle name="Normal 50 5" xfId="665"/>
    <cellStyle name="Normal 50 6" xfId="666"/>
    <cellStyle name="Normal 50 7" xfId="667"/>
    <cellStyle name="Normal 50 8" xfId="668"/>
    <cellStyle name="Normal 50 9" xfId="669"/>
    <cellStyle name="Normal 51" xfId="670"/>
    <cellStyle name="Normal 51 10" xfId="762"/>
    <cellStyle name="Normal 51 11" xfId="763"/>
    <cellStyle name="Normal 51 12" xfId="764"/>
    <cellStyle name="Normal 51 13" xfId="765"/>
    <cellStyle name="Normal 51 14" xfId="766"/>
    <cellStyle name="Normal 51 15" xfId="767"/>
    <cellStyle name="Normal 51 16" xfId="768"/>
    <cellStyle name="Normal 51 2" xfId="769"/>
    <cellStyle name="Normal 51 3" xfId="770"/>
    <cellStyle name="Normal 51 4" xfId="771"/>
    <cellStyle name="Normal 51 5" xfId="772"/>
    <cellStyle name="Normal 51 6" xfId="773"/>
    <cellStyle name="Normal 51 7" xfId="774"/>
    <cellStyle name="Normal 51 8" xfId="775"/>
    <cellStyle name="Normal 51 9" xfId="776"/>
    <cellStyle name="Normal 52" xfId="671"/>
    <cellStyle name="Normal 53" xfId="672"/>
    <cellStyle name="Normal 54" xfId="782"/>
    <cellStyle name="Normal 54 2" xfId="832"/>
    <cellStyle name="Normal 55" xfId="341"/>
    <cellStyle name="Normal 56" xfId="835"/>
    <cellStyle name="Normal 57" xfId="873"/>
    <cellStyle name="Normal 58" xfId="912"/>
    <cellStyle name="Normal 59" xfId="951"/>
    <cellStyle name="Normal 6" xfId="226"/>
    <cellStyle name="Normal 6 10" xfId="673"/>
    <cellStyle name="Normal 6 11" xfId="674"/>
    <cellStyle name="Normal 6 12" xfId="675"/>
    <cellStyle name="Normal 6 13" xfId="676"/>
    <cellStyle name="Normal 6 14" xfId="677"/>
    <cellStyle name="Normal 6 15" xfId="840"/>
    <cellStyle name="Normal 6 16" xfId="878"/>
    <cellStyle name="Normal 6 17" xfId="917"/>
    <cellStyle name="Normal 6 2" xfId="227"/>
    <cellStyle name="Normal 6 2 2" xfId="296"/>
    <cellStyle name="Normal 6 2 2 2" xfId="806"/>
    <cellStyle name="Normal 6 2 2 2 2" xfId="1016"/>
    <cellStyle name="Normal 6 2 2 3" xfId="678"/>
    <cellStyle name="Normal 6 2 3" xfId="361"/>
    <cellStyle name="Normal 6 2 4" xfId="855"/>
    <cellStyle name="Normal 6 2 5" xfId="893"/>
    <cellStyle name="Normal 6 2 6" xfId="932"/>
    <cellStyle name="Normal 6 2 7" xfId="975"/>
    <cellStyle name="Normal 6 3" xfId="228"/>
    <cellStyle name="Normal 6 4" xfId="229"/>
    <cellStyle name="Normal 6 4 2" xfId="313"/>
    <cellStyle name="Normal 6 4 2 2" xfId="679"/>
    <cellStyle name="Normal 6 4 3" xfId="346"/>
    <cellStyle name="Normal 6 4 4" xfId="871"/>
    <cellStyle name="Normal 6 4 5" xfId="909"/>
    <cellStyle name="Normal 6 4 6" xfId="948"/>
    <cellStyle name="Normal 6 4 7" xfId="960"/>
    <cellStyle name="Normal 6 5" xfId="230"/>
    <cellStyle name="Normal 6 6" xfId="231"/>
    <cellStyle name="Normal 6 6 2" xfId="330"/>
    <cellStyle name="Normal 6 6 2 2" xfId="810"/>
    <cellStyle name="Normal 6 6 2 3" xfId="1020"/>
    <cellStyle name="Normal 6 7" xfId="281"/>
    <cellStyle name="Normal 6 7 2" xfId="680"/>
    <cellStyle name="Normal 6 8" xfId="681"/>
    <cellStyle name="Normal 6 9" xfId="682"/>
    <cellStyle name="Normal 60" xfId="955"/>
    <cellStyle name="Normal 7" xfId="232"/>
    <cellStyle name="Normal 7 2" xfId="233"/>
    <cellStyle name="Normal 7 2 2" xfId="298"/>
    <cellStyle name="Normal 7 2 2 2" xfId="828"/>
    <cellStyle name="Normal 7 2 2 3" xfId="1036"/>
    <cellStyle name="Normal 7 2 3" xfId="363"/>
    <cellStyle name="Normal 7 2 4" xfId="857"/>
    <cellStyle name="Normal 7 2 5" xfId="895"/>
    <cellStyle name="Normal 7 2 6" xfId="934"/>
    <cellStyle name="Normal 7 2 7" xfId="977"/>
    <cellStyle name="Normal 7 3" xfId="282"/>
    <cellStyle name="Normal 7 3 2" xfId="787"/>
    <cellStyle name="Normal 7 3 2 2" xfId="997"/>
    <cellStyle name="Normal 7 3 3" xfId="777"/>
    <cellStyle name="Normal 7 4" xfId="347"/>
    <cellStyle name="Normal 7 5" xfId="841"/>
    <cellStyle name="Normal 7 6" xfId="879"/>
    <cellStyle name="Normal 7 7" xfId="918"/>
    <cellStyle name="Normal 7 8" xfId="961"/>
    <cellStyle name="Normal 8" xfId="234"/>
    <cellStyle name="Normal 8 10" xfId="683"/>
    <cellStyle name="Normal 8 11" xfId="684"/>
    <cellStyle name="Normal 8 12" xfId="685"/>
    <cellStyle name="Normal 8 13" xfId="686"/>
    <cellStyle name="Normal 8 14" xfId="687"/>
    <cellStyle name="Normal 8 15" xfId="778"/>
    <cellStyle name="Normal 8 16" xfId="348"/>
    <cellStyle name="Normal 8 17" xfId="842"/>
    <cellStyle name="Normal 8 18" xfId="880"/>
    <cellStyle name="Normal 8 19" xfId="919"/>
    <cellStyle name="Normal 8 2" xfId="235"/>
    <cellStyle name="Normal 8 2 2" xfId="299"/>
    <cellStyle name="Normal 8 2 2 2" xfId="826"/>
    <cellStyle name="Normal 8 2 2 2 2" xfId="1034"/>
    <cellStyle name="Normal 8 2 2 3" xfId="688"/>
    <cellStyle name="Normal 8 2 3" xfId="364"/>
    <cellStyle name="Normal 8 2 4" xfId="858"/>
    <cellStyle name="Normal 8 2 5" xfId="896"/>
    <cellStyle name="Normal 8 2 6" xfId="935"/>
    <cellStyle name="Normal 8 2 7" xfId="978"/>
    <cellStyle name="Normal 8 20" xfId="962"/>
    <cellStyle name="Normal 8 3" xfId="283"/>
    <cellStyle name="Normal 8 3 2" xfId="788"/>
    <cellStyle name="Normal 8 3 2 2" xfId="998"/>
    <cellStyle name="Normal 8 3 3" xfId="689"/>
    <cellStyle name="Normal 8 4" xfId="690"/>
    <cellStyle name="Normal 8 5" xfId="691"/>
    <cellStyle name="Normal 8 6" xfId="692"/>
    <cellStyle name="Normal 8 7" xfId="693"/>
    <cellStyle name="Normal 8 8" xfId="694"/>
    <cellStyle name="Normal 8 9" xfId="695"/>
    <cellStyle name="Normal 9" xfId="236"/>
    <cellStyle name="Normal 9 10" xfId="696"/>
    <cellStyle name="Normal 9 11" xfId="697"/>
    <cellStyle name="Normal 9 12" xfId="698"/>
    <cellStyle name="Normal 9 13" xfId="699"/>
    <cellStyle name="Normal 9 14" xfId="700"/>
    <cellStyle name="Normal 9 15" xfId="779"/>
    <cellStyle name="Normal 9 16" xfId="352"/>
    <cellStyle name="Normal 9 17" xfId="846"/>
    <cellStyle name="Normal 9 18" xfId="884"/>
    <cellStyle name="Normal 9 19" xfId="923"/>
    <cellStyle name="Normal 9 2" xfId="237"/>
    <cellStyle name="Normal 9 2 2" xfId="303"/>
    <cellStyle name="Normal 9 2 2 2" xfId="804"/>
    <cellStyle name="Normal 9 2 2 2 2" xfId="1014"/>
    <cellStyle name="Normal 9 2 2 3" xfId="701"/>
    <cellStyle name="Normal 9 2 3" xfId="368"/>
    <cellStyle name="Normal 9 2 4" xfId="862"/>
    <cellStyle name="Normal 9 2 5" xfId="900"/>
    <cellStyle name="Normal 9 2 6" xfId="939"/>
    <cellStyle name="Normal 9 2 7" xfId="982"/>
    <cellStyle name="Normal 9 20" xfId="966"/>
    <cellStyle name="Normal 9 3" xfId="287"/>
    <cellStyle name="Normal 9 3 2" xfId="792"/>
    <cellStyle name="Normal 9 3 2 2" xfId="1002"/>
    <cellStyle name="Normal 9 3 3" xfId="702"/>
    <cellStyle name="Normal 9 4" xfId="703"/>
    <cellStyle name="Normal 9 5" xfId="704"/>
    <cellStyle name="Normal 9 6" xfId="705"/>
    <cellStyle name="Normal 9 7" xfId="706"/>
    <cellStyle name="Normal 9 8" xfId="707"/>
    <cellStyle name="Normal 9 9" xfId="708"/>
    <cellStyle name="Normal_ABONNES" xfId="1"/>
    <cellStyle name="Normal_ADMIN" xfId="2"/>
    <cellStyle name="Normal_ADMIN 2" xfId="274"/>
    <cellStyle name="Normal_OPER" xfId="3"/>
    <cellStyle name="Normal_SOMMAIRE" xfId="4"/>
    <cellStyle name="Normal_VENTES" xfId="5"/>
    <cellStyle name="Note 2" xfId="238"/>
    <cellStyle name="Note 3" xfId="239"/>
    <cellStyle name="Note 4" xfId="240"/>
    <cellStyle name="Note 5" xfId="241"/>
    <cellStyle name="Output 2" xfId="242"/>
    <cellStyle name="Output 3" xfId="243"/>
    <cellStyle name="Output 4" xfId="244"/>
    <cellStyle name="Output 5" xfId="245"/>
    <cellStyle name="Output Amounts" xfId="331"/>
    <cellStyle name="Output Column Headings" xfId="332"/>
    <cellStyle name="Output Line Items" xfId="333"/>
    <cellStyle name="Output Report Heading" xfId="334"/>
    <cellStyle name="Output Report Title" xfId="335"/>
    <cellStyle name="Percent 2" xfId="246"/>
    <cellStyle name="Percent 2 2" xfId="247"/>
    <cellStyle name="Percent 2 2 2" xfId="783"/>
    <cellStyle name="Percent 2 2 2 2" xfId="994"/>
    <cellStyle name="Percent 2 3" xfId="248"/>
    <cellStyle name="Percent 2 4" xfId="249"/>
    <cellStyle name="Percent 2 4 2" xfId="293"/>
    <cellStyle name="Percent 2 4 2 2" xfId="808"/>
    <cellStyle name="Percent 2 4 2 3" xfId="1018"/>
    <cellStyle name="Percent 2 4 3" xfId="358"/>
    <cellStyle name="Percent 2 4 4" xfId="852"/>
    <cellStyle name="Percent 2 4 5" xfId="890"/>
    <cellStyle name="Percent 2 4 6" xfId="929"/>
    <cellStyle name="Percent 2 4 7" xfId="972"/>
    <cellStyle name="Percent 3" xfId="250"/>
    <cellStyle name="Percent 3 2" xfId="311"/>
    <cellStyle name="Percent 3 2 2" xfId="801"/>
    <cellStyle name="Percent 3 2 3" xfId="1011"/>
    <cellStyle name="Percent 3 3" xfId="376"/>
    <cellStyle name="Percent 3 4" xfId="870"/>
    <cellStyle name="Percent 3 5" xfId="908"/>
    <cellStyle name="Percent 3 6" xfId="947"/>
    <cellStyle name="Percent 3 7" xfId="990"/>
    <cellStyle name="Pourcentage" xfId="6" builtinId="5"/>
    <cellStyle name="Pourcentage 10" xfId="913"/>
    <cellStyle name="Pourcentage 11" xfId="952"/>
    <cellStyle name="Pourcentage 12" xfId="957"/>
    <cellStyle name="Pourcentage 2" xfId="8"/>
    <cellStyle name="Pourcentage 2 2" xfId="312"/>
    <cellStyle name="Pourcentage 2 3" xfId="336"/>
    <cellStyle name="Pourcentage 2 3 2" xfId="817"/>
    <cellStyle name="Pourcentage 2 3 3" xfId="1027"/>
    <cellStyle name="Pourcentage 3" xfId="273"/>
    <cellStyle name="Pourcentage 3 2" xfId="338"/>
    <cellStyle name="Pourcentage 3 3" xfId="816"/>
    <cellStyle name="Pourcentage 3 4" xfId="1026"/>
    <cellStyle name="Pourcentage 4" xfId="276"/>
    <cellStyle name="Pourcentage 4 2" xfId="820"/>
    <cellStyle name="Pourcentage 4 3" xfId="1028"/>
    <cellStyle name="Pourcentage 4 4" xfId="1042"/>
    <cellStyle name="Pourcentage 5" xfId="317"/>
    <cellStyle name="Pourcentage 5 2" xfId="814"/>
    <cellStyle name="Pourcentage 5 3" xfId="1024"/>
    <cellStyle name="Pourcentage 6" xfId="340"/>
    <cellStyle name="Pourcentage 7" xfId="343"/>
    <cellStyle name="Pourcentage 8" xfId="836"/>
    <cellStyle name="Pourcentage 9" xfId="874"/>
    <cellStyle name="Satisfaisant 2" xfId="251"/>
    <cellStyle name="Sortie 2" xfId="252"/>
    <cellStyle name="Texte explicatif 2" xfId="253"/>
    <cellStyle name="Title 2" xfId="254"/>
    <cellStyle name="Title 3" xfId="255"/>
    <cellStyle name="Title 4" xfId="256"/>
    <cellStyle name="Title 5" xfId="257"/>
    <cellStyle name="Titre 2" xfId="258"/>
    <cellStyle name="Titre 1 2" xfId="259"/>
    <cellStyle name="Titre 2 2" xfId="260"/>
    <cellStyle name="Titre 3 2" xfId="261"/>
    <cellStyle name="Titre 4 2" xfId="262"/>
    <cellStyle name="Total 2" xfId="263"/>
    <cellStyle name="Total 3" xfId="264"/>
    <cellStyle name="Total 4" xfId="265"/>
    <cellStyle name="Total 5" xfId="266"/>
    <cellStyle name="Vérification 2" xfId="267"/>
    <cellStyle name="Warning Text 2" xfId="268"/>
    <cellStyle name="Warning Text 3" xfId="269"/>
    <cellStyle name="Warning Text 4" xfId="270"/>
    <cellStyle name="Warning Text 5" xfId="271"/>
  </cellStyles>
  <dxfs count="0"/>
  <tableStyles count="0" defaultTableStyle="TableStyleMedium2" defaultPivotStyle="PivotStyleLight16"/>
  <colors>
    <mruColors>
      <color rgb="FF00FFFF"/>
      <color rgb="FF00EE6C"/>
      <color rgb="FFFFFFCC"/>
      <color rgb="FFEBE600"/>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externalLink" Target="externalLinks/externalLink5.xml"/><Relationship Id="rId63" Type="http://schemas.openxmlformats.org/officeDocument/2006/relationships/externalLink" Target="externalLinks/externalLink21.xml"/><Relationship Id="rId68" Type="http://schemas.openxmlformats.org/officeDocument/2006/relationships/externalLink" Target="externalLinks/externalLink26.xml"/><Relationship Id="rId84" Type="http://schemas.openxmlformats.org/officeDocument/2006/relationships/externalLink" Target="externalLinks/externalLink42.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11.xml"/><Relationship Id="rId58" Type="http://schemas.openxmlformats.org/officeDocument/2006/relationships/externalLink" Target="externalLinks/externalLink16.xml"/><Relationship Id="rId74" Type="http://schemas.openxmlformats.org/officeDocument/2006/relationships/externalLink" Target="externalLinks/externalLink32.xml"/><Relationship Id="rId79" Type="http://schemas.openxmlformats.org/officeDocument/2006/relationships/externalLink" Target="externalLinks/externalLink37.xml"/><Relationship Id="rId5" Type="http://schemas.openxmlformats.org/officeDocument/2006/relationships/worksheet" Target="worksheets/sheet5.xml"/><Relationship Id="rId90"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64" Type="http://schemas.openxmlformats.org/officeDocument/2006/relationships/externalLink" Target="externalLinks/externalLink22.xml"/><Relationship Id="rId69" Type="http://schemas.openxmlformats.org/officeDocument/2006/relationships/externalLink" Target="externalLinks/externalLink27.xml"/><Relationship Id="rId8" Type="http://schemas.openxmlformats.org/officeDocument/2006/relationships/worksheet" Target="worksheets/sheet8.xml"/><Relationship Id="rId51" Type="http://schemas.openxmlformats.org/officeDocument/2006/relationships/externalLink" Target="externalLinks/externalLink9.xml"/><Relationship Id="rId72" Type="http://schemas.openxmlformats.org/officeDocument/2006/relationships/externalLink" Target="externalLinks/externalLink30.xml"/><Relationship Id="rId80" Type="http://schemas.openxmlformats.org/officeDocument/2006/relationships/externalLink" Target="externalLinks/externalLink38.xml"/><Relationship Id="rId85" Type="http://schemas.openxmlformats.org/officeDocument/2006/relationships/externalLink" Target="externalLinks/externalLink43.xml"/><Relationship Id="rId93"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59" Type="http://schemas.openxmlformats.org/officeDocument/2006/relationships/externalLink" Target="externalLinks/externalLink17.xml"/><Relationship Id="rId67" Type="http://schemas.openxmlformats.org/officeDocument/2006/relationships/externalLink" Target="externalLinks/externalLink25.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2.xml"/><Relationship Id="rId62" Type="http://schemas.openxmlformats.org/officeDocument/2006/relationships/externalLink" Target="externalLinks/externalLink20.xml"/><Relationship Id="rId70" Type="http://schemas.openxmlformats.org/officeDocument/2006/relationships/externalLink" Target="externalLinks/externalLink28.xml"/><Relationship Id="rId75" Type="http://schemas.openxmlformats.org/officeDocument/2006/relationships/externalLink" Target="externalLinks/externalLink33.xml"/><Relationship Id="rId83" Type="http://schemas.openxmlformats.org/officeDocument/2006/relationships/externalLink" Target="externalLinks/externalLink41.xml"/><Relationship Id="rId88" Type="http://schemas.openxmlformats.org/officeDocument/2006/relationships/styles" Target="styles.xml"/><Relationship Id="rId9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57" Type="http://schemas.openxmlformats.org/officeDocument/2006/relationships/externalLink" Target="externalLinks/externalLink1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60" Type="http://schemas.openxmlformats.org/officeDocument/2006/relationships/externalLink" Target="externalLinks/externalLink18.xml"/><Relationship Id="rId65" Type="http://schemas.openxmlformats.org/officeDocument/2006/relationships/externalLink" Target="externalLinks/externalLink23.xml"/><Relationship Id="rId73" Type="http://schemas.openxmlformats.org/officeDocument/2006/relationships/externalLink" Target="externalLinks/externalLink31.xml"/><Relationship Id="rId78" Type="http://schemas.openxmlformats.org/officeDocument/2006/relationships/externalLink" Target="externalLinks/externalLink36.xml"/><Relationship Id="rId81" Type="http://schemas.openxmlformats.org/officeDocument/2006/relationships/externalLink" Target="externalLinks/externalLink39.xml"/><Relationship Id="rId86" Type="http://schemas.openxmlformats.org/officeDocument/2006/relationships/externalLink" Target="externalLinks/externalLink44.xml"/><Relationship Id="rId9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externalLink" Target="externalLinks/externalLink8.xml"/><Relationship Id="rId55" Type="http://schemas.openxmlformats.org/officeDocument/2006/relationships/externalLink" Target="externalLinks/externalLink13.xml"/><Relationship Id="rId76" Type="http://schemas.openxmlformats.org/officeDocument/2006/relationships/externalLink" Target="externalLinks/externalLink34.xml"/><Relationship Id="rId7" Type="http://schemas.openxmlformats.org/officeDocument/2006/relationships/worksheet" Target="worksheets/sheet7.xml"/><Relationship Id="rId71" Type="http://schemas.openxmlformats.org/officeDocument/2006/relationships/externalLink" Target="externalLinks/externalLink29.xml"/><Relationship Id="rId92"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externalLink" Target="externalLinks/externalLink3.xml"/><Relationship Id="rId66" Type="http://schemas.openxmlformats.org/officeDocument/2006/relationships/externalLink" Target="externalLinks/externalLink24.xml"/><Relationship Id="rId87" Type="http://schemas.openxmlformats.org/officeDocument/2006/relationships/theme" Target="theme/theme1.xml"/><Relationship Id="rId61" Type="http://schemas.openxmlformats.org/officeDocument/2006/relationships/externalLink" Target="externalLinks/externalLink19.xml"/><Relationship Id="rId82" Type="http://schemas.openxmlformats.org/officeDocument/2006/relationships/externalLink" Target="externalLinks/externalLink40.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externalLink" Target="externalLinks/externalLink14.xml"/><Relationship Id="rId77" Type="http://schemas.openxmlformats.org/officeDocument/2006/relationships/externalLink" Target="externalLinks/externalLink35.xml"/></Relationships>
</file>

<file path=xl/drawings/drawing1.xml><?xml version="1.0" encoding="utf-8"?>
<xdr:wsDr xmlns:xdr="http://schemas.openxmlformats.org/drawingml/2006/spreadsheetDrawing" xmlns:a="http://schemas.openxmlformats.org/drawingml/2006/main">
  <xdr:twoCellAnchor>
    <xdr:from>
      <xdr:col>21</xdr:col>
      <xdr:colOff>66675</xdr:colOff>
      <xdr:row>54</xdr:row>
      <xdr:rowOff>66675</xdr:rowOff>
    </xdr:from>
    <xdr:to>
      <xdr:col>43</xdr:col>
      <xdr:colOff>361950</xdr:colOff>
      <xdr:row>60</xdr:row>
      <xdr:rowOff>95250</xdr:rowOff>
    </xdr:to>
    <xdr:cxnSp macro="">
      <xdr:nvCxnSpPr>
        <xdr:cNvPr id="2" name="Connecteur droit 1"/>
        <xdr:cNvCxnSpPr/>
      </xdr:nvCxnSpPr>
      <xdr:spPr>
        <a:xfrm>
          <a:off x="9201150" y="12096750"/>
          <a:ext cx="13801725" cy="2819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247650</xdr:colOff>
      <xdr:row>54</xdr:row>
      <xdr:rowOff>66675</xdr:rowOff>
    </xdr:from>
    <xdr:to>
      <xdr:col>43</xdr:col>
      <xdr:colOff>419100</xdr:colOff>
      <xdr:row>60</xdr:row>
      <xdr:rowOff>123825</xdr:rowOff>
    </xdr:to>
    <xdr:cxnSp macro="">
      <xdr:nvCxnSpPr>
        <xdr:cNvPr id="3" name="Connecteur droit 2"/>
        <xdr:cNvCxnSpPr/>
      </xdr:nvCxnSpPr>
      <xdr:spPr>
        <a:xfrm flipH="1">
          <a:off x="9382125" y="12096750"/>
          <a:ext cx="13677900" cy="28479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428123</xdr:colOff>
      <xdr:row>30</xdr:row>
      <xdr:rowOff>114801</xdr:rowOff>
    </xdr:from>
    <xdr:to>
      <xdr:col>28</xdr:col>
      <xdr:colOff>50130</xdr:colOff>
      <xdr:row>33</xdr:row>
      <xdr:rowOff>95751</xdr:rowOff>
    </xdr:to>
    <xdr:sp macro="" textlink="">
      <xdr:nvSpPr>
        <xdr:cNvPr id="4" name="Accolade ouvrante 3"/>
        <xdr:cNvSpPr/>
      </xdr:nvSpPr>
      <xdr:spPr>
        <a:xfrm>
          <a:off x="13039223" y="6906126"/>
          <a:ext cx="231607" cy="581025"/>
        </a:xfrm>
        <a:prstGeom prst="leftBrace">
          <a:avLst>
            <a:gd name="adj1" fmla="val 8333"/>
            <a:gd name="adj2" fmla="val 3169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04%20(20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40%20(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41%20(20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42%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44%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46%20(2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48%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49%20(F2015-B2016)%20et%20GI-x%20Doc%20x.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50%20(201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51%20(201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52%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06%20(201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01%20(F2015-B2016)%20et%20GI-x%20Doc%20x.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bigelowl/Local%20Settings/Temporary%20Internet%20Files/Content.Outlook/DS752VJ0/Budget%20LPLP%202008%20v9%20(new%20presentati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01%20(F2015-B2016)%20et%20GI-x%20Doc%20x.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04%20(F2015-B2016)%20et%20GI-x%20Doc%20x.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06%20(F2015-B2016)%20et%20GI-x%20Doc%20x.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08%20(F2015-B2016)%20et%20GI-x%20Doc%20x.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11%20(F2015-B2016)%20et%20GI-x%20Doc%20x.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13%20(F2015-B2016)%20et%20GI-x%20Doc%20x.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30%20(F2015-B2016)%20et%20GI-x%20Doc%20x.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32%20(F2015-B2016)%20et%20GI-x%20Doc%20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08%20(201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34%20(F2015-B2016)%20et%20GI-x%20Doc%20x.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36%20(F2015-B2016)%20et%20GI-x%20Doc%20x.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51%20(F2015-B2016)%20et%20GI-x%20Doc%20x.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BUDADMIN/CAUSE/Cause%202016/PHASE%20III/Copie%20de%20GI-28%20Doc%201%20&#224;%209%20_%20FICHIER%20DE%20TRAVAIL.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42%20(F2015-B2016)%20et%20GI-x%20Doc%20x.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44%20(F2015-B2016)%20et%20GI-x%20Doc%20x.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46%20(F2015-B2016)%20et%20GI-x%20Doc%20x.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48%20(F2015-B2016)%20et%20GI-x%20Doc%20x.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BUDADMIN/BUDGET/O&amp;M%202015(3+9),%202016%20Update/CC25444_CC25446_CC25448_CC25423%20-%202015F-2016B/CC25448/Analyse%20GI-28%20Doc%202_CC25448.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50%20(F2015-B2016)%20et%20GI-x%20Doc%20x.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11%20(2015).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BUDADMIN/CAUSE/Cause%202016/PHASE%20III/Copie%20de%20GI-28%20Doc%201%20&#224;%209%20_%20MBM.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52%20(F2015-B2016)%20et%20GI-x%20Doc%20x.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BUDADMIN/CAUSE/Cause%202016/PHASE%20III/Copie%20de%20GI-28%20Doc%201%20&#224;%209%20_%20MBM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40%20(F2015-B2016)%20et%20GI-x%20Doc%20x.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20et%20feuilles%20de%20travail%20pour%20GI-X%20Doc%20X/cc25441%20(F2015-B2016)%20et%20GI-x%20Doc%20x.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13%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30%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32%20(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34%20(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UDADMIN/BUDGET/O&amp;M%202015(3+9),%202016%20Update/Analyse%20d'&#233;cart/cc25436%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CC25404</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46759.199999999997</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46759.199999999997</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0</v>
          </cell>
        </row>
        <row r="86">
          <cell r="A86" t="str">
            <v>A60406</v>
          </cell>
          <cell r="O86">
            <v>0</v>
          </cell>
        </row>
        <row r="87">
          <cell r="A87" t="str">
            <v>A60412</v>
          </cell>
          <cell r="O87">
            <v>0</v>
          </cell>
        </row>
        <row r="88">
          <cell r="A88" t="str">
            <v>P6040</v>
          </cell>
          <cell r="O88">
            <v>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2281.9299999999998</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2050</v>
          </cell>
        </row>
        <row r="103">
          <cell r="A103" t="str">
            <v>A61021</v>
          </cell>
          <cell r="O103">
            <v>0</v>
          </cell>
        </row>
        <row r="104">
          <cell r="A104" t="str">
            <v>P6100</v>
          </cell>
          <cell r="O104">
            <v>4331.93</v>
          </cell>
        </row>
        <row r="105">
          <cell r="A105" t="str">
            <v>A61101</v>
          </cell>
          <cell r="O105">
            <v>0</v>
          </cell>
        </row>
        <row r="106">
          <cell r="A106" t="str">
            <v>A61103</v>
          </cell>
          <cell r="O106">
            <v>0</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0</v>
          </cell>
        </row>
        <row r="117">
          <cell r="A117" t="str">
            <v>A61201</v>
          </cell>
          <cell r="O117">
            <v>0</v>
          </cell>
        </row>
        <row r="118">
          <cell r="A118" t="str">
            <v>A61299</v>
          </cell>
          <cell r="O118">
            <v>2898.6210000000001</v>
          </cell>
        </row>
        <row r="119">
          <cell r="A119" t="str">
            <v>P6120</v>
          </cell>
          <cell r="O119">
            <v>2898.6210000000001</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381888.05</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381888.05</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19403.25</v>
          </cell>
        </row>
        <row r="236">
          <cell r="A236" t="str">
            <v>A62311</v>
          </cell>
          <cell r="O236">
            <v>0</v>
          </cell>
        </row>
        <row r="237">
          <cell r="A237" t="str">
            <v>A62312</v>
          </cell>
          <cell r="O237">
            <v>0</v>
          </cell>
        </row>
        <row r="238">
          <cell r="A238" t="str">
            <v>P6230</v>
          </cell>
          <cell r="O238">
            <v>19403.25</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420</v>
          </cell>
        </row>
        <row r="270">
          <cell r="A270" t="str">
            <v>A70407</v>
          </cell>
          <cell r="O270">
            <v>0</v>
          </cell>
        </row>
        <row r="271">
          <cell r="A271" t="str">
            <v>A70409</v>
          </cell>
          <cell r="O271">
            <v>0</v>
          </cell>
        </row>
        <row r="272">
          <cell r="A272" t="str">
            <v>P7040</v>
          </cell>
          <cell r="O272">
            <v>420</v>
          </cell>
        </row>
        <row r="273">
          <cell r="A273" t="str">
            <v>A70501</v>
          </cell>
          <cell r="O273">
            <v>0</v>
          </cell>
        </row>
        <row r="274">
          <cell r="A274" t="str">
            <v>A70503</v>
          </cell>
          <cell r="O274">
            <v>0</v>
          </cell>
        </row>
        <row r="275">
          <cell r="A275" t="str">
            <v>A70505</v>
          </cell>
          <cell r="O275">
            <v>0</v>
          </cell>
        </row>
        <row r="276">
          <cell r="A276" t="str">
            <v>A70507</v>
          </cell>
          <cell r="O276">
            <v>0</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0</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500</v>
          </cell>
        </row>
        <row r="306">
          <cell r="A306" t="str">
            <v>A70811</v>
          </cell>
          <cell r="O306">
            <v>0</v>
          </cell>
        </row>
        <row r="307">
          <cell r="A307" t="str">
            <v>P7080</v>
          </cell>
          <cell r="O307">
            <v>500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792.78</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792.78</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-6500</v>
          </cell>
        </row>
        <row r="356">
          <cell r="A356" t="str">
            <v>A79958</v>
          </cell>
          <cell r="O356">
            <v>0</v>
          </cell>
        </row>
        <row r="357">
          <cell r="A357" t="str">
            <v>P7995</v>
          </cell>
          <cell r="O357">
            <v>-6500</v>
          </cell>
        </row>
        <row r="358">
          <cell r="A358" t="str">
            <v>OAPPP</v>
          </cell>
          <cell r="O358">
            <v>450493.83100000001</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row r="52">
          <cell r="O52">
            <v>0</v>
          </cell>
        </row>
        <row r="53">
          <cell r="O53">
            <v>0</v>
          </cell>
        </row>
        <row r="54">
          <cell r="O54">
            <v>0</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0</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28.48</v>
          </cell>
        </row>
        <row r="98">
          <cell r="O98">
            <v>0</v>
          </cell>
        </row>
        <row r="99">
          <cell r="O99">
            <v>0</v>
          </cell>
        </row>
        <row r="100">
          <cell r="O100">
            <v>0</v>
          </cell>
        </row>
        <row r="101">
          <cell r="O101">
            <v>0</v>
          </cell>
        </row>
        <row r="102">
          <cell r="O102">
            <v>0</v>
          </cell>
        </row>
        <row r="103">
          <cell r="O103">
            <v>0</v>
          </cell>
        </row>
        <row r="104">
          <cell r="O104">
            <v>28.48</v>
          </cell>
        </row>
        <row r="105">
          <cell r="O105">
            <v>0</v>
          </cell>
        </row>
        <row r="106">
          <cell r="O106">
            <v>0</v>
          </cell>
        </row>
        <row r="107">
          <cell r="O107">
            <v>54.97</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54.97</v>
          </cell>
        </row>
        <row r="117">
          <cell r="O117">
            <v>0</v>
          </cell>
        </row>
        <row r="118">
          <cell r="O118">
            <v>4090.11</v>
          </cell>
        </row>
        <row r="119">
          <cell r="O119">
            <v>4090.11</v>
          </cell>
        </row>
        <row r="120">
          <cell r="O120">
            <v>0</v>
          </cell>
        </row>
        <row r="121">
          <cell r="O121">
            <v>0</v>
          </cell>
        </row>
        <row r="122">
          <cell r="O122">
            <v>0</v>
          </cell>
        </row>
        <row r="123">
          <cell r="O123">
            <v>0</v>
          </cell>
        </row>
        <row r="124">
          <cell r="O124">
            <v>0</v>
          </cell>
        </row>
        <row r="125">
          <cell r="O125">
            <v>1807.45</v>
          </cell>
        </row>
        <row r="126">
          <cell r="O126">
            <v>0</v>
          </cell>
        </row>
        <row r="127">
          <cell r="O127">
            <v>0</v>
          </cell>
        </row>
        <row r="128">
          <cell r="O128">
            <v>1807.45</v>
          </cell>
        </row>
        <row r="129">
          <cell r="O129">
            <v>340548.28</v>
          </cell>
        </row>
        <row r="130">
          <cell r="O130">
            <v>0</v>
          </cell>
        </row>
        <row r="131">
          <cell r="O131">
            <v>0</v>
          </cell>
        </row>
        <row r="132">
          <cell r="O132">
            <v>0</v>
          </cell>
        </row>
        <row r="133">
          <cell r="O133">
            <v>0</v>
          </cell>
        </row>
        <row r="134">
          <cell r="O134">
            <v>0</v>
          </cell>
        </row>
        <row r="135">
          <cell r="O135">
            <v>0</v>
          </cell>
        </row>
        <row r="136">
          <cell r="O136">
            <v>340548.28</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0</v>
          </cell>
        </row>
        <row r="154">
          <cell r="O154">
            <v>0</v>
          </cell>
        </row>
        <row r="155">
          <cell r="O155">
            <v>0</v>
          </cell>
        </row>
        <row r="156">
          <cell r="O156">
            <v>0</v>
          </cell>
        </row>
        <row r="157">
          <cell r="O157">
            <v>0</v>
          </cell>
        </row>
        <row r="158">
          <cell r="O158">
            <v>0</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0</v>
          </cell>
        </row>
        <row r="171">
          <cell r="O171">
            <v>0</v>
          </cell>
        </row>
        <row r="172">
          <cell r="O172">
            <v>0</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17046.64</v>
          </cell>
        </row>
        <row r="236">
          <cell r="O236">
            <v>0</v>
          </cell>
        </row>
        <row r="237">
          <cell r="O237">
            <v>0</v>
          </cell>
        </row>
        <row r="238">
          <cell r="O238">
            <v>17046.64</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415.76</v>
          </cell>
        </row>
        <row r="270">
          <cell r="O270">
            <v>0</v>
          </cell>
        </row>
        <row r="271">
          <cell r="O271">
            <v>0</v>
          </cell>
        </row>
        <row r="272">
          <cell r="O272">
            <v>415.76</v>
          </cell>
        </row>
        <row r="273">
          <cell r="O273">
            <v>0</v>
          </cell>
        </row>
        <row r="274">
          <cell r="O274">
            <v>71.02</v>
          </cell>
        </row>
        <row r="275">
          <cell r="O275">
            <v>0</v>
          </cell>
        </row>
        <row r="276">
          <cell r="O276">
            <v>45.17</v>
          </cell>
        </row>
        <row r="277">
          <cell r="O277">
            <v>0</v>
          </cell>
        </row>
        <row r="278">
          <cell r="O278">
            <v>0</v>
          </cell>
        </row>
        <row r="279">
          <cell r="O279">
            <v>0</v>
          </cell>
        </row>
        <row r="280">
          <cell r="O280">
            <v>0</v>
          </cell>
        </row>
        <row r="281">
          <cell r="O281">
            <v>116.19</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300</v>
          </cell>
        </row>
        <row r="306">
          <cell r="O306">
            <v>0</v>
          </cell>
        </row>
        <row r="307">
          <cell r="O307">
            <v>300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46477.87</v>
          </cell>
        </row>
        <row r="338">
          <cell r="O338">
            <v>0</v>
          </cell>
        </row>
        <row r="339">
          <cell r="O339">
            <v>0</v>
          </cell>
        </row>
        <row r="340">
          <cell r="O340">
            <v>0</v>
          </cell>
        </row>
        <row r="341">
          <cell r="O341">
            <v>0</v>
          </cell>
        </row>
        <row r="342">
          <cell r="O342">
            <v>0</v>
          </cell>
        </row>
        <row r="343">
          <cell r="O343">
            <v>0</v>
          </cell>
        </row>
        <row r="344">
          <cell r="O344">
            <v>46477.87</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410885.75</v>
          </cell>
        </row>
      </sheetData>
      <sheetData sheetId="2">
        <row r="65">
          <cell r="O65">
            <v>60603.9</v>
          </cell>
        </row>
      </sheetData>
      <sheetData sheetId="3"/>
      <sheetData sheetId="4">
        <row r="1">
          <cell r="A1" t="str">
            <v>CC25404</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cell r="E338">
            <v>77516.087700000004</v>
          </cell>
          <cell r="F338">
            <v>101170.073</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77516.087700000004</v>
          </cell>
          <cell r="F345">
            <v>101170.073</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541002.09970000002</v>
          </cell>
          <cell r="F359">
            <v>546872.36670000001</v>
          </cell>
        </row>
        <row r="362">
          <cell r="A362" t="str">
            <v>NOUVEAUX COMPTES</v>
          </cell>
        </row>
      </sheetData>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CC25440</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557659</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557659</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600</v>
          </cell>
        </row>
        <row r="85">
          <cell r="A85" t="str">
            <v>A60415</v>
          </cell>
          <cell r="O85">
            <v>5000</v>
          </cell>
        </row>
        <row r="86">
          <cell r="A86" t="str">
            <v>A60406</v>
          </cell>
          <cell r="O86">
            <v>0</v>
          </cell>
        </row>
        <row r="87">
          <cell r="A87" t="str">
            <v>A60412</v>
          </cell>
          <cell r="O87">
            <v>0</v>
          </cell>
        </row>
        <row r="88">
          <cell r="A88" t="str">
            <v>P6040</v>
          </cell>
          <cell r="O88">
            <v>5600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0</v>
          </cell>
        </row>
        <row r="107">
          <cell r="A107" t="str">
            <v>A61105</v>
          </cell>
          <cell r="O107">
            <v>200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200</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200520</v>
          </cell>
        </row>
        <row r="171">
          <cell r="A171" t="str">
            <v>A61906</v>
          </cell>
          <cell r="O171">
            <v>0</v>
          </cell>
        </row>
        <row r="172">
          <cell r="A172" t="str">
            <v>P6190</v>
          </cell>
          <cell r="O172">
            <v>200520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2400</v>
          </cell>
        </row>
        <row r="270">
          <cell r="A270" t="str">
            <v>A70407</v>
          </cell>
          <cell r="O270">
            <v>0</v>
          </cell>
        </row>
        <row r="271">
          <cell r="A271" t="str">
            <v>A70409</v>
          </cell>
          <cell r="O271">
            <v>0</v>
          </cell>
        </row>
        <row r="272">
          <cell r="A272" t="str">
            <v>P7040</v>
          </cell>
          <cell r="O272">
            <v>2400</v>
          </cell>
        </row>
        <row r="273">
          <cell r="A273" t="str">
            <v>A70501</v>
          </cell>
          <cell r="O273">
            <v>4510</v>
          </cell>
        </row>
        <row r="274">
          <cell r="A274" t="str">
            <v>A70503</v>
          </cell>
          <cell r="O274">
            <v>2000</v>
          </cell>
        </row>
        <row r="275">
          <cell r="A275" t="str">
            <v>A70505</v>
          </cell>
          <cell r="O275">
            <v>2695</v>
          </cell>
        </row>
        <row r="276">
          <cell r="A276" t="str">
            <v>A70507</v>
          </cell>
          <cell r="O276">
            <v>4000</v>
          </cell>
        </row>
        <row r="277">
          <cell r="A277" t="str">
            <v>A70509</v>
          </cell>
          <cell r="O277">
            <v>1014</v>
          </cell>
        </row>
        <row r="278">
          <cell r="A278" t="str">
            <v>A70511</v>
          </cell>
          <cell r="O278">
            <v>0</v>
          </cell>
        </row>
        <row r="279">
          <cell r="A279" t="str">
            <v>A70506</v>
          </cell>
          <cell r="O279">
            <v>0</v>
          </cell>
        </row>
        <row r="280">
          <cell r="A280" t="str">
            <v>A70510</v>
          </cell>
          <cell r="O280">
            <v>0</v>
          </cell>
        </row>
        <row r="281">
          <cell r="A281" t="str">
            <v>P7050</v>
          </cell>
          <cell r="O281">
            <v>14219</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0</v>
          </cell>
        </row>
        <row r="306">
          <cell r="A306" t="str">
            <v>A70811</v>
          </cell>
          <cell r="O306">
            <v>0</v>
          </cell>
        </row>
        <row r="307">
          <cell r="A307" t="str">
            <v>P7080</v>
          </cell>
          <cell r="O307">
            <v>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106956</v>
          </cell>
        </row>
        <row r="339">
          <cell r="A339" t="str">
            <v>A74003</v>
          </cell>
          <cell r="O339">
            <v>16200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123156</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-12575</v>
          </cell>
        </row>
        <row r="356">
          <cell r="A356" t="str">
            <v>A79958</v>
          </cell>
          <cell r="O356">
            <v>0</v>
          </cell>
        </row>
        <row r="357">
          <cell r="A357" t="str">
            <v>P7995</v>
          </cell>
          <cell r="O357">
            <v>-12575</v>
          </cell>
        </row>
        <row r="358">
          <cell r="A358" t="str">
            <v>OAPPP</v>
          </cell>
          <cell r="O358">
            <v>891179</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395528.06</v>
          </cell>
        </row>
        <row r="42">
          <cell r="O42">
            <v>0</v>
          </cell>
        </row>
        <row r="43">
          <cell r="O43">
            <v>0</v>
          </cell>
        </row>
        <row r="44">
          <cell r="O44">
            <v>0</v>
          </cell>
        </row>
        <row r="45">
          <cell r="O45">
            <v>0</v>
          </cell>
        </row>
        <row r="46">
          <cell r="O46">
            <v>0</v>
          </cell>
        </row>
        <row r="47">
          <cell r="O47">
            <v>36707.97</v>
          </cell>
        </row>
        <row r="48">
          <cell r="O48">
            <v>0</v>
          </cell>
        </row>
        <row r="49">
          <cell r="O49">
            <v>0</v>
          </cell>
        </row>
        <row r="50">
          <cell r="O50">
            <v>0</v>
          </cell>
        </row>
        <row r="51">
          <cell r="O51">
            <v>0</v>
          </cell>
        </row>
        <row r="52">
          <cell r="O52">
            <v>697.16</v>
          </cell>
        </row>
        <row r="53">
          <cell r="O53">
            <v>8346.6299999999992</v>
          </cell>
        </row>
        <row r="54">
          <cell r="O54">
            <v>6808.68</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448088.5</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2022.79</v>
          </cell>
        </row>
        <row r="86">
          <cell r="O86">
            <v>0</v>
          </cell>
        </row>
        <row r="87">
          <cell r="O87">
            <v>304.68</v>
          </cell>
        </row>
        <row r="88">
          <cell r="O88">
            <v>2327.4699999999998</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0</v>
          </cell>
        </row>
        <row r="107">
          <cell r="O107">
            <v>29.97</v>
          </cell>
        </row>
        <row r="108">
          <cell r="O108">
            <v>0</v>
          </cell>
        </row>
        <row r="109">
          <cell r="O109">
            <v>0</v>
          </cell>
        </row>
        <row r="110">
          <cell r="O110">
            <v>0</v>
          </cell>
        </row>
        <row r="111">
          <cell r="O111">
            <v>0</v>
          </cell>
        </row>
        <row r="112">
          <cell r="O112">
            <v>321.19</v>
          </cell>
        </row>
        <row r="113">
          <cell r="O113">
            <v>0</v>
          </cell>
        </row>
        <row r="114">
          <cell r="O114">
            <v>0</v>
          </cell>
        </row>
        <row r="115">
          <cell r="O115">
            <v>0</v>
          </cell>
        </row>
        <row r="116">
          <cell r="O116">
            <v>351.16</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6">
          <cell r="O126">
            <v>0</v>
          </cell>
        </row>
        <row r="127">
          <cell r="O127">
            <v>0</v>
          </cell>
        </row>
        <row r="128">
          <cell r="O128">
            <v>0</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0</v>
          </cell>
        </row>
        <row r="154">
          <cell r="O154">
            <v>0</v>
          </cell>
        </row>
        <row r="155">
          <cell r="O155">
            <v>0</v>
          </cell>
        </row>
        <row r="156">
          <cell r="O156">
            <v>0</v>
          </cell>
        </row>
        <row r="157">
          <cell r="O157">
            <v>0</v>
          </cell>
        </row>
        <row r="158">
          <cell r="O158">
            <v>0</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186575.82</v>
          </cell>
        </row>
        <row r="171">
          <cell r="O171">
            <v>0</v>
          </cell>
        </row>
        <row r="172">
          <cell r="O172">
            <v>186575.82</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1294.8699999999999</v>
          </cell>
        </row>
        <row r="270">
          <cell r="O270">
            <v>0</v>
          </cell>
        </row>
        <row r="271">
          <cell r="O271">
            <v>0</v>
          </cell>
        </row>
        <row r="272">
          <cell r="O272">
            <v>1294.8699999999999</v>
          </cell>
        </row>
        <row r="273">
          <cell r="O273">
            <v>1988.03</v>
          </cell>
        </row>
        <row r="274">
          <cell r="O274">
            <v>673.97</v>
          </cell>
        </row>
        <row r="275">
          <cell r="O275">
            <v>1366.58</v>
          </cell>
        </row>
        <row r="276">
          <cell r="O276">
            <v>5311.67</v>
          </cell>
        </row>
        <row r="277">
          <cell r="O277">
            <v>0</v>
          </cell>
        </row>
        <row r="278">
          <cell r="O278">
            <v>846.33</v>
          </cell>
        </row>
        <row r="279">
          <cell r="O279">
            <v>0</v>
          </cell>
        </row>
        <row r="280">
          <cell r="O280">
            <v>0</v>
          </cell>
        </row>
        <row r="281">
          <cell r="O281">
            <v>10186.58</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102372.68</v>
          </cell>
        </row>
        <row r="339">
          <cell r="O339">
            <v>0</v>
          </cell>
        </row>
        <row r="340">
          <cell r="O340">
            <v>0</v>
          </cell>
        </row>
        <row r="341">
          <cell r="O341">
            <v>11055.64</v>
          </cell>
        </row>
        <row r="342">
          <cell r="O342">
            <v>0</v>
          </cell>
        </row>
        <row r="343">
          <cell r="O343">
            <v>0</v>
          </cell>
        </row>
        <row r="344">
          <cell r="O344">
            <v>113428.32</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762252.72</v>
          </cell>
        </row>
      </sheetData>
      <sheetData sheetId="2">
        <row r="65">
          <cell r="O65">
            <v>530699</v>
          </cell>
        </row>
      </sheetData>
      <sheetData sheetId="3" refreshError="1"/>
      <sheetData sheetId="4">
        <row r="1">
          <cell r="A1" t="str">
            <v>CC25440</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CC25441</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0</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0</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0</v>
          </cell>
        </row>
        <row r="86">
          <cell r="A86" t="str">
            <v>A60406</v>
          </cell>
          <cell r="O86">
            <v>0</v>
          </cell>
        </row>
        <row r="87">
          <cell r="A87" t="str">
            <v>A60412</v>
          </cell>
          <cell r="O87">
            <v>0</v>
          </cell>
        </row>
        <row r="88">
          <cell r="A88" t="str">
            <v>P6040</v>
          </cell>
          <cell r="O88">
            <v>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0</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300</v>
          </cell>
        </row>
        <row r="112">
          <cell r="A112" t="str">
            <v>A61115</v>
          </cell>
          <cell r="O112">
            <v>2700</v>
          </cell>
        </row>
        <row r="113">
          <cell r="A113" t="str">
            <v>A61116</v>
          </cell>
          <cell r="O113">
            <v>0</v>
          </cell>
        </row>
        <row r="114">
          <cell r="A114" t="str">
            <v>A61117</v>
          </cell>
          <cell r="O114">
            <v>0</v>
          </cell>
        </row>
        <row r="115">
          <cell r="A115" t="str">
            <v>A61119</v>
          </cell>
          <cell r="O115">
            <v>0</v>
          </cell>
        </row>
        <row r="116">
          <cell r="A116" t="str">
            <v>P6110</v>
          </cell>
          <cell r="O116">
            <v>3000</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12000</v>
          </cell>
        </row>
        <row r="148">
          <cell r="A148" t="str">
            <v>A61706</v>
          </cell>
          <cell r="O148">
            <v>21000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33000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16200</v>
          </cell>
        </row>
        <row r="171">
          <cell r="A171" t="str">
            <v>A61906</v>
          </cell>
          <cell r="O171">
            <v>0</v>
          </cell>
        </row>
        <row r="172">
          <cell r="A172" t="str">
            <v>P6190</v>
          </cell>
          <cell r="O172">
            <v>16200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720</v>
          </cell>
        </row>
        <row r="270">
          <cell r="A270" t="str">
            <v>A70407</v>
          </cell>
          <cell r="O270">
            <v>31341</v>
          </cell>
        </row>
        <row r="271">
          <cell r="A271" t="str">
            <v>A70409</v>
          </cell>
          <cell r="O271">
            <v>0</v>
          </cell>
        </row>
        <row r="272">
          <cell r="A272" t="str">
            <v>P7040</v>
          </cell>
          <cell r="O272">
            <v>32061</v>
          </cell>
        </row>
        <row r="273">
          <cell r="A273" t="str">
            <v>A70501</v>
          </cell>
          <cell r="O273">
            <v>0</v>
          </cell>
        </row>
        <row r="274">
          <cell r="A274" t="str">
            <v>A70503</v>
          </cell>
          <cell r="O274">
            <v>0</v>
          </cell>
        </row>
        <row r="275">
          <cell r="A275" t="str">
            <v>A70505</v>
          </cell>
          <cell r="O275">
            <v>0</v>
          </cell>
        </row>
        <row r="276">
          <cell r="A276" t="str">
            <v>A70507</v>
          </cell>
          <cell r="O276">
            <v>0</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0</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0</v>
          </cell>
        </row>
        <row r="306">
          <cell r="A306" t="str">
            <v>A70811</v>
          </cell>
          <cell r="O306">
            <v>0</v>
          </cell>
        </row>
        <row r="307">
          <cell r="A307" t="str">
            <v>P7080</v>
          </cell>
          <cell r="O307">
            <v>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486000</v>
          </cell>
        </row>
        <row r="339">
          <cell r="A339" t="str">
            <v>A74003</v>
          </cell>
          <cell r="O339">
            <v>0</v>
          </cell>
        </row>
        <row r="340">
          <cell r="A340" t="str">
            <v>A74004</v>
          </cell>
          <cell r="O340">
            <v>0</v>
          </cell>
        </row>
        <row r="341">
          <cell r="A341" t="str">
            <v>A74005</v>
          </cell>
          <cell r="O341">
            <v>1500</v>
          </cell>
        </row>
        <row r="342">
          <cell r="A342" t="str">
            <v>A74006</v>
          </cell>
          <cell r="O342">
            <v>0</v>
          </cell>
        </row>
        <row r="343">
          <cell r="A343" t="str">
            <v>A74007</v>
          </cell>
          <cell r="O343">
            <v>0</v>
          </cell>
        </row>
        <row r="344">
          <cell r="A344" t="str">
            <v>P7400</v>
          </cell>
          <cell r="O344">
            <v>487500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-7925</v>
          </cell>
        </row>
        <row r="356">
          <cell r="A356" t="str">
            <v>A79958</v>
          </cell>
          <cell r="O356">
            <v>0</v>
          </cell>
        </row>
        <row r="357">
          <cell r="A357" t="str">
            <v>P7995</v>
          </cell>
          <cell r="O357">
            <v>-7925</v>
          </cell>
        </row>
        <row r="358">
          <cell r="A358" t="str">
            <v>OAPPP</v>
          </cell>
          <cell r="O358">
            <v>563836</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55786.18</v>
          </cell>
        </row>
        <row r="42">
          <cell r="O42">
            <v>0</v>
          </cell>
        </row>
        <row r="43">
          <cell r="O43">
            <v>0</v>
          </cell>
        </row>
        <row r="44">
          <cell r="O44">
            <v>0</v>
          </cell>
        </row>
        <row r="45">
          <cell r="O45">
            <v>0</v>
          </cell>
        </row>
        <row r="46">
          <cell r="O46">
            <v>0</v>
          </cell>
        </row>
        <row r="47">
          <cell r="O47">
            <v>1260.6300000000001</v>
          </cell>
        </row>
        <row r="48">
          <cell r="O48">
            <v>0</v>
          </cell>
        </row>
        <row r="49">
          <cell r="O49">
            <v>0</v>
          </cell>
        </row>
        <row r="50">
          <cell r="O50">
            <v>0</v>
          </cell>
        </row>
        <row r="51">
          <cell r="O51">
            <v>0</v>
          </cell>
        </row>
        <row r="52">
          <cell r="O52">
            <v>0</v>
          </cell>
        </row>
        <row r="53">
          <cell r="O53">
            <v>756.38</v>
          </cell>
        </row>
        <row r="54">
          <cell r="O54">
            <v>252.13</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58055.32</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0</v>
          </cell>
        </row>
        <row r="107">
          <cell r="O107">
            <v>0</v>
          </cell>
        </row>
        <row r="108">
          <cell r="O108">
            <v>0</v>
          </cell>
        </row>
        <row r="109">
          <cell r="O109">
            <v>0</v>
          </cell>
        </row>
        <row r="110">
          <cell r="O110">
            <v>0</v>
          </cell>
        </row>
        <row r="111">
          <cell r="O111">
            <v>0</v>
          </cell>
        </row>
        <row r="112">
          <cell r="O112">
            <v>2661.83</v>
          </cell>
        </row>
        <row r="113">
          <cell r="O113">
            <v>0</v>
          </cell>
        </row>
        <row r="114">
          <cell r="O114">
            <v>0</v>
          </cell>
        </row>
        <row r="115">
          <cell r="O115">
            <v>0</v>
          </cell>
        </row>
        <row r="116">
          <cell r="O116">
            <v>2661.83</v>
          </cell>
        </row>
        <row r="117">
          <cell r="O117">
            <v>0</v>
          </cell>
        </row>
        <row r="118">
          <cell r="O118">
            <v>265.81</v>
          </cell>
        </row>
        <row r="119">
          <cell r="O119">
            <v>265.81</v>
          </cell>
        </row>
        <row r="120">
          <cell r="O120">
            <v>0</v>
          </cell>
        </row>
        <row r="121">
          <cell r="O121">
            <v>0</v>
          </cell>
        </row>
        <row r="122">
          <cell r="O122">
            <v>0</v>
          </cell>
        </row>
        <row r="123">
          <cell r="O123">
            <v>0</v>
          </cell>
        </row>
        <row r="124">
          <cell r="O124">
            <v>0</v>
          </cell>
        </row>
        <row r="125">
          <cell r="O125">
            <v>560.5</v>
          </cell>
        </row>
        <row r="126">
          <cell r="O126">
            <v>0</v>
          </cell>
        </row>
        <row r="127">
          <cell r="O127">
            <v>0</v>
          </cell>
        </row>
        <row r="128">
          <cell r="O128">
            <v>560.5</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10317.69</v>
          </cell>
        </row>
        <row r="148">
          <cell r="O148">
            <v>21691.8</v>
          </cell>
        </row>
        <row r="149">
          <cell r="O149">
            <v>0</v>
          </cell>
        </row>
        <row r="150">
          <cell r="O150">
            <v>0</v>
          </cell>
        </row>
        <row r="151">
          <cell r="O151">
            <v>0</v>
          </cell>
        </row>
        <row r="152">
          <cell r="O152">
            <v>0</v>
          </cell>
        </row>
        <row r="153">
          <cell r="O153">
            <v>0</v>
          </cell>
        </row>
        <row r="154">
          <cell r="O154">
            <v>0</v>
          </cell>
        </row>
        <row r="155">
          <cell r="O155">
            <v>0</v>
          </cell>
        </row>
        <row r="156">
          <cell r="O156">
            <v>0</v>
          </cell>
        </row>
        <row r="157">
          <cell r="O157">
            <v>0</v>
          </cell>
        </row>
        <row r="158">
          <cell r="O158">
            <v>32009.49</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8793.33</v>
          </cell>
        </row>
        <row r="171">
          <cell r="O171">
            <v>0</v>
          </cell>
        </row>
        <row r="172">
          <cell r="O172">
            <v>8793.33</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446.82</v>
          </cell>
        </row>
        <row r="270">
          <cell r="O270">
            <v>24061.11</v>
          </cell>
        </row>
        <row r="271">
          <cell r="O271">
            <v>0</v>
          </cell>
        </row>
        <row r="272">
          <cell r="O272">
            <v>24507.93</v>
          </cell>
        </row>
        <row r="273">
          <cell r="O273">
            <v>0</v>
          </cell>
        </row>
        <row r="274">
          <cell r="O274">
            <v>788.51</v>
          </cell>
        </row>
        <row r="275">
          <cell r="O275">
            <v>1224.83</v>
          </cell>
        </row>
        <row r="276">
          <cell r="O276">
            <v>562.52</v>
          </cell>
        </row>
        <row r="277">
          <cell r="O277">
            <v>0</v>
          </cell>
        </row>
        <row r="278">
          <cell r="O278">
            <v>0</v>
          </cell>
        </row>
        <row r="279">
          <cell r="O279">
            <v>0</v>
          </cell>
        </row>
        <row r="280">
          <cell r="O280">
            <v>0</v>
          </cell>
        </row>
        <row r="281">
          <cell r="O281">
            <v>2575.86</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421011.73</v>
          </cell>
        </row>
        <row r="339">
          <cell r="O339">
            <v>0</v>
          </cell>
        </row>
        <row r="340">
          <cell r="O340">
            <v>0</v>
          </cell>
        </row>
        <row r="341">
          <cell r="O341">
            <v>0</v>
          </cell>
        </row>
        <row r="342">
          <cell r="O342">
            <v>0</v>
          </cell>
        </row>
        <row r="343">
          <cell r="O343">
            <v>0</v>
          </cell>
        </row>
        <row r="344">
          <cell r="O344">
            <v>421011.73</v>
          </cell>
        </row>
        <row r="345">
          <cell r="O345">
            <v>-58055.32</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-58055.32</v>
          </cell>
        </row>
        <row r="358">
          <cell r="O358">
            <v>492386.48</v>
          </cell>
        </row>
      </sheetData>
      <sheetData sheetId="2">
        <row r="65">
          <cell r="O65">
            <v>0</v>
          </cell>
        </row>
      </sheetData>
      <sheetData sheetId="3" refreshError="1"/>
      <sheetData sheetId="4">
        <row r="1">
          <cell r="A1" t="str">
            <v>CC25441</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CC25442</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160963.5</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160963.5</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500</v>
          </cell>
        </row>
        <row r="85">
          <cell r="A85" t="str">
            <v>A60415</v>
          </cell>
          <cell r="O85">
            <v>0</v>
          </cell>
        </row>
        <row r="86">
          <cell r="A86" t="str">
            <v>A60406</v>
          </cell>
          <cell r="O86">
            <v>0</v>
          </cell>
        </row>
        <row r="87">
          <cell r="A87" t="str">
            <v>A60412</v>
          </cell>
          <cell r="O87">
            <v>0</v>
          </cell>
        </row>
        <row r="88">
          <cell r="A88" t="str">
            <v>P6040</v>
          </cell>
          <cell r="O88">
            <v>500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150</v>
          </cell>
        </row>
        <row r="103">
          <cell r="A103" t="str">
            <v>A61021</v>
          </cell>
          <cell r="O103">
            <v>0</v>
          </cell>
        </row>
        <row r="104">
          <cell r="A104" t="str">
            <v>P6100</v>
          </cell>
          <cell r="O104">
            <v>150</v>
          </cell>
        </row>
        <row r="105">
          <cell r="A105" t="str">
            <v>A61101</v>
          </cell>
          <cell r="O105">
            <v>0</v>
          </cell>
        </row>
        <row r="106">
          <cell r="A106" t="str">
            <v>A61103</v>
          </cell>
          <cell r="O106">
            <v>555</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555</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1800</v>
          </cell>
        </row>
        <row r="270">
          <cell r="A270" t="str">
            <v>A70407</v>
          </cell>
          <cell r="O270">
            <v>0</v>
          </cell>
        </row>
        <row r="271">
          <cell r="A271" t="str">
            <v>A70409</v>
          </cell>
          <cell r="O271">
            <v>0</v>
          </cell>
        </row>
        <row r="272">
          <cell r="A272" t="str">
            <v>P7040</v>
          </cell>
          <cell r="O272">
            <v>1800</v>
          </cell>
        </row>
        <row r="273">
          <cell r="A273" t="str">
            <v>A70501</v>
          </cell>
          <cell r="O273">
            <v>0</v>
          </cell>
        </row>
        <row r="274">
          <cell r="A274" t="str">
            <v>A70503</v>
          </cell>
          <cell r="O274">
            <v>1500</v>
          </cell>
        </row>
        <row r="275">
          <cell r="A275" t="str">
            <v>A70505</v>
          </cell>
          <cell r="O275">
            <v>0</v>
          </cell>
        </row>
        <row r="276">
          <cell r="A276" t="str">
            <v>A70507</v>
          </cell>
          <cell r="O276">
            <v>638</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2138</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0</v>
          </cell>
        </row>
        <row r="306">
          <cell r="A306" t="str">
            <v>A70811</v>
          </cell>
          <cell r="O306">
            <v>0</v>
          </cell>
        </row>
        <row r="307">
          <cell r="A307" t="str">
            <v>P7080</v>
          </cell>
          <cell r="O307">
            <v>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-2300</v>
          </cell>
        </row>
        <row r="356">
          <cell r="A356" t="str">
            <v>A79958</v>
          </cell>
          <cell r="O356">
            <v>0</v>
          </cell>
        </row>
        <row r="357">
          <cell r="A357" t="str">
            <v>P7995</v>
          </cell>
          <cell r="O357">
            <v>-2300</v>
          </cell>
        </row>
        <row r="358">
          <cell r="A358" t="str">
            <v>OAPPP</v>
          </cell>
          <cell r="O358">
            <v>163806.5</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311693.78000000003</v>
          </cell>
        </row>
        <row r="42">
          <cell r="O42">
            <v>0</v>
          </cell>
        </row>
        <row r="43">
          <cell r="O43">
            <v>0</v>
          </cell>
        </row>
        <row r="44">
          <cell r="O44">
            <v>0</v>
          </cell>
        </row>
        <row r="45">
          <cell r="O45">
            <v>0</v>
          </cell>
        </row>
        <row r="46">
          <cell r="O46">
            <v>0</v>
          </cell>
        </row>
        <row r="47">
          <cell r="O47">
            <v>26747.200000000001</v>
          </cell>
        </row>
        <row r="48">
          <cell r="O48">
            <v>0</v>
          </cell>
        </row>
        <row r="49">
          <cell r="O49">
            <v>0</v>
          </cell>
        </row>
        <row r="50">
          <cell r="O50">
            <v>0</v>
          </cell>
        </row>
        <row r="51">
          <cell r="O51">
            <v>0</v>
          </cell>
        </row>
        <row r="52">
          <cell r="O52">
            <v>2073.48</v>
          </cell>
        </row>
        <row r="53">
          <cell r="O53">
            <v>10666.46</v>
          </cell>
        </row>
        <row r="54">
          <cell r="O54">
            <v>20130.32</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371311.24</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332.61</v>
          </cell>
        </row>
        <row r="88">
          <cell r="O88">
            <v>332.61</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139.99</v>
          </cell>
        </row>
        <row r="106">
          <cell r="O106">
            <v>429.9</v>
          </cell>
        </row>
        <row r="107">
          <cell r="O107">
            <v>0</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569.89</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6">
          <cell r="O126">
            <v>0</v>
          </cell>
        </row>
        <row r="127">
          <cell r="O127">
            <v>0</v>
          </cell>
        </row>
        <row r="128">
          <cell r="O128">
            <v>0</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0</v>
          </cell>
        </row>
        <row r="154">
          <cell r="O154">
            <v>0</v>
          </cell>
        </row>
        <row r="155">
          <cell r="O155">
            <v>0</v>
          </cell>
        </row>
        <row r="156">
          <cell r="O156">
            <v>0</v>
          </cell>
        </row>
        <row r="157">
          <cell r="O157">
            <v>0</v>
          </cell>
        </row>
        <row r="158">
          <cell r="O158">
            <v>0</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0</v>
          </cell>
        </row>
        <row r="171">
          <cell r="O171">
            <v>0</v>
          </cell>
        </row>
        <row r="172">
          <cell r="O172">
            <v>0</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344.52</v>
          </cell>
        </row>
        <row r="270">
          <cell r="O270">
            <v>0</v>
          </cell>
        </row>
        <row r="271">
          <cell r="O271">
            <v>0</v>
          </cell>
        </row>
        <row r="272">
          <cell r="O272">
            <v>344.52</v>
          </cell>
        </row>
        <row r="273">
          <cell r="O273">
            <v>246.17</v>
          </cell>
        </row>
        <row r="274">
          <cell r="O274">
            <v>191.2</v>
          </cell>
        </row>
        <row r="275">
          <cell r="O275">
            <v>0</v>
          </cell>
        </row>
        <row r="276">
          <cell r="O276">
            <v>635.34</v>
          </cell>
        </row>
        <row r="277">
          <cell r="O277">
            <v>0</v>
          </cell>
        </row>
        <row r="278">
          <cell r="O278">
            <v>0</v>
          </cell>
        </row>
        <row r="279">
          <cell r="O279">
            <v>0</v>
          </cell>
        </row>
        <row r="280">
          <cell r="O280">
            <v>0</v>
          </cell>
        </row>
        <row r="281">
          <cell r="O281">
            <v>1072.71</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151157.01</v>
          </cell>
        </row>
        <row r="338">
          <cell r="O338">
            <v>0</v>
          </cell>
        </row>
        <row r="339">
          <cell r="O339">
            <v>0</v>
          </cell>
        </row>
        <row r="340">
          <cell r="O340">
            <v>0</v>
          </cell>
        </row>
        <row r="341">
          <cell r="O341">
            <v>0</v>
          </cell>
        </row>
        <row r="342">
          <cell r="O342">
            <v>0</v>
          </cell>
        </row>
        <row r="343">
          <cell r="O343">
            <v>0</v>
          </cell>
        </row>
        <row r="344">
          <cell r="O344">
            <v>151157.01</v>
          </cell>
        </row>
        <row r="345">
          <cell r="O345">
            <v>-127043.65</v>
          </cell>
        </row>
        <row r="346">
          <cell r="O346">
            <v>-244268.01</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-371311.66</v>
          </cell>
        </row>
        <row r="358">
          <cell r="O358">
            <v>153476.32</v>
          </cell>
        </row>
      </sheetData>
      <sheetData sheetId="2">
        <row r="65">
          <cell r="O65">
            <v>157288</v>
          </cell>
        </row>
      </sheetData>
      <sheetData sheetId="3" refreshError="1"/>
      <sheetData sheetId="4">
        <row r="1">
          <cell r="A1" t="str">
            <v>CC25442</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CC25444</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0</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0</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0</v>
          </cell>
        </row>
        <row r="86">
          <cell r="A86" t="str">
            <v>A60406</v>
          </cell>
          <cell r="O86">
            <v>0</v>
          </cell>
        </row>
        <row r="87">
          <cell r="A87" t="str">
            <v>A60412</v>
          </cell>
          <cell r="O87">
            <v>0</v>
          </cell>
        </row>
        <row r="88">
          <cell r="A88" t="str">
            <v>P6040</v>
          </cell>
          <cell r="O88">
            <v>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0</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0</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278100</v>
          </cell>
        </row>
        <row r="171">
          <cell r="A171" t="str">
            <v>A61906</v>
          </cell>
          <cell r="O171">
            <v>0</v>
          </cell>
        </row>
        <row r="172">
          <cell r="A172" t="str">
            <v>P6190</v>
          </cell>
          <cell r="O172">
            <v>278100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0</v>
          </cell>
        </row>
        <row r="270">
          <cell r="A270" t="str">
            <v>A70407</v>
          </cell>
          <cell r="O270">
            <v>0</v>
          </cell>
        </row>
        <row r="271">
          <cell r="A271" t="str">
            <v>A70409</v>
          </cell>
          <cell r="O271">
            <v>0</v>
          </cell>
        </row>
        <row r="272">
          <cell r="A272" t="str">
            <v>P7040</v>
          </cell>
          <cell r="O272">
            <v>0</v>
          </cell>
        </row>
        <row r="273">
          <cell r="A273" t="str">
            <v>A70501</v>
          </cell>
          <cell r="O273">
            <v>0</v>
          </cell>
        </row>
        <row r="274">
          <cell r="A274" t="str">
            <v>A70503</v>
          </cell>
          <cell r="O274">
            <v>0</v>
          </cell>
        </row>
        <row r="275">
          <cell r="A275" t="str">
            <v>A70505</v>
          </cell>
          <cell r="O275">
            <v>0</v>
          </cell>
        </row>
        <row r="276">
          <cell r="A276" t="str">
            <v>A70507</v>
          </cell>
          <cell r="O276">
            <v>0</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0</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0</v>
          </cell>
        </row>
        <row r="306">
          <cell r="A306" t="str">
            <v>A70811</v>
          </cell>
          <cell r="O306">
            <v>0</v>
          </cell>
        </row>
        <row r="307">
          <cell r="A307" t="str">
            <v>P7080</v>
          </cell>
          <cell r="O307">
            <v>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-3850</v>
          </cell>
        </row>
        <row r="356">
          <cell r="A356" t="str">
            <v>A79958</v>
          </cell>
          <cell r="O356">
            <v>0</v>
          </cell>
        </row>
        <row r="357">
          <cell r="A357" t="str">
            <v>P7995</v>
          </cell>
          <cell r="O357">
            <v>-3850</v>
          </cell>
        </row>
        <row r="358">
          <cell r="A358" t="str">
            <v>OAPPP</v>
          </cell>
          <cell r="O358">
            <v>274250</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row r="52">
          <cell r="O52">
            <v>0</v>
          </cell>
        </row>
        <row r="53">
          <cell r="O53">
            <v>0</v>
          </cell>
        </row>
        <row r="54">
          <cell r="O54">
            <v>0</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0</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0</v>
          </cell>
        </row>
        <row r="107">
          <cell r="O107">
            <v>0</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0</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6">
          <cell r="O126">
            <v>0</v>
          </cell>
        </row>
        <row r="127">
          <cell r="O127">
            <v>0</v>
          </cell>
        </row>
        <row r="128">
          <cell r="O128">
            <v>0</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0</v>
          </cell>
        </row>
        <row r="154">
          <cell r="O154">
            <v>0</v>
          </cell>
        </row>
        <row r="155">
          <cell r="O155">
            <v>0</v>
          </cell>
        </row>
        <row r="156">
          <cell r="O156">
            <v>0</v>
          </cell>
        </row>
        <row r="157">
          <cell r="O157">
            <v>0</v>
          </cell>
        </row>
        <row r="158">
          <cell r="O158">
            <v>0</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271582.03999999998</v>
          </cell>
        </row>
        <row r="171">
          <cell r="O171">
            <v>0</v>
          </cell>
        </row>
        <row r="172">
          <cell r="O172">
            <v>271582.03999999998</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0</v>
          </cell>
        </row>
        <row r="270">
          <cell r="O270">
            <v>0</v>
          </cell>
        </row>
        <row r="271">
          <cell r="O271">
            <v>0</v>
          </cell>
        </row>
        <row r="272">
          <cell r="O272">
            <v>0</v>
          </cell>
        </row>
        <row r="273">
          <cell r="O273">
            <v>0</v>
          </cell>
        </row>
        <row r="274">
          <cell r="O274">
            <v>0</v>
          </cell>
        </row>
        <row r="275">
          <cell r="O275">
            <v>0</v>
          </cell>
        </row>
        <row r="276">
          <cell r="O276">
            <v>0</v>
          </cell>
        </row>
        <row r="277">
          <cell r="O277">
            <v>0</v>
          </cell>
        </row>
        <row r="278">
          <cell r="O278">
            <v>0</v>
          </cell>
        </row>
        <row r="279">
          <cell r="O279">
            <v>0</v>
          </cell>
        </row>
        <row r="280">
          <cell r="O280">
            <v>0</v>
          </cell>
        </row>
        <row r="281">
          <cell r="O281">
            <v>0</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0</v>
          </cell>
        </row>
        <row r="339">
          <cell r="O339">
            <v>0</v>
          </cell>
        </row>
        <row r="340">
          <cell r="O340">
            <v>0</v>
          </cell>
        </row>
        <row r="341">
          <cell r="O341">
            <v>0</v>
          </cell>
        </row>
        <row r="342">
          <cell r="O342">
            <v>0</v>
          </cell>
        </row>
        <row r="343">
          <cell r="O343">
            <v>0</v>
          </cell>
        </row>
        <row r="344">
          <cell r="O344">
            <v>0</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271582.03999999998</v>
          </cell>
        </row>
      </sheetData>
      <sheetData sheetId="2">
        <row r="358">
          <cell r="O358">
            <v>270000</v>
          </cell>
        </row>
      </sheetData>
      <sheetData sheetId="3" refreshError="1"/>
      <sheetData sheetId="4">
        <row r="1">
          <cell r="A1" t="str">
            <v>CC25444</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CC25446</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567765.00000000105</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567765.00000000105</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1056</v>
          </cell>
        </row>
        <row r="85">
          <cell r="A85" t="str">
            <v>A60415</v>
          </cell>
          <cell r="O85">
            <v>1583</v>
          </cell>
        </row>
        <row r="86">
          <cell r="A86" t="str">
            <v>A60406</v>
          </cell>
          <cell r="O86">
            <v>0</v>
          </cell>
        </row>
        <row r="87">
          <cell r="A87" t="str">
            <v>A60412</v>
          </cell>
          <cell r="O87">
            <v>0</v>
          </cell>
        </row>
        <row r="88">
          <cell r="A88" t="str">
            <v>P6040</v>
          </cell>
          <cell r="O88">
            <v>2639</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2706</v>
          </cell>
        </row>
        <row r="107">
          <cell r="A107" t="str">
            <v>A61105</v>
          </cell>
          <cell r="O107">
            <v>29592</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32298</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10751</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10751</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310238</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310238</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1530</v>
          </cell>
        </row>
        <row r="171">
          <cell r="A171" t="str">
            <v>A61906</v>
          </cell>
          <cell r="O171">
            <v>0</v>
          </cell>
        </row>
        <row r="172">
          <cell r="A172" t="str">
            <v>P6190</v>
          </cell>
          <cell r="O172">
            <v>1530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6157</v>
          </cell>
        </row>
        <row r="250">
          <cell r="A250" t="str">
            <v>P7010</v>
          </cell>
          <cell r="O250">
            <v>6157</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2377</v>
          </cell>
        </row>
        <row r="270">
          <cell r="A270" t="str">
            <v>A70407</v>
          </cell>
          <cell r="O270">
            <v>0</v>
          </cell>
        </row>
        <row r="271">
          <cell r="A271" t="str">
            <v>A70409</v>
          </cell>
          <cell r="O271">
            <v>0</v>
          </cell>
        </row>
        <row r="272">
          <cell r="A272" t="str">
            <v>P7040</v>
          </cell>
          <cell r="O272">
            <v>2377</v>
          </cell>
        </row>
        <row r="273">
          <cell r="A273" t="str">
            <v>A70501</v>
          </cell>
          <cell r="O273">
            <v>0</v>
          </cell>
        </row>
        <row r="274">
          <cell r="A274" t="str">
            <v>A70503</v>
          </cell>
          <cell r="O274">
            <v>0</v>
          </cell>
        </row>
        <row r="275">
          <cell r="A275" t="str">
            <v>A70505</v>
          </cell>
          <cell r="O275">
            <v>0</v>
          </cell>
        </row>
        <row r="276">
          <cell r="A276" t="str">
            <v>A70507</v>
          </cell>
          <cell r="O276">
            <v>3243</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3243</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153</v>
          </cell>
        </row>
        <row r="306">
          <cell r="A306" t="str">
            <v>A70811</v>
          </cell>
          <cell r="O306">
            <v>0</v>
          </cell>
        </row>
        <row r="307">
          <cell r="A307" t="str">
            <v>P7080</v>
          </cell>
          <cell r="O307">
            <v>153</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5138</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5138</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-13475</v>
          </cell>
        </row>
        <row r="356">
          <cell r="A356" t="str">
            <v>A79958</v>
          </cell>
          <cell r="O356">
            <v>0</v>
          </cell>
        </row>
        <row r="357">
          <cell r="A357" t="str">
            <v>P7995</v>
          </cell>
          <cell r="O357">
            <v>-13475</v>
          </cell>
        </row>
        <row r="358">
          <cell r="A358" t="str">
            <v>OAPPP</v>
          </cell>
          <cell r="O358">
            <v>928814.00000000105</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414105.36</v>
          </cell>
        </row>
        <row r="42">
          <cell r="O42">
            <v>0</v>
          </cell>
        </row>
        <row r="43">
          <cell r="O43">
            <v>0</v>
          </cell>
        </row>
        <row r="44">
          <cell r="O44">
            <v>0</v>
          </cell>
        </row>
        <row r="45">
          <cell r="O45">
            <v>0</v>
          </cell>
        </row>
        <row r="46">
          <cell r="O46">
            <v>0</v>
          </cell>
        </row>
        <row r="47">
          <cell r="O47">
            <v>38340.839999999997</v>
          </cell>
        </row>
        <row r="48">
          <cell r="O48">
            <v>0</v>
          </cell>
        </row>
        <row r="49">
          <cell r="O49">
            <v>0</v>
          </cell>
        </row>
        <row r="50">
          <cell r="O50">
            <v>3687.32</v>
          </cell>
        </row>
        <row r="51">
          <cell r="O51">
            <v>0</v>
          </cell>
        </row>
        <row r="52">
          <cell r="O52">
            <v>1020.78</v>
          </cell>
        </row>
        <row r="53">
          <cell r="O53">
            <v>16814.98</v>
          </cell>
        </row>
        <row r="54">
          <cell r="O54">
            <v>90038.79</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564008.06999999995</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1052.6500000000001</v>
          </cell>
        </row>
        <row r="86">
          <cell r="O86">
            <v>0</v>
          </cell>
        </row>
        <row r="87">
          <cell r="O87">
            <v>775.48</v>
          </cell>
        </row>
        <row r="88">
          <cell r="O88">
            <v>1828.13</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3.96</v>
          </cell>
        </row>
        <row r="100">
          <cell r="O100">
            <v>0</v>
          </cell>
        </row>
        <row r="101">
          <cell r="O101">
            <v>0</v>
          </cell>
        </row>
        <row r="102">
          <cell r="O102">
            <v>0</v>
          </cell>
        </row>
        <row r="103">
          <cell r="O103">
            <v>0</v>
          </cell>
        </row>
        <row r="104">
          <cell r="O104">
            <v>3.96</v>
          </cell>
        </row>
        <row r="105">
          <cell r="O105">
            <v>0</v>
          </cell>
        </row>
        <row r="106">
          <cell r="O106">
            <v>774.18</v>
          </cell>
        </row>
        <row r="107">
          <cell r="O107">
            <v>28054.82</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28829</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6">
          <cell r="O126">
            <v>0</v>
          </cell>
        </row>
        <row r="127">
          <cell r="O127">
            <v>0</v>
          </cell>
        </row>
        <row r="128">
          <cell r="O128">
            <v>0</v>
          </cell>
        </row>
        <row r="129">
          <cell r="O129">
            <v>7107.96</v>
          </cell>
        </row>
        <row r="130">
          <cell r="O130">
            <v>0</v>
          </cell>
        </row>
        <row r="131">
          <cell r="O131">
            <v>0</v>
          </cell>
        </row>
        <row r="132">
          <cell r="O132">
            <v>0</v>
          </cell>
        </row>
        <row r="133">
          <cell r="O133">
            <v>0</v>
          </cell>
        </row>
        <row r="134">
          <cell r="O134">
            <v>0</v>
          </cell>
        </row>
        <row r="135">
          <cell r="O135">
            <v>0</v>
          </cell>
        </row>
        <row r="136">
          <cell r="O136">
            <v>7107.96</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291998.71999999997</v>
          </cell>
        </row>
        <row r="154">
          <cell r="O154">
            <v>0</v>
          </cell>
        </row>
        <row r="155">
          <cell r="O155">
            <v>0</v>
          </cell>
        </row>
        <row r="156">
          <cell r="O156">
            <v>0</v>
          </cell>
        </row>
        <row r="157">
          <cell r="O157">
            <v>0</v>
          </cell>
        </row>
        <row r="158">
          <cell r="O158">
            <v>291998.71999999997</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1924</v>
          </cell>
        </row>
        <row r="171">
          <cell r="O171">
            <v>0</v>
          </cell>
        </row>
        <row r="172">
          <cell r="O172">
            <v>1924</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4519.09</v>
          </cell>
        </row>
        <row r="250">
          <cell r="O250">
            <v>4519.09</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1904.97</v>
          </cell>
        </row>
        <row r="270">
          <cell r="O270">
            <v>0</v>
          </cell>
        </row>
        <row r="271">
          <cell r="O271">
            <v>0</v>
          </cell>
        </row>
        <row r="272">
          <cell r="O272">
            <v>1904.97</v>
          </cell>
        </row>
        <row r="273">
          <cell r="O273">
            <v>-32.590000000000003</v>
          </cell>
        </row>
        <row r="274">
          <cell r="O274">
            <v>137.51</v>
          </cell>
        </row>
        <row r="275">
          <cell r="O275">
            <v>-49.26</v>
          </cell>
        </row>
        <row r="276">
          <cell r="O276">
            <v>2326.35</v>
          </cell>
        </row>
        <row r="277">
          <cell r="O277">
            <v>0</v>
          </cell>
        </row>
        <row r="278">
          <cell r="O278">
            <v>0</v>
          </cell>
        </row>
        <row r="279">
          <cell r="O279">
            <v>0</v>
          </cell>
        </row>
        <row r="280">
          <cell r="O280">
            <v>0</v>
          </cell>
        </row>
        <row r="281">
          <cell r="O281">
            <v>2382.0100000000002</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2157.31</v>
          </cell>
        </row>
        <row r="338">
          <cell r="O338">
            <v>0</v>
          </cell>
        </row>
        <row r="339">
          <cell r="O339">
            <v>0</v>
          </cell>
        </row>
        <row r="340">
          <cell r="O340">
            <v>0</v>
          </cell>
        </row>
        <row r="341">
          <cell r="O341">
            <v>0</v>
          </cell>
        </row>
        <row r="342">
          <cell r="O342">
            <v>0</v>
          </cell>
        </row>
        <row r="343">
          <cell r="O343">
            <v>0</v>
          </cell>
        </row>
        <row r="344">
          <cell r="O344">
            <v>2157.31</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-480</v>
          </cell>
        </row>
        <row r="356">
          <cell r="O356">
            <v>0</v>
          </cell>
        </row>
        <row r="357">
          <cell r="O357">
            <v>-480</v>
          </cell>
        </row>
        <row r="358">
          <cell r="O358">
            <v>906183.21999999986</v>
          </cell>
        </row>
      </sheetData>
      <sheetData sheetId="2">
        <row r="65">
          <cell r="O65">
            <v>639923</v>
          </cell>
        </row>
      </sheetData>
      <sheetData sheetId="3" refreshError="1"/>
      <sheetData sheetId="4">
        <row r="1">
          <cell r="A1" t="str">
            <v>CC25446</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CC25448</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245561</v>
          </cell>
        </row>
        <row r="42">
          <cell r="A42" t="str">
            <v>A60103</v>
          </cell>
          <cell r="O42">
            <v>0</v>
          </cell>
        </row>
        <row r="43">
          <cell r="A43" t="str">
            <v>A60105</v>
          </cell>
          <cell r="O43">
            <v>300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245861</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400</v>
          </cell>
        </row>
        <row r="85">
          <cell r="A85" t="str">
            <v>A60415</v>
          </cell>
          <cell r="O85">
            <v>0</v>
          </cell>
        </row>
        <row r="86">
          <cell r="A86" t="str">
            <v>A60406</v>
          </cell>
          <cell r="O86">
            <v>0</v>
          </cell>
        </row>
        <row r="87">
          <cell r="A87" t="str">
            <v>A60412</v>
          </cell>
          <cell r="O87">
            <v>0</v>
          </cell>
        </row>
        <row r="88">
          <cell r="A88" t="str">
            <v>P6040</v>
          </cell>
          <cell r="O88">
            <v>400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775</v>
          </cell>
        </row>
        <row r="107">
          <cell r="A107" t="str">
            <v>A61105</v>
          </cell>
          <cell r="O107">
            <v>3603</v>
          </cell>
        </row>
        <row r="108">
          <cell r="A108" t="str">
            <v>A61107</v>
          </cell>
          <cell r="O108">
            <v>0</v>
          </cell>
        </row>
        <row r="109">
          <cell r="A109" t="str">
            <v>A61109</v>
          </cell>
          <cell r="O109">
            <v>280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4658</v>
          </cell>
        </row>
        <row r="117">
          <cell r="A117" t="str">
            <v>A61201</v>
          </cell>
          <cell r="O117">
            <v>0</v>
          </cell>
        </row>
        <row r="118">
          <cell r="A118" t="str">
            <v>A61299</v>
          </cell>
          <cell r="O118">
            <v>500</v>
          </cell>
        </row>
        <row r="119">
          <cell r="A119" t="str">
            <v>P6120</v>
          </cell>
          <cell r="O119">
            <v>500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32761</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32761</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30479</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30479</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33470</v>
          </cell>
        </row>
        <row r="171">
          <cell r="A171" t="str">
            <v>A61906</v>
          </cell>
          <cell r="O171">
            <v>0</v>
          </cell>
        </row>
        <row r="172">
          <cell r="A172" t="str">
            <v>P6190</v>
          </cell>
          <cell r="O172">
            <v>33470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1624</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1624</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540</v>
          </cell>
        </row>
        <row r="270">
          <cell r="A270" t="str">
            <v>A70407</v>
          </cell>
          <cell r="O270">
            <v>0</v>
          </cell>
        </row>
        <row r="271">
          <cell r="A271" t="str">
            <v>A70409</v>
          </cell>
          <cell r="O271">
            <v>0</v>
          </cell>
        </row>
        <row r="272">
          <cell r="A272" t="str">
            <v>P7040</v>
          </cell>
          <cell r="O272">
            <v>540</v>
          </cell>
        </row>
        <row r="273">
          <cell r="A273" t="str">
            <v>A70501</v>
          </cell>
          <cell r="O273">
            <v>0</v>
          </cell>
        </row>
        <row r="274">
          <cell r="A274" t="str">
            <v>A70503</v>
          </cell>
          <cell r="O274">
            <v>920</v>
          </cell>
        </row>
        <row r="275">
          <cell r="A275" t="str">
            <v>A70505</v>
          </cell>
          <cell r="O275">
            <v>750</v>
          </cell>
        </row>
        <row r="276">
          <cell r="A276" t="str">
            <v>A70507</v>
          </cell>
          <cell r="O276">
            <v>675</v>
          </cell>
        </row>
        <row r="277">
          <cell r="A277" t="str">
            <v>A70509</v>
          </cell>
          <cell r="O277">
            <v>0</v>
          </cell>
        </row>
        <row r="278">
          <cell r="A278" t="str">
            <v>A70511</v>
          </cell>
          <cell r="O278">
            <v>600</v>
          </cell>
        </row>
        <row r="279">
          <cell r="A279" t="str">
            <v>A70506</v>
          </cell>
          <cell r="O279">
            <v>0</v>
          </cell>
        </row>
        <row r="280">
          <cell r="A280" t="str">
            <v>A70510</v>
          </cell>
          <cell r="O280">
            <v>0</v>
          </cell>
        </row>
        <row r="281">
          <cell r="A281" t="str">
            <v>P7050</v>
          </cell>
          <cell r="O281">
            <v>2945</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-163050</v>
          </cell>
        </row>
        <row r="300">
          <cell r="A300" t="str">
            <v>P7089</v>
          </cell>
          <cell r="O300">
            <v>-163050</v>
          </cell>
        </row>
        <row r="301">
          <cell r="A301" t="str">
            <v>A70801</v>
          </cell>
          <cell r="O301">
            <v>0</v>
          </cell>
        </row>
        <row r="302">
          <cell r="A302" t="str">
            <v>A70803</v>
          </cell>
          <cell r="O302">
            <v>0</v>
          </cell>
        </row>
        <row r="303">
          <cell r="A303" t="str">
            <v>A70805</v>
          </cell>
          <cell r="O303">
            <v>0</v>
          </cell>
        </row>
        <row r="304">
          <cell r="A304" t="str">
            <v>A70807</v>
          </cell>
          <cell r="O304">
            <v>200</v>
          </cell>
        </row>
        <row r="305">
          <cell r="A305" t="str">
            <v>A70809</v>
          </cell>
          <cell r="O305">
            <v>610</v>
          </cell>
        </row>
        <row r="306">
          <cell r="A306" t="str">
            <v>A70811</v>
          </cell>
          <cell r="O306">
            <v>0</v>
          </cell>
        </row>
        <row r="307">
          <cell r="A307" t="str">
            <v>P7080</v>
          </cell>
          <cell r="O307">
            <v>810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-23950</v>
          </cell>
        </row>
        <row r="356">
          <cell r="A356" t="str">
            <v>A79958</v>
          </cell>
          <cell r="O356">
            <v>-4975</v>
          </cell>
        </row>
        <row r="357">
          <cell r="A357" t="str">
            <v>P7995</v>
          </cell>
          <cell r="O357">
            <v>-28925</v>
          </cell>
        </row>
        <row r="358">
          <cell r="A358" t="str">
            <v>OAPPP</v>
          </cell>
          <cell r="O358">
            <v>162073</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196380.92</v>
          </cell>
        </row>
        <row r="42">
          <cell r="O42">
            <v>0</v>
          </cell>
        </row>
        <row r="43">
          <cell r="O43">
            <v>0</v>
          </cell>
        </row>
        <row r="44">
          <cell r="O44">
            <v>0</v>
          </cell>
        </row>
        <row r="45">
          <cell r="O45">
            <v>0</v>
          </cell>
        </row>
        <row r="46">
          <cell r="O46">
            <v>0</v>
          </cell>
        </row>
        <row r="47">
          <cell r="O47">
            <v>21360.78</v>
          </cell>
        </row>
        <row r="48">
          <cell r="O48">
            <v>0</v>
          </cell>
        </row>
        <row r="49">
          <cell r="O49">
            <v>0</v>
          </cell>
        </row>
        <row r="50">
          <cell r="O50">
            <v>0</v>
          </cell>
        </row>
        <row r="51">
          <cell r="O51">
            <v>0</v>
          </cell>
        </row>
        <row r="52">
          <cell r="O52">
            <v>0</v>
          </cell>
        </row>
        <row r="53">
          <cell r="O53">
            <v>6185.67</v>
          </cell>
        </row>
        <row r="54">
          <cell r="O54">
            <v>16369.66</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240297.03</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0</v>
          </cell>
        </row>
        <row r="107">
          <cell r="O107">
            <v>2489.11</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2489.11</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6">
          <cell r="O126">
            <v>0</v>
          </cell>
        </row>
        <row r="127">
          <cell r="O127">
            <v>0</v>
          </cell>
        </row>
        <row r="128">
          <cell r="O128">
            <v>0</v>
          </cell>
        </row>
        <row r="129">
          <cell r="O129">
            <v>30366.97</v>
          </cell>
        </row>
        <row r="130">
          <cell r="O130">
            <v>0</v>
          </cell>
        </row>
        <row r="131">
          <cell r="O131">
            <v>0</v>
          </cell>
        </row>
        <row r="132">
          <cell r="O132">
            <v>0</v>
          </cell>
        </row>
        <row r="133">
          <cell r="O133">
            <v>0</v>
          </cell>
        </row>
        <row r="134">
          <cell r="O134">
            <v>0</v>
          </cell>
        </row>
        <row r="135">
          <cell r="O135">
            <v>0</v>
          </cell>
        </row>
        <row r="136">
          <cell r="O136">
            <v>30366.97</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33634.400000000001</v>
          </cell>
        </row>
        <row r="154">
          <cell r="O154">
            <v>0</v>
          </cell>
        </row>
        <row r="155">
          <cell r="O155">
            <v>0</v>
          </cell>
        </row>
        <row r="156">
          <cell r="O156">
            <v>0</v>
          </cell>
        </row>
        <row r="157">
          <cell r="O157">
            <v>0</v>
          </cell>
        </row>
        <row r="158">
          <cell r="O158">
            <v>33634.400000000001</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33807.96</v>
          </cell>
        </row>
        <row r="171">
          <cell r="O171">
            <v>0</v>
          </cell>
        </row>
        <row r="172">
          <cell r="O172">
            <v>33807.96</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1634.4</v>
          </cell>
        </row>
        <row r="223">
          <cell r="O223">
            <v>0</v>
          </cell>
        </row>
        <row r="224">
          <cell r="O224">
            <v>0</v>
          </cell>
        </row>
        <row r="225">
          <cell r="O225">
            <v>0</v>
          </cell>
        </row>
        <row r="226">
          <cell r="O226">
            <v>0</v>
          </cell>
        </row>
        <row r="227">
          <cell r="O227">
            <v>0</v>
          </cell>
        </row>
        <row r="228">
          <cell r="O228">
            <v>0</v>
          </cell>
        </row>
        <row r="229">
          <cell r="O229">
            <v>0</v>
          </cell>
        </row>
        <row r="230">
          <cell r="O230">
            <v>1634.4</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420.58</v>
          </cell>
        </row>
        <row r="270">
          <cell r="O270">
            <v>0</v>
          </cell>
        </row>
        <row r="271">
          <cell r="O271">
            <v>0</v>
          </cell>
        </row>
        <row r="272">
          <cell r="O272">
            <v>420.58</v>
          </cell>
        </row>
        <row r="273">
          <cell r="O273">
            <v>0</v>
          </cell>
        </row>
        <row r="274">
          <cell r="O274">
            <v>161.12</v>
          </cell>
        </row>
        <row r="275">
          <cell r="O275">
            <v>0</v>
          </cell>
        </row>
        <row r="276">
          <cell r="O276">
            <v>408.92</v>
          </cell>
        </row>
        <row r="277">
          <cell r="O277">
            <v>0</v>
          </cell>
        </row>
        <row r="278">
          <cell r="O278">
            <v>0</v>
          </cell>
        </row>
        <row r="279">
          <cell r="O279">
            <v>0</v>
          </cell>
        </row>
        <row r="280">
          <cell r="O280">
            <v>0</v>
          </cell>
        </row>
        <row r="281">
          <cell r="O281">
            <v>570.04</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161.75</v>
          </cell>
        </row>
        <row r="300">
          <cell r="O300">
            <v>161.75</v>
          </cell>
        </row>
        <row r="301">
          <cell r="O301">
            <v>0</v>
          </cell>
        </row>
        <row r="302">
          <cell r="O302">
            <v>0</v>
          </cell>
        </row>
        <row r="303">
          <cell r="O303">
            <v>0</v>
          </cell>
        </row>
        <row r="304">
          <cell r="O304">
            <v>0</v>
          </cell>
        </row>
        <row r="305">
          <cell r="O305">
            <v>413.7</v>
          </cell>
        </row>
        <row r="306">
          <cell r="O306">
            <v>0</v>
          </cell>
        </row>
        <row r="307">
          <cell r="O307">
            <v>413.7</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0</v>
          </cell>
        </row>
        <row r="339">
          <cell r="O339">
            <v>0</v>
          </cell>
        </row>
        <row r="340">
          <cell r="O340">
            <v>0</v>
          </cell>
        </row>
        <row r="341">
          <cell r="O341">
            <v>0</v>
          </cell>
        </row>
        <row r="342">
          <cell r="O342">
            <v>0</v>
          </cell>
        </row>
        <row r="343">
          <cell r="O343">
            <v>0</v>
          </cell>
        </row>
        <row r="344">
          <cell r="O344">
            <v>0</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-198894</v>
          </cell>
        </row>
        <row r="356">
          <cell r="O356">
            <v>0</v>
          </cell>
        </row>
        <row r="357">
          <cell r="O357">
            <v>-198894</v>
          </cell>
        </row>
        <row r="358">
          <cell r="O358">
            <v>144901.93999999994</v>
          </cell>
        </row>
      </sheetData>
      <sheetData sheetId="2">
        <row r="65">
          <cell r="O65">
            <v>241926</v>
          </cell>
        </row>
      </sheetData>
      <sheetData sheetId="3" refreshError="1"/>
      <sheetData sheetId="4">
        <row r="1">
          <cell r="A1" t="str">
            <v>CC25448</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CC25449</v>
          </cell>
          <cell r="O1">
            <v>0</v>
          </cell>
        </row>
        <row r="2">
          <cell r="A2" t="str">
            <v>PTOTAL</v>
          </cell>
          <cell r="O2">
            <v>0</v>
          </cell>
        </row>
        <row r="3">
          <cell r="A3" t="str">
            <v>CCAD</v>
          </cell>
          <cell r="O3">
            <v>0</v>
          </cell>
        </row>
        <row r="4">
          <cell r="A4" t="str">
            <v>OTHTOTAL</v>
          </cell>
          <cell r="O4">
            <v>0</v>
          </cell>
        </row>
        <row r="5">
          <cell r="A5" t="str">
            <v>DIM6SET</v>
          </cell>
          <cell r="O5">
            <v>0</v>
          </cell>
        </row>
        <row r="6">
          <cell r="A6">
            <v>0</v>
          </cell>
          <cell r="O6" t="str">
            <v>BYR15</v>
          </cell>
        </row>
        <row r="7">
          <cell r="A7">
            <v>0</v>
          </cell>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203813.5</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203813.5</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1175</v>
          </cell>
        </row>
        <row r="85">
          <cell r="A85" t="str">
            <v>A60415</v>
          </cell>
          <cell r="O85">
            <v>5000</v>
          </cell>
        </row>
        <row r="86">
          <cell r="A86" t="str">
            <v>A60406</v>
          </cell>
          <cell r="O86">
            <v>0</v>
          </cell>
        </row>
        <row r="87">
          <cell r="A87" t="str">
            <v>A60412</v>
          </cell>
          <cell r="O87">
            <v>0</v>
          </cell>
        </row>
        <row r="88">
          <cell r="A88" t="str">
            <v>P6040</v>
          </cell>
          <cell r="O88">
            <v>6175</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155</v>
          </cell>
        </row>
        <row r="103">
          <cell r="A103" t="str">
            <v>A61021</v>
          </cell>
          <cell r="O103">
            <v>0</v>
          </cell>
        </row>
        <row r="104">
          <cell r="A104" t="str">
            <v>P6100</v>
          </cell>
          <cell r="O104">
            <v>155</v>
          </cell>
        </row>
        <row r="105">
          <cell r="A105" t="str">
            <v>A61101</v>
          </cell>
          <cell r="O105">
            <v>0</v>
          </cell>
        </row>
        <row r="106">
          <cell r="A106" t="str">
            <v>A61103</v>
          </cell>
          <cell r="O106">
            <v>1038</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1038</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900</v>
          </cell>
        </row>
        <row r="270">
          <cell r="A270" t="str">
            <v>A70407</v>
          </cell>
          <cell r="O270">
            <v>0</v>
          </cell>
        </row>
        <row r="271">
          <cell r="A271" t="str">
            <v>A70409</v>
          </cell>
          <cell r="O271">
            <v>3000</v>
          </cell>
        </row>
        <row r="272">
          <cell r="A272" t="str">
            <v>P7040</v>
          </cell>
          <cell r="O272">
            <v>3900</v>
          </cell>
        </row>
        <row r="273">
          <cell r="A273" t="str">
            <v>A70501</v>
          </cell>
          <cell r="O273">
            <v>0</v>
          </cell>
        </row>
        <row r="274">
          <cell r="A274" t="str">
            <v>A70503</v>
          </cell>
          <cell r="O274">
            <v>0</v>
          </cell>
        </row>
        <row r="275">
          <cell r="A275" t="str">
            <v>A70505</v>
          </cell>
          <cell r="O275">
            <v>0</v>
          </cell>
        </row>
        <row r="276">
          <cell r="A276" t="str">
            <v>A70507</v>
          </cell>
          <cell r="O276">
            <v>1435</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1435</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0</v>
          </cell>
        </row>
        <row r="306">
          <cell r="A306" t="str">
            <v>A70811</v>
          </cell>
          <cell r="O306">
            <v>0</v>
          </cell>
        </row>
        <row r="307">
          <cell r="A307" t="str">
            <v>P7080</v>
          </cell>
          <cell r="O307">
            <v>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-3000</v>
          </cell>
        </row>
        <row r="356">
          <cell r="A356" t="str">
            <v>A79958</v>
          </cell>
          <cell r="O356">
            <v>0</v>
          </cell>
        </row>
        <row r="357">
          <cell r="A357" t="str">
            <v>P7995</v>
          </cell>
          <cell r="O357">
            <v>-3000</v>
          </cell>
        </row>
        <row r="358">
          <cell r="A358" t="str">
            <v>OAPPP</v>
          </cell>
          <cell r="O358">
            <v>213516.5</v>
          </cell>
        </row>
        <row r="359">
          <cell r="O359">
            <v>0</v>
          </cell>
        </row>
        <row r="360">
          <cell r="A360" t="str">
            <v>QTAG</v>
          </cell>
          <cell r="O360">
            <v>0</v>
          </cell>
        </row>
      </sheetData>
      <sheetData sheetId="1">
        <row r="1">
          <cell r="O1">
            <v>0</v>
          </cell>
        </row>
        <row r="2">
          <cell r="O2">
            <v>0</v>
          </cell>
        </row>
        <row r="3">
          <cell r="O3">
            <v>0</v>
          </cell>
        </row>
        <row r="4">
          <cell r="O4">
            <v>0</v>
          </cell>
        </row>
        <row r="5">
          <cell r="O5">
            <v>0</v>
          </cell>
        </row>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382818.07</v>
          </cell>
        </row>
        <row r="42">
          <cell r="O42">
            <v>0</v>
          </cell>
        </row>
        <row r="43">
          <cell r="O43">
            <v>0</v>
          </cell>
        </row>
        <row r="44">
          <cell r="O44">
            <v>0</v>
          </cell>
        </row>
        <row r="45">
          <cell r="O45">
            <v>0</v>
          </cell>
        </row>
        <row r="46">
          <cell r="O46">
            <v>0</v>
          </cell>
        </row>
        <row r="47">
          <cell r="O47">
            <v>23843.23</v>
          </cell>
        </row>
        <row r="48">
          <cell r="O48">
            <v>0</v>
          </cell>
        </row>
        <row r="49">
          <cell r="O49">
            <v>0</v>
          </cell>
        </row>
        <row r="50">
          <cell r="O50">
            <v>0</v>
          </cell>
        </row>
        <row r="51">
          <cell r="O51">
            <v>0</v>
          </cell>
        </row>
        <row r="52">
          <cell r="O52">
            <v>1834.82</v>
          </cell>
        </row>
        <row r="53">
          <cell r="O53">
            <v>16439.77</v>
          </cell>
        </row>
        <row r="54">
          <cell r="O54">
            <v>4388.63</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429324.52</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2442.14</v>
          </cell>
        </row>
        <row r="80">
          <cell r="O80">
            <v>0</v>
          </cell>
        </row>
        <row r="81">
          <cell r="O81">
            <v>0</v>
          </cell>
        </row>
        <row r="82">
          <cell r="O82">
            <v>0</v>
          </cell>
        </row>
        <row r="83">
          <cell r="O83">
            <v>0</v>
          </cell>
        </row>
        <row r="84">
          <cell r="O84">
            <v>0</v>
          </cell>
        </row>
        <row r="85">
          <cell r="O85">
            <v>0</v>
          </cell>
        </row>
        <row r="86">
          <cell r="O86">
            <v>0</v>
          </cell>
        </row>
        <row r="87">
          <cell r="O87">
            <v>0</v>
          </cell>
        </row>
        <row r="88">
          <cell r="O88">
            <v>2442.14</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506.16</v>
          </cell>
        </row>
        <row r="107">
          <cell r="O107">
            <v>13.99</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520.15</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6">
          <cell r="O126">
            <v>0</v>
          </cell>
        </row>
        <row r="127">
          <cell r="O127">
            <v>0</v>
          </cell>
        </row>
        <row r="128">
          <cell r="O128">
            <v>0</v>
          </cell>
        </row>
        <row r="129">
          <cell r="O129">
            <v>-721.77</v>
          </cell>
        </row>
        <row r="130">
          <cell r="O130">
            <v>0</v>
          </cell>
        </row>
        <row r="131">
          <cell r="O131">
            <v>0</v>
          </cell>
        </row>
        <row r="132">
          <cell r="O132">
            <v>0</v>
          </cell>
        </row>
        <row r="133">
          <cell r="O133">
            <v>0</v>
          </cell>
        </row>
        <row r="134">
          <cell r="O134">
            <v>0</v>
          </cell>
        </row>
        <row r="135">
          <cell r="O135">
            <v>0</v>
          </cell>
        </row>
        <row r="136">
          <cell r="O136">
            <v>-721.77</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0</v>
          </cell>
        </row>
        <row r="154">
          <cell r="O154">
            <v>0</v>
          </cell>
        </row>
        <row r="155">
          <cell r="O155">
            <v>0</v>
          </cell>
        </row>
        <row r="156">
          <cell r="O156">
            <v>0</v>
          </cell>
        </row>
        <row r="157">
          <cell r="O157">
            <v>0</v>
          </cell>
        </row>
        <row r="158">
          <cell r="O158">
            <v>0</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0</v>
          </cell>
        </row>
        <row r="171">
          <cell r="O171">
            <v>0</v>
          </cell>
        </row>
        <row r="172">
          <cell r="O172">
            <v>0</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0</v>
          </cell>
        </row>
        <row r="270">
          <cell r="O270">
            <v>0</v>
          </cell>
        </row>
        <row r="271">
          <cell r="O271">
            <v>2554.3000000000002</v>
          </cell>
        </row>
        <row r="272">
          <cell r="O272">
            <v>2554.3000000000002</v>
          </cell>
        </row>
        <row r="273">
          <cell r="O273">
            <v>0</v>
          </cell>
        </row>
        <row r="274">
          <cell r="O274">
            <v>0</v>
          </cell>
        </row>
        <row r="275">
          <cell r="O275">
            <v>1133</v>
          </cell>
        </row>
        <row r="276">
          <cell r="O276">
            <v>459.46</v>
          </cell>
        </row>
        <row r="277">
          <cell r="O277">
            <v>210.41</v>
          </cell>
        </row>
        <row r="278">
          <cell r="O278">
            <v>0</v>
          </cell>
        </row>
        <row r="279">
          <cell r="O279">
            <v>0</v>
          </cell>
        </row>
        <row r="280">
          <cell r="O280">
            <v>0</v>
          </cell>
        </row>
        <row r="281">
          <cell r="O281">
            <v>1802.87</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204749.67</v>
          </cell>
        </row>
        <row r="338">
          <cell r="O338">
            <v>0</v>
          </cell>
        </row>
        <row r="339">
          <cell r="O339">
            <v>0</v>
          </cell>
        </row>
        <row r="340">
          <cell r="O340">
            <v>0</v>
          </cell>
        </row>
        <row r="341">
          <cell r="O341">
            <v>0</v>
          </cell>
        </row>
        <row r="342">
          <cell r="O342">
            <v>0</v>
          </cell>
        </row>
        <row r="343">
          <cell r="O343">
            <v>0</v>
          </cell>
        </row>
        <row r="344">
          <cell r="O344">
            <v>204749.67</v>
          </cell>
        </row>
        <row r="345">
          <cell r="O345">
            <v>-214662.39</v>
          </cell>
        </row>
        <row r="346">
          <cell r="O346">
            <v>-214662.39</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-429324.78</v>
          </cell>
        </row>
        <row r="358">
          <cell r="O358">
            <v>211347.1</v>
          </cell>
        </row>
        <row r="360">
          <cell r="O360">
            <v>0</v>
          </cell>
        </row>
      </sheetData>
      <sheetData sheetId="2">
        <row r="65">
          <cell r="O65">
            <v>204912</v>
          </cell>
        </row>
        <row r="358">
          <cell r="O358">
            <v>213388</v>
          </cell>
        </row>
      </sheetData>
      <sheetData sheetId="3"/>
      <sheetData sheetId="4">
        <row r="1">
          <cell r="A1" t="str">
            <v>CC25449</v>
          </cell>
        </row>
        <row r="2">
          <cell r="A2" t="str">
            <v>PTOTAL</v>
          </cell>
        </row>
        <row r="3">
          <cell r="A3" t="str">
            <v>CCAD</v>
          </cell>
        </row>
        <row r="4">
          <cell r="A4" t="str">
            <v>OTHTOTAL</v>
          </cell>
        </row>
        <row r="5">
          <cell r="A5" t="str">
            <v>DIM6SET</v>
          </cell>
        </row>
        <row r="6">
          <cell r="A6">
            <v>0</v>
          </cell>
          <cell r="E6" t="str">
            <v>FORECAST</v>
          </cell>
          <cell r="F6" t="str">
            <v>BUDGET</v>
          </cell>
        </row>
        <row r="7">
          <cell r="A7">
            <v>0</v>
          </cell>
          <cell r="E7">
            <v>2015</v>
          </cell>
          <cell r="F7">
            <v>2016</v>
          </cell>
        </row>
        <row r="8">
          <cell r="A8">
            <v>0</v>
          </cell>
          <cell r="E8">
            <v>0</v>
          </cell>
          <cell r="F8">
            <v>0</v>
          </cell>
        </row>
        <row r="9">
          <cell r="A9" t="str">
            <v>A60001</v>
          </cell>
          <cell r="E9">
            <v>0</v>
          </cell>
          <cell r="F9">
            <v>0</v>
          </cell>
        </row>
        <row r="10">
          <cell r="A10" t="str">
            <v>P6000</v>
          </cell>
          <cell r="E10">
            <v>0</v>
          </cell>
          <cell r="F10">
            <v>0</v>
          </cell>
        </row>
        <row r="11">
          <cell r="A11" t="str">
            <v>A60201</v>
          </cell>
          <cell r="E11">
            <v>0</v>
          </cell>
          <cell r="F11">
            <v>0</v>
          </cell>
        </row>
        <row r="12">
          <cell r="A12" t="str">
            <v>A60202</v>
          </cell>
          <cell r="E12">
            <v>0</v>
          </cell>
          <cell r="F12">
            <v>0</v>
          </cell>
        </row>
        <row r="13">
          <cell r="A13" t="str">
            <v>A60205</v>
          </cell>
          <cell r="E13">
            <v>0</v>
          </cell>
          <cell r="F13">
            <v>0</v>
          </cell>
        </row>
        <row r="14">
          <cell r="A14" t="str">
            <v>A60207</v>
          </cell>
          <cell r="E14">
            <v>0</v>
          </cell>
          <cell r="F14">
            <v>0</v>
          </cell>
        </row>
        <row r="15">
          <cell r="A15" t="str">
            <v>A60211</v>
          </cell>
          <cell r="E15">
            <v>0</v>
          </cell>
          <cell r="F15">
            <v>0</v>
          </cell>
        </row>
        <row r="16">
          <cell r="A16" t="str">
            <v>A60212</v>
          </cell>
          <cell r="E16">
            <v>0</v>
          </cell>
          <cell r="F16">
            <v>0</v>
          </cell>
        </row>
        <row r="17">
          <cell r="A17" t="str">
            <v>A60213</v>
          </cell>
          <cell r="E17">
            <v>0</v>
          </cell>
          <cell r="F17">
            <v>0</v>
          </cell>
        </row>
        <row r="18">
          <cell r="A18" t="str">
            <v>A60215</v>
          </cell>
          <cell r="E18">
            <v>0</v>
          </cell>
          <cell r="F18">
            <v>0</v>
          </cell>
        </row>
        <row r="19">
          <cell r="A19" t="str">
            <v>A60219</v>
          </cell>
          <cell r="E19">
            <v>0</v>
          </cell>
          <cell r="F19">
            <v>0</v>
          </cell>
        </row>
        <row r="20">
          <cell r="A20" t="str">
            <v>A60221</v>
          </cell>
          <cell r="E20">
            <v>0</v>
          </cell>
          <cell r="F20">
            <v>0</v>
          </cell>
        </row>
        <row r="21">
          <cell r="A21" t="str">
            <v>A60225</v>
          </cell>
          <cell r="E21">
            <v>0</v>
          </cell>
          <cell r="F21">
            <v>0</v>
          </cell>
        </row>
        <row r="22">
          <cell r="A22" t="str">
            <v>A60227</v>
          </cell>
          <cell r="E22">
            <v>0</v>
          </cell>
          <cell r="F22">
            <v>0</v>
          </cell>
        </row>
        <row r="23">
          <cell r="A23" t="str">
            <v>A60228</v>
          </cell>
          <cell r="E23">
            <v>0</v>
          </cell>
          <cell r="F23">
            <v>0</v>
          </cell>
        </row>
        <row r="24">
          <cell r="A24" t="str">
            <v>A60230</v>
          </cell>
          <cell r="E24">
            <v>0</v>
          </cell>
          <cell r="F24">
            <v>0</v>
          </cell>
        </row>
        <row r="25">
          <cell r="A25" t="str">
            <v>A60231</v>
          </cell>
          <cell r="E25">
            <v>0</v>
          </cell>
          <cell r="F25">
            <v>0</v>
          </cell>
        </row>
        <row r="26">
          <cell r="A26" t="str">
            <v>A60237</v>
          </cell>
          <cell r="E26">
            <v>0</v>
          </cell>
          <cell r="F26">
            <v>0</v>
          </cell>
        </row>
        <row r="27">
          <cell r="A27" t="str">
            <v>A60239</v>
          </cell>
          <cell r="E27">
            <v>0</v>
          </cell>
          <cell r="F27">
            <v>0</v>
          </cell>
        </row>
        <row r="28">
          <cell r="A28" t="str">
            <v>A60243</v>
          </cell>
          <cell r="E28">
            <v>0</v>
          </cell>
          <cell r="F28">
            <v>0</v>
          </cell>
        </row>
        <row r="29">
          <cell r="A29" t="str">
            <v>A60255</v>
          </cell>
          <cell r="E29">
            <v>0</v>
          </cell>
          <cell r="F29">
            <v>0</v>
          </cell>
        </row>
        <row r="30">
          <cell r="A30" t="str">
            <v>A60257</v>
          </cell>
          <cell r="E30">
            <v>0</v>
          </cell>
          <cell r="F30">
            <v>0</v>
          </cell>
        </row>
        <row r="31">
          <cell r="A31" t="str">
            <v>A60261</v>
          </cell>
          <cell r="E31">
            <v>0</v>
          </cell>
          <cell r="F31">
            <v>0</v>
          </cell>
        </row>
        <row r="32">
          <cell r="A32" t="str">
            <v>A60265</v>
          </cell>
          <cell r="E32">
            <v>0</v>
          </cell>
          <cell r="F32">
            <v>0</v>
          </cell>
        </row>
        <row r="33">
          <cell r="A33" t="str">
            <v>A60271</v>
          </cell>
          <cell r="E33">
            <v>0</v>
          </cell>
          <cell r="F33">
            <v>0</v>
          </cell>
        </row>
        <row r="34">
          <cell r="A34" t="str">
            <v>A60269</v>
          </cell>
          <cell r="E34">
            <v>0</v>
          </cell>
          <cell r="F34">
            <v>0</v>
          </cell>
        </row>
        <row r="35">
          <cell r="A35" t="str">
            <v>A60299</v>
          </cell>
          <cell r="E35">
            <v>0</v>
          </cell>
          <cell r="F35">
            <v>0</v>
          </cell>
        </row>
        <row r="36">
          <cell r="A36" t="str">
            <v>A60229</v>
          </cell>
          <cell r="E36">
            <v>0</v>
          </cell>
          <cell r="F36">
            <v>0</v>
          </cell>
        </row>
        <row r="37">
          <cell r="A37" t="str">
            <v>A60223</v>
          </cell>
          <cell r="E37">
            <v>0</v>
          </cell>
          <cell r="F37">
            <v>0</v>
          </cell>
        </row>
        <row r="38">
          <cell r="A38" t="str">
            <v>A60209</v>
          </cell>
          <cell r="E38">
            <v>0</v>
          </cell>
          <cell r="F38">
            <v>0</v>
          </cell>
        </row>
        <row r="39">
          <cell r="A39" t="str">
            <v>A60273</v>
          </cell>
          <cell r="E39">
            <v>0</v>
          </cell>
          <cell r="F39">
            <v>0</v>
          </cell>
        </row>
        <row r="40">
          <cell r="A40" t="str">
            <v>A60274</v>
          </cell>
          <cell r="E40">
            <v>0</v>
          </cell>
          <cell r="F40">
            <v>0</v>
          </cell>
        </row>
        <row r="41">
          <cell r="A41" t="str">
            <v>P6020</v>
          </cell>
          <cell r="E41">
            <v>0</v>
          </cell>
          <cell r="F41">
            <v>0</v>
          </cell>
        </row>
        <row r="42">
          <cell r="A42" t="str">
            <v>A60101</v>
          </cell>
          <cell r="E42">
            <v>0</v>
          </cell>
          <cell r="F42">
            <v>0</v>
          </cell>
        </row>
        <row r="43">
          <cell r="A43" t="str">
            <v>A60103</v>
          </cell>
          <cell r="E43">
            <v>0</v>
          </cell>
          <cell r="F43">
            <v>0</v>
          </cell>
        </row>
        <row r="44">
          <cell r="A44" t="str">
            <v>A60105</v>
          </cell>
          <cell r="E44">
            <v>0</v>
          </cell>
          <cell r="F44">
            <v>0</v>
          </cell>
        </row>
        <row r="45">
          <cell r="A45" t="str">
            <v>A60107</v>
          </cell>
          <cell r="E45">
            <v>0</v>
          </cell>
          <cell r="F45">
            <v>0</v>
          </cell>
        </row>
        <row r="46">
          <cell r="A46" t="str">
            <v>A60109</v>
          </cell>
          <cell r="E46">
            <v>0</v>
          </cell>
          <cell r="F46">
            <v>0</v>
          </cell>
        </row>
        <row r="47">
          <cell r="A47" t="str">
            <v>A60113</v>
          </cell>
          <cell r="E47">
            <v>0</v>
          </cell>
          <cell r="F47">
            <v>0</v>
          </cell>
        </row>
        <row r="48">
          <cell r="A48" t="str">
            <v>A60117</v>
          </cell>
          <cell r="E48">
            <v>0</v>
          </cell>
          <cell r="F48">
            <v>0</v>
          </cell>
        </row>
        <row r="49">
          <cell r="A49" t="str">
            <v>A60119</v>
          </cell>
          <cell r="E49">
            <v>0</v>
          </cell>
          <cell r="F49">
            <v>0</v>
          </cell>
        </row>
        <row r="50">
          <cell r="A50" t="str">
            <v>A60121</v>
          </cell>
          <cell r="E50">
            <v>0</v>
          </cell>
          <cell r="F50">
            <v>0</v>
          </cell>
        </row>
        <row r="51">
          <cell r="A51" t="str">
            <v>A60123</v>
          </cell>
          <cell r="E51">
            <v>0</v>
          </cell>
          <cell r="F51">
            <v>0</v>
          </cell>
        </row>
        <row r="52">
          <cell r="A52" t="str">
            <v>A60127</v>
          </cell>
          <cell r="E52">
            <v>0</v>
          </cell>
          <cell r="F52">
            <v>0</v>
          </cell>
        </row>
        <row r="53">
          <cell r="A53" t="str">
            <v>A60129</v>
          </cell>
          <cell r="E53">
            <v>0</v>
          </cell>
          <cell r="F53">
            <v>0</v>
          </cell>
        </row>
        <row r="54">
          <cell r="A54" t="str">
            <v>A60131</v>
          </cell>
          <cell r="E54">
            <v>0</v>
          </cell>
          <cell r="F54">
            <v>0</v>
          </cell>
        </row>
        <row r="55">
          <cell r="A55" t="str">
            <v>A60133</v>
          </cell>
          <cell r="E55">
            <v>0</v>
          </cell>
          <cell r="F55">
            <v>0</v>
          </cell>
        </row>
        <row r="56">
          <cell r="A56" t="str">
            <v>A60135</v>
          </cell>
          <cell r="E56">
            <v>0</v>
          </cell>
          <cell r="F56">
            <v>0</v>
          </cell>
        </row>
        <row r="57">
          <cell r="A57" t="str">
            <v>A60137</v>
          </cell>
          <cell r="E57">
            <v>0</v>
          </cell>
          <cell r="F57">
            <v>0</v>
          </cell>
        </row>
        <row r="58">
          <cell r="A58" t="str">
            <v>A60139</v>
          </cell>
          <cell r="E58">
            <v>0</v>
          </cell>
          <cell r="F58">
            <v>0</v>
          </cell>
        </row>
        <row r="59">
          <cell r="A59" t="str">
            <v>A60145</v>
          </cell>
          <cell r="E59">
            <v>0</v>
          </cell>
          <cell r="F59">
            <v>0</v>
          </cell>
        </row>
        <row r="60">
          <cell r="A60" t="str">
            <v>A60138</v>
          </cell>
          <cell r="E60">
            <v>0</v>
          </cell>
          <cell r="F60">
            <v>0</v>
          </cell>
        </row>
        <row r="61">
          <cell r="A61" t="str">
            <v>A60146</v>
          </cell>
          <cell r="E61">
            <v>0</v>
          </cell>
          <cell r="F61">
            <v>0</v>
          </cell>
        </row>
        <row r="62">
          <cell r="A62" t="str">
            <v>A60147</v>
          </cell>
          <cell r="E62">
            <v>0</v>
          </cell>
          <cell r="F62">
            <v>0</v>
          </cell>
        </row>
        <row r="63">
          <cell r="A63" t="str">
            <v>A60148</v>
          </cell>
          <cell r="E63">
            <v>0</v>
          </cell>
          <cell r="F63">
            <v>0</v>
          </cell>
        </row>
        <row r="64">
          <cell r="A64" t="str">
            <v>A60115</v>
          </cell>
          <cell r="E64">
            <v>0</v>
          </cell>
          <cell r="F64">
            <v>0</v>
          </cell>
        </row>
        <row r="65">
          <cell r="A65" t="str">
            <v>A60141</v>
          </cell>
          <cell r="E65">
            <v>0</v>
          </cell>
          <cell r="F65">
            <v>0</v>
          </cell>
        </row>
        <row r="66">
          <cell r="A66" t="str">
            <v>P6010</v>
          </cell>
          <cell r="C66">
            <v>429324.52</v>
          </cell>
          <cell r="D66">
            <v>203813.5</v>
          </cell>
          <cell r="E66">
            <v>0</v>
          </cell>
          <cell r="F66">
            <v>0</v>
          </cell>
        </row>
        <row r="67">
          <cell r="A67" t="str">
            <v>A60301</v>
          </cell>
          <cell r="E67">
            <v>0</v>
          </cell>
          <cell r="F67">
            <v>0</v>
          </cell>
        </row>
        <row r="68">
          <cell r="A68" t="str">
            <v>A60303</v>
          </cell>
          <cell r="E68">
            <v>0</v>
          </cell>
          <cell r="F68">
            <v>0</v>
          </cell>
        </row>
        <row r="69">
          <cell r="A69" t="str">
            <v>A60305</v>
          </cell>
          <cell r="E69">
            <v>0</v>
          </cell>
          <cell r="F69">
            <v>0</v>
          </cell>
        </row>
        <row r="70">
          <cell r="A70" t="str">
            <v>A60307</v>
          </cell>
          <cell r="E70">
            <v>0</v>
          </cell>
          <cell r="F70">
            <v>0</v>
          </cell>
        </row>
        <row r="71">
          <cell r="A71" t="str">
            <v>A60308</v>
          </cell>
          <cell r="E71">
            <v>0</v>
          </cell>
          <cell r="F71">
            <v>0</v>
          </cell>
        </row>
        <row r="72">
          <cell r="A72" t="str">
            <v>A60309</v>
          </cell>
          <cell r="E72">
            <v>0</v>
          </cell>
          <cell r="F72">
            <v>0</v>
          </cell>
        </row>
        <row r="73">
          <cell r="A73" t="str">
            <v>A60310</v>
          </cell>
          <cell r="E73">
            <v>0</v>
          </cell>
          <cell r="F73">
            <v>0</v>
          </cell>
        </row>
        <row r="74">
          <cell r="A74" t="str">
            <v>A60311</v>
          </cell>
          <cell r="E74">
            <v>0</v>
          </cell>
          <cell r="F74">
            <v>0</v>
          </cell>
        </row>
        <row r="75">
          <cell r="A75" t="str">
            <v>A60313</v>
          </cell>
          <cell r="E75">
            <v>0</v>
          </cell>
          <cell r="F75">
            <v>0</v>
          </cell>
        </row>
        <row r="76">
          <cell r="A76" t="str">
            <v>A60315</v>
          </cell>
          <cell r="E76">
            <v>0</v>
          </cell>
          <cell r="F76">
            <v>0</v>
          </cell>
        </row>
        <row r="77">
          <cell r="A77" t="str">
            <v>A60317</v>
          </cell>
          <cell r="E77">
            <v>0</v>
          </cell>
          <cell r="F77">
            <v>0</v>
          </cell>
        </row>
        <row r="78">
          <cell r="A78" t="str">
            <v>A60319</v>
          </cell>
          <cell r="E78">
            <v>0</v>
          </cell>
          <cell r="F78">
            <v>0</v>
          </cell>
        </row>
        <row r="79">
          <cell r="A79" t="str">
            <v>P6030</v>
          </cell>
          <cell r="E79">
            <v>0</v>
          </cell>
          <cell r="F79">
            <v>0</v>
          </cell>
        </row>
        <row r="80">
          <cell r="A80" t="str">
            <v>A60401</v>
          </cell>
          <cell r="E80">
            <v>-177</v>
          </cell>
          <cell r="F80">
            <v>0</v>
          </cell>
        </row>
        <row r="81">
          <cell r="A81" t="str">
            <v>A60403</v>
          </cell>
          <cell r="E81">
            <v>0</v>
          </cell>
          <cell r="F81">
            <v>0</v>
          </cell>
        </row>
        <row r="82">
          <cell r="A82" t="str">
            <v>A60405</v>
          </cell>
          <cell r="E82">
            <v>0</v>
          </cell>
          <cell r="F82">
            <v>0</v>
          </cell>
        </row>
        <row r="83">
          <cell r="A83" t="str">
            <v>A60407</v>
          </cell>
          <cell r="E83">
            <v>0</v>
          </cell>
          <cell r="F83">
            <v>0</v>
          </cell>
        </row>
        <row r="84">
          <cell r="A84" t="str">
            <v>A60409</v>
          </cell>
          <cell r="E84">
            <v>0</v>
          </cell>
          <cell r="F84">
            <v>0</v>
          </cell>
        </row>
        <row r="85">
          <cell r="A85" t="str">
            <v>A60411</v>
          </cell>
          <cell r="E85">
            <v>1175</v>
          </cell>
          <cell r="F85">
            <v>1175</v>
          </cell>
        </row>
        <row r="86">
          <cell r="A86" t="str">
            <v>A60415</v>
          </cell>
          <cell r="E86">
            <v>5000</v>
          </cell>
          <cell r="F86">
            <v>3600</v>
          </cell>
        </row>
        <row r="87">
          <cell r="A87" t="str">
            <v>A60406</v>
          </cell>
          <cell r="E87">
            <v>0</v>
          </cell>
          <cell r="F87">
            <v>0</v>
          </cell>
        </row>
        <row r="88">
          <cell r="A88" t="str">
            <v>A60412</v>
          </cell>
          <cell r="E88">
            <v>0</v>
          </cell>
          <cell r="F88">
            <v>0</v>
          </cell>
        </row>
        <row r="89">
          <cell r="A89" t="str">
            <v>P6040</v>
          </cell>
          <cell r="E89">
            <v>5998</v>
          </cell>
          <cell r="F89">
            <v>4775</v>
          </cell>
        </row>
        <row r="90">
          <cell r="A90" t="str">
            <v>A60501</v>
          </cell>
          <cell r="E90">
            <v>0</v>
          </cell>
          <cell r="F90">
            <v>0</v>
          </cell>
        </row>
        <row r="91">
          <cell r="A91" t="str">
            <v>A60503</v>
          </cell>
          <cell r="E91">
            <v>0</v>
          </cell>
          <cell r="F91">
            <v>0</v>
          </cell>
        </row>
        <row r="92">
          <cell r="A92" t="str">
            <v>A60505</v>
          </cell>
          <cell r="E92">
            <v>0</v>
          </cell>
          <cell r="F92">
            <v>0</v>
          </cell>
        </row>
        <row r="93">
          <cell r="A93" t="str">
            <v>A60507</v>
          </cell>
          <cell r="E93">
            <v>0</v>
          </cell>
          <cell r="F93">
            <v>0</v>
          </cell>
        </row>
        <row r="94">
          <cell r="A94" t="str">
            <v>A60509</v>
          </cell>
          <cell r="E94">
            <v>0</v>
          </cell>
          <cell r="F94">
            <v>0</v>
          </cell>
        </row>
        <row r="95">
          <cell r="A95" t="str">
            <v>A60511</v>
          </cell>
          <cell r="E95">
            <v>0</v>
          </cell>
          <cell r="F95">
            <v>0</v>
          </cell>
        </row>
        <row r="96">
          <cell r="A96" t="str">
            <v>A60513</v>
          </cell>
          <cell r="E96">
            <v>0</v>
          </cell>
          <cell r="F96">
            <v>0</v>
          </cell>
        </row>
        <row r="97">
          <cell r="A97" t="str">
            <v>P6050</v>
          </cell>
          <cell r="E97">
            <v>0</v>
          </cell>
          <cell r="F97">
            <v>0</v>
          </cell>
        </row>
        <row r="98">
          <cell r="A98" t="str">
            <v>A61001</v>
          </cell>
          <cell r="E98">
            <v>0</v>
          </cell>
          <cell r="F98">
            <v>0</v>
          </cell>
        </row>
        <row r="99">
          <cell r="A99" t="str">
            <v>A61003</v>
          </cell>
          <cell r="E99">
            <v>0</v>
          </cell>
          <cell r="F99">
            <v>0</v>
          </cell>
        </row>
        <row r="100">
          <cell r="A100" t="str">
            <v>A61005</v>
          </cell>
          <cell r="E100">
            <v>0</v>
          </cell>
          <cell r="F100">
            <v>0</v>
          </cell>
        </row>
        <row r="101">
          <cell r="A101" t="str">
            <v>A61007</v>
          </cell>
          <cell r="E101">
            <v>0</v>
          </cell>
          <cell r="F101">
            <v>0</v>
          </cell>
        </row>
        <row r="102">
          <cell r="A102" t="str">
            <v>A61009</v>
          </cell>
          <cell r="E102">
            <v>0</v>
          </cell>
          <cell r="F102">
            <v>0</v>
          </cell>
        </row>
        <row r="103">
          <cell r="A103" t="str">
            <v>A61011</v>
          </cell>
          <cell r="E103">
            <v>150</v>
          </cell>
          <cell r="F103">
            <v>155</v>
          </cell>
        </row>
        <row r="104">
          <cell r="A104" t="str">
            <v>A61021</v>
          </cell>
          <cell r="E104">
            <v>0</v>
          </cell>
          <cell r="F104">
            <v>0</v>
          </cell>
        </row>
        <row r="105">
          <cell r="A105" t="str">
            <v>P6100</v>
          </cell>
          <cell r="E105">
            <v>150</v>
          </cell>
          <cell r="F105">
            <v>155</v>
          </cell>
        </row>
        <row r="106">
          <cell r="A106" t="str">
            <v>A61101</v>
          </cell>
          <cell r="E106">
            <v>0</v>
          </cell>
          <cell r="F106">
            <v>0</v>
          </cell>
        </row>
        <row r="107">
          <cell r="A107" t="str">
            <v>A61103</v>
          </cell>
          <cell r="E107">
            <v>1017</v>
          </cell>
          <cell r="F107">
            <v>1038</v>
          </cell>
        </row>
        <row r="108">
          <cell r="A108" t="str">
            <v>A61105</v>
          </cell>
          <cell r="E108">
            <v>0</v>
          </cell>
          <cell r="F108">
            <v>0</v>
          </cell>
        </row>
        <row r="109">
          <cell r="A109" t="str">
            <v>A61107</v>
          </cell>
          <cell r="E109">
            <v>0</v>
          </cell>
          <cell r="F109">
            <v>0</v>
          </cell>
        </row>
        <row r="110">
          <cell r="A110" t="str">
            <v>A61109</v>
          </cell>
          <cell r="E110">
            <v>0</v>
          </cell>
          <cell r="F110">
            <v>0</v>
          </cell>
        </row>
        <row r="111">
          <cell r="A111" t="str">
            <v>A61111</v>
          </cell>
          <cell r="E111">
            <v>0</v>
          </cell>
          <cell r="F111">
            <v>0</v>
          </cell>
        </row>
        <row r="112">
          <cell r="A112" t="str">
            <v>A61113</v>
          </cell>
          <cell r="E112">
            <v>0</v>
          </cell>
          <cell r="F112">
            <v>0</v>
          </cell>
        </row>
        <row r="113">
          <cell r="A113" t="str">
            <v>A61115</v>
          </cell>
          <cell r="E113">
            <v>0</v>
          </cell>
          <cell r="F113">
            <v>0</v>
          </cell>
        </row>
        <row r="114">
          <cell r="A114" t="str">
            <v>A61116</v>
          </cell>
          <cell r="E114">
            <v>0</v>
          </cell>
          <cell r="F114">
            <v>0</v>
          </cell>
        </row>
        <row r="115">
          <cell r="A115" t="str">
            <v>A61117</v>
          </cell>
          <cell r="E115">
            <v>0</v>
          </cell>
          <cell r="F115">
            <v>0</v>
          </cell>
        </row>
        <row r="116">
          <cell r="A116" t="str">
            <v>A61119</v>
          </cell>
          <cell r="E116">
            <v>0</v>
          </cell>
          <cell r="F116">
            <v>0</v>
          </cell>
        </row>
        <row r="117">
          <cell r="A117" t="str">
            <v>P6110</v>
          </cell>
          <cell r="E117">
            <v>1017</v>
          </cell>
          <cell r="F117">
            <v>1038</v>
          </cell>
        </row>
        <row r="118">
          <cell r="A118" t="str">
            <v>A61201</v>
          </cell>
          <cell r="E118">
            <v>0</v>
          </cell>
          <cell r="F118">
            <v>0</v>
          </cell>
        </row>
        <row r="119">
          <cell r="A119" t="str">
            <v>A61299</v>
          </cell>
          <cell r="E119">
            <v>0</v>
          </cell>
          <cell r="F119">
            <v>0</v>
          </cell>
        </row>
        <row r="120">
          <cell r="A120" t="str">
            <v>P6120</v>
          </cell>
          <cell r="E120">
            <v>0</v>
          </cell>
          <cell r="F120">
            <v>0</v>
          </cell>
        </row>
        <row r="121">
          <cell r="A121" t="str">
            <v>A61501</v>
          </cell>
          <cell r="E121">
            <v>0</v>
          </cell>
          <cell r="F121">
            <v>0</v>
          </cell>
        </row>
        <row r="122">
          <cell r="A122" t="str">
            <v>A61503</v>
          </cell>
          <cell r="E122">
            <v>0</v>
          </cell>
          <cell r="F122">
            <v>0</v>
          </cell>
        </row>
        <row r="123">
          <cell r="A123" t="str">
            <v>A61505</v>
          </cell>
          <cell r="E123">
            <v>0</v>
          </cell>
          <cell r="F123">
            <v>0</v>
          </cell>
        </row>
        <row r="124">
          <cell r="A124" t="str">
            <v>A61507</v>
          </cell>
          <cell r="E124">
            <v>0</v>
          </cell>
          <cell r="F124">
            <v>0</v>
          </cell>
        </row>
        <row r="125">
          <cell r="A125" t="str">
            <v>A61509</v>
          </cell>
          <cell r="E125">
            <v>0</v>
          </cell>
          <cell r="F125">
            <v>0</v>
          </cell>
        </row>
        <row r="126">
          <cell r="A126" t="str">
            <v>A61511</v>
          </cell>
          <cell r="E126">
            <v>0</v>
          </cell>
          <cell r="F126">
            <v>0</v>
          </cell>
        </row>
        <row r="127">
          <cell r="A127" t="str">
            <v>A61512</v>
          </cell>
          <cell r="E127">
            <v>0</v>
          </cell>
          <cell r="F127">
            <v>0</v>
          </cell>
        </row>
        <row r="128">
          <cell r="A128" t="str">
            <v>A61513</v>
          </cell>
          <cell r="E128">
            <v>0</v>
          </cell>
          <cell r="F128">
            <v>0</v>
          </cell>
        </row>
        <row r="129">
          <cell r="A129" t="str">
            <v>P6150</v>
          </cell>
          <cell r="E129">
            <v>0</v>
          </cell>
          <cell r="F129">
            <v>0</v>
          </cell>
        </row>
        <row r="130">
          <cell r="A130" t="str">
            <v>A61601</v>
          </cell>
          <cell r="E130">
            <v>0</v>
          </cell>
          <cell r="F130">
            <v>0</v>
          </cell>
        </row>
        <row r="131">
          <cell r="A131" t="str">
            <v>A61603</v>
          </cell>
          <cell r="E131">
            <v>0</v>
          </cell>
          <cell r="F131">
            <v>0</v>
          </cell>
        </row>
        <row r="132">
          <cell r="A132" t="str">
            <v>A61605</v>
          </cell>
          <cell r="E132">
            <v>0</v>
          </cell>
          <cell r="F132">
            <v>0</v>
          </cell>
        </row>
        <row r="133">
          <cell r="A133" t="str">
            <v>A61607</v>
          </cell>
          <cell r="E133">
            <v>0</v>
          </cell>
          <cell r="F133">
            <v>0</v>
          </cell>
        </row>
        <row r="134">
          <cell r="A134" t="str">
            <v>A61609</v>
          </cell>
          <cell r="E134">
            <v>0</v>
          </cell>
          <cell r="F134">
            <v>0</v>
          </cell>
        </row>
        <row r="135">
          <cell r="A135" t="str">
            <v>A61611</v>
          </cell>
          <cell r="E135">
            <v>0</v>
          </cell>
          <cell r="F135">
            <v>0</v>
          </cell>
        </row>
        <row r="136">
          <cell r="A136" t="str">
            <v>A61606</v>
          </cell>
          <cell r="E136">
            <v>0</v>
          </cell>
          <cell r="F136">
            <v>0</v>
          </cell>
        </row>
        <row r="137">
          <cell r="A137" t="str">
            <v>P6160</v>
          </cell>
          <cell r="E137">
            <v>0</v>
          </cell>
          <cell r="F137">
            <v>0</v>
          </cell>
        </row>
        <row r="138">
          <cell r="A138" t="str">
            <v>A61551</v>
          </cell>
          <cell r="E138">
            <v>0</v>
          </cell>
          <cell r="F138">
            <v>0</v>
          </cell>
        </row>
        <row r="139">
          <cell r="A139" t="str">
            <v>A61553</v>
          </cell>
          <cell r="E139">
            <v>0</v>
          </cell>
          <cell r="F139">
            <v>0</v>
          </cell>
        </row>
        <row r="140">
          <cell r="A140" t="str">
            <v>A61555</v>
          </cell>
          <cell r="E140">
            <v>0</v>
          </cell>
          <cell r="F140">
            <v>0</v>
          </cell>
        </row>
        <row r="141">
          <cell r="A141" t="str">
            <v>A61557</v>
          </cell>
          <cell r="E141">
            <v>0</v>
          </cell>
          <cell r="F141">
            <v>0</v>
          </cell>
        </row>
        <row r="142">
          <cell r="A142" t="str">
            <v>A61559</v>
          </cell>
          <cell r="E142">
            <v>0</v>
          </cell>
          <cell r="F142">
            <v>0</v>
          </cell>
        </row>
        <row r="143">
          <cell r="A143" t="str">
            <v>A61561</v>
          </cell>
          <cell r="E143">
            <v>0</v>
          </cell>
          <cell r="F143">
            <v>0</v>
          </cell>
        </row>
        <row r="144">
          <cell r="A144" t="str">
            <v>A61563</v>
          </cell>
          <cell r="E144">
            <v>0</v>
          </cell>
          <cell r="F144">
            <v>0</v>
          </cell>
        </row>
        <row r="145">
          <cell r="A145" t="str">
            <v>P6155</v>
          </cell>
          <cell r="E145">
            <v>0</v>
          </cell>
          <cell r="F145">
            <v>0</v>
          </cell>
        </row>
        <row r="146">
          <cell r="A146" t="str">
            <v>A61701</v>
          </cell>
          <cell r="E146">
            <v>0</v>
          </cell>
          <cell r="F146">
            <v>0</v>
          </cell>
        </row>
        <row r="147">
          <cell r="A147" t="str">
            <v>A61703</v>
          </cell>
          <cell r="E147">
            <v>0</v>
          </cell>
          <cell r="F147">
            <v>0</v>
          </cell>
        </row>
        <row r="148">
          <cell r="A148" t="str">
            <v>A61705</v>
          </cell>
          <cell r="E148">
            <v>0</v>
          </cell>
          <cell r="F148">
            <v>0</v>
          </cell>
        </row>
        <row r="149">
          <cell r="A149" t="str">
            <v>A61706</v>
          </cell>
          <cell r="E149">
            <v>0</v>
          </cell>
          <cell r="F149">
            <v>0</v>
          </cell>
        </row>
        <row r="150">
          <cell r="A150" t="str">
            <v>A61707</v>
          </cell>
          <cell r="E150">
            <v>0</v>
          </cell>
          <cell r="F150">
            <v>0</v>
          </cell>
        </row>
        <row r="151">
          <cell r="A151" t="str">
            <v>A61709</v>
          </cell>
          <cell r="E151">
            <v>0</v>
          </cell>
          <cell r="F151">
            <v>0</v>
          </cell>
        </row>
        <row r="152">
          <cell r="A152" t="str">
            <v>A61711</v>
          </cell>
          <cell r="E152">
            <v>0</v>
          </cell>
          <cell r="F152">
            <v>0</v>
          </cell>
        </row>
        <row r="153">
          <cell r="A153" t="str">
            <v>A61713</v>
          </cell>
          <cell r="E153">
            <v>0</v>
          </cell>
          <cell r="F153">
            <v>0</v>
          </cell>
        </row>
        <row r="154">
          <cell r="A154" t="str">
            <v>A61715</v>
          </cell>
          <cell r="E154">
            <v>0</v>
          </cell>
          <cell r="F154">
            <v>0</v>
          </cell>
        </row>
        <row r="155">
          <cell r="A155" t="str">
            <v>A61717</v>
          </cell>
          <cell r="E155">
            <v>0</v>
          </cell>
          <cell r="F155">
            <v>0</v>
          </cell>
        </row>
        <row r="156">
          <cell r="A156" t="str">
            <v>A61719</v>
          </cell>
          <cell r="E156">
            <v>0</v>
          </cell>
          <cell r="F156">
            <v>0</v>
          </cell>
        </row>
        <row r="157">
          <cell r="A157" t="str">
            <v>A61721</v>
          </cell>
          <cell r="E157">
            <v>0</v>
          </cell>
          <cell r="F157">
            <v>0</v>
          </cell>
        </row>
        <row r="158">
          <cell r="A158" t="str">
            <v>A61723</v>
          </cell>
          <cell r="E158">
            <v>0</v>
          </cell>
          <cell r="F158">
            <v>0</v>
          </cell>
        </row>
        <row r="159">
          <cell r="A159" t="str">
            <v>P6170</v>
          </cell>
          <cell r="E159">
            <v>0</v>
          </cell>
          <cell r="F159">
            <v>0</v>
          </cell>
        </row>
        <row r="160">
          <cell r="A160" t="str">
            <v>A61803</v>
          </cell>
          <cell r="E160">
            <v>0</v>
          </cell>
          <cell r="F160">
            <v>0</v>
          </cell>
        </row>
        <row r="161">
          <cell r="A161" t="str">
            <v>A61805</v>
          </cell>
          <cell r="E161">
            <v>0</v>
          </cell>
          <cell r="F161">
            <v>0</v>
          </cell>
        </row>
        <row r="162">
          <cell r="A162" t="str">
            <v>A61809</v>
          </cell>
          <cell r="E162">
            <v>0</v>
          </cell>
          <cell r="F162">
            <v>0</v>
          </cell>
        </row>
        <row r="163">
          <cell r="A163" t="str">
            <v>P6180</v>
          </cell>
          <cell r="E163">
            <v>0</v>
          </cell>
          <cell r="F163">
            <v>0</v>
          </cell>
        </row>
        <row r="164">
          <cell r="A164" t="str">
            <v>A61901</v>
          </cell>
          <cell r="E164">
            <v>0</v>
          </cell>
          <cell r="F164">
            <v>0</v>
          </cell>
        </row>
        <row r="165">
          <cell r="A165" t="str">
            <v>A61902</v>
          </cell>
          <cell r="E165">
            <v>0</v>
          </cell>
          <cell r="F165">
            <v>0</v>
          </cell>
        </row>
        <row r="166">
          <cell r="A166" t="str">
            <v>A61903</v>
          </cell>
          <cell r="E166">
            <v>0</v>
          </cell>
          <cell r="F166">
            <v>0</v>
          </cell>
        </row>
        <row r="167">
          <cell r="A167" t="str">
            <v>A61905</v>
          </cell>
          <cell r="E167">
            <v>0</v>
          </cell>
          <cell r="F167">
            <v>0</v>
          </cell>
        </row>
        <row r="168">
          <cell r="A168" t="str">
            <v>A61909</v>
          </cell>
          <cell r="E168">
            <v>0</v>
          </cell>
          <cell r="F168">
            <v>0</v>
          </cell>
        </row>
        <row r="169">
          <cell r="A169" t="str">
            <v>A61910</v>
          </cell>
          <cell r="E169">
            <v>0</v>
          </cell>
          <cell r="F169">
            <v>0</v>
          </cell>
        </row>
        <row r="170">
          <cell r="A170" t="str">
            <v>A61911</v>
          </cell>
          <cell r="E170">
            <v>0</v>
          </cell>
          <cell r="F170">
            <v>0</v>
          </cell>
        </row>
        <row r="171">
          <cell r="A171" t="str">
            <v>A61999</v>
          </cell>
          <cell r="E171">
            <v>0</v>
          </cell>
          <cell r="F171">
            <v>0</v>
          </cell>
        </row>
        <row r="172">
          <cell r="A172" t="str">
            <v>A61906</v>
          </cell>
          <cell r="E172">
            <v>0</v>
          </cell>
          <cell r="F172">
            <v>0</v>
          </cell>
        </row>
        <row r="173">
          <cell r="A173" t="str">
            <v>P6190</v>
          </cell>
          <cell r="E173">
            <v>0</v>
          </cell>
          <cell r="F173">
            <v>0</v>
          </cell>
        </row>
        <row r="174">
          <cell r="A174" t="str">
            <v>A62001</v>
          </cell>
          <cell r="E174">
            <v>0</v>
          </cell>
          <cell r="F174">
            <v>0</v>
          </cell>
        </row>
        <row r="175">
          <cell r="A175" t="str">
            <v>A62002</v>
          </cell>
          <cell r="E175">
            <v>0</v>
          </cell>
          <cell r="F175">
            <v>0</v>
          </cell>
        </row>
        <row r="176">
          <cell r="A176" t="str">
            <v>A62003</v>
          </cell>
          <cell r="E176">
            <v>0</v>
          </cell>
          <cell r="F176">
            <v>0</v>
          </cell>
        </row>
        <row r="177">
          <cell r="A177" t="str">
            <v>A62004</v>
          </cell>
          <cell r="E177">
            <v>0</v>
          </cell>
          <cell r="F177">
            <v>0</v>
          </cell>
        </row>
        <row r="178">
          <cell r="A178" t="str">
            <v>A62005</v>
          </cell>
          <cell r="E178">
            <v>0</v>
          </cell>
          <cell r="F178">
            <v>0</v>
          </cell>
        </row>
        <row r="179">
          <cell r="A179" t="str">
            <v>A62006</v>
          </cell>
          <cell r="E179">
            <v>0</v>
          </cell>
          <cell r="F179">
            <v>0</v>
          </cell>
        </row>
        <row r="180">
          <cell r="A180" t="str">
            <v>A62007</v>
          </cell>
          <cell r="E180">
            <v>0</v>
          </cell>
          <cell r="F180">
            <v>0</v>
          </cell>
        </row>
        <row r="181">
          <cell r="A181" t="str">
            <v>A62008</v>
          </cell>
          <cell r="E181">
            <v>0</v>
          </cell>
          <cell r="F181">
            <v>0</v>
          </cell>
        </row>
        <row r="182">
          <cell r="A182" t="str">
            <v>A62009</v>
          </cell>
          <cell r="E182">
            <v>0</v>
          </cell>
          <cell r="F182">
            <v>0</v>
          </cell>
        </row>
        <row r="183">
          <cell r="A183" t="str">
            <v>A62010</v>
          </cell>
          <cell r="E183">
            <v>0</v>
          </cell>
          <cell r="F183">
            <v>0</v>
          </cell>
        </row>
        <row r="184">
          <cell r="A184" t="str">
            <v>A62012</v>
          </cell>
          <cell r="E184">
            <v>0</v>
          </cell>
          <cell r="F184">
            <v>0</v>
          </cell>
        </row>
        <row r="185">
          <cell r="A185" t="str">
            <v>A62013</v>
          </cell>
          <cell r="E185">
            <v>0</v>
          </cell>
          <cell r="F185">
            <v>0</v>
          </cell>
        </row>
        <row r="186">
          <cell r="A186" t="str">
            <v>A62014</v>
          </cell>
          <cell r="E186">
            <v>0</v>
          </cell>
          <cell r="F186">
            <v>0</v>
          </cell>
        </row>
        <row r="187">
          <cell r="A187" t="str">
            <v>A62015</v>
          </cell>
          <cell r="E187">
            <v>0</v>
          </cell>
          <cell r="F187">
            <v>0</v>
          </cell>
        </row>
        <row r="188">
          <cell r="A188" t="str">
            <v>A62016</v>
          </cell>
          <cell r="E188">
            <v>0</v>
          </cell>
          <cell r="F188">
            <v>0</v>
          </cell>
        </row>
        <row r="189">
          <cell r="A189" t="str">
            <v>A62017</v>
          </cell>
          <cell r="E189">
            <v>0</v>
          </cell>
          <cell r="F189">
            <v>0</v>
          </cell>
        </row>
        <row r="190">
          <cell r="A190" t="str">
            <v>A62018</v>
          </cell>
          <cell r="E190">
            <v>0</v>
          </cell>
          <cell r="F190">
            <v>0</v>
          </cell>
        </row>
        <row r="191">
          <cell r="A191" t="str">
            <v>A62019</v>
          </cell>
          <cell r="E191">
            <v>0</v>
          </cell>
          <cell r="F191">
            <v>0</v>
          </cell>
        </row>
        <row r="192">
          <cell r="A192" t="str">
            <v>A62020</v>
          </cell>
          <cell r="E192">
            <v>0</v>
          </cell>
          <cell r="F192">
            <v>0</v>
          </cell>
        </row>
        <row r="193">
          <cell r="A193" t="str">
            <v>A62021</v>
          </cell>
          <cell r="E193">
            <v>0</v>
          </cell>
          <cell r="F193">
            <v>0</v>
          </cell>
        </row>
        <row r="194">
          <cell r="A194" t="str">
            <v>A62022</v>
          </cell>
          <cell r="E194">
            <v>0</v>
          </cell>
          <cell r="F194">
            <v>0</v>
          </cell>
        </row>
        <row r="195">
          <cell r="A195" t="str">
            <v>A62024</v>
          </cell>
          <cell r="E195">
            <v>0</v>
          </cell>
          <cell r="F195">
            <v>0</v>
          </cell>
        </row>
        <row r="196">
          <cell r="A196" t="str">
            <v>A62025</v>
          </cell>
          <cell r="E196">
            <v>0</v>
          </cell>
          <cell r="F196">
            <v>0</v>
          </cell>
        </row>
        <row r="197">
          <cell r="A197" t="str">
            <v>A62027</v>
          </cell>
          <cell r="E197">
            <v>0</v>
          </cell>
          <cell r="F197">
            <v>0</v>
          </cell>
        </row>
        <row r="198">
          <cell r="A198" t="str">
            <v>A62028</v>
          </cell>
          <cell r="E198">
            <v>0</v>
          </cell>
          <cell r="F198">
            <v>0</v>
          </cell>
        </row>
        <row r="199">
          <cell r="A199" t="str">
            <v>A62029</v>
          </cell>
          <cell r="E199">
            <v>0</v>
          </cell>
          <cell r="F199">
            <v>0</v>
          </cell>
        </row>
        <row r="200">
          <cell r="A200" t="str">
            <v>A62030</v>
          </cell>
          <cell r="E200">
            <v>0</v>
          </cell>
          <cell r="F200">
            <v>0</v>
          </cell>
        </row>
        <row r="201">
          <cell r="A201" t="str">
            <v>A62031</v>
          </cell>
          <cell r="E201">
            <v>0</v>
          </cell>
          <cell r="F201">
            <v>0</v>
          </cell>
        </row>
        <row r="202">
          <cell r="A202" t="str">
            <v>A62032</v>
          </cell>
          <cell r="E202">
            <v>0</v>
          </cell>
          <cell r="F202">
            <v>0</v>
          </cell>
        </row>
        <row r="203">
          <cell r="A203" t="str">
            <v>A62033</v>
          </cell>
          <cell r="E203">
            <v>0</v>
          </cell>
          <cell r="F203">
            <v>0</v>
          </cell>
        </row>
        <row r="204">
          <cell r="A204" t="str">
            <v>A62034</v>
          </cell>
          <cell r="E204">
            <v>0</v>
          </cell>
          <cell r="F204">
            <v>0</v>
          </cell>
        </row>
        <row r="205">
          <cell r="A205" t="str">
            <v>A62035</v>
          </cell>
          <cell r="E205">
            <v>0</v>
          </cell>
          <cell r="F205">
            <v>0</v>
          </cell>
        </row>
        <row r="206">
          <cell r="A206" t="str">
            <v>A62039</v>
          </cell>
          <cell r="E206">
            <v>0</v>
          </cell>
          <cell r="F206">
            <v>0</v>
          </cell>
        </row>
        <row r="207">
          <cell r="A207" t="str">
            <v>A62041</v>
          </cell>
          <cell r="E207">
            <v>0</v>
          </cell>
          <cell r="F207">
            <v>0</v>
          </cell>
        </row>
        <row r="208">
          <cell r="A208" t="str">
            <v>A62042</v>
          </cell>
          <cell r="E208">
            <v>0</v>
          </cell>
          <cell r="F208">
            <v>0</v>
          </cell>
        </row>
        <row r="209">
          <cell r="A209" t="str">
            <v>A62043</v>
          </cell>
          <cell r="E209">
            <v>0</v>
          </cell>
          <cell r="F209">
            <v>0</v>
          </cell>
        </row>
        <row r="210">
          <cell r="A210" t="str">
            <v>A62045</v>
          </cell>
          <cell r="E210">
            <v>0</v>
          </cell>
          <cell r="F210">
            <v>0</v>
          </cell>
        </row>
        <row r="211">
          <cell r="A211" t="str">
            <v>A62046</v>
          </cell>
          <cell r="E211">
            <v>0</v>
          </cell>
          <cell r="F211">
            <v>0</v>
          </cell>
        </row>
        <row r="212">
          <cell r="A212" t="str">
            <v>A62047</v>
          </cell>
          <cell r="E212">
            <v>0</v>
          </cell>
          <cell r="F212">
            <v>0</v>
          </cell>
        </row>
        <row r="213">
          <cell r="A213" t="str">
            <v>A62051</v>
          </cell>
          <cell r="E213">
            <v>0</v>
          </cell>
          <cell r="F213">
            <v>0</v>
          </cell>
        </row>
        <row r="214">
          <cell r="A214" t="str">
            <v>A62052</v>
          </cell>
          <cell r="E214">
            <v>0</v>
          </cell>
          <cell r="F214">
            <v>0</v>
          </cell>
        </row>
        <row r="215">
          <cell r="A215" t="str">
            <v>A62053</v>
          </cell>
          <cell r="E215">
            <v>0</v>
          </cell>
          <cell r="F215">
            <v>0</v>
          </cell>
        </row>
        <row r="216">
          <cell r="A216" t="str">
            <v>A62054</v>
          </cell>
          <cell r="E216">
            <v>0</v>
          </cell>
          <cell r="F216">
            <v>0</v>
          </cell>
        </row>
        <row r="217">
          <cell r="A217" t="str">
            <v>A62055</v>
          </cell>
          <cell r="E217">
            <v>0</v>
          </cell>
          <cell r="F217">
            <v>0</v>
          </cell>
        </row>
        <row r="218">
          <cell r="A218" t="str">
            <v>A62056</v>
          </cell>
          <cell r="E218">
            <v>0</v>
          </cell>
          <cell r="F218">
            <v>0</v>
          </cell>
        </row>
        <row r="219">
          <cell r="A219" t="str">
            <v>A62057</v>
          </cell>
          <cell r="E219">
            <v>0</v>
          </cell>
          <cell r="F219">
            <v>0</v>
          </cell>
        </row>
        <row r="220">
          <cell r="A220" t="str">
            <v>A62058</v>
          </cell>
          <cell r="E220">
            <v>0</v>
          </cell>
          <cell r="F220">
            <v>0</v>
          </cell>
        </row>
        <row r="221">
          <cell r="A221" t="str">
            <v>A62060</v>
          </cell>
          <cell r="E221">
            <v>0</v>
          </cell>
          <cell r="F221">
            <v>0</v>
          </cell>
        </row>
        <row r="222">
          <cell r="A222" t="str">
            <v>A62061</v>
          </cell>
          <cell r="E222">
            <v>0</v>
          </cell>
          <cell r="F222">
            <v>0</v>
          </cell>
        </row>
        <row r="223">
          <cell r="A223" t="str">
            <v>A62062</v>
          </cell>
          <cell r="E223">
            <v>0</v>
          </cell>
          <cell r="F223">
            <v>0</v>
          </cell>
        </row>
        <row r="224">
          <cell r="A224" t="str">
            <v>A62063</v>
          </cell>
          <cell r="E224">
            <v>0</v>
          </cell>
          <cell r="F224">
            <v>0</v>
          </cell>
        </row>
        <row r="225">
          <cell r="A225" t="str">
            <v>A62064</v>
          </cell>
          <cell r="E225">
            <v>0</v>
          </cell>
          <cell r="F225">
            <v>0</v>
          </cell>
        </row>
        <row r="226">
          <cell r="A226" t="str">
            <v>A62071</v>
          </cell>
          <cell r="E226">
            <v>0</v>
          </cell>
          <cell r="F226">
            <v>0</v>
          </cell>
        </row>
        <row r="227">
          <cell r="A227" t="str">
            <v>A62082</v>
          </cell>
          <cell r="E227">
            <v>0</v>
          </cell>
          <cell r="F227">
            <v>0</v>
          </cell>
        </row>
        <row r="228">
          <cell r="A228" t="str">
            <v>A62083</v>
          </cell>
          <cell r="E228">
            <v>0</v>
          </cell>
          <cell r="F228">
            <v>0</v>
          </cell>
        </row>
        <row r="229">
          <cell r="A229" t="str">
            <v>A62037</v>
          </cell>
          <cell r="E229">
            <v>0</v>
          </cell>
          <cell r="F229">
            <v>0</v>
          </cell>
        </row>
        <row r="230">
          <cell r="A230" t="str">
            <v>A62080</v>
          </cell>
          <cell r="E230">
            <v>0</v>
          </cell>
          <cell r="F230">
            <v>0</v>
          </cell>
        </row>
        <row r="231">
          <cell r="A231" t="str">
            <v>P6200</v>
          </cell>
          <cell r="E231">
            <v>0</v>
          </cell>
          <cell r="F231">
            <v>0</v>
          </cell>
        </row>
        <row r="232">
          <cell r="A232" t="str">
            <v>A62301</v>
          </cell>
          <cell r="E232">
            <v>0</v>
          </cell>
          <cell r="F232">
            <v>0</v>
          </cell>
        </row>
        <row r="233">
          <cell r="A233" t="str">
            <v>A62303</v>
          </cell>
          <cell r="E233">
            <v>0</v>
          </cell>
          <cell r="F233">
            <v>0</v>
          </cell>
        </row>
        <row r="234">
          <cell r="A234" t="str">
            <v>A62305</v>
          </cell>
          <cell r="E234">
            <v>0</v>
          </cell>
          <cell r="F234">
            <v>0</v>
          </cell>
        </row>
        <row r="235">
          <cell r="A235" t="str">
            <v>A62307</v>
          </cell>
          <cell r="E235">
            <v>0</v>
          </cell>
          <cell r="F235">
            <v>0</v>
          </cell>
        </row>
        <row r="236">
          <cell r="A236" t="str">
            <v>A62309</v>
          </cell>
          <cell r="E236">
            <v>0</v>
          </cell>
          <cell r="F236">
            <v>0</v>
          </cell>
        </row>
        <row r="237">
          <cell r="A237" t="str">
            <v>A62311</v>
          </cell>
          <cell r="E237">
            <v>0</v>
          </cell>
          <cell r="F237">
            <v>0</v>
          </cell>
        </row>
        <row r="238">
          <cell r="A238" t="str">
            <v>A62312</v>
          </cell>
          <cell r="E238">
            <v>0</v>
          </cell>
          <cell r="F238">
            <v>0</v>
          </cell>
        </row>
        <row r="239">
          <cell r="A239" t="str">
            <v>P6230</v>
          </cell>
          <cell r="E239">
            <v>0</v>
          </cell>
          <cell r="F239">
            <v>0</v>
          </cell>
        </row>
        <row r="240">
          <cell r="A240" t="str">
            <v>A62401</v>
          </cell>
          <cell r="E240">
            <v>0</v>
          </cell>
          <cell r="F240">
            <v>0</v>
          </cell>
        </row>
        <row r="241">
          <cell r="A241" t="str">
            <v>A62403</v>
          </cell>
          <cell r="E241">
            <v>0</v>
          </cell>
          <cell r="F241">
            <v>0</v>
          </cell>
        </row>
        <row r="242">
          <cell r="A242" t="str">
            <v>A62405</v>
          </cell>
          <cell r="E242">
            <v>0</v>
          </cell>
          <cell r="F242">
            <v>0</v>
          </cell>
        </row>
        <row r="243">
          <cell r="A243" t="str">
            <v>A62407</v>
          </cell>
          <cell r="E243">
            <v>0</v>
          </cell>
          <cell r="F243">
            <v>0</v>
          </cell>
        </row>
        <row r="244">
          <cell r="A244" t="str">
            <v>A62409</v>
          </cell>
          <cell r="E244">
            <v>0</v>
          </cell>
          <cell r="F244">
            <v>0</v>
          </cell>
        </row>
        <row r="245">
          <cell r="A245" t="str">
            <v>A62411</v>
          </cell>
          <cell r="E245">
            <v>0</v>
          </cell>
          <cell r="F245">
            <v>0</v>
          </cell>
        </row>
        <row r="246">
          <cell r="A246" t="str">
            <v>A62413</v>
          </cell>
          <cell r="E246">
            <v>0</v>
          </cell>
          <cell r="F246">
            <v>0</v>
          </cell>
        </row>
        <row r="247">
          <cell r="A247" t="str">
            <v>P6240</v>
          </cell>
          <cell r="E247">
            <v>0</v>
          </cell>
          <cell r="F247">
            <v>0</v>
          </cell>
        </row>
        <row r="248">
          <cell r="A248" t="str">
            <v>A70101</v>
          </cell>
          <cell r="E248">
            <v>0</v>
          </cell>
          <cell r="F248">
            <v>0</v>
          </cell>
        </row>
        <row r="249">
          <cell r="A249" t="str">
            <v>A70103</v>
          </cell>
          <cell r="E249">
            <v>0</v>
          </cell>
          <cell r="F249">
            <v>0</v>
          </cell>
        </row>
        <row r="250">
          <cell r="A250" t="str">
            <v>A70105</v>
          </cell>
          <cell r="E250">
            <v>0</v>
          </cell>
          <cell r="F250">
            <v>0</v>
          </cell>
        </row>
        <row r="251">
          <cell r="A251" t="str">
            <v>P7010</v>
          </cell>
          <cell r="E251">
            <v>0</v>
          </cell>
          <cell r="F251">
            <v>0</v>
          </cell>
        </row>
        <row r="252">
          <cell r="A252" t="str">
            <v>A70001</v>
          </cell>
          <cell r="E252">
            <v>0</v>
          </cell>
          <cell r="F252">
            <v>0</v>
          </cell>
        </row>
        <row r="253">
          <cell r="A253" t="str">
            <v>A70003</v>
          </cell>
          <cell r="E253">
            <v>0</v>
          </cell>
          <cell r="F253">
            <v>0</v>
          </cell>
        </row>
        <row r="254">
          <cell r="A254" t="str">
            <v>A70005</v>
          </cell>
          <cell r="E254">
            <v>0</v>
          </cell>
          <cell r="F254">
            <v>0</v>
          </cell>
        </row>
        <row r="255">
          <cell r="A255" t="str">
            <v>A70007</v>
          </cell>
          <cell r="E255">
            <v>0</v>
          </cell>
          <cell r="F255">
            <v>0</v>
          </cell>
        </row>
        <row r="256">
          <cell r="A256" t="str">
            <v>A70009</v>
          </cell>
          <cell r="E256">
            <v>0</v>
          </cell>
          <cell r="F256">
            <v>0</v>
          </cell>
        </row>
        <row r="257">
          <cell r="A257" t="str">
            <v>A70011</v>
          </cell>
          <cell r="E257">
            <v>0</v>
          </cell>
          <cell r="F257">
            <v>0</v>
          </cell>
        </row>
        <row r="258">
          <cell r="A258" t="str">
            <v>A70013</v>
          </cell>
          <cell r="E258">
            <v>0</v>
          </cell>
          <cell r="F258">
            <v>0</v>
          </cell>
        </row>
        <row r="259">
          <cell r="A259" t="str">
            <v>A70015</v>
          </cell>
          <cell r="E259">
            <v>0</v>
          </cell>
          <cell r="F259">
            <v>0</v>
          </cell>
        </row>
        <row r="260">
          <cell r="A260" t="str">
            <v>A70017</v>
          </cell>
          <cell r="E260">
            <v>0</v>
          </cell>
          <cell r="F260">
            <v>0</v>
          </cell>
        </row>
        <row r="261">
          <cell r="A261" t="str">
            <v>P7000</v>
          </cell>
          <cell r="E261">
            <v>0</v>
          </cell>
          <cell r="F261">
            <v>0</v>
          </cell>
        </row>
        <row r="262">
          <cell r="A262" t="str">
            <v>A70201</v>
          </cell>
          <cell r="E262">
            <v>0</v>
          </cell>
          <cell r="F262">
            <v>0</v>
          </cell>
        </row>
        <row r="263">
          <cell r="A263" t="str">
            <v>A70203</v>
          </cell>
          <cell r="E263">
            <v>0</v>
          </cell>
          <cell r="F263">
            <v>0</v>
          </cell>
        </row>
        <row r="264">
          <cell r="A264" t="str">
            <v>A70209</v>
          </cell>
          <cell r="E264">
            <v>0</v>
          </cell>
          <cell r="F264">
            <v>0</v>
          </cell>
        </row>
        <row r="265">
          <cell r="A265" t="str">
            <v>P7020</v>
          </cell>
          <cell r="E265">
            <v>0</v>
          </cell>
          <cell r="F265">
            <v>0</v>
          </cell>
        </row>
        <row r="266">
          <cell r="A266" t="str">
            <v>A70301</v>
          </cell>
          <cell r="E266">
            <v>0</v>
          </cell>
          <cell r="F266">
            <v>0</v>
          </cell>
        </row>
        <row r="267">
          <cell r="A267" t="str">
            <v>P7030</v>
          </cell>
          <cell r="E267">
            <v>0</v>
          </cell>
          <cell r="F267">
            <v>0</v>
          </cell>
        </row>
        <row r="268">
          <cell r="A268" t="str">
            <v>A70401</v>
          </cell>
          <cell r="E268">
            <v>0</v>
          </cell>
          <cell r="F268">
            <v>0</v>
          </cell>
        </row>
        <row r="269">
          <cell r="A269" t="str">
            <v>A70403</v>
          </cell>
          <cell r="E269">
            <v>0</v>
          </cell>
          <cell r="F269">
            <v>0</v>
          </cell>
        </row>
        <row r="270">
          <cell r="A270" t="str">
            <v>A70405</v>
          </cell>
          <cell r="E270">
            <v>0</v>
          </cell>
          <cell r="F270">
            <v>0</v>
          </cell>
        </row>
        <row r="271">
          <cell r="A271" t="str">
            <v>A70407</v>
          </cell>
          <cell r="E271">
            <v>0</v>
          </cell>
          <cell r="F271">
            <v>0</v>
          </cell>
        </row>
        <row r="272">
          <cell r="A272" t="str">
            <v>A70409</v>
          </cell>
          <cell r="E272">
            <v>3000</v>
          </cell>
          <cell r="F272">
            <v>3000</v>
          </cell>
        </row>
        <row r="273">
          <cell r="A273" t="str">
            <v>P7040</v>
          </cell>
          <cell r="E273">
            <v>3000</v>
          </cell>
          <cell r="F273">
            <v>3000</v>
          </cell>
        </row>
        <row r="274">
          <cell r="A274" t="str">
            <v>A70501</v>
          </cell>
          <cell r="E274">
            <v>0</v>
          </cell>
          <cell r="F274">
            <v>0</v>
          </cell>
        </row>
        <row r="275">
          <cell r="A275" t="str">
            <v>A70503</v>
          </cell>
          <cell r="E275">
            <v>0</v>
          </cell>
          <cell r="F275">
            <v>0</v>
          </cell>
        </row>
        <row r="276">
          <cell r="A276" t="str">
            <v>A70505</v>
          </cell>
          <cell r="E276">
            <v>0</v>
          </cell>
          <cell r="F276">
            <v>0</v>
          </cell>
        </row>
        <row r="277">
          <cell r="A277" t="str">
            <v>A70507</v>
          </cell>
          <cell r="E277">
            <v>713</v>
          </cell>
          <cell r="F277">
            <v>718</v>
          </cell>
        </row>
        <row r="278">
          <cell r="A278" t="str">
            <v>A70509</v>
          </cell>
          <cell r="E278">
            <v>0</v>
          </cell>
          <cell r="F278">
            <v>0</v>
          </cell>
        </row>
        <row r="279">
          <cell r="A279" t="str">
            <v>A70511</v>
          </cell>
          <cell r="E279">
            <v>0</v>
          </cell>
          <cell r="F279">
            <v>0</v>
          </cell>
        </row>
        <row r="280">
          <cell r="A280" t="str">
            <v>A70506</v>
          </cell>
          <cell r="E280">
            <v>0</v>
          </cell>
          <cell r="F280">
            <v>0</v>
          </cell>
        </row>
        <row r="281">
          <cell r="A281" t="str">
            <v>A70510</v>
          </cell>
          <cell r="E281">
            <v>0</v>
          </cell>
          <cell r="F281">
            <v>0</v>
          </cell>
        </row>
        <row r="282">
          <cell r="A282" t="str">
            <v>P7050</v>
          </cell>
          <cell r="E282">
            <v>713</v>
          </cell>
          <cell r="F282">
            <v>718</v>
          </cell>
        </row>
        <row r="283">
          <cell r="A283" t="str">
            <v>A70651</v>
          </cell>
          <cell r="E283">
            <v>0</v>
          </cell>
          <cell r="F283">
            <v>0</v>
          </cell>
        </row>
        <row r="284">
          <cell r="A284" t="str">
            <v>A70653</v>
          </cell>
          <cell r="E284">
            <v>0</v>
          </cell>
          <cell r="F284">
            <v>0</v>
          </cell>
        </row>
        <row r="285">
          <cell r="A285" t="str">
            <v>A70655</v>
          </cell>
          <cell r="E285">
            <v>0</v>
          </cell>
          <cell r="F285">
            <v>0</v>
          </cell>
        </row>
        <row r="286">
          <cell r="A286" t="str">
            <v>A70657</v>
          </cell>
          <cell r="E286">
            <v>0</v>
          </cell>
          <cell r="F286">
            <v>0</v>
          </cell>
        </row>
        <row r="287">
          <cell r="A287" t="str">
            <v>P7065</v>
          </cell>
          <cell r="E287">
            <v>0</v>
          </cell>
          <cell r="F287">
            <v>0</v>
          </cell>
        </row>
        <row r="288">
          <cell r="A288" t="str">
            <v>A70601</v>
          </cell>
          <cell r="E288">
            <v>0</v>
          </cell>
          <cell r="F288">
            <v>0</v>
          </cell>
        </row>
        <row r="289">
          <cell r="A289" t="str">
            <v>A70603</v>
          </cell>
          <cell r="E289">
            <v>0</v>
          </cell>
          <cell r="F289">
            <v>0</v>
          </cell>
        </row>
        <row r="290">
          <cell r="A290" t="str">
            <v>A70605</v>
          </cell>
          <cell r="E290">
            <v>0</v>
          </cell>
          <cell r="F290">
            <v>0</v>
          </cell>
        </row>
        <row r="291">
          <cell r="A291" t="str">
            <v>A70607</v>
          </cell>
          <cell r="E291">
            <v>0</v>
          </cell>
          <cell r="F291">
            <v>0</v>
          </cell>
        </row>
        <row r="292">
          <cell r="A292" t="str">
            <v>P7060</v>
          </cell>
          <cell r="E292">
            <v>0</v>
          </cell>
          <cell r="F292">
            <v>0</v>
          </cell>
        </row>
        <row r="293">
          <cell r="A293" t="str">
            <v>A70701</v>
          </cell>
          <cell r="E293">
            <v>0</v>
          </cell>
          <cell r="F293">
            <v>0</v>
          </cell>
        </row>
        <row r="294">
          <cell r="A294" t="str">
            <v>A70703</v>
          </cell>
          <cell r="E294">
            <v>0</v>
          </cell>
          <cell r="F294">
            <v>0</v>
          </cell>
        </row>
        <row r="295">
          <cell r="A295" t="str">
            <v>A70705</v>
          </cell>
          <cell r="E295">
            <v>0</v>
          </cell>
          <cell r="F295">
            <v>0</v>
          </cell>
        </row>
        <row r="296">
          <cell r="A296" t="str">
            <v>A70707</v>
          </cell>
          <cell r="E296">
            <v>0</v>
          </cell>
          <cell r="F296">
            <v>0</v>
          </cell>
        </row>
        <row r="297">
          <cell r="A297" t="str">
            <v>A70709</v>
          </cell>
          <cell r="E297">
            <v>0</v>
          </cell>
          <cell r="F297">
            <v>0</v>
          </cell>
        </row>
        <row r="298">
          <cell r="A298" t="str">
            <v>A70711</v>
          </cell>
          <cell r="E298">
            <v>0</v>
          </cell>
          <cell r="F298">
            <v>0</v>
          </cell>
        </row>
        <row r="299">
          <cell r="A299" t="str">
            <v>P7070</v>
          </cell>
          <cell r="E299">
            <v>0</v>
          </cell>
          <cell r="F299">
            <v>0</v>
          </cell>
        </row>
        <row r="300">
          <cell r="A300" t="str">
            <v>A70899</v>
          </cell>
          <cell r="E300">
            <v>0</v>
          </cell>
          <cell r="F300">
            <v>0</v>
          </cell>
        </row>
        <row r="301">
          <cell r="A301" t="str">
            <v>P7089</v>
          </cell>
          <cell r="E301">
            <v>0</v>
          </cell>
          <cell r="F301">
            <v>0</v>
          </cell>
        </row>
        <row r="302">
          <cell r="A302" t="str">
            <v>A70801</v>
          </cell>
          <cell r="E302">
            <v>0</v>
          </cell>
          <cell r="F302">
            <v>0</v>
          </cell>
        </row>
        <row r="303">
          <cell r="A303" t="str">
            <v>A70803</v>
          </cell>
          <cell r="E303">
            <v>0</v>
          </cell>
          <cell r="F303">
            <v>0</v>
          </cell>
        </row>
        <row r="304">
          <cell r="A304" t="str">
            <v>A70805</v>
          </cell>
          <cell r="E304">
            <v>0</v>
          </cell>
          <cell r="F304">
            <v>0</v>
          </cell>
        </row>
        <row r="305">
          <cell r="A305" t="str">
            <v>A70807</v>
          </cell>
          <cell r="E305">
            <v>0</v>
          </cell>
          <cell r="F305">
            <v>0</v>
          </cell>
        </row>
        <row r="306">
          <cell r="A306" t="str">
            <v>A70809</v>
          </cell>
          <cell r="E306">
            <v>0</v>
          </cell>
          <cell r="F306">
            <v>0</v>
          </cell>
        </row>
        <row r="307">
          <cell r="A307" t="str">
            <v>A70811</v>
          </cell>
          <cell r="E307">
            <v>0</v>
          </cell>
          <cell r="F307">
            <v>0</v>
          </cell>
        </row>
        <row r="308">
          <cell r="A308" t="str">
            <v>P7080</v>
          </cell>
          <cell r="E308">
            <v>0</v>
          </cell>
          <cell r="F308">
            <v>0</v>
          </cell>
        </row>
        <row r="309">
          <cell r="A309" t="str">
            <v>A70951</v>
          </cell>
          <cell r="E309">
            <v>0</v>
          </cell>
          <cell r="F309">
            <v>0</v>
          </cell>
        </row>
        <row r="310">
          <cell r="A310" t="str">
            <v>A70953</v>
          </cell>
          <cell r="E310">
            <v>0</v>
          </cell>
          <cell r="F310">
            <v>0</v>
          </cell>
        </row>
        <row r="311">
          <cell r="A311" t="str">
            <v>A70955</v>
          </cell>
          <cell r="E311">
            <v>0</v>
          </cell>
          <cell r="F311">
            <v>0</v>
          </cell>
        </row>
        <row r="312">
          <cell r="A312" t="str">
            <v>A70957</v>
          </cell>
          <cell r="E312">
            <v>0</v>
          </cell>
          <cell r="F312">
            <v>0</v>
          </cell>
        </row>
        <row r="313">
          <cell r="A313" t="str">
            <v>A70961</v>
          </cell>
          <cell r="E313">
            <v>0</v>
          </cell>
          <cell r="F313">
            <v>0</v>
          </cell>
        </row>
        <row r="314">
          <cell r="A314" t="str">
            <v>A70963</v>
          </cell>
          <cell r="E314">
            <v>0</v>
          </cell>
          <cell r="F314">
            <v>0</v>
          </cell>
        </row>
        <row r="315">
          <cell r="A315" t="str">
            <v>A70965</v>
          </cell>
          <cell r="E315">
            <v>0</v>
          </cell>
          <cell r="F315">
            <v>0</v>
          </cell>
        </row>
        <row r="316">
          <cell r="A316" t="str">
            <v>A70967</v>
          </cell>
          <cell r="E316">
            <v>0</v>
          </cell>
          <cell r="F316">
            <v>0</v>
          </cell>
        </row>
        <row r="317">
          <cell r="A317" t="str">
            <v>A70971</v>
          </cell>
          <cell r="E317">
            <v>0</v>
          </cell>
          <cell r="F317">
            <v>0</v>
          </cell>
        </row>
        <row r="318">
          <cell r="A318" t="str">
            <v>A70977</v>
          </cell>
          <cell r="E318">
            <v>0</v>
          </cell>
          <cell r="F318">
            <v>0</v>
          </cell>
        </row>
        <row r="319">
          <cell r="A319" t="str">
            <v>A70981</v>
          </cell>
          <cell r="E319">
            <v>0</v>
          </cell>
          <cell r="F319">
            <v>0</v>
          </cell>
        </row>
        <row r="320">
          <cell r="A320" t="str">
            <v>A70973</v>
          </cell>
          <cell r="E320">
            <v>0</v>
          </cell>
          <cell r="F320">
            <v>0</v>
          </cell>
        </row>
        <row r="321">
          <cell r="A321" t="str">
            <v>A70917</v>
          </cell>
          <cell r="E321">
            <v>0</v>
          </cell>
          <cell r="F321">
            <v>0</v>
          </cell>
        </row>
        <row r="322">
          <cell r="A322" t="str">
            <v>P7095</v>
          </cell>
          <cell r="E322">
            <v>0</v>
          </cell>
          <cell r="F322">
            <v>0</v>
          </cell>
        </row>
        <row r="323">
          <cell r="A323" t="str">
            <v>A70905</v>
          </cell>
          <cell r="E323">
            <v>0</v>
          </cell>
          <cell r="F323">
            <v>0</v>
          </cell>
        </row>
        <row r="324">
          <cell r="A324" t="str">
            <v>A70911</v>
          </cell>
          <cell r="E324">
            <v>0</v>
          </cell>
          <cell r="F324">
            <v>0</v>
          </cell>
        </row>
        <row r="325">
          <cell r="A325" t="str">
            <v>A70909</v>
          </cell>
          <cell r="E325">
            <v>0</v>
          </cell>
          <cell r="F325">
            <v>0</v>
          </cell>
        </row>
        <row r="326">
          <cell r="A326" t="str">
            <v>P7090</v>
          </cell>
          <cell r="E326">
            <v>0</v>
          </cell>
          <cell r="F326">
            <v>0</v>
          </cell>
        </row>
        <row r="327">
          <cell r="A327" t="str">
            <v>A71001</v>
          </cell>
          <cell r="E327">
            <v>0</v>
          </cell>
          <cell r="F327">
            <v>0</v>
          </cell>
        </row>
        <row r="328">
          <cell r="A328" t="str">
            <v>A71003</v>
          </cell>
          <cell r="E328">
            <v>0</v>
          </cell>
          <cell r="F328">
            <v>0</v>
          </cell>
        </row>
        <row r="329">
          <cell r="A329" t="str">
            <v>P7100</v>
          </cell>
          <cell r="E329">
            <v>0</v>
          </cell>
          <cell r="F329">
            <v>0</v>
          </cell>
        </row>
        <row r="330">
          <cell r="A330" t="str">
            <v>A71101</v>
          </cell>
          <cell r="E330">
            <v>0</v>
          </cell>
          <cell r="F330">
            <v>0</v>
          </cell>
        </row>
        <row r="331">
          <cell r="A331" t="str">
            <v>A71103</v>
          </cell>
          <cell r="E331">
            <v>0</v>
          </cell>
          <cell r="F331">
            <v>0</v>
          </cell>
        </row>
        <row r="332">
          <cell r="A332" t="str">
            <v>A71105</v>
          </cell>
          <cell r="E332">
            <v>0</v>
          </cell>
          <cell r="F332">
            <v>0</v>
          </cell>
        </row>
        <row r="333">
          <cell r="A333" t="str">
            <v>A71109</v>
          </cell>
          <cell r="E333">
            <v>0</v>
          </cell>
          <cell r="F333">
            <v>0</v>
          </cell>
        </row>
        <row r="334">
          <cell r="A334" t="str">
            <v>A71111</v>
          </cell>
          <cell r="E334">
            <v>0</v>
          </cell>
          <cell r="F334">
            <v>0</v>
          </cell>
        </row>
        <row r="335">
          <cell r="A335" t="str">
            <v>A71117</v>
          </cell>
          <cell r="E335">
            <v>0</v>
          </cell>
          <cell r="F335">
            <v>0</v>
          </cell>
        </row>
        <row r="336">
          <cell r="A336" t="str">
            <v>A71119</v>
          </cell>
          <cell r="E336">
            <v>0</v>
          </cell>
          <cell r="F336">
            <v>0</v>
          </cell>
        </row>
        <row r="337">
          <cell r="A337" t="str">
            <v>P7110</v>
          </cell>
          <cell r="E337">
            <v>0</v>
          </cell>
          <cell r="F337">
            <v>0</v>
          </cell>
        </row>
        <row r="338">
          <cell r="A338" t="str">
            <v>A74001</v>
          </cell>
          <cell r="E338">
            <v>204422</v>
          </cell>
          <cell r="F338">
            <v>213336</v>
          </cell>
        </row>
        <row r="339">
          <cell r="A339" t="str">
            <v>A74002</v>
          </cell>
          <cell r="E339">
            <v>0</v>
          </cell>
          <cell r="F339">
            <v>0</v>
          </cell>
        </row>
        <row r="340">
          <cell r="A340" t="str">
            <v>A74003</v>
          </cell>
          <cell r="E340">
            <v>0</v>
          </cell>
          <cell r="F340">
            <v>0</v>
          </cell>
        </row>
        <row r="341">
          <cell r="A341" t="str">
            <v>A74004</v>
          </cell>
          <cell r="E341">
            <v>0</v>
          </cell>
          <cell r="F341">
            <v>0</v>
          </cell>
        </row>
        <row r="342">
          <cell r="A342" t="str">
            <v>A74005</v>
          </cell>
          <cell r="E342">
            <v>0</v>
          </cell>
          <cell r="F342">
            <v>0</v>
          </cell>
        </row>
        <row r="343">
          <cell r="A343" t="str">
            <v>A74006</v>
          </cell>
          <cell r="E343">
            <v>0</v>
          </cell>
          <cell r="F343">
            <v>0</v>
          </cell>
        </row>
        <row r="344">
          <cell r="A344" t="str">
            <v>A74007</v>
          </cell>
          <cell r="E344">
            <v>0</v>
          </cell>
          <cell r="F344">
            <v>0</v>
          </cell>
        </row>
        <row r="345">
          <cell r="A345" t="str">
            <v>P7400</v>
          </cell>
          <cell r="C345">
            <v>204749.67</v>
          </cell>
          <cell r="D345">
            <v>0</v>
          </cell>
          <cell r="E345">
            <v>204422</v>
          </cell>
          <cell r="F345">
            <v>213336</v>
          </cell>
        </row>
        <row r="346">
          <cell r="A346" t="str">
            <v>A79951</v>
          </cell>
          <cell r="E346">
            <v>0</v>
          </cell>
          <cell r="F346">
            <v>0</v>
          </cell>
        </row>
        <row r="347">
          <cell r="A347" t="str">
            <v>A79952</v>
          </cell>
          <cell r="E347">
            <v>0</v>
          </cell>
          <cell r="F347">
            <v>0</v>
          </cell>
        </row>
        <row r="348">
          <cell r="A348" t="str">
            <v>A79953</v>
          </cell>
          <cell r="E348">
            <v>0</v>
          </cell>
          <cell r="F348">
            <v>0</v>
          </cell>
        </row>
        <row r="349">
          <cell r="A349" t="str">
            <v>A79954</v>
          </cell>
          <cell r="E349">
            <v>0</v>
          </cell>
          <cell r="F349">
            <v>0</v>
          </cell>
        </row>
        <row r="350">
          <cell r="A350" t="str">
            <v>A79955</v>
          </cell>
          <cell r="E350">
            <v>0</v>
          </cell>
          <cell r="F350">
            <v>0</v>
          </cell>
        </row>
        <row r="351">
          <cell r="A351" t="str">
            <v>A79956</v>
          </cell>
          <cell r="E351">
            <v>0</v>
          </cell>
          <cell r="F351">
            <v>0</v>
          </cell>
        </row>
        <row r="352">
          <cell r="A352" t="str">
            <v>A79957</v>
          </cell>
          <cell r="E352">
            <v>0</v>
          </cell>
          <cell r="F352">
            <v>0</v>
          </cell>
        </row>
        <row r="353">
          <cell r="A353" t="str">
            <v>A79960</v>
          </cell>
          <cell r="E353">
            <v>0</v>
          </cell>
          <cell r="F353">
            <v>0</v>
          </cell>
        </row>
        <row r="354">
          <cell r="A354" t="str">
            <v>A79965</v>
          </cell>
          <cell r="E354">
            <v>0</v>
          </cell>
          <cell r="F354">
            <v>0</v>
          </cell>
        </row>
        <row r="355">
          <cell r="A355" t="str">
            <v>A79966</v>
          </cell>
          <cell r="E355">
            <v>0</v>
          </cell>
          <cell r="F355">
            <v>0</v>
          </cell>
        </row>
        <row r="356">
          <cell r="A356" t="str">
            <v>A79967</v>
          </cell>
          <cell r="E356">
            <v>0</v>
          </cell>
          <cell r="F356">
            <v>0</v>
          </cell>
        </row>
        <row r="357">
          <cell r="A357" t="str">
            <v>A79958</v>
          </cell>
          <cell r="E357">
            <v>0</v>
          </cell>
          <cell r="F357">
            <v>0</v>
          </cell>
        </row>
        <row r="358">
          <cell r="A358" t="str">
            <v>P7995</v>
          </cell>
          <cell r="C358">
            <v>-429324.78</v>
          </cell>
          <cell r="E358">
            <v>0</v>
          </cell>
          <cell r="F358">
            <v>0</v>
          </cell>
        </row>
        <row r="359">
          <cell r="A359" t="str">
            <v>OAPPP</v>
          </cell>
          <cell r="C359">
            <v>211347.1</v>
          </cell>
          <cell r="D359">
            <v>213516.5</v>
          </cell>
          <cell r="E359">
            <v>215300</v>
          </cell>
          <cell r="F359">
            <v>223022</v>
          </cell>
        </row>
        <row r="361">
          <cell r="A361">
            <v>0</v>
          </cell>
        </row>
        <row r="362">
          <cell r="A362" t="str">
            <v>NOUVEAUX COMPTES</v>
          </cell>
        </row>
        <row r="363">
          <cell r="A363">
            <v>0</v>
          </cell>
          <cell r="E363">
            <v>0</v>
          </cell>
          <cell r="F363">
            <v>0</v>
          </cell>
        </row>
        <row r="364">
          <cell r="A364">
            <v>0</v>
          </cell>
          <cell r="E364">
            <v>0</v>
          </cell>
          <cell r="F364">
            <v>0</v>
          </cell>
        </row>
        <row r="365">
          <cell r="A365">
            <v>0</v>
          </cell>
          <cell r="E365">
            <v>0</v>
          </cell>
          <cell r="F365">
            <v>0</v>
          </cell>
        </row>
        <row r="366">
          <cell r="A366">
            <v>0</v>
          </cell>
          <cell r="E366">
            <v>0</v>
          </cell>
          <cell r="F366">
            <v>0</v>
          </cell>
        </row>
        <row r="367">
          <cell r="A367">
            <v>0</v>
          </cell>
          <cell r="E367">
            <v>0</v>
          </cell>
          <cell r="F367">
            <v>0</v>
          </cell>
        </row>
        <row r="368">
          <cell r="A368">
            <v>0</v>
          </cell>
          <cell r="E368">
            <v>0</v>
          </cell>
          <cell r="F368">
            <v>0</v>
          </cell>
        </row>
        <row r="369">
          <cell r="A369">
            <v>0</v>
          </cell>
          <cell r="E369">
            <v>0</v>
          </cell>
          <cell r="F369">
            <v>0</v>
          </cell>
        </row>
      </sheetData>
      <sheetData sheetId="5"/>
      <sheetData sheetId="6"/>
      <sheetData sheetId="7"/>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CC25450</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239972</v>
          </cell>
        </row>
        <row r="11">
          <cell r="A11" t="str">
            <v>A60202</v>
          </cell>
          <cell r="O11">
            <v>47399</v>
          </cell>
        </row>
        <row r="12">
          <cell r="A12" t="str">
            <v>A60205</v>
          </cell>
          <cell r="O12">
            <v>36087</v>
          </cell>
        </row>
        <row r="13">
          <cell r="A13" t="str">
            <v>A60207</v>
          </cell>
          <cell r="O13">
            <v>83941</v>
          </cell>
        </row>
        <row r="14">
          <cell r="A14" t="str">
            <v>A60211</v>
          </cell>
          <cell r="O14">
            <v>322588</v>
          </cell>
        </row>
        <row r="15">
          <cell r="A15" t="str">
            <v>A60212</v>
          </cell>
          <cell r="O15">
            <v>0</v>
          </cell>
        </row>
        <row r="16">
          <cell r="A16" t="str">
            <v>A60213</v>
          </cell>
          <cell r="O16">
            <v>117500</v>
          </cell>
        </row>
        <row r="17">
          <cell r="A17" t="str">
            <v>A60215</v>
          </cell>
          <cell r="O17">
            <v>13750</v>
          </cell>
        </row>
        <row r="18">
          <cell r="A18" t="str">
            <v>A60219</v>
          </cell>
          <cell r="O18">
            <v>4000</v>
          </cell>
        </row>
        <row r="19">
          <cell r="A19" t="str">
            <v>A60221</v>
          </cell>
          <cell r="O19">
            <v>4000</v>
          </cell>
        </row>
        <row r="20">
          <cell r="A20" t="str">
            <v>A60225</v>
          </cell>
          <cell r="O20">
            <v>0</v>
          </cell>
        </row>
        <row r="21">
          <cell r="A21" t="str">
            <v>A60227</v>
          </cell>
          <cell r="O21">
            <v>553000</v>
          </cell>
        </row>
        <row r="22">
          <cell r="A22" t="str">
            <v>A60228</v>
          </cell>
          <cell r="O22">
            <v>0</v>
          </cell>
        </row>
        <row r="23">
          <cell r="A23" t="str">
            <v>A60230</v>
          </cell>
          <cell r="O23">
            <v>0</v>
          </cell>
        </row>
        <row r="24">
          <cell r="A24" t="str">
            <v>A60231</v>
          </cell>
          <cell r="O24">
            <v>65100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391209</v>
          </cell>
        </row>
        <row r="30">
          <cell r="A30" t="str">
            <v>A60261</v>
          </cell>
          <cell r="O30">
            <v>0</v>
          </cell>
        </row>
        <row r="31">
          <cell r="A31" t="str">
            <v>A60265</v>
          </cell>
          <cell r="O31">
            <v>0</v>
          </cell>
        </row>
        <row r="32">
          <cell r="A32" t="str">
            <v>A60271</v>
          </cell>
          <cell r="O32">
            <v>0</v>
          </cell>
        </row>
        <row r="33">
          <cell r="A33" t="str">
            <v>A60269</v>
          </cell>
          <cell r="O33">
            <v>3500</v>
          </cell>
        </row>
        <row r="34">
          <cell r="A34" t="str">
            <v>A60299</v>
          </cell>
          <cell r="O34">
            <v>30000</v>
          </cell>
        </row>
        <row r="35">
          <cell r="A35" t="str">
            <v>A60229</v>
          </cell>
          <cell r="O35">
            <v>0</v>
          </cell>
        </row>
        <row r="36">
          <cell r="A36" t="str">
            <v>A60223</v>
          </cell>
          <cell r="O36">
            <v>-30408</v>
          </cell>
        </row>
        <row r="37">
          <cell r="A37" t="str">
            <v>A60209</v>
          </cell>
          <cell r="O37">
            <v>0</v>
          </cell>
        </row>
        <row r="38">
          <cell r="A38" t="str">
            <v>A60273</v>
          </cell>
          <cell r="O38">
            <v>3500</v>
          </cell>
        </row>
        <row r="39">
          <cell r="A39" t="str">
            <v>A60274</v>
          </cell>
          <cell r="O39">
            <v>0</v>
          </cell>
        </row>
        <row r="40">
          <cell r="A40" t="str">
            <v>P6020</v>
          </cell>
          <cell r="O40">
            <v>1885138</v>
          </cell>
        </row>
        <row r="41">
          <cell r="A41" t="str">
            <v>A60101</v>
          </cell>
          <cell r="O41">
            <v>627587</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758000.87</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281783</v>
          </cell>
        </row>
        <row r="63">
          <cell r="A63" t="str">
            <v>A60115</v>
          </cell>
          <cell r="O63">
            <v>0</v>
          </cell>
        </row>
        <row r="64">
          <cell r="A64" t="str">
            <v>A60141</v>
          </cell>
          <cell r="O64">
            <v>0</v>
          </cell>
        </row>
        <row r="65">
          <cell r="A65" t="str">
            <v>P6010</v>
          </cell>
          <cell r="O65">
            <v>1667370.87</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30000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29560</v>
          </cell>
        </row>
        <row r="85">
          <cell r="A85" t="str">
            <v>A60415</v>
          </cell>
          <cell r="O85">
            <v>0</v>
          </cell>
        </row>
        <row r="86">
          <cell r="A86" t="str">
            <v>A60406</v>
          </cell>
          <cell r="O86">
            <v>0</v>
          </cell>
        </row>
        <row r="87">
          <cell r="A87" t="str">
            <v>A60412</v>
          </cell>
          <cell r="O87">
            <v>0</v>
          </cell>
        </row>
        <row r="88">
          <cell r="A88" t="str">
            <v>P6040</v>
          </cell>
          <cell r="O88">
            <v>59560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10874</v>
          </cell>
        </row>
        <row r="107">
          <cell r="A107" t="str">
            <v>A61105</v>
          </cell>
          <cell r="O107">
            <v>0</v>
          </cell>
        </row>
        <row r="108">
          <cell r="A108" t="str">
            <v>A61107</v>
          </cell>
          <cell r="O108">
            <v>0</v>
          </cell>
        </row>
        <row r="109">
          <cell r="A109" t="str">
            <v>A61109</v>
          </cell>
          <cell r="O109">
            <v>900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11774</v>
          </cell>
        </row>
        <row r="117">
          <cell r="A117" t="str">
            <v>A61201</v>
          </cell>
          <cell r="O117">
            <v>6000</v>
          </cell>
        </row>
        <row r="118">
          <cell r="A118" t="str">
            <v>A61299</v>
          </cell>
          <cell r="O118">
            <v>0</v>
          </cell>
        </row>
        <row r="119">
          <cell r="A119" t="str">
            <v>P6120</v>
          </cell>
          <cell r="O119">
            <v>6000</v>
          </cell>
        </row>
        <row r="120">
          <cell r="A120" t="str">
            <v>A61501</v>
          </cell>
          <cell r="O120">
            <v>93555</v>
          </cell>
        </row>
        <row r="121">
          <cell r="A121" t="str">
            <v>A61503</v>
          </cell>
          <cell r="O121">
            <v>120000</v>
          </cell>
        </row>
        <row r="122">
          <cell r="A122" t="str">
            <v>A61505</v>
          </cell>
          <cell r="O122">
            <v>0</v>
          </cell>
        </row>
        <row r="123">
          <cell r="A123" t="str">
            <v>A61507</v>
          </cell>
          <cell r="O123">
            <v>0</v>
          </cell>
        </row>
        <row r="124">
          <cell r="A124" t="str">
            <v>A61509</v>
          </cell>
          <cell r="O124">
            <v>0</v>
          </cell>
        </row>
        <row r="125">
          <cell r="A125" t="str">
            <v>A61511</v>
          </cell>
          <cell r="O125">
            <v>16500</v>
          </cell>
        </row>
        <row r="126">
          <cell r="A126" t="str">
            <v>A61512</v>
          </cell>
          <cell r="O126">
            <v>0</v>
          </cell>
        </row>
        <row r="127">
          <cell r="A127" t="str">
            <v>A61513</v>
          </cell>
          <cell r="O127">
            <v>0</v>
          </cell>
        </row>
        <row r="128">
          <cell r="A128" t="str">
            <v>P6150</v>
          </cell>
          <cell r="O128">
            <v>230055</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6000</v>
          </cell>
        </row>
        <row r="142">
          <cell r="A142" t="str">
            <v>A61561</v>
          </cell>
          <cell r="O142">
            <v>0</v>
          </cell>
        </row>
        <row r="143">
          <cell r="A143" t="str">
            <v>A61563</v>
          </cell>
          <cell r="O143">
            <v>0</v>
          </cell>
        </row>
        <row r="144">
          <cell r="A144" t="str">
            <v>P6155</v>
          </cell>
          <cell r="O144">
            <v>6000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2500</v>
          </cell>
        </row>
        <row r="154">
          <cell r="A154" t="str">
            <v>A61717</v>
          </cell>
          <cell r="O154">
            <v>5000</v>
          </cell>
        </row>
        <row r="155">
          <cell r="A155" t="str">
            <v>A61719</v>
          </cell>
          <cell r="O155">
            <v>0</v>
          </cell>
        </row>
        <row r="156">
          <cell r="A156" t="str">
            <v>A61721</v>
          </cell>
          <cell r="O156">
            <v>0</v>
          </cell>
        </row>
        <row r="157">
          <cell r="A157" t="str">
            <v>A61723</v>
          </cell>
          <cell r="O157">
            <v>0</v>
          </cell>
        </row>
        <row r="158">
          <cell r="A158" t="str">
            <v>P6170</v>
          </cell>
          <cell r="O158">
            <v>7500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31241</v>
          </cell>
        </row>
        <row r="171">
          <cell r="A171" t="str">
            <v>A61906</v>
          </cell>
          <cell r="O171">
            <v>0</v>
          </cell>
        </row>
        <row r="172">
          <cell r="A172" t="str">
            <v>P6190</v>
          </cell>
          <cell r="O172">
            <v>31241</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3574</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3574</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20000</v>
          </cell>
        </row>
        <row r="237">
          <cell r="A237" t="str">
            <v>A62312</v>
          </cell>
          <cell r="O237">
            <v>0</v>
          </cell>
        </row>
        <row r="238">
          <cell r="A238" t="str">
            <v>P6230</v>
          </cell>
          <cell r="O238">
            <v>20000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666680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7040</v>
          </cell>
        </row>
        <row r="259">
          <cell r="A259" t="str">
            <v>A70017</v>
          </cell>
          <cell r="O259">
            <v>0</v>
          </cell>
        </row>
        <row r="260">
          <cell r="A260" t="str">
            <v>P7000</v>
          </cell>
          <cell r="O260">
            <v>673720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25000</v>
          </cell>
        </row>
        <row r="268">
          <cell r="A268" t="str">
            <v>A70403</v>
          </cell>
          <cell r="O268">
            <v>1400</v>
          </cell>
        </row>
        <row r="269">
          <cell r="A269" t="str">
            <v>A70405</v>
          </cell>
          <cell r="O269">
            <v>1000</v>
          </cell>
        </row>
        <row r="270">
          <cell r="A270" t="str">
            <v>A70407</v>
          </cell>
          <cell r="O270">
            <v>0</v>
          </cell>
        </row>
        <row r="271">
          <cell r="A271" t="str">
            <v>A70409</v>
          </cell>
          <cell r="O271">
            <v>2900</v>
          </cell>
        </row>
        <row r="272">
          <cell r="A272" t="str">
            <v>P7040</v>
          </cell>
          <cell r="O272">
            <v>30300</v>
          </cell>
        </row>
        <row r="273">
          <cell r="A273" t="str">
            <v>A70501</v>
          </cell>
          <cell r="O273">
            <v>5126</v>
          </cell>
        </row>
        <row r="274">
          <cell r="A274" t="str">
            <v>A70503</v>
          </cell>
          <cell r="O274">
            <v>3084</v>
          </cell>
        </row>
        <row r="275">
          <cell r="A275" t="str">
            <v>A70505</v>
          </cell>
          <cell r="O275">
            <v>4105</v>
          </cell>
        </row>
        <row r="276">
          <cell r="A276" t="str">
            <v>A70507</v>
          </cell>
          <cell r="O276">
            <v>2600</v>
          </cell>
        </row>
        <row r="277">
          <cell r="A277" t="str">
            <v>A70509</v>
          </cell>
          <cell r="O277">
            <v>500</v>
          </cell>
        </row>
        <row r="278">
          <cell r="A278" t="str">
            <v>A70511</v>
          </cell>
          <cell r="O278">
            <v>4350</v>
          </cell>
        </row>
        <row r="279">
          <cell r="A279" t="str">
            <v>A70506</v>
          </cell>
          <cell r="O279">
            <v>0</v>
          </cell>
        </row>
        <row r="280">
          <cell r="A280" t="str">
            <v>A70510</v>
          </cell>
          <cell r="O280">
            <v>0</v>
          </cell>
        </row>
        <row r="281">
          <cell r="A281" t="str">
            <v>P7050</v>
          </cell>
          <cell r="O281">
            <v>19765</v>
          </cell>
        </row>
        <row r="282">
          <cell r="A282" t="str">
            <v>A70651</v>
          </cell>
          <cell r="O282">
            <v>4430</v>
          </cell>
        </row>
        <row r="283">
          <cell r="A283" t="str">
            <v>A70653</v>
          </cell>
          <cell r="O283">
            <v>0</v>
          </cell>
        </row>
        <row r="284">
          <cell r="A284" t="str">
            <v>A70655</v>
          </cell>
          <cell r="O284">
            <v>0</v>
          </cell>
        </row>
        <row r="285">
          <cell r="A285" t="str">
            <v>A70657</v>
          </cell>
          <cell r="O285">
            <v>0</v>
          </cell>
        </row>
        <row r="286">
          <cell r="A286" t="str">
            <v>P7065</v>
          </cell>
          <cell r="O286">
            <v>4430</v>
          </cell>
        </row>
        <row r="287">
          <cell r="A287" t="str">
            <v>A70601</v>
          </cell>
          <cell r="O287">
            <v>281235.75</v>
          </cell>
        </row>
        <row r="288">
          <cell r="A288" t="str">
            <v>A70603</v>
          </cell>
          <cell r="O288">
            <v>0</v>
          </cell>
        </row>
        <row r="289">
          <cell r="A289" t="str">
            <v>A70605</v>
          </cell>
          <cell r="O289">
            <v>0</v>
          </cell>
        </row>
        <row r="290">
          <cell r="A290" t="str">
            <v>A70607</v>
          </cell>
          <cell r="O290">
            <v>0</v>
          </cell>
        </row>
        <row r="291">
          <cell r="A291" t="str">
            <v>P7060</v>
          </cell>
          <cell r="O291">
            <v>281235.75</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19500</v>
          </cell>
        </row>
        <row r="300">
          <cell r="A300" t="str">
            <v>P7089</v>
          </cell>
          <cell r="O300">
            <v>19500</v>
          </cell>
        </row>
        <row r="301">
          <cell r="A301" t="str">
            <v>A70801</v>
          </cell>
          <cell r="O301">
            <v>2000</v>
          </cell>
        </row>
        <row r="302">
          <cell r="A302" t="str">
            <v>A70803</v>
          </cell>
          <cell r="O302">
            <v>0</v>
          </cell>
        </row>
        <row r="303">
          <cell r="A303" t="str">
            <v>A70805</v>
          </cell>
          <cell r="O303">
            <v>0</v>
          </cell>
        </row>
        <row r="304">
          <cell r="A304" t="str">
            <v>A70807</v>
          </cell>
          <cell r="O304">
            <v>0</v>
          </cell>
        </row>
        <row r="305">
          <cell r="A305" t="str">
            <v>A70809</v>
          </cell>
          <cell r="O305">
            <v>3600</v>
          </cell>
        </row>
        <row r="306">
          <cell r="A306" t="str">
            <v>A70811</v>
          </cell>
          <cell r="O306">
            <v>0</v>
          </cell>
        </row>
        <row r="307">
          <cell r="A307" t="str">
            <v>P7080</v>
          </cell>
          <cell r="O307">
            <v>5600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90000</v>
          </cell>
        </row>
        <row r="336">
          <cell r="A336" t="str">
            <v>P7110</v>
          </cell>
          <cell r="O336">
            <v>90000</v>
          </cell>
        </row>
        <row r="337">
          <cell r="A337" t="str">
            <v>A74001</v>
          </cell>
          <cell r="O337">
            <v>0</v>
          </cell>
        </row>
        <row r="338">
          <cell r="A338" t="str">
            <v>A74002</v>
          </cell>
          <cell r="O338">
            <v>940410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359244</v>
          </cell>
        </row>
        <row r="344">
          <cell r="A344" t="str">
            <v>P7400</v>
          </cell>
          <cell r="O344">
            <v>1299654</v>
          </cell>
        </row>
        <row r="345">
          <cell r="A345" t="str">
            <v>A79951</v>
          </cell>
          <cell r="O345">
            <v>-577132</v>
          </cell>
        </row>
        <row r="346">
          <cell r="A346" t="str">
            <v>A79952</v>
          </cell>
          <cell r="O346">
            <v>-141248</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-88400</v>
          </cell>
        </row>
        <row r="356">
          <cell r="A356" t="str">
            <v>A79958</v>
          </cell>
          <cell r="O356">
            <v>0</v>
          </cell>
        </row>
        <row r="357">
          <cell r="A357" t="str">
            <v>P7995</v>
          </cell>
          <cell r="O357">
            <v>-806780</v>
          </cell>
        </row>
        <row r="358">
          <cell r="A358" t="str">
            <v>OAPPP</v>
          </cell>
          <cell r="O358">
            <v>5545637.6200000001</v>
          </cell>
        </row>
        <row r="360">
          <cell r="A360" t="str">
            <v>QTAG</v>
          </cell>
        </row>
      </sheetData>
      <sheetData sheetId="1">
        <row r="6">
          <cell r="O6" t="str">
            <v>AYR14</v>
          </cell>
        </row>
        <row r="7">
          <cell r="O7" t="str">
            <v>2014 Actuals</v>
          </cell>
        </row>
        <row r="8">
          <cell r="O8">
            <v>0</v>
          </cell>
        </row>
        <row r="9">
          <cell r="O9">
            <v>0</v>
          </cell>
        </row>
        <row r="10">
          <cell r="O10">
            <v>232979.18</v>
          </cell>
        </row>
        <row r="11">
          <cell r="O11">
            <v>44253.53</v>
          </cell>
        </row>
        <row r="12">
          <cell r="O12">
            <v>30808.6</v>
          </cell>
        </row>
        <row r="13">
          <cell r="O13">
            <v>80329.100000000006</v>
          </cell>
        </row>
        <row r="14">
          <cell r="O14">
            <v>297039.13</v>
          </cell>
        </row>
        <row r="15">
          <cell r="O15">
            <v>0</v>
          </cell>
        </row>
        <row r="16">
          <cell r="O16">
            <v>110022.92</v>
          </cell>
        </row>
        <row r="17">
          <cell r="O17">
            <v>15239.46</v>
          </cell>
        </row>
        <row r="18">
          <cell r="O18">
            <v>6286.8</v>
          </cell>
        </row>
        <row r="19">
          <cell r="O19">
            <v>2390.9299999999998</v>
          </cell>
        </row>
        <row r="20">
          <cell r="O20">
            <v>0</v>
          </cell>
        </row>
        <row r="21">
          <cell r="O21">
            <v>1096291</v>
          </cell>
        </row>
        <row r="22">
          <cell r="O22">
            <v>0</v>
          </cell>
        </row>
        <row r="23">
          <cell r="O23">
            <v>0</v>
          </cell>
        </row>
        <row r="24">
          <cell r="O24">
            <v>54814.15</v>
          </cell>
        </row>
        <row r="25">
          <cell r="O25">
            <v>0</v>
          </cell>
        </row>
        <row r="26">
          <cell r="O26">
            <v>0</v>
          </cell>
        </row>
        <row r="27">
          <cell r="O27">
            <v>0</v>
          </cell>
        </row>
        <row r="28">
          <cell r="O28">
            <v>0</v>
          </cell>
        </row>
        <row r="29">
          <cell r="O29">
            <v>380726.69</v>
          </cell>
        </row>
        <row r="30">
          <cell r="O30">
            <v>6027.4</v>
          </cell>
        </row>
        <row r="31">
          <cell r="O31">
            <v>0</v>
          </cell>
        </row>
        <row r="32">
          <cell r="O32">
            <v>0</v>
          </cell>
        </row>
        <row r="33">
          <cell r="O33">
            <v>7139.47</v>
          </cell>
        </row>
        <row r="34">
          <cell r="O34">
            <v>46451.519999999997</v>
          </cell>
        </row>
        <row r="35">
          <cell r="O35">
            <v>0</v>
          </cell>
        </row>
        <row r="36">
          <cell r="O36">
            <v>0</v>
          </cell>
        </row>
        <row r="37">
          <cell r="O37">
            <v>0</v>
          </cell>
        </row>
        <row r="38">
          <cell r="O38">
            <v>6296.75</v>
          </cell>
        </row>
        <row r="39">
          <cell r="O39">
            <v>0</v>
          </cell>
        </row>
        <row r="40">
          <cell r="O40">
            <v>2417096.63</v>
          </cell>
        </row>
        <row r="41">
          <cell r="O41">
            <v>440087.28</v>
          </cell>
        </row>
        <row r="42">
          <cell r="O42">
            <v>0</v>
          </cell>
        </row>
        <row r="43">
          <cell r="O43">
            <v>0</v>
          </cell>
        </row>
        <row r="44">
          <cell r="O44">
            <v>0</v>
          </cell>
        </row>
        <row r="45">
          <cell r="O45">
            <v>0</v>
          </cell>
        </row>
        <row r="46">
          <cell r="O46">
            <v>0</v>
          </cell>
        </row>
        <row r="47">
          <cell r="O47">
            <v>48237.73</v>
          </cell>
        </row>
        <row r="48">
          <cell r="O48">
            <v>0</v>
          </cell>
        </row>
        <row r="49">
          <cell r="O49">
            <v>0</v>
          </cell>
        </row>
        <row r="50">
          <cell r="O50">
            <v>0</v>
          </cell>
        </row>
        <row r="51">
          <cell r="O51">
            <v>0</v>
          </cell>
        </row>
        <row r="52">
          <cell r="O52">
            <v>509.42</v>
          </cell>
        </row>
        <row r="53">
          <cell r="O53">
            <v>12353.99</v>
          </cell>
        </row>
        <row r="54">
          <cell r="O54">
            <v>17972.16</v>
          </cell>
        </row>
        <row r="55">
          <cell r="O55">
            <v>0</v>
          </cell>
        </row>
        <row r="56">
          <cell r="O56">
            <v>570436.5</v>
          </cell>
        </row>
        <row r="57">
          <cell r="O57">
            <v>0</v>
          </cell>
        </row>
        <row r="58">
          <cell r="O58">
            <v>0</v>
          </cell>
        </row>
        <row r="59">
          <cell r="O59">
            <v>0</v>
          </cell>
        </row>
        <row r="60">
          <cell r="O60">
            <v>35839.68</v>
          </cell>
        </row>
        <row r="61">
          <cell r="O61">
            <v>0</v>
          </cell>
        </row>
        <row r="62">
          <cell r="O62">
            <v>212536.27</v>
          </cell>
        </row>
        <row r="63">
          <cell r="O63">
            <v>0</v>
          </cell>
        </row>
        <row r="64">
          <cell r="O64">
            <v>0</v>
          </cell>
        </row>
        <row r="65">
          <cell r="O65">
            <v>1337973.03</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35868.32</v>
          </cell>
        </row>
        <row r="80">
          <cell r="O80">
            <v>0</v>
          </cell>
        </row>
        <row r="81">
          <cell r="O81">
            <v>0</v>
          </cell>
        </row>
        <row r="82">
          <cell r="O82">
            <v>0</v>
          </cell>
        </row>
        <row r="83">
          <cell r="O83">
            <v>0</v>
          </cell>
        </row>
        <row r="84">
          <cell r="O84">
            <v>15215.37</v>
          </cell>
        </row>
        <row r="85">
          <cell r="O85">
            <v>0</v>
          </cell>
        </row>
        <row r="86">
          <cell r="O86">
            <v>0</v>
          </cell>
        </row>
        <row r="87">
          <cell r="O87">
            <v>86.98</v>
          </cell>
        </row>
        <row r="88">
          <cell r="O88">
            <v>51170.67</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178.74</v>
          </cell>
        </row>
        <row r="100">
          <cell r="O100">
            <v>0</v>
          </cell>
        </row>
        <row r="101">
          <cell r="O101">
            <v>0</v>
          </cell>
        </row>
        <row r="102">
          <cell r="O102">
            <v>90.79</v>
          </cell>
        </row>
        <row r="103">
          <cell r="O103">
            <v>0</v>
          </cell>
        </row>
        <row r="104">
          <cell r="O104">
            <v>269.52999999999997</v>
          </cell>
        </row>
        <row r="105">
          <cell r="O105">
            <v>0</v>
          </cell>
        </row>
        <row r="106">
          <cell r="O106">
            <v>9525.31</v>
          </cell>
        </row>
        <row r="107">
          <cell r="O107">
            <v>66.75</v>
          </cell>
        </row>
        <row r="108">
          <cell r="O108">
            <v>1725.2</v>
          </cell>
        </row>
        <row r="109">
          <cell r="O109">
            <v>130.68</v>
          </cell>
        </row>
        <row r="110">
          <cell r="O110">
            <v>0</v>
          </cell>
        </row>
        <row r="111">
          <cell r="O111">
            <v>0</v>
          </cell>
        </row>
        <row r="112">
          <cell r="O112">
            <v>0</v>
          </cell>
        </row>
        <row r="113">
          <cell r="O113">
            <v>0</v>
          </cell>
        </row>
        <row r="114">
          <cell r="O114">
            <v>0</v>
          </cell>
        </row>
        <row r="115">
          <cell r="O115">
            <v>0</v>
          </cell>
        </row>
        <row r="116">
          <cell r="O116">
            <v>11447.94</v>
          </cell>
        </row>
        <row r="117">
          <cell r="O117">
            <v>2739.77</v>
          </cell>
        </row>
        <row r="118">
          <cell r="O118">
            <v>0</v>
          </cell>
        </row>
        <row r="119">
          <cell r="O119">
            <v>2739.77</v>
          </cell>
        </row>
        <row r="120">
          <cell r="O120">
            <v>87444</v>
          </cell>
        </row>
        <row r="121">
          <cell r="O121">
            <v>247407.83</v>
          </cell>
        </row>
        <row r="122">
          <cell r="O122">
            <v>0</v>
          </cell>
        </row>
        <row r="123">
          <cell r="O123">
            <v>0</v>
          </cell>
        </row>
        <row r="124">
          <cell r="O124">
            <v>0</v>
          </cell>
        </row>
        <row r="125">
          <cell r="O125">
            <v>36942.35</v>
          </cell>
        </row>
        <row r="126">
          <cell r="O126">
            <v>0</v>
          </cell>
        </row>
        <row r="127">
          <cell r="O127">
            <v>0</v>
          </cell>
        </row>
        <row r="128">
          <cell r="O128">
            <v>371794.18</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3351.82</v>
          </cell>
        </row>
        <row r="142">
          <cell r="O142">
            <v>0</v>
          </cell>
        </row>
        <row r="143">
          <cell r="O143">
            <v>0</v>
          </cell>
        </row>
        <row r="144">
          <cell r="O144">
            <v>3351.82</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1959.97</v>
          </cell>
        </row>
        <row r="154">
          <cell r="O154">
            <v>1388.4</v>
          </cell>
        </row>
        <row r="155">
          <cell r="O155">
            <v>0</v>
          </cell>
        </row>
        <row r="156">
          <cell r="O156">
            <v>0</v>
          </cell>
        </row>
        <row r="157">
          <cell r="O157">
            <v>0</v>
          </cell>
        </row>
        <row r="158">
          <cell r="O158">
            <v>3348.37</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48334.77</v>
          </cell>
        </row>
        <row r="171">
          <cell r="O171">
            <v>0</v>
          </cell>
        </row>
        <row r="172">
          <cell r="O172">
            <v>48334.77</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2524.4699999999998</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2524.4699999999998</v>
          </cell>
        </row>
        <row r="231">
          <cell r="O231">
            <v>0</v>
          </cell>
        </row>
        <row r="232">
          <cell r="O232">
            <v>0</v>
          </cell>
        </row>
        <row r="233">
          <cell r="O233">
            <v>0</v>
          </cell>
        </row>
        <row r="234">
          <cell r="O234">
            <v>0</v>
          </cell>
        </row>
        <row r="235">
          <cell r="O235">
            <v>0</v>
          </cell>
        </row>
        <row r="236">
          <cell r="O236">
            <v>21068.09</v>
          </cell>
        </row>
        <row r="237">
          <cell r="O237">
            <v>0</v>
          </cell>
        </row>
        <row r="238">
          <cell r="O238">
            <v>21068.09</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647788.80000000005</v>
          </cell>
        </row>
        <row r="254">
          <cell r="O254">
            <v>0</v>
          </cell>
        </row>
        <row r="255">
          <cell r="O255">
            <v>0</v>
          </cell>
        </row>
        <row r="256">
          <cell r="O256">
            <v>0</v>
          </cell>
        </row>
        <row r="257">
          <cell r="O257">
            <v>0</v>
          </cell>
        </row>
        <row r="258">
          <cell r="O258">
            <v>6633.58</v>
          </cell>
        </row>
        <row r="259">
          <cell r="O259">
            <v>0</v>
          </cell>
        </row>
        <row r="260">
          <cell r="O260">
            <v>654422.38</v>
          </cell>
        </row>
        <row r="261">
          <cell r="O261">
            <v>0</v>
          </cell>
        </row>
        <row r="262">
          <cell r="O262">
            <v>0</v>
          </cell>
        </row>
        <row r="263">
          <cell r="O263">
            <v>0</v>
          </cell>
        </row>
        <row r="264">
          <cell r="O264">
            <v>0</v>
          </cell>
        </row>
        <row r="265">
          <cell r="O265">
            <v>0</v>
          </cell>
        </row>
        <row r="266">
          <cell r="O266">
            <v>0</v>
          </cell>
        </row>
        <row r="267">
          <cell r="O267">
            <v>19532.79</v>
          </cell>
        </row>
        <row r="268">
          <cell r="O268">
            <v>1573.18</v>
          </cell>
        </row>
        <row r="269">
          <cell r="O269">
            <v>1176.24</v>
          </cell>
        </row>
        <row r="270">
          <cell r="O270">
            <v>0</v>
          </cell>
        </row>
        <row r="271">
          <cell r="O271">
            <v>299</v>
          </cell>
        </row>
        <row r="272">
          <cell r="O272">
            <v>22581.21</v>
          </cell>
        </row>
        <row r="273">
          <cell r="O273">
            <v>8796.5</v>
          </cell>
        </row>
        <row r="274">
          <cell r="O274">
            <v>3306.74</v>
          </cell>
        </row>
        <row r="275">
          <cell r="O275">
            <v>4880.0200000000004</v>
          </cell>
        </row>
        <row r="276">
          <cell r="O276">
            <v>8261.7199999999993</v>
          </cell>
        </row>
        <row r="277">
          <cell r="O277">
            <v>693.26</v>
          </cell>
        </row>
        <row r="278">
          <cell r="O278">
            <v>0</v>
          </cell>
        </row>
        <row r="279">
          <cell r="O279">
            <v>0</v>
          </cell>
        </row>
        <row r="280">
          <cell r="O280">
            <v>0</v>
          </cell>
        </row>
        <row r="281">
          <cell r="O281">
            <v>25938.240000000002</v>
          </cell>
        </row>
        <row r="282">
          <cell r="O282">
            <v>10682.26</v>
          </cell>
        </row>
        <row r="283">
          <cell r="O283">
            <v>0</v>
          </cell>
        </row>
        <row r="284">
          <cell r="O284">
            <v>0</v>
          </cell>
        </row>
        <row r="285">
          <cell r="O285">
            <v>0</v>
          </cell>
        </row>
        <row r="286">
          <cell r="O286">
            <v>10682.26</v>
          </cell>
        </row>
        <row r="287">
          <cell r="O287">
            <v>260108.51</v>
          </cell>
        </row>
        <row r="288">
          <cell r="O288">
            <v>0</v>
          </cell>
        </row>
        <row r="289">
          <cell r="O289">
            <v>0</v>
          </cell>
        </row>
        <row r="290">
          <cell r="O290">
            <v>0</v>
          </cell>
        </row>
        <row r="291">
          <cell r="O291">
            <v>260108.51</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100</v>
          </cell>
        </row>
        <row r="305">
          <cell r="O305">
            <v>6555.01</v>
          </cell>
        </row>
        <row r="306">
          <cell r="O306">
            <v>0</v>
          </cell>
        </row>
        <row r="307">
          <cell r="O307">
            <v>6655.01</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114042.16</v>
          </cell>
        </row>
        <row r="336">
          <cell r="O336">
            <v>114042.16</v>
          </cell>
        </row>
        <row r="337">
          <cell r="O337">
            <v>0</v>
          </cell>
        </row>
        <row r="338">
          <cell r="O338">
            <v>764816.74</v>
          </cell>
        </row>
        <row r="339">
          <cell r="O339">
            <v>8035</v>
          </cell>
        </row>
        <row r="340">
          <cell r="O340">
            <v>0</v>
          </cell>
        </row>
        <row r="341">
          <cell r="O341">
            <v>0</v>
          </cell>
        </row>
        <row r="342">
          <cell r="O342">
            <v>0</v>
          </cell>
        </row>
        <row r="343">
          <cell r="O343">
            <v>403401.48</v>
          </cell>
        </row>
        <row r="344">
          <cell r="O344">
            <v>1176253.22</v>
          </cell>
        </row>
        <row r="345">
          <cell r="O345">
            <v>-658587.56000000006</v>
          </cell>
        </row>
        <row r="346">
          <cell r="O346">
            <v>-140207.81</v>
          </cell>
        </row>
        <row r="347">
          <cell r="O347">
            <v>0</v>
          </cell>
        </row>
        <row r="348">
          <cell r="O348">
            <v>0.8</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-798794.57</v>
          </cell>
        </row>
        <row r="358">
          <cell r="O358">
            <v>5743007.6900000004</v>
          </cell>
        </row>
      </sheetData>
      <sheetData sheetId="2">
        <row r="21">
          <cell r="O21">
            <v>1160218</v>
          </cell>
        </row>
      </sheetData>
      <sheetData sheetId="3" refreshError="1"/>
      <sheetData sheetId="4">
        <row r="1">
          <cell r="A1" t="str">
            <v>CC25450</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CC25451</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103725</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103725</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0</v>
          </cell>
        </row>
        <row r="86">
          <cell r="A86" t="str">
            <v>A60406</v>
          </cell>
          <cell r="O86">
            <v>0</v>
          </cell>
        </row>
        <row r="87">
          <cell r="A87" t="str">
            <v>A60412</v>
          </cell>
          <cell r="O87">
            <v>0</v>
          </cell>
        </row>
        <row r="88">
          <cell r="A88" t="str">
            <v>P6040</v>
          </cell>
          <cell r="O88">
            <v>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0</v>
          </cell>
        </row>
        <row r="107">
          <cell r="A107" t="str">
            <v>A61105</v>
          </cell>
          <cell r="O107">
            <v>345</v>
          </cell>
        </row>
        <row r="108">
          <cell r="A108" t="str">
            <v>A61107</v>
          </cell>
          <cell r="O108">
            <v>21533</v>
          </cell>
        </row>
        <row r="109">
          <cell r="A109" t="str">
            <v>A61109</v>
          </cell>
          <cell r="O109">
            <v>216</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22094</v>
          </cell>
        </row>
        <row r="117">
          <cell r="A117" t="str">
            <v>A61201</v>
          </cell>
          <cell r="O117">
            <v>4439</v>
          </cell>
        </row>
        <row r="118">
          <cell r="A118" t="str">
            <v>A61299</v>
          </cell>
          <cell r="O118">
            <v>0</v>
          </cell>
        </row>
        <row r="119">
          <cell r="A119" t="str">
            <v>P6120</v>
          </cell>
          <cell r="O119">
            <v>4439</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60000</v>
          </cell>
        </row>
        <row r="126">
          <cell r="A126" t="str">
            <v>A61512</v>
          </cell>
          <cell r="O126">
            <v>0</v>
          </cell>
        </row>
        <row r="127">
          <cell r="A127" t="str">
            <v>A61513</v>
          </cell>
          <cell r="O127">
            <v>0</v>
          </cell>
        </row>
        <row r="128">
          <cell r="A128" t="str">
            <v>P6150</v>
          </cell>
          <cell r="O128">
            <v>60000</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126000</v>
          </cell>
        </row>
        <row r="142">
          <cell r="A142" t="str">
            <v>A61561</v>
          </cell>
          <cell r="O142">
            <v>0</v>
          </cell>
        </row>
        <row r="143">
          <cell r="A143" t="str">
            <v>A61563</v>
          </cell>
          <cell r="O143">
            <v>0</v>
          </cell>
        </row>
        <row r="144">
          <cell r="A144" t="str">
            <v>P6155</v>
          </cell>
          <cell r="O144">
            <v>126000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1311</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1311</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661</v>
          </cell>
        </row>
        <row r="270">
          <cell r="A270" t="str">
            <v>A70407</v>
          </cell>
          <cell r="O270">
            <v>0</v>
          </cell>
        </row>
        <row r="271">
          <cell r="A271" t="str">
            <v>A70409</v>
          </cell>
          <cell r="O271">
            <v>0</v>
          </cell>
        </row>
        <row r="272">
          <cell r="A272" t="str">
            <v>P7040</v>
          </cell>
          <cell r="O272">
            <v>661</v>
          </cell>
        </row>
        <row r="273">
          <cell r="A273" t="str">
            <v>A70501</v>
          </cell>
          <cell r="O273">
            <v>0</v>
          </cell>
        </row>
        <row r="274">
          <cell r="A274" t="str">
            <v>A70503</v>
          </cell>
          <cell r="O274">
            <v>343</v>
          </cell>
        </row>
        <row r="275">
          <cell r="A275" t="str">
            <v>A70505</v>
          </cell>
          <cell r="O275">
            <v>102</v>
          </cell>
        </row>
        <row r="276">
          <cell r="A276" t="str">
            <v>A70507</v>
          </cell>
          <cell r="O276">
            <v>399</v>
          </cell>
        </row>
        <row r="277">
          <cell r="A277" t="str">
            <v>A70509</v>
          </cell>
          <cell r="O277">
            <v>249</v>
          </cell>
        </row>
        <row r="278">
          <cell r="A278" t="str">
            <v>A70511</v>
          </cell>
          <cell r="O278">
            <v>0</v>
          </cell>
        </row>
        <row r="279">
          <cell r="A279" t="str">
            <v>A70506</v>
          </cell>
          <cell r="O279">
            <v>0</v>
          </cell>
        </row>
        <row r="280">
          <cell r="A280" t="str">
            <v>A70510</v>
          </cell>
          <cell r="O280">
            <v>0</v>
          </cell>
        </row>
        <row r="281">
          <cell r="A281" t="str">
            <v>P7050</v>
          </cell>
          <cell r="O281">
            <v>1093</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80000</v>
          </cell>
        </row>
        <row r="305">
          <cell r="A305" t="str">
            <v>A70809</v>
          </cell>
          <cell r="O305">
            <v>0</v>
          </cell>
        </row>
        <row r="306">
          <cell r="A306" t="str">
            <v>A70811</v>
          </cell>
          <cell r="O306">
            <v>1647</v>
          </cell>
        </row>
        <row r="307">
          <cell r="A307" t="str">
            <v>P7080</v>
          </cell>
          <cell r="O307">
            <v>81647</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-5550</v>
          </cell>
        </row>
        <row r="356">
          <cell r="A356" t="str">
            <v>A79958</v>
          </cell>
          <cell r="O356">
            <v>0</v>
          </cell>
        </row>
        <row r="357">
          <cell r="A357" t="str">
            <v>P7995</v>
          </cell>
          <cell r="O357">
            <v>-5550</v>
          </cell>
        </row>
        <row r="358">
          <cell r="A358" t="str">
            <v>OAPPP</v>
          </cell>
          <cell r="O358">
            <v>395420</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90564.27</v>
          </cell>
        </row>
        <row r="42">
          <cell r="O42">
            <v>0</v>
          </cell>
        </row>
        <row r="43">
          <cell r="O43">
            <v>0</v>
          </cell>
        </row>
        <row r="44">
          <cell r="O44">
            <v>0</v>
          </cell>
        </row>
        <row r="45">
          <cell r="O45">
            <v>0</v>
          </cell>
        </row>
        <row r="46">
          <cell r="O46">
            <v>0</v>
          </cell>
        </row>
        <row r="47">
          <cell r="O47">
            <v>7356.27</v>
          </cell>
        </row>
        <row r="48">
          <cell r="O48">
            <v>0</v>
          </cell>
        </row>
        <row r="49">
          <cell r="O49">
            <v>0</v>
          </cell>
        </row>
        <row r="50">
          <cell r="O50">
            <v>0</v>
          </cell>
        </row>
        <row r="51">
          <cell r="O51">
            <v>0</v>
          </cell>
        </row>
        <row r="52">
          <cell r="O52">
            <v>0</v>
          </cell>
        </row>
        <row r="53">
          <cell r="O53">
            <v>3100.22</v>
          </cell>
        </row>
        <row r="54">
          <cell r="O54">
            <v>382.74</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101403.5</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0</v>
          </cell>
        </row>
        <row r="107">
          <cell r="O107">
            <v>59.84</v>
          </cell>
        </row>
        <row r="108">
          <cell r="O108">
            <v>17811.62</v>
          </cell>
        </row>
        <row r="109">
          <cell r="O109">
            <v>0</v>
          </cell>
        </row>
        <row r="110">
          <cell r="O110">
            <v>0</v>
          </cell>
        </row>
        <row r="111">
          <cell r="O111">
            <v>0</v>
          </cell>
        </row>
        <row r="112">
          <cell r="O112">
            <v>0</v>
          </cell>
        </row>
        <row r="113">
          <cell r="O113">
            <v>0</v>
          </cell>
        </row>
        <row r="114">
          <cell r="O114">
            <v>0</v>
          </cell>
        </row>
        <row r="115">
          <cell r="O115">
            <v>0</v>
          </cell>
        </row>
        <row r="116">
          <cell r="O116">
            <v>17871.46</v>
          </cell>
        </row>
        <row r="117">
          <cell r="O117">
            <v>3239.36</v>
          </cell>
        </row>
        <row r="118">
          <cell r="O118">
            <v>70.05</v>
          </cell>
        </row>
        <row r="119">
          <cell r="O119">
            <v>3309.41</v>
          </cell>
        </row>
        <row r="120">
          <cell r="O120">
            <v>0</v>
          </cell>
        </row>
        <row r="121">
          <cell r="O121">
            <v>0</v>
          </cell>
        </row>
        <row r="122">
          <cell r="O122">
            <v>0</v>
          </cell>
        </row>
        <row r="123">
          <cell r="O123">
            <v>0</v>
          </cell>
        </row>
        <row r="124">
          <cell r="O124">
            <v>0</v>
          </cell>
        </row>
        <row r="125">
          <cell r="O125">
            <v>35330.99</v>
          </cell>
        </row>
        <row r="126">
          <cell r="O126">
            <v>0</v>
          </cell>
        </row>
        <row r="127">
          <cell r="O127">
            <v>0</v>
          </cell>
        </row>
        <row r="128">
          <cell r="O128">
            <v>35330.99</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560</v>
          </cell>
        </row>
        <row r="138">
          <cell r="O138">
            <v>0</v>
          </cell>
        </row>
        <row r="139">
          <cell r="O139">
            <v>0</v>
          </cell>
        </row>
        <row r="140">
          <cell r="O140">
            <v>0</v>
          </cell>
        </row>
        <row r="141">
          <cell r="O141">
            <v>101659.85</v>
          </cell>
        </row>
        <row r="142">
          <cell r="O142">
            <v>0</v>
          </cell>
        </row>
        <row r="143">
          <cell r="O143">
            <v>0</v>
          </cell>
        </row>
        <row r="144">
          <cell r="O144">
            <v>102219.85</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246.41</v>
          </cell>
        </row>
        <row r="154">
          <cell r="O154">
            <v>0</v>
          </cell>
        </row>
        <row r="155">
          <cell r="O155">
            <v>0</v>
          </cell>
        </row>
        <row r="156">
          <cell r="O156">
            <v>0</v>
          </cell>
        </row>
        <row r="157">
          <cell r="O157">
            <v>0</v>
          </cell>
        </row>
        <row r="158">
          <cell r="O158">
            <v>246.41</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0</v>
          </cell>
        </row>
        <row r="171">
          <cell r="O171">
            <v>0</v>
          </cell>
        </row>
        <row r="172">
          <cell r="O172">
            <v>0</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665.88</v>
          </cell>
        </row>
        <row r="270">
          <cell r="O270">
            <v>0</v>
          </cell>
        </row>
        <row r="271">
          <cell r="O271">
            <v>0</v>
          </cell>
        </row>
        <row r="272">
          <cell r="O272">
            <v>665.88</v>
          </cell>
        </row>
        <row r="273">
          <cell r="O273">
            <v>0</v>
          </cell>
        </row>
        <row r="274">
          <cell r="O274">
            <v>188.09</v>
          </cell>
        </row>
        <row r="275">
          <cell r="O275">
            <v>0</v>
          </cell>
        </row>
        <row r="276">
          <cell r="O276">
            <v>392.91</v>
          </cell>
        </row>
        <row r="277">
          <cell r="O277">
            <v>0</v>
          </cell>
        </row>
        <row r="278">
          <cell r="O278">
            <v>0</v>
          </cell>
        </row>
        <row r="279">
          <cell r="O279">
            <v>0</v>
          </cell>
        </row>
        <row r="280">
          <cell r="O280">
            <v>0</v>
          </cell>
        </row>
        <row r="281">
          <cell r="O281">
            <v>581</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64713.01</v>
          </cell>
        </row>
        <row r="305">
          <cell r="O305">
            <v>0</v>
          </cell>
        </row>
        <row r="306">
          <cell r="O306">
            <v>557.42999999999995</v>
          </cell>
        </row>
        <row r="307">
          <cell r="O307">
            <v>65270.44</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0</v>
          </cell>
        </row>
        <row r="339">
          <cell r="O339">
            <v>0</v>
          </cell>
        </row>
        <row r="340">
          <cell r="O340">
            <v>0</v>
          </cell>
        </row>
        <row r="341">
          <cell r="O341">
            <v>0</v>
          </cell>
        </row>
        <row r="342">
          <cell r="O342">
            <v>0</v>
          </cell>
        </row>
        <row r="343">
          <cell r="O343">
            <v>0</v>
          </cell>
        </row>
        <row r="344">
          <cell r="O344">
            <v>0</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326898.94</v>
          </cell>
        </row>
      </sheetData>
      <sheetData sheetId="2">
        <row r="65">
          <cell r="O65">
            <v>102001</v>
          </cell>
        </row>
      </sheetData>
      <sheetData sheetId="3" refreshError="1"/>
      <sheetData sheetId="4">
        <row r="1">
          <cell r="A1" t="str">
            <v>CC25451</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CC25452</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293515</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293515</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225</v>
          </cell>
        </row>
        <row r="85">
          <cell r="A85" t="str">
            <v>A60415</v>
          </cell>
          <cell r="O85">
            <v>0</v>
          </cell>
        </row>
        <row r="86">
          <cell r="A86" t="str">
            <v>A60406</v>
          </cell>
          <cell r="O86">
            <v>0</v>
          </cell>
        </row>
        <row r="87">
          <cell r="A87" t="str">
            <v>A60412</v>
          </cell>
          <cell r="O87">
            <v>0</v>
          </cell>
        </row>
        <row r="88">
          <cell r="A88" t="str">
            <v>P6040</v>
          </cell>
          <cell r="O88">
            <v>225</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2606</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2606</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1999174</v>
          </cell>
        </row>
        <row r="124">
          <cell r="A124" t="str">
            <v>A61509</v>
          </cell>
          <cell r="O124">
            <v>0</v>
          </cell>
        </row>
        <row r="125">
          <cell r="A125" t="str">
            <v>A61511</v>
          </cell>
          <cell r="O125">
            <v>328845</v>
          </cell>
        </row>
        <row r="126">
          <cell r="A126" t="str">
            <v>A61512</v>
          </cell>
          <cell r="O126">
            <v>0</v>
          </cell>
        </row>
        <row r="127">
          <cell r="A127" t="str">
            <v>A61513</v>
          </cell>
          <cell r="O127">
            <v>0</v>
          </cell>
        </row>
        <row r="128">
          <cell r="A128" t="str">
            <v>P6150</v>
          </cell>
          <cell r="O128">
            <v>2328019</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5000</v>
          </cell>
        </row>
        <row r="142">
          <cell r="A142" t="str">
            <v>A61561</v>
          </cell>
          <cell r="O142">
            <v>0</v>
          </cell>
        </row>
        <row r="143">
          <cell r="A143" t="str">
            <v>A61563</v>
          </cell>
          <cell r="O143">
            <v>0</v>
          </cell>
        </row>
        <row r="144">
          <cell r="A144" t="str">
            <v>P6155</v>
          </cell>
          <cell r="O144">
            <v>5000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2249</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2249</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0</v>
          </cell>
        </row>
        <row r="270">
          <cell r="A270" t="str">
            <v>A70407</v>
          </cell>
          <cell r="O270">
            <v>0</v>
          </cell>
        </row>
        <row r="271">
          <cell r="A271" t="str">
            <v>A70409</v>
          </cell>
          <cell r="O271">
            <v>0</v>
          </cell>
        </row>
        <row r="272">
          <cell r="A272" t="str">
            <v>P7040</v>
          </cell>
          <cell r="O272">
            <v>0</v>
          </cell>
        </row>
        <row r="273">
          <cell r="A273" t="str">
            <v>A70501</v>
          </cell>
          <cell r="O273">
            <v>0</v>
          </cell>
        </row>
        <row r="274">
          <cell r="A274" t="str">
            <v>A70503</v>
          </cell>
          <cell r="O274">
            <v>0</v>
          </cell>
        </row>
        <row r="275">
          <cell r="A275" t="str">
            <v>A70505</v>
          </cell>
          <cell r="O275">
            <v>0</v>
          </cell>
        </row>
        <row r="276">
          <cell r="A276" t="str">
            <v>A70507</v>
          </cell>
          <cell r="O276">
            <v>0</v>
          </cell>
        </row>
        <row r="277">
          <cell r="A277" t="str">
            <v>A70509</v>
          </cell>
          <cell r="O277">
            <v>3402</v>
          </cell>
        </row>
        <row r="278">
          <cell r="A278" t="str">
            <v>A70511</v>
          </cell>
          <cell r="O278">
            <v>2226</v>
          </cell>
        </row>
        <row r="279">
          <cell r="A279" t="str">
            <v>A70506</v>
          </cell>
          <cell r="O279">
            <v>0</v>
          </cell>
        </row>
        <row r="280">
          <cell r="A280" t="str">
            <v>A70510</v>
          </cell>
          <cell r="O280">
            <v>0</v>
          </cell>
        </row>
        <row r="281">
          <cell r="A281" t="str">
            <v>P7050</v>
          </cell>
          <cell r="O281">
            <v>5628</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1978</v>
          </cell>
        </row>
        <row r="306">
          <cell r="A306" t="str">
            <v>A70811</v>
          </cell>
          <cell r="O306">
            <v>0</v>
          </cell>
        </row>
        <row r="307">
          <cell r="A307" t="str">
            <v>P7080</v>
          </cell>
          <cell r="O307">
            <v>1978</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-8621</v>
          </cell>
        </row>
        <row r="356">
          <cell r="A356" t="str">
            <v>A79958</v>
          </cell>
          <cell r="O356">
            <v>0</v>
          </cell>
        </row>
        <row r="357">
          <cell r="A357" t="str">
            <v>P7995</v>
          </cell>
          <cell r="O357">
            <v>-8621</v>
          </cell>
        </row>
        <row r="358">
          <cell r="A358" t="str">
            <v>OAPPP</v>
          </cell>
          <cell r="O358">
            <v>2630599</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267285.40999999997</v>
          </cell>
        </row>
        <row r="42">
          <cell r="O42">
            <v>0</v>
          </cell>
        </row>
        <row r="43">
          <cell r="O43">
            <v>0</v>
          </cell>
        </row>
        <row r="44">
          <cell r="O44">
            <v>0</v>
          </cell>
        </row>
        <row r="45">
          <cell r="O45">
            <v>0</v>
          </cell>
        </row>
        <row r="46">
          <cell r="O46">
            <v>0</v>
          </cell>
        </row>
        <row r="47">
          <cell r="O47">
            <v>22085.65</v>
          </cell>
        </row>
        <row r="48">
          <cell r="O48">
            <v>0</v>
          </cell>
        </row>
        <row r="49">
          <cell r="O49">
            <v>0</v>
          </cell>
        </row>
        <row r="50">
          <cell r="O50">
            <v>0</v>
          </cell>
        </row>
        <row r="51">
          <cell r="O51">
            <v>0</v>
          </cell>
        </row>
        <row r="52">
          <cell r="O52">
            <v>0</v>
          </cell>
        </row>
        <row r="53">
          <cell r="O53">
            <v>5381.57</v>
          </cell>
        </row>
        <row r="54">
          <cell r="O54">
            <v>1413.77</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296166.40000000002</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84424.07</v>
          </cell>
        </row>
        <row r="90">
          <cell r="O90">
            <v>0</v>
          </cell>
        </row>
        <row r="91">
          <cell r="O91">
            <v>0</v>
          </cell>
        </row>
        <row r="92">
          <cell r="O92">
            <v>0</v>
          </cell>
        </row>
        <row r="93">
          <cell r="O93">
            <v>0</v>
          </cell>
        </row>
        <row r="94">
          <cell r="O94">
            <v>0</v>
          </cell>
        </row>
        <row r="95">
          <cell r="O95">
            <v>0</v>
          </cell>
        </row>
        <row r="96">
          <cell r="O96">
            <v>84424.07</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717.23</v>
          </cell>
        </row>
        <row r="107">
          <cell r="O107">
            <v>0</v>
          </cell>
        </row>
        <row r="108">
          <cell r="O108">
            <v>0</v>
          </cell>
        </row>
        <row r="109">
          <cell r="O109">
            <v>420</v>
          </cell>
        </row>
        <row r="110">
          <cell r="O110">
            <v>0</v>
          </cell>
        </row>
        <row r="111">
          <cell r="O111">
            <v>0</v>
          </cell>
        </row>
        <row r="112">
          <cell r="O112">
            <v>0</v>
          </cell>
        </row>
        <row r="113">
          <cell r="O113">
            <v>0</v>
          </cell>
        </row>
        <row r="114">
          <cell r="O114">
            <v>0</v>
          </cell>
        </row>
        <row r="115">
          <cell r="O115">
            <v>0</v>
          </cell>
        </row>
        <row r="116">
          <cell r="O116">
            <v>1137.23</v>
          </cell>
        </row>
        <row r="117">
          <cell r="O117">
            <v>0</v>
          </cell>
        </row>
        <row r="118">
          <cell r="O118">
            <v>0</v>
          </cell>
        </row>
        <row r="119">
          <cell r="O119">
            <v>0</v>
          </cell>
        </row>
        <row r="120">
          <cell r="O120">
            <v>0</v>
          </cell>
        </row>
        <row r="121">
          <cell r="O121">
            <v>0</v>
          </cell>
        </row>
        <row r="122">
          <cell r="O122">
            <v>0</v>
          </cell>
        </row>
        <row r="123">
          <cell r="O123">
            <v>2012543.49</v>
          </cell>
        </row>
        <row r="124">
          <cell r="O124">
            <v>0</v>
          </cell>
        </row>
        <row r="125">
          <cell r="O125">
            <v>99025.65</v>
          </cell>
        </row>
        <row r="126">
          <cell r="O126">
            <v>0</v>
          </cell>
        </row>
        <row r="127">
          <cell r="O127">
            <v>0</v>
          </cell>
        </row>
        <row r="128">
          <cell r="O128">
            <v>2111569.14</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4086.88</v>
          </cell>
        </row>
        <row r="142">
          <cell r="O142">
            <v>0</v>
          </cell>
        </row>
        <row r="143">
          <cell r="O143">
            <v>0</v>
          </cell>
        </row>
        <row r="144">
          <cell r="O144">
            <v>4086.88</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1852.15</v>
          </cell>
        </row>
        <row r="154">
          <cell r="O154">
            <v>0</v>
          </cell>
        </row>
        <row r="155">
          <cell r="O155">
            <v>0</v>
          </cell>
        </row>
        <row r="156">
          <cell r="O156">
            <v>0</v>
          </cell>
        </row>
        <row r="157">
          <cell r="O157">
            <v>0</v>
          </cell>
        </row>
        <row r="158">
          <cell r="O158">
            <v>1852.15</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0</v>
          </cell>
        </row>
        <row r="171">
          <cell r="O171">
            <v>0</v>
          </cell>
        </row>
        <row r="172">
          <cell r="O172">
            <v>0</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0</v>
          </cell>
        </row>
        <row r="270">
          <cell r="O270">
            <v>0</v>
          </cell>
        </row>
        <row r="271">
          <cell r="O271">
            <v>0</v>
          </cell>
        </row>
        <row r="272">
          <cell r="O272">
            <v>0</v>
          </cell>
        </row>
        <row r="273">
          <cell r="O273">
            <v>1041.5899999999999</v>
          </cell>
        </row>
        <row r="274">
          <cell r="O274">
            <v>946.25</v>
          </cell>
        </row>
        <row r="275">
          <cell r="O275">
            <v>1862.44</v>
          </cell>
        </row>
        <row r="276">
          <cell r="O276">
            <v>287.48</v>
          </cell>
        </row>
        <row r="277">
          <cell r="O277">
            <v>0</v>
          </cell>
        </row>
        <row r="278">
          <cell r="O278">
            <v>0</v>
          </cell>
        </row>
        <row r="279">
          <cell r="O279">
            <v>0</v>
          </cell>
        </row>
        <row r="280">
          <cell r="O280">
            <v>0</v>
          </cell>
        </row>
        <row r="281">
          <cell r="O281">
            <v>4137.76</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1796.53</v>
          </cell>
        </row>
        <row r="306">
          <cell r="O306">
            <v>0</v>
          </cell>
        </row>
        <row r="307">
          <cell r="O307">
            <v>1796.53</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0</v>
          </cell>
        </row>
        <row r="339">
          <cell r="O339">
            <v>0</v>
          </cell>
        </row>
        <row r="340">
          <cell r="O340">
            <v>0</v>
          </cell>
        </row>
        <row r="341">
          <cell r="O341">
            <v>0</v>
          </cell>
        </row>
        <row r="342">
          <cell r="O342">
            <v>0</v>
          </cell>
        </row>
        <row r="343">
          <cell r="O343">
            <v>0</v>
          </cell>
        </row>
        <row r="344">
          <cell r="O344">
            <v>0</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2505170.1599999992</v>
          </cell>
        </row>
      </sheetData>
      <sheetData sheetId="2">
        <row r="41">
          <cell r="O41">
            <v>304195</v>
          </cell>
        </row>
      </sheetData>
      <sheetData sheetId="3" refreshError="1"/>
      <sheetData sheetId="4">
        <row r="1">
          <cell r="A1" t="str">
            <v>CC25452</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CC25406</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0</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0</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0</v>
          </cell>
        </row>
        <row r="86">
          <cell r="A86" t="str">
            <v>A60406</v>
          </cell>
          <cell r="O86">
            <v>0</v>
          </cell>
        </row>
        <row r="87">
          <cell r="A87" t="str">
            <v>A60412</v>
          </cell>
          <cell r="O87">
            <v>0</v>
          </cell>
        </row>
        <row r="88">
          <cell r="A88" t="str">
            <v>P6040</v>
          </cell>
          <cell r="O88">
            <v>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2942.78</v>
          </cell>
        </row>
        <row r="106">
          <cell r="A106" t="str">
            <v>A61103</v>
          </cell>
          <cell r="O106">
            <v>0</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2942.78</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1294</v>
          </cell>
        </row>
        <row r="126">
          <cell r="A126" t="str">
            <v>A61512</v>
          </cell>
          <cell r="O126">
            <v>0</v>
          </cell>
        </row>
        <row r="127">
          <cell r="A127" t="str">
            <v>A61513</v>
          </cell>
          <cell r="O127">
            <v>0</v>
          </cell>
        </row>
        <row r="128">
          <cell r="A128" t="str">
            <v>P6150</v>
          </cell>
          <cell r="O128">
            <v>1294</v>
          </cell>
        </row>
        <row r="129">
          <cell r="A129" t="str">
            <v>A61601</v>
          </cell>
          <cell r="O129">
            <v>29477.25</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29477.25</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0</v>
          </cell>
        </row>
        <row r="270">
          <cell r="A270" t="str">
            <v>A70407</v>
          </cell>
          <cell r="O270">
            <v>0</v>
          </cell>
        </row>
        <row r="271">
          <cell r="A271" t="str">
            <v>A70409</v>
          </cell>
          <cell r="O271">
            <v>0</v>
          </cell>
        </row>
        <row r="272">
          <cell r="A272" t="str">
            <v>P7040</v>
          </cell>
          <cell r="O272">
            <v>0</v>
          </cell>
        </row>
        <row r="273">
          <cell r="A273" t="str">
            <v>A70501</v>
          </cell>
          <cell r="O273">
            <v>0</v>
          </cell>
        </row>
        <row r="274">
          <cell r="A274" t="str">
            <v>A70503</v>
          </cell>
          <cell r="O274">
            <v>0</v>
          </cell>
        </row>
        <row r="275">
          <cell r="A275" t="str">
            <v>A70505</v>
          </cell>
          <cell r="O275">
            <v>0</v>
          </cell>
        </row>
        <row r="276">
          <cell r="A276" t="str">
            <v>A70507</v>
          </cell>
          <cell r="O276">
            <v>0</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0</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0</v>
          </cell>
        </row>
        <row r="306">
          <cell r="A306" t="str">
            <v>A70811</v>
          </cell>
          <cell r="O306">
            <v>0</v>
          </cell>
        </row>
        <row r="307">
          <cell r="A307" t="str">
            <v>P7080</v>
          </cell>
          <cell r="O307">
            <v>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1402.71</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1402.71</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-475</v>
          </cell>
        </row>
        <row r="356">
          <cell r="A356" t="str">
            <v>A79958</v>
          </cell>
          <cell r="O356">
            <v>0</v>
          </cell>
        </row>
        <row r="357">
          <cell r="A357" t="str">
            <v>P7995</v>
          </cell>
          <cell r="O357">
            <v>-475</v>
          </cell>
        </row>
        <row r="358">
          <cell r="A358" t="str">
            <v>OAPPP</v>
          </cell>
          <cell r="O358">
            <v>34641.74</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row r="52">
          <cell r="O52">
            <v>0</v>
          </cell>
        </row>
        <row r="53">
          <cell r="O53">
            <v>0</v>
          </cell>
        </row>
        <row r="54">
          <cell r="O54">
            <v>0</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0</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2543.5</v>
          </cell>
        </row>
        <row r="106">
          <cell r="O106">
            <v>0</v>
          </cell>
        </row>
        <row r="107">
          <cell r="O107">
            <v>0</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2543.5</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1572.8</v>
          </cell>
        </row>
        <row r="126">
          <cell r="O126">
            <v>0</v>
          </cell>
        </row>
        <row r="127">
          <cell r="O127">
            <v>0</v>
          </cell>
        </row>
        <row r="128">
          <cell r="O128">
            <v>1572.8</v>
          </cell>
        </row>
        <row r="129">
          <cell r="O129">
            <v>29017.79</v>
          </cell>
        </row>
        <row r="130">
          <cell r="O130">
            <v>0</v>
          </cell>
        </row>
        <row r="131">
          <cell r="O131">
            <v>0</v>
          </cell>
        </row>
        <row r="132">
          <cell r="O132">
            <v>0</v>
          </cell>
        </row>
        <row r="133">
          <cell r="O133">
            <v>0</v>
          </cell>
        </row>
        <row r="134">
          <cell r="O134">
            <v>0</v>
          </cell>
        </row>
        <row r="135">
          <cell r="O135">
            <v>0</v>
          </cell>
        </row>
        <row r="136">
          <cell r="O136">
            <v>29017.79</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0</v>
          </cell>
        </row>
        <row r="154">
          <cell r="O154">
            <v>0</v>
          </cell>
        </row>
        <row r="155">
          <cell r="O155">
            <v>0</v>
          </cell>
        </row>
        <row r="156">
          <cell r="O156">
            <v>0</v>
          </cell>
        </row>
        <row r="157">
          <cell r="O157">
            <v>0</v>
          </cell>
        </row>
        <row r="158">
          <cell r="O158">
            <v>0</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0</v>
          </cell>
        </row>
        <row r="171">
          <cell r="O171">
            <v>0</v>
          </cell>
        </row>
        <row r="172">
          <cell r="O172">
            <v>0</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0</v>
          </cell>
        </row>
        <row r="270">
          <cell r="O270">
            <v>0</v>
          </cell>
        </row>
        <row r="271">
          <cell r="O271">
            <v>0</v>
          </cell>
        </row>
        <row r="272">
          <cell r="O272">
            <v>0</v>
          </cell>
        </row>
        <row r="273">
          <cell r="O273">
            <v>0</v>
          </cell>
        </row>
        <row r="274">
          <cell r="O274">
            <v>0</v>
          </cell>
        </row>
        <row r="275">
          <cell r="O275">
            <v>0</v>
          </cell>
        </row>
        <row r="276">
          <cell r="O276">
            <v>0</v>
          </cell>
        </row>
        <row r="277">
          <cell r="O277">
            <v>0</v>
          </cell>
        </row>
        <row r="278">
          <cell r="O278">
            <v>0</v>
          </cell>
        </row>
        <row r="279">
          <cell r="O279">
            <v>0</v>
          </cell>
        </row>
        <row r="280">
          <cell r="O280">
            <v>0</v>
          </cell>
        </row>
        <row r="281">
          <cell r="O281">
            <v>0</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1098.9100000000001</v>
          </cell>
        </row>
        <row r="338">
          <cell r="O338">
            <v>0</v>
          </cell>
        </row>
        <row r="339">
          <cell r="O339">
            <v>0</v>
          </cell>
        </row>
        <row r="340">
          <cell r="O340">
            <v>0</v>
          </cell>
        </row>
        <row r="341">
          <cell r="O341">
            <v>0</v>
          </cell>
        </row>
        <row r="342">
          <cell r="O342">
            <v>0</v>
          </cell>
        </row>
        <row r="343">
          <cell r="O343">
            <v>0</v>
          </cell>
        </row>
        <row r="344">
          <cell r="O344">
            <v>1098.9100000000001</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34233</v>
          </cell>
        </row>
      </sheetData>
      <sheetData sheetId="2">
        <row r="337">
          <cell r="O337">
            <v>1659.16</v>
          </cell>
        </row>
      </sheetData>
      <sheetData sheetId="3" refreshError="1"/>
      <sheetData sheetId="4">
        <row r="1">
          <cell r="A1" t="str">
            <v>CC25406</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CC25401</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235705.7</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235705.7</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47309.04</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1021</v>
          </cell>
        </row>
        <row r="85">
          <cell r="A85" t="str">
            <v>A60415</v>
          </cell>
          <cell r="O85">
            <v>0</v>
          </cell>
        </row>
        <row r="86">
          <cell r="A86" t="str">
            <v>A60406</v>
          </cell>
          <cell r="O86">
            <v>0</v>
          </cell>
        </row>
        <row r="87">
          <cell r="A87" t="str">
            <v>A60412</v>
          </cell>
          <cell r="O87">
            <v>0</v>
          </cell>
        </row>
        <row r="88">
          <cell r="A88" t="str">
            <v>P6040</v>
          </cell>
          <cell r="O88">
            <v>48330.04</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1891</v>
          </cell>
        </row>
        <row r="98">
          <cell r="A98" t="str">
            <v>A61003</v>
          </cell>
          <cell r="O98">
            <v>1875</v>
          </cell>
        </row>
        <row r="99">
          <cell r="A99" t="str">
            <v>A61005</v>
          </cell>
          <cell r="O99">
            <v>0</v>
          </cell>
        </row>
        <row r="100">
          <cell r="A100" t="str">
            <v>A61007</v>
          </cell>
          <cell r="O100">
            <v>0</v>
          </cell>
        </row>
        <row r="101">
          <cell r="A101" t="str">
            <v>A61009</v>
          </cell>
          <cell r="O101">
            <v>0</v>
          </cell>
        </row>
        <row r="102">
          <cell r="A102" t="str">
            <v>A61011</v>
          </cell>
          <cell r="O102">
            <v>2397.83</v>
          </cell>
        </row>
        <row r="103">
          <cell r="A103" t="str">
            <v>A61021</v>
          </cell>
          <cell r="O103">
            <v>0</v>
          </cell>
        </row>
        <row r="104">
          <cell r="A104" t="str">
            <v>P6100</v>
          </cell>
          <cell r="O104">
            <v>6163.83</v>
          </cell>
        </row>
        <row r="105">
          <cell r="A105" t="str">
            <v>A61101</v>
          </cell>
          <cell r="O105">
            <v>0</v>
          </cell>
        </row>
        <row r="106">
          <cell r="A106" t="str">
            <v>A61103</v>
          </cell>
          <cell r="O106">
            <v>8363.89</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8363.89</v>
          </cell>
        </row>
        <row r="117">
          <cell r="A117" t="str">
            <v>A61201</v>
          </cell>
          <cell r="O117">
            <v>5000</v>
          </cell>
        </row>
        <row r="118">
          <cell r="A118" t="str">
            <v>A61299</v>
          </cell>
          <cell r="O118">
            <v>15201.06</v>
          </cell>
        </row>
        <row r="119">
          <cell r="A119" t="str">
            <v>P6120</v>
          </cell>
          <cell r="O119">
            <v>20201.060000000001</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72833.36</v>
          </cell>
        </row>
        <row r="126">
          <cell r="A126" t="str">
            <v>A61512</v>
          </cell>
          <cell r="O126">
            <v>0</v>
          </cell>
        </row>
        <row r="127">
          <cell r="A127" t="str">
            <v>A61513</v>
          </cell>
          <cell r="O127">
            <v>0</v>
          </cell>
        </row>
        <row r="128">
          <cell r="A128" t="str">
            <v>P6150</v>
          </cell>
          <cell r="O128">
            <v>72833.36</v>
          </cell>
        </row>
        <row r="129">
          <cell r="A129" t="str">
            <v>A61601</v>
          </cell>
          <cell r="O129">
            <v>493813.29</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493813.29</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200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200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979</v>
          </cell>
        </row>
        <row r="171">
          <cell r="A171" t="str">
            <v>A61906</v>
          </cell>
          <cell r="O171">
            <v>0</v>
          </cell>
        </row>
        <row r="172">
          <cell r="A172" t="str">
            <v>P6190</v>
          </cell>
          <cell r="O172">
            <v>979</v>
          </cell>
        </row>
        <row r="173">
          <cell r="A173" t="str">
            <v>A62001</v>
          </cell>
          <cell r="O173">
            <v>6076.26</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223.3</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6299.56</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58812.6</v>
          </cell>
        </row>
        <row r="236">
          <cell r="A236" t="str">
            <v>A62311</v>
          </cell>
          <cell r="O236">
            <v>0</v>
          </cell>
        </row>
        <row r="237">
          <cell r="A237" t="str">
            <v>A62312</v>
          </cell>
          <cell r="O237">
            <v>0</v>
          </cell>
        </row>
        <row r="238">
          <cell r="A238" t="str">
            <v>P6230</v>
          </cell>
          <cell r="O238">
            <v>58812.6</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2280</v>
          </cell>
        </row>
        <row r="270">
          <cell r="A270" t="str">
            <v>A70407</v>
          </cell>
          <cell r="O270">
            <v>1944</v>
          </cell>
        </row>
        <row r="271">
          <cell r="A271" t="str">
            <v>A70409</v>
          </cell>
          <cell r="O271">
            <v>2157</v>
          </cell>
        </row>
        <row r="272">
          <cell r="A272" t="str">
            <v>P7040</v>
          </cell>
          <cell r="O272">
            <v>6381</v>
          </cell>
        </row>
        <row r="273">
          <cell r="A273" t="str">
            <v>A70501</v>
          </cell>
          <cell r="O273">
            <v>2201.54</v>
          </cell>
        </row>
        <row r="274">
          <cell r="A274" t="str">
            <v>A70503</v>
          </cell>
          <cell r="O274">
            <v>850</v>
          </cell>
        </row>
        <row r="275">
          <cell r="A275" t="str">
            <v>A70505</v>
          </cell>
          <cell r="O275">
            <v>1375</v>
          </cell>
        </row>
        <row r="276">
          <cell r="A276" t="str">
            <v>A70507</v>
          </cell>
          <cell r="O276">
            <v>1856</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6282.54</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700</v>
          </cell>
        </row>
        <row r="302">
          <cell r="A302" t="str">
            <v>A70803</v>
          </cell>
          <cell r="O302">
            <v>0</v>
          </cell>
        </row>
        <row r="303">
          <cell r="A303" t="str">
            <v>A70805</v>
          </cell>
          <cell r="O303">
            <v>0</v>
          </cell>
        </row>
        <row r="304">
          <cell r="A304" t="str">
            <v>A70807</v>
          </cell>
          <cell r="O304">
            <v>0</v>
          </cell>
        </row>
        <row r="305">
          <cell r="A305" t="str">
            <v>A70809</v>
          </cell>
          <cell r="O305">
            <v>0</v>
          </cell>
        </row>
        <row r="306">
          <cell r="A306" t="str">
            <v>A70811</v>
          </cell>
          <cell r="O306">
            <v>0</v>
          </cell>
        </row>
        <row r="307">
          <cell r="A307" t="str">
            <v>P7080</v>
          </cell>
          <cell r="O307">
            <v>700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382714.83</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382714.83</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-83430</v>
          </cell>
        </row>
        <row r="356">
          <cell r="A356" t="str">
            <v>A79958</v>
          </cell>
          <cell r="O356">
            <v>-18725</v>
          </cell>
        </row>
        <row r="357">
          <cell r="A357" t="str">
            <v>P7995</v>
          </cell>
          <cell r="O357">
            <v>-102155</v>
          </cell>
        </row>
        <row r="358">
          <cell r="A358" t="str">
            <v>OAPPP</v>
          </cell>
          <cell r="O358">
            <v>1245625.7000000002</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row r="52">
          <cell r="O52">
            <v>0</v>
          </cell>
        </row>
        <row r="53">
          <cell r="O53">
            <v>0</v>
          </cell>
        </row>
        <row r="54">
          <cell r="O54">
            <v>0</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0</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43359.66</v>
          </cell>
        </row>
        <row r="80">
          <cell r="O80">
            <v>0</v>
          </cell>
        </row>
        <row r="81">
          <cell r="O81">
            <v>0</v>
          </cell>
        </row>
        <row r="82">
          <cell r="O82">
            <v>0</v>
          </cell>
        </row>
        <row r="83">
          <cell r="O83">
            <v>0</v>
          </cell>
        </row>
        <row r="84">
          <cell r="O84">
            <v>0</v>
          </cell>
        </row>
        <row r="85">
          <cell r="O85">
            <v>0</v>
          </cell>
        </row>
        <row r="86">
          <cell r="O86">
            <v>0</v>
          </cell>
        </row>
        <row r="87">
          <cell r="O87">
            <v>5.45</v>
          </cell>
        </row>
        <row r="88">
          <cell r="O88">
            <v>43365.11</v>
          </cell>
        </row>
        <row r="89">
          <cell r="O89">
            <v>0</v>
          </cell>
        </row>
        <row r="90">
          <cell r="O90">
            <v>0</v>
          </cell>
        </row>
        <row r="91">
          <cell r="O91">
            <v>0</v>
          </cell>
        </row>
        <row r="92">
          <cell r="O92">
            <v>0</v>
          </cell>
        </row>
        <row r="93">
          <cell r="O93">
            <v>0</v>
          </cell>
        </row>
        <row r="94">
          <cell r="O94">
            <v>0</v>
          </cell>
        </row>
        <row r="95">
          <cell r="O95">
            <v>0</v>
          </cell>
        </row>
        <row r="96">
          <cell r="O96">
            <v>0</v>
          </cell>
        </row>
        <row r="97">
          <cell r="O97">
            <v>815.02</v>
          </cell>
        </row>
        <row r="98">
          <cell r="O98">
            <v>248.85</v>
          </cell>
        </row>
        <row r="99">
          <cell r="O99">
            <v>15.77</v>
          </cell>
        </row>
        <row r="100">
          <cell r="O100">
            <v>0</v>
          </cell>
        </row>
        <row r="101">
          <cell r="O101">
            <v>0</v>
          </cell>
        </row>
        <row r="102">
          <cell r="O102">
            <v>761.7</v>
          </cell>
        </row>
        <row r="103">
          <cell r="O103">
            <v>0</v>
          </cell>
        </row>
        <row r="104">
          <cell r="O104">
            <v>1841.34</v>
          </cell>
        </row>
        <row r="105">
          <cell r="O105">
            <v>0</v>
          </cell>
        </row>
        <row r="106">
          <cell r="O106">
            <v>5665.27</v>
          </cell>
        </row>
        <row r="107">
          <cell r="O107">
            <v>2031</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7696.27</v>
          </cell>
        </row>
        <row r="117">
          <cell r="O117">
            <v>4607.84</v>
          </cell>
        </row>
        <row r="118">
          <cell r="O118">
            <v>1902.21</v>
          </cell>
        </row>
        <row r="119">
          <cell r="O119">
            <v>6510.05</v>
          </cell>
        </row>
        <row r="120">
          <cell r="O120">
            <v>0</v>
          </cell>
        </row>
        <row r="121">
          <cell r="O121">
            <v>0</v>
          </cell>
        </row>
        <row r="122">
          <cell r="O122">
            <v>0</v>
          </cell>
        </row>
        <row r="123">
          <cell r="O123">
            <v>0</v>
          </cell>
        </row>
        <row r="124">
          <cell r="O124">
            <v>0</v>
          </cell>
        </row>
        <row r="125">
          <cell r="O125">
            <v>15956.61</v>
          </cell>
        </row>
        <row r="126">
          <cell r="O126">
            <v>0</v>
          </cell>
        </row>
        <row r="127">
          <cell r="O127">
            <v>0</v>
          </cell>
        </row>
        <row r="128">
          <cell r="O128">
            <v>15956.61</v>
          </cell>
        </row>
        <row r="129">
          <cell r="O129">
            <v>465515.56</v>
          </cell>
        </row>
        <row r="130">
          <cell r="O130">
            <v>0</v>
          </cell>
        </row>
        <row r="131">
          <cell r="O131">
            <v>0</v>
          </cell>
        </row>
        <row r="132">
          <cell r="O132">
            <v>0</v>
          </cell>
        </row>
        <row r="133">
          <cell r="O133">
            <v>0</v>
          </cell>
        </row>
        <row r="134">
          <cell r="O134">
            <v>0</v>
          </cell>
        </row>
        <row r="135">
          <cell r="O135">
            <v>0</v>
          </cell>
        </row>
        <row r="136">
          <cell r="O136">
            <v>465515.56</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53.38</v>
          </cell>
        </row>
        <row r="154">
          <cell r="O154">
            <v>0</v>
          </cell>
        </row>
        <row r="155">
          <cell r="O155">
            <v>0</v>
          </cell>
        </row>
        <row r="156">
          <cell r="O156">
            <v>0</v>
          </cell>
        </row>
        <row r="157">
          <cell r="O157">
            <v>0</v>
          </cell>
        </row>
        <row r="158">
          <cell r="O158">
            <v>53.38</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1787.92</v>
          </cell>
        </row>
        <row r="171">
          <cell r="O171">
            <v>0</v>
          </cell>
        </row>
        <row r="172">
          <cell r="O172">
            <v>1787.92</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48137.22</v>
          </cell>
        </row>
        <row r="236">
          <cell r="O236">
            <v>0</v>
          </cell>
        </row>
        <row r="237">
          <cell r="O237">
            <v>0</v>
          </cell>
        </row>
        <row r="238">
          <cell r="O238">
            <v>48137.22</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6389.24</v>
          </cell>
        </row>
        <row r="270">
          <cell r="O270">
            <v>1564.06</v>
          </cell>
        </row>
        <row r="271">
          <cell r="O271">
            <v>40</v>
          </cell>
        </row>
        <row r="272">
          <cell r="O272">
            <v>7993.3</v>
          </cell>
        </row>
        <row r="273">
          <cell r="O273">
            <v>2573.2600000000002</v>
          </cell>
        </row>
        <row r="274">
          <cell r="O274">
            <v>1025.3800000000001</v>
          </cell>
        </row>
        <row r="275">
          <cell r="O275">
            <v>1523.02</v>
          </cell>
        </row>
        <row r="276">
          <cell r="O276">
            <v>2634.13</v>
          </cell>
        </row>
        <row r="277">
          <cell r="O277">
            <v>34.18</v>
          </cell>
        </row>
        <row r="278">
          <cell r="O278">
            <v>0</v>
          </cell>
        </row>
        <row r="279">
          <cell r="O279">
            <v>0</v>
          </cell>
        </row>
        <row r="280">
          <cell r="O280">
            <v>0</v>
          </cell>
        </row>
        <row r="281">
          <cell r="O281">
            <v>7789.97</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-31713.9</v>
          </cell>
        </row>
        <row r="300">
          <cell r="O300">
            <v>-31713.9</v>
          </cell>
        </row>
        <row r="301">
          <cell r="O301">
            <v>0</v>
          </cell>
        </row>
        <row r="302">
          <cell r="O302">
            <v>0</v>
          </cell>
        </row>
        <row r="303">
          <cell r="O303">
            <v>0</v>
          </cell>
        </row>
        <row r="304">
          <cell r="O304">
            <v>0</v>
          </cell>
        </row>
        <row r="305">
          <cell r="O305">
            <v>268.74</v>
          </cell>
        </row>
        <row r="306">
          <cell r="O306">
            <v>0</v>
          </cell>
        </row>
        <row r="307">
          <cell r="O307">
            <v>268.74</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494981.31</v>
          </cell>
        </row>
        <row r="338">
          <cell r="O338">
            <v>0</v>
          </cell>
        </row>
        <row r="339">
          <cell r="O339">
            <v>0</v>
          </cell>
        </row>
        <row r="340">
          <cell r="O340">
            <v>0</v>
          </cell>
        </row>
        <row r="341">
          <cell r="O341">
            <v>0</v>
          </cell>
        </row>
        <row r="342">
          <cell r="O342">
            <v>0</v>
          </cell>
        </row>
        <row r="343">
          <cell r="O343">
            <v>0</v>
          </cell>
        </row>
        <row r="344">
          <cell r="O344">
            <v>494981.31</v>
          </cell>
        </row>
        <row r="345">
          <cell r="O345">
            <v>0</v>
          </cell>
        </row>
        <row r="346">
          <cell r="O346">
            <v>-78320</v>
          </cell>
        </row>
        <row r="347">
          <cell r="O347">
            <v>78320</v>
          </cell>
        </row>
        <row r="348">
          <cell r="O348">
            <v>0</v>
          </cell>
        </row>
        <row r="349">
          <cell r="O349">
            <v>0</v>
          </cell>
        </row>
        <row r="350">
          <cell r="O350">
            <v>0</v>
          </cell>
        </row>
        <row r="351">
          <cell r="O351">
            <v>0</v>
          </cell>
        </row>
        <row r="352">
          <cell r="O352">
            <v>0</v>
          </cell>
        </row>
        <row r="353">
          <cell r="O353">
            <v>0</v>
          </cell>
        </row>
        <row r="354">
          <cell r="O354">
            <v>0</v>
          </cell>
        </row>
        <row r="355">
          <cell r="O355">
            <v>-86490</v>
          </cell>
        </row>
        <row r="356">
          <cell r="O356">
            <v>0</v>
          </cell>
        </row>
        <row r="357">
          <cell r="O357">
            <v>-86490</v>
          </cell>
        </row>
        <row r="358">
          <cell r="O358">
            <v>983692.87999999989</v>
          </cell>
        </row>
      </sheetData>
      <sheetData sheetId="2">
        <row r="41">
          <cell r="O41">
            <v>282829.84000000003</v>
          </cell>
        </row>
      </sheetData>
      <sheetData sheetId="3" refreshError="1"/>
      <sheetData sheetId="4">
        <row r="1">
          <cell r="A1" t="str">
            <v>CC25401</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cell r="E42">
            <v>0</v>
          </cell>
          <cell r="F42">
            <v>0</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cell r="E80">
            <v>40207.39</v>
          </cell>
          <cell r="F80">
            <v>40838.976920000001</v>
          </cell>
        </row>
        <row r="81">
          <cell r="A81" t="str">
            <v>A60403</v>
          </cell>
        </row>
        <row r="82">
          <cell r="A82" t="str">
            <v>A60405</v>
          </cell>
        </row>
        <row r="83">
          <cell r="A83" t="str">
            <v>A60407</v>
          </cell>
        </row>
        <row r="84">
          <cell r="A84" t="str">
            <v>A60409</v>
          </cell>
        </row>
        <row r="85">
          <cell r="A85" t="str">
            <v>A60411</v>
          </cell>
          <cell r="E85">
            <v>1276.25</v>
          </cell>
          <cell r="F85">
            <v>1043.462</v>
          </cell>
        </row>
        <row r="86">
          <cell r="A86" t="str">
            <v>A60415</v>
          </cell>
        </row>
        <row r="87">
          <cell r="A87" t="str">
            <v>A60406</v>
          </cell>
        </row>
        <row r="88">
          <cell r="A88" t="str">
            <v>A60412</v>
          </cell>
          <cell r="E88">
            <v>0</v>
          </cell>
          <cell r="F88">
            <v>0</v>
          </cell>
        </row>
        <row r="89">
          <cell r="A89" t="str">
            <v>P6040</v>
          </cell>
          <cell r="E89">
            <v>41483.64</v>
          </cell>
          <cell r="F89">
            <v>41882.438920000001</v>
          </cell>
        </row>
        <row r="90">
          <cell r="A90" t="str">
            <v>A60501</v>
          </cell>
          <cell r="E90">
            <v>16323.9</v>
          </cell>
        </row>
        <row r="91">
          <cell r="A91" t="str">
            <v>A60503</v>
          </cell>
          <cell r="E91">
            <v>69337.45</v>
          </cell>
        </row>
        <row r="92">
          <cell r="A92" t="str">
            <v>A60505</v>
          </cell>
        </row>
        <row r="93">
          <cell r="A93" t="str">
            <v>A60507</v>
          </cell>
        </row>
        <row r="94">
          <cell r="A94" t="str">
            <v>A60509</v>
          </cell>
        </row>
        <row r="95">
          <cell r="A95" t="str">
            <v>A60511</v>
          </cell>
        </row>
        <row r="96">
          <cell r="A96" t="str">
            <v>A60513</v>
          </cell>
        </row>
        <row r="97">
          <cell r="A97" t="str">
            <v>P6050</v>
          </cell>
          <cell r="E97">
            <v>85661.349999999991</v>
          </cell>
          <cell r="F97">
            <v>0</v>
          </cell>
        </row>
        <row r="98">
          <cell r="A98" t="str">
            <v>A61001</v>
          </cell>
          <cell r="E98">
            <v>1487.04</v>
          </cell>
          <cell r="F98">
            <v>1932.6019999999999</v>
          </cell>
        </row>
        <row r="99">
          <cell r="A99" t="str">
            <v>A61003</v>
          </cell>
          <cell r="E99">
            <v>1916.99</v>
          </cell>
          <cell r="F99">
            <v>1916.25</v>
          </cell>
        </row>
        <row r="100">
          <cell r="A100" t="str">
            <v>A61005</v>
          </cell>
          <cell r="E100">
            <v>0</v>
          </cell>
          <cell r="F100">
            <v>0</v>
          </cell>
        </row>
        <row r="101">
          <cell r="A101" t="str">
            <v>A61007</v>
          </cell>
        </row>
        <row r="102">
          <cell r="A102" t="str">
            <v>A61009</v>
          </cell>
        </row>
        <row r="103">
          <cell r="A103" t="str">
            <v>A61011</v>
          </cell>
          <cell r="E103">
            <v>1981.45</v>
          </cell>
          <cell r="F103">
            <v>2753.5235000000002</v>
          </cell>
        </row>
        <row r="104">
          <cell r="A104" t="str">
            <v>A61021</v>
          </cell>
          <cell r="E104">
            <v>0</v>
          </cell>
          <cell r="F104">
            <v>0</v>
          </cell>
        </row>
        <row r="105">
          <cell r="A105" t="str">
            <v>P6100</v>
          </cell>
          <cell r="E105">
            <v>5385.48</v>
          </cell>
          <cell r="F105">
            <v>6602.3755000000001</v>
          </cell>
        </row>
        <row r="106">
          <cell r="A106" t="str">
            <v>A61101</v>
          </cell>
        </row>
        <row r="107">
          <cell r="A107" t="str">
            <v>A61103</v>
          </cell>
          <cell r="E107">
            <v>10088.34</v>
          </cell>
          <cell r="F107">
            <v>8329.20802</v>
          </cell>
        </row>
        <row r="108">
          <cell r="A108" t="str">
            <v>A61105</v>
          </cell>
          <cell r="E108">
            <v>2031.0000000000002</v>
          </cell>
          <cell r="F108">
            <v>2008.6388000000002</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12119.34</v>
          </cell>
          <cell r="F117">
            <v>10337.846820000001</v>
          </cell>
        </row>
        <row r="118">
          <cell r="A118" t="str">
            <v>A61201</v>
          </cell>
          <cell r="E118">
            <v>6200.94</v>
          </cell>
          <cell r="F118">
            <v>5110</v>
          </cell>
        </row>
        <row r="119">
          <cell r="A119" t="str">
            <v>A61299</v>
          </cell>
          <cell r="E119">
            <v>15456.460000000001</v>
          </cell>
          <cell r="F119">
            <v>17039.008840000002</v>
          </cell>
        </row>
        <row r="120">
          <cell r="A120" t="str">
            <v>P6120</v>
          </cell>
          <cell r="E120">
            <v>21657.4</v>
          </cell>
          <cell r="F120">
            <v>22149.008840000002</v>
          </cell>
        </row>
        <row r="121">
          <cell r="A121" t="str">
            <v>A61501</v>
          </cell>
        </row>
        <row r="122">
          <cell r="A122" t="str">
            <v>A61503</v>
          </cell>
        </row>
        <row r="123">
          <cell r="A123" t="str">
            <v>A61505</v>
          </cell>
        </row>
        <row r="124">
          <cell r="A124" t="str">
            <v>A61507</v>
          </cell>
        </row>
        <row r="125">
          <cell r="A125" t="str">
            <v>A61509</v>
          </cell>
        </row>
        <row r="126">
          <cell r="A126" t="str">
            <v>A61511</v>
          </cell>
          <cell r="E126">
            <v>35393.259999999995</v>
          </cell>
          <cell r="F126">
            <v>132194.01749999999</v>
          </cell>
        </row>
        <row r="127">
          <cell r="A127" t="str">
            <v>A61512</v>
          </cell>
        </row>
        <row r="128">
          <cell r="A128" t="str">
            <v>A61513</v>
          </cell>
        </row>
        <row r="129">
          <cell r="A129" t="str">
            <v>P6150</v>
          </cell>
          <cell r="E129">
            <v>35393.259999999995</v>
          </cell>
          <cell r="F129">
            <v>132194.01749999999</v>
          </cell>
        </row>
        <row r="130">
          <cell r="A130" t="str">
            <v>A61601</v>
          </cell>
          <cell r="E130">
            <v>544313.76</v>
          </cell>
          <cell r="F130">
            <v>578478.24490000005</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544313.76</v>
          </cell>
          <cell r="F137">
            <v>578478.24490000005</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cell r="E154">
            <v>208.68</v>
          </cell>
          <cell r="F154">
            <v>204.4</v>
          </cell>
        </row>
        <row r="155">
          <cell r="A155" t="str">
            <v>A61717</v>
          </cell>
        </row>
        <row r="156">
          <cell r="A156" t="str">
            <v>A61719</v>
          </cell>
        </row>
        <row r="157">
          <cell r="A157" t="str">
            <v>A61721</v>
          </cell>
        </row>
        <row r="158">
          <cell r="A158" t="str">
            <v>A61723</v>
          </cell>
        </row>
        <row r="159">
          <cell r="A159" t="str">
            <v>P6170</v>
          </cell>
          <cell r="E159">
            <v>208.68</v>
          </cell>
          <cell r="F159">
            <v>204.4</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cell r="E171">
            <v>1284.5400000000002</v>
          </cell>
          <cell r="F171">
            <v>1153.2350200000001</v>
          </cell>
        </row>
        <row r="172">
          <cell r="A172" t="str">
            <v>A61906</v>
          </cell>
        </row>
        <row r="173">
          <cell r="A173" t="str">
            <v>P6190</v>
          </cell>
          <cell r="E173">
            <v>1284.5400000000002</v>
          </cell>
          <cell r="F173">
            <v>1153.2350200000001</v>
          </cell>
        </row>
        <row r="174">
          <cell r="A174" t="str">
            <v>A62001</v>
          </cell>
          <cell r="E174">
            <v>6076.26</v>
          </cell>
          <cell r="F174">
            <v>6209.9377199999999</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cell r="E226">
            <v>223.52</v>
          </cell>
          <cell r="F226">
            <v>228.43744000000001</v>
          </cell>
        </row>
        <row r="227">
          <cell r="A227" t="str">
            <v>A62082</v>
          </cell>
        </row>
        <row r="228">
          <cell r="A228" t="str">
            <v>A62083</v>
          </cell>
        </row>
        <row r="229">
          <cell r="A229" t="str">
            <v>A62037</v>
          </cell>
        </row>
        <row r="230">
          <cell r="A230" t="str">
            <v>A62080</v>
          </cell>
        </row>
        <row r="231">
          <cell r="A231" t="str">
            <v>P6200</v>
          </cell>
          <cell r="E231">
            <v>6299.7800000000007</v>
          </cell>
          <cell r="F231">
            <v>6438.3751599999996</v>
          </cell>
        </row>
        <row r="232">
          <cell r="A232" t="str">
            <v>A62301</v>
          </cell>
        </row>
        <row r="233">
          <cell r="A233" t="str">
            <v>A62303</v>
          </cell>
        </row>
        <row r="234">
          <cell r="A234" t="str">
            <v>A62305</v>
          </cell>
        </row>
        <row r="235">
          <cell r="A235" t="str">
            <v>A62307</v>
          </cell>
        </row>
        <row r="236">
          <cell r="A236" t="str">
            <v>A62309</v>
          </cell>
          <cell r="E236">
            <v>55519.299999999988</v>
          </cell>
          <cell r="F236">
            <v>58731.099999999984</v>
          </cell>
        </row>
        <row r="237">
          <cell r="A237" t="str">
            <v>A62311</v>
          </cell>
          <cell r="E237">
            <v>79.239999999999995</v>
          </cell>
        </row>
        <row r="238">
          <cell r="A238" t="str">
            <v>A62312</v>
          </cell>
        </row>
        <row r="239">
          <cell r="A239" t="str">
            <v>P6230</v>
          </cell>
          <cell r="E239">
            <v>55598.539999999986</v>
          </cell>
          <cell r="F239">
            <v>58731.099999999984</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cell r="E270">
            <v>5649</v>
          </cell>
          <cell r="F270">
            <v>5835</v>
          </cell>
        </row>
        <row r="271">
          <cell r="A271" t="str">
            <v>A70407</v>
          </cell>
          <cell r="E271">
            <v>1142.9999999999995</v>
          </cell>
          <cell r="F271">
            <v>1164</v>
          </cell>
        </row>
        <row r="272">
          <cell r="A272" t="str">
            <v>A70409</v>
          </cell>
          <cell r="E272">
            <v>1617.88</v>
          </cell>
          <cell r="F272">
            <v>2204.5868600000003</v>
          </cell>
        </row>
        <row r="273">
          <cell r="A273" t="str">
            <v>P7040</v>
          </cell>
          <cell r="E273">
            <v>8409.880000000001</v>
          </cell>
          <cell r="F273">
            <v>9203.5868599999994</v>
          </cell>
        </row>
        <row r="274">
          <cell r="A274" t="str">
            <v>A70501</v>
          </cell>
          <cell r="E274">
            <v>4293.2300000000005</v>
          </cell>
          <cell r="F274">
            <v>4811.9878799999997</v>
          </cell>
        </row>
        <row r="275">
          <cell r="A275" t="str">
            <v>A70503</v>
          </cell>
          <cell r="E275">
            <v>727.19</v>
          </cell>
          <cell r="F275">
            <v>1337.6753600000002</v>
          </cell>
        </row>
        <row r="276">
          <cell r="A276" t="str">
            <v>A70505</v>
          </cell>
          <cell r="E276">
            <v>2850.21</v>
          </cell>
          <cell r="F276">
            <v>2884.6113399999999</v>
          </cell>
        </row>
        <row r="277">
          <cell r="A277" t="str">
            <v>A70507</v>
          </cell>
          <cell r="E277">
            <v>1163.2599999999998</v>
          </cell>
          <cell r="F277">
            <v>2961.3676400000004</v>
          </cell>
        </row>
        <row r="278">
          <cell r="A278" t="str">
            <v>A70509</v>
          </cell>
          <cell r="E278">
            <v>5.18</v>
          </cell>
          <cell r="F278">
            <v>0</v>
          </cell>
        </row>
        <row r="279">
          <cell r="A279" t="str">
            <v>A70511</v>
          </cell>
          <cell r="E279">
            <v>399.5</v>
          </cell>
          <cell r="F279">
            <v>10000</v>
          </cell>
        </row>
        <row r="280">
          <cell r="A280" t="str">
            <v>A70506</v>
          </cell>
        </row>
        <row r="281">
          <cell r="A281" t="str">
            <v>A70510</v>
          </cell>
        </row>
        <row r="282">
          <cell r="A282" t="str">
            <v>P7050</v>
          </cell>
          <cell r="E282">
            <v>9438.57</v>
          </cell>
          <cell r="F282">
            <v>21995.642220000002</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cell r="E300">
            <v>0</v>
          </cell>
          <cell r="F300">
            <v>0</v>
          </cell>
        </row>
        <row r="301">
          <cell r="A301" t="str">
            <v>P7089</v>
          </cell>
          <cell r="E301">
            <v>0</v>
          </cell>
          <cell r="F301">
            <v>0</v>
          </cell>
        </row>
        <row r="302">
          <cell r="A302" t="str">
            <v>A70801</v>
          </cell>
          <cell r="E302">
            <v>700</v>
          </cell>
          <cell r="F302">
            <v>715.4</v>
          </cell>
        </row>
        <row r="303">
          <cell r="A303" t="str">
            <v>A70803</v>
          </cell>
        </row>
        <row r="304">
          <cell r="A304" t="str">
            <v>A70805</v>
          </cell>
        </row>
        <row r="305">
          <cell r="A305" t="str">
            <v>A70807</v>
          </cell>
        </row>
        <row r="306">
          <cell r="A306" t="str">
            <v>A70809</v>
          </cell>
          <cell r="E306">
            <v>302.55</v>
          </cell>
          <cell r="F306">
            <v>45.223500000000001</v>
          </cell>
        </row>
        <row r="307">
          <cell r="A307" t="str">
            <v>A70811</v>
          </cell>
        </row>
        <row r="308">
          <cell r="A308" t="str">
            <v>P7080</v>
          </cell>
          <cell r="E308">
            <v>1002.55</v>
          </cell>
          <cell r="F308">
            <v>760.62349999999992</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cell r="E338">
            <v>561238.72000000009</v>
          </cell>
          <cell r="F338">
            <v>602385.07010577898</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561238.72000000009</v>
          </cell>
          <cell r="F345">
            <v>602385.07010577898</v>
          </cell>
        </row>
        <row r="346">
          <cell r="A346" t="str">
            <v>A79951</v>
          </cell>
        </row>
        <row r="347">
          <cell r="A347" t="str">
            <v>A79952</v>
          </cell>
          <cell r="E347">
            <v>0</v>
          </cell>
          <cell r="F347">
            <v>0</v>
          </cell>
        </row>
        <row r="348">
          <cell r="A348" t="str">
            <v>A79953</v>
          </cell>
          <cell r="E348">
            <v>0</v>
          </cell>
          <cell r="F348">
            <v>0</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cell r="E356">
            <v>-96383.750000000015</v>
          </cell>
          <cell r="F356">
            <v>-102566.95000000001</v>
          </cell>
        </row>
        <row r="357">
          <cell r="A357" t="str">
            <v>A79958</v>
          </cell>
          <cell r="E357">
            <v>0</v>
          </cell>
          <cell r="F357">
            <v>0</v>
          </cell>
        </row>
        <row r="358">
          <cell r="A358" t="str">
            <v>P7995</v>
          </cell>
          <cell r="E358">
            <v>-96383.750000000015</v>
          </cell>
          <cell r="F358">
            <v>-102566.95000000001</v>
          </cell>
        </row>
        <row r="359">
          <cell r="A359" t="str">
            <v>OAPPP</v>
          </cell>
          <cell r="E359">
            <v>1293111.7400000002</v>
          </cell>
          <cell r="F359">
            <v>1389949.0153457788</v>
          </cell>
        </row>
        <row r="362">
          <cell r="A362" t="str">
            <v>NOUVEAUX COMPTES</v>
          </cell>
        </row>
      </sheetData>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GP BUDGET2007"/>
      <sheetName val="TITLE"/>
      <sheetName val="cashflow july 06"/>
      <sheetName val="Bilan July 06"/>
      <sheetName val="BS"/>
      <sheetName val="P&amp;L"/>
      <sheetName val="Cash flow"/>
      <sheetName val="ENERGY SALES $"/>
      <sheetName val="ENERGY SALES (GW H)"/>
      <sheetName val="ENERGY SALE"/>
      <sheetName val="O&amp;M"/>
      <sheetName val="admin"/>
      <sheetName val="GLPT-TRUST MAN"/>
      <sheetName val="----"/>
      <sheetName val="Actual 2006"/>
      <sheetName val="BUDGET 07"/>
      <sheetName val="Actual YTD"/>
      <sheetName val="TRIAL BALANCE"/>
      <sheetName val="GL STATS"/>
      <sheetName val="Gen 2007"/>
      <sheetName val="Gen 2008"/>
      <sheetName val="Deficiency"/>
      <sheetName val="Red. contra"/>
      <sheetName val="REDEVANCE CONTRAC (51002)"/>
      <sheetName val="Red. statu"/>
      <sheetName val="REDEVANCE STATUTAIRE (51001)"/>
      <sheetName val="ASSURANCE (71811)"/>
      <sheetName val="OTHER REVENUES"/>
      <sheetName val="SALES AND MARKETING"/>
      <sheetName val="START UP COST"/>
      <sheetName val="SALAIRES (61111)"/>
      <sheetName val="GAGES D'OPERATION(61212)"/>
      <sheetName val="GAGES D'ENTRETIEN (61211)"/>
      <sheetName val="MATERIAUX ENTRETIEN (71211)"/>
      <sheetName val="LIBRE SERVICE (71213)"/>
      <sheetName val="CONTRACTEURS (71111)"/>
      <sheetName val="OUTILS (71231)"/>
      <sheetName val="Achat-Magasin (1153)"/>
      <sheetName val="SERVICES PROFESSIONNEL (71331)"/>
      <sheetName val="EXPLOITATION RESERVOIRS (71412)"/>
      <sheetName val="TÉLÉPHONE(72814)"/>
      <sheetName val="COMMUNICATIONS(72818)"/>
      <sheetName val="EQUIPEMENT IT (71511-71521)"/>
      <sheetName val="SERV PROF. - IT (73902)"/>
      <sheetName val="ELECTRICITE(71442)"/>
      <sheetName val="LOCATION (71411)"/>
      <sheetName val="FRAIS DÉPLACEMENT(71701-71721)"/>
      <sheetName val="REPAS(71731)"/>
      <sheetName val="CONVENTION &amp; CONFÉRENCE (63111)"/>
      <sheetName val="COTISATION &amp; AFFILIATION(63131)"/>
      <sheetName val="VEHICULE (1154)"/>
      <sheetName val="LOCATION VEHICULE (71631)"/>
      <sheetName val="E&amp;R VEHICULE (71612)"/>
      <sheetName val="ESSENCE (71611)"/>
      <sheetName val="IMMATRICULATION (71613)"/>
      <sheetName val="TERRAIN PRIVÉS(1174)"/>
      <sheetName val="MATERIAUX-ADMIN (72211) "/>
      <sheetName val="CONTRACTEUR-ADMIN (72111)"/>
      <sheetName val="SALAIRE-ADMIN(61111)"/>
      <sheetName val="RÉM VARIABLE-ADMIN (60100)"/>
      <sheetName val="FOURNITURE-ADMIN (72813)"/>
      <sheetName val="SERV PROF-ADMIN (72331)"/>
      <sheetName val="FRAIS LEGAUX-ADMIN (72311)"/>
      <sheetName val="LOCATION-ADMIN (72811)"/>
      <sheetName val="FRAIS DÉPLACEMENT-ADMIN (72701)"/>
      <sheetName val="CONV ET CONF-ADMIN(72112)"/>
      <sheetName val="COT ET AFF-ADMIN(72131)"/>
      <sheetName val="TELEPHONE-ADMIN(72814)"/>
      <sheetName val="FORMATION-ADMIN(63101)"/>
      <sheetName val="REPAS-ADMIN(72731)"/>
      <sheetName val="SERVICE FEES-ADMIN(4610x)"/>
      <sheetName val="MAJOR MAINTENANCE"/>
      <sheetName val="CORPORATE (1100)"/>
      <sheetName val="MASSON (1101)"/>
      <sheetName val="DUFFERIN (1102)"/>
      <sheetName val="HIGH FALLS (1103)"/>
      <sheetName val="LES CEDRES (1121)"/>
      <sheetName val="KIAMIKA (1122)"/>
      <sheetName val="MITCH (1123)"/>
      <sheetName val="GEST. EXPLOITATION (1131)"/>
      <sheetName val="RESEAU TRANSPORT(1134)"/>
      <sheetName val="GEST.ENTRETIEN (1151)"/>
      <sheetName val="ACHAT (1153)"/>
      <sheetName val="BÉNÉFICE MARGINAUX (1156)"/>
      <sheetName val="ENVIRONNEMENT (1171)"/>
      <sheetName val="DIVERS RH ET COMMUNICAT (1182)"/>
      <sheetName val="SANTÉ ET SÉCURITÉ (1183)"/>
      <sheetName val="RELATIONS AVEC MILIEU (1185)"/>
      <sheetName val="EXTRAORDINARY EXP (76991)"/>
      <sheetName val="FORMATION(118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
          <cell r="C5">
            <v>20328749.899999999</v>
          </cell>
          <cell r="D5" t="str">
            <v>1100-11110-00</v>
          </cell>
        </row>
        <row r="6">
          <cell r="C6">
            <v>0</v>
          </cell>
          <cell r="D6" t="str">
            <v>1100-11111-00</v>
          </cell>
        </row>
        <row r="7">
          <cell r="C7">
            <v>0</v>
          </cell>
          <cell r="D7" t="str">
            <v>1100-11112-00</v>
          </cell>
        </row>
        <row r="8">
          <cell r="C8">
            <v>0</v>
          </cell>
          <cell r="D8" t="str">
            <v>1100-11113-00</v>
          </cell>
        </row>
        <row r="9">
          <cell r="C9">
            <v>0</v>
          </cell>
          <cell r="D9" t="str">
            <v>1100-11115-00</v>
          </cell>
        </row>
        <row r="10">
          <cell r="C10">
            <v>0</v>
          </cell>
          <cell r="D10" t="str">
            <v>1100-11120-00</v>
          </cell>
        </row>
        <row r="11">
          <cell r="C11">
            <v>0</v>
          </cell>
          <cell r="D11" t="str">
            <v>1100-11121-00</v>
          </cell>
        </row>
        <row r="12">
          <cell r="C12">
            <v>0</v>
          </cell>
          <cell r="D12" t="str">
            <v>1100-11131-00</v>
          </cell>
        </row>
        <row r="13">
          <cell r="C13">
            <v>0</v>
          </cell>
          <cell r="D13" t="str">
            <v>1100-11132-00</v>
          </cell>
        </row>
        <row r="14">
          <cell r="C14">
            <v>0</v>
          </cell>
          <cell r="D14" t="str">
            <v>1100-11211-00</v>
          </cell>
        </row>
        <row r="15">
          <cell r="C15">
            <v>2934886.19</v>
          </cell>
          <cell r="D15" t="str">
            <v>1100-11313-00</v>
          </cell>
        </row>
        <row r="16">
          <cell r="C16">
            <v>0</v>
          </cell>
          <cell r="D16" t="str">
            <v>1100-11314-00</v>
          </cell>
        </row>
        <row r="17">
          <cell r="C17">
            <v>0</v>
          </cell>
          <cell r="D17" t="str">
            <v>1100-11350-00</v>
          </cell>
        </row>
        <row r="18">
          <cell r="C18">
            <v>0</v>
          </cell>
          <cell r="D18" t="str">
            <v>1100-11380-00</v>
          </cell>
        </row>
        <row r="19">
          <cell r="C19">
            <v>0</v>
          </cell>
          <cell r="D19" t="str">
            <v>1100-11381-00</v>
          </cell>
        </row>
        <row r="20">
          <cell r="C20">
            <v>0</v>
          </cell>
          <cell r="D20" t="str">
            <v>1100-11382-00</v>
          </cell>
        </row>
        <row r="21">
          <cell r="C21">
            <v>0</v>
          </cell>
          <cell r="D21" t="str">
            <v>1100-11383-00</v>
          </cell>
        </row>
        <row r="22">
          <cell r="C22">
            <v>0</v>
          </cell>
          <cell r="D22" t="str">
            <v>1100-11384-00</v>
          </cell>
        </row>
        <row r="23">
          <cell r="C23">
            <v>0</v>
          </cell>
          <cell r="D23" t="str">
            <v>1100-11385-00</v>
          </cell>
        </row>
        <row r="24">
          <cell r="C24">
            <v>0</v>
          </cell>
          <cell r="D24" t="str">
            <v>1100-11386-00</v>
          </cell>
        </row>
        <row r="25">
          <cell r="C25">
            <v>0</v>
          </cell>
          <cell r="D25" t="str">
            <v>1100-11387-00</v>
          </cell>
        </row>
        <row r="26">
          <cell r="C26">
            <v>0</v>
          </cell>
          <cell r="D26" t="str">
            <v>1100-11388-00</v>
          </cell>
        </row>
        <row r="27">
          <cell r="C27">
            <v>0</v>
          </cell>
          <cell r="D27" t="str">
            <v>1100-11389-00</v>
          </cell>
        </row>
        <row r="28">
          <cell r="C28">
            <v>0</v>
          </cell>
          <cell r="D28" t="str">
            <v>1100-11390-00</v>
          </cell>
        </row>
        <row r="29">
          <cell r="C29">
            <v>0</v>
          </cell>
          <cell r="D29" t="str">
            <v>1100-11391-00</v>
          </cell>
        </row>
        <row r="30">
          <cell r="C30">
            <v>0</v>
          </cell>
          <cell r="D30" t="str">
            <v>1100-11392-00</v>
          </cell>
        </row>
        <row r="31">
          <cell r="C31">
            <v>0</v>
          </cell>
          <cell r="D31" t="str">
            <v>1100-11431-00</v>
          </cell>
        </row>
        <row r="32">
          <cell r="C32">
            <v>0</v>
          </cell>
          <cell r="D32" t="str">
            <v>1100-11432-00</v>
          </cell>
        </row>
        <row r="33">
          <cell r="C33">
            <v>1282224.67</v>
          </cell>
          <cell r="D33" t="str">
            <v>1100-11433-00</v>
          </cell>
        </row>
        <row r="34">
          <cell r="C34">
            <v>0</v>
          </cell>
          <cell r="D34" t="str">
            <v>1100-11434-00</v>
          </cell>
        </row>
        <row r="35">
          <cell r="C35">
            <v>0</v>
          </cell>
          <cell r="D35" t="str">
            <v>1100-11435-00</v>
          </cell>
        </row>
        <row r="36">
          <cell r="C36">
            <v>241008.13</v>
          </cell>
          <cell r="D36" t="str">
            <v>1100-11611-00</v>
          </cell>
        </row>
        <row r="37">
          <cell r="C37">
            <v>0</v>
          </cell>
          <cell r="D37" t="str">
            <v>1100-11615-00</v>
          </cell>
        </row>
        <row r="38">
          <cell r="C38">
            <v>697898.88</v>
          </cell>
          <cell r="D38" t="str">
            <v>1100-11711-00</v>
          </cell>
        </row>
        <row r="39">
          <cell r="C39">
            <v>0</v>
          </cell>
          <cell r="D39" t="str">
            <v>1100-11715-00</v>
          </cell>
        </row>
        <row r="40">
          <cell r="C40">
            <v>0</v>
          </cell>
          <cell r="D40" t="str">
            <v>1100-11721-00</v>
          </cell>
        </row>
        <row r="41">
          <cell r="C41">
            <v>0.48</v>
          </cell>
          <cell r="D41" t="str">
            <v>1100-11731-00</v>
          </cell>
        </row>
        <row r="42">
          <cell r="C42">
            <v>0</v>
          </cell>
          <cell r="D42" t="str">
            <v>1100-11740-00</v>
          </cell>
        </row>
        <row r="43">
          <cell r="C43">
            <v>0</v>
          </cell>
          <cell r="D43" t="str">
            <v>1100-11741-00</v>
          </cell>
        </row>
        <row r="44">
          <cell r="C44">
            <v>0</v>
          </cell>
          <cell r="D44" t="str">
            <v>1100-11742-00</v>
          </cell>
        </row>
        <row r="45">
          <cell r="C45">
            <v>0</v>
          </cell>
          <cell r="D45" t="str">
            <v>1100-11743-00</v>
          </cell>
        </row>
        <row r="46">
          <cell r="C46">
            <v>0</v>
          </cell>
          <cell r="D46" t="str">
            <v>1100-11744-00</v>
          </cell>
        </row>
        <row r="47">
          <cell r="C47">
            <v>0</v>
          </cell>
          <cell r="D47" t="str">
            <v>1100-11745-00</v>
          </cell>
        </row>
        <row r="48">
          <cell r="C48">
            <v>0</v>
          </cell>
          <cell r="D48" t="str">
            <v>1100-11746-00</v>
          </cell>
        </row>
        <row r="49">
          <cell r="C49">
            <v>0</v>
          </cell>
          <cell r="D49" t="str">
            <v>1100-11747-00</v>
          </cell>
        </row>
        <row r="50">
          <cell r="C50">
            <v>0</v>
          </cell>
          <cell r="D50" t="str">
            <v>1100-11748-00</v>
          </cell>
        </row>
        <row r="51">
          <cell r="C51">
            <v>0</v>
          </cell>
          <cell r="D51" t="str">
            <v>1100-11749-00</v>
          </cell>
        </row>
        <row r="52">
          <cell r="C52">
            <v>0</v>
          </cell>
          <cell r="D52" t="str">
            <v>1100-11750-00</v>
          </cell>
        </row>
        <row r="53">
          <cell r="C53">
            <v>0</v>
          </cell>
          <cell r="D53" t="str">
            <v>1100-11751-00</v>
          </cell>
        </row>
        <row r="54">
          <cell r="C54">
            <v>0</v>
          </cell>
          <cell r="D54" t="str">
            <v>1100-12010-00</v>
          </cell>
        </row>
        <row r="55">
          <cell r="C55">
            <v>0</v>
          </cell>
          <cell r="D55" t="str">
            <v>1100-12110-00</v>
          </cell>
        </row>
        <row r="56">
          <cell r="C56">
            <v>355380755.13999999</v>
          </cell>
          <cell r="D56" t="str">
            <v>1100-12130-00</v>
          </cell>
        </row>
        <row r="57">
          <cell r="C57">
            <v>0</v>
          </cell>
          <cell r="D57" t="str">
            <v>1100-12131-00</v>
          </cell>
        </row>
        <row r="58">
          <cell r="C58">
            <v>0</v>
          </cell>
          <cell r="D58" t="str">
            <v>1100-12150-00</v>
          </cell>
        </row>
        <row r="59">
          <cell r="C59">
            <v>0</v>
          </cell>
          <cell r="D59" t="str">
            <v>1100-12160-00</v>
          </cell>
        </row>
        <row r="60">
          <cell r="C60">
            <v>0</v>
          </cell>
          <cell r="D60" t="str">
            <v>1100-12210-00</v>
          </cell>
        </row>
        <row r="61">
          <cell r="C61">
            <v>-18823259.809999999</v>
          </cell>
          <cell r="D61" t="str">
            <v>1100-12230-00</v>
          </cell>
        </row>
        <row r="62">
          <cell r="C62">
            <v>0</v>
          </cell>
          <cell r="D62" t="str">
            <v>1100-12231-00</v>
          </cell>
        </row>
        <row r="63">
          <cell r="C63">
            <v>0</v>
          </cell>
          <cell r="D63" t="str">
            <v>1100-12250-00</v>
          </cell>
        </row>
        <row r="64">
          <cell r="C64">
            <v>0</v>
          </cell>
          <cell r="D64" t="str">
            <v>1100-12260-00</v>
          </cell>
        </row>
        <row r="65">
          <cell r="C65">
            <v>0</v>
          </cell>
          <cell r="D65" t="str">
            <v>1100-12511-00</v>
          </cell>
        </row>
        <row r="66">
          <cell r="C66">
            <v>0</v>
          </cell>
          <cell r="D66" t="str">
            <v>1100-12512-00</v>
          </cell>
        </row>
        <row r="67">
          <cell r="C67">
            <v>0</v>
          </cell>
          <cell r="D67" t="str">
            <v>1100-12513-00</v>
          </cell>
        </row>
        <row r="68">
          <cell r="C68">
            <v>0</v>
          </cell>
          <cell r="D68" t="str">
            <v>1100-13120-00</v>
          </cell>
        </row>
        <row r="69">
          <cell r="C69">
            <v>6771461.5499999998</v>
          </cell>
          <cell r="D69" t="str">
            <v>1100-13121-00</v>
          </cell>
        </row>
        <row r="70">
          <cell r="C70">
            <v>0</v>
          </cell>
          <cell r="D70" t="str">
            <v>1100-13126-00</v>
          </cell>
        </row>
        <row r="71">
          <cell r="C71">
            <v>0</v>
          </cell>
          <cell r="D71" t="str">
            <v>1100-13127-00</v>
          </cell>
        </row>
        <row r="72">
          <cell r="C72">
            <v>0</v>
          </cell>
          <cell r="D72" t="str">
            <v>1100-13128-00</v>
          </cell>
        </row>
        <row r="73">
          <cell r="C73">
            <v>0</v>
          </cell>
          <cell r="D73" t="str">
            <v>1100-13129-00</v>
          </cell>
        </row>
        <row r="74">
          <cell r="C74">
            <v>-758433.24</v>
          </cell>
          <cell r="D74" t="str">
            <v>1100-13130-00</v>
          </cell>
        </row>
        <row r="75">
          <cell r="C75">
            <v>0</v>
          </cell>
          <cell r="D75" t="str">
            <v>1100-13137-00</v>
          </cell>
        </row>
        <row r="76">
          <cell r="C76">
            <v>0</v>
          </cell>
          <cell r="D76" t="str">
            <v>1100-13138-00</v>
          </cell>
        </row>
        <row r="77">
          <cell r="C77">
            <v>0</v>
          </cell>
          <cell r="D77" t="str">
            <v>1100-13139-00</v>
          </cell>
        </row>
        <row r="78">
          <cell r="C78">
            <v>0</v>
          </cell>
          <cell r="D78" t="str">
            <v>1100-13301-00</v>
          </cell>
        </row>
        <row r="79">
          <cell r="C79">
            <v>0</v>
          </cell>
          <cell r="D79" t="str">
            <v>1100-13302-00</v>
          </cell>
        </row>
        <row r="80">
          <cell r="C80">
            <v>0</v>
          </cell>
          <cell r="D80" t="str">
            <v>1100-13303-00</v>
          </cell>
        </row>
        <row r="81">
          <cell r="C81">
            <v>-2460649.4300000002</v>
          </cell>
          <cell r="D81" t="str">
            <v>1100-21111-00</v>
          </cell>
        </row>
        <row r="82">
          <cell r="C82">
            <v>0</v>
          </cell>
          <cell r="D82" t="str">
            <v>1100-21121-00</v>
          </cell>
        </row>
        <row r="83">
          <cell r="C83">
            <v>0</v>
          </cell>
          <cell r="D83" t="str">
            <v>1100-21210-00</v>
          </cell>
        </row>
        <row r="84">
          <cell r="C84">
            <v>0</v>
          </cell>
          <cell r="D84" t="str">
            <v>1100-21211-00</v>
          </cell>
        </row>
        <row r="85">
          <cell r="C85">
            <v>0</v>
          </cell>
          <cell r="D85" t="str">
            <v>1100-21212-00</v>
          </cell>
        </row>
        <row r="86">
          <cell r="C86">
            <v>-606996.06000000006</v>
          </cell>
          <cell r="D86" t="str">
            <v>1100-21215-00</v>
          </cell>
        </row>
        <row r="87">
          <cell r="C87">
            <v>0</v>
          </cell>
          <cell r="D87" t="str">
            <v>1100-21231-00</v>
          </cell>
        </row>
        <row r="88">
          <cell r="C88">
            <v>0</v>
          </cell>
          <cell r="D88" t="str">
            <v>1100-21232-00</v>
          </cell>
        </row>
        <row r="89">
          <cell r="C89">
            <v>-577501</v>
          </cell>
          <cell r="D89" t="str">
            <v>1100-21233-00</v>
          </cell>
        </row>
        <row r="90">
          <cell r="C90">
            <v>0</v>
          </cell>
          <cell r="D90" t="str">
            <v>1100-21311-00</v>
          </cell>
        </row>
        <row r="91">
          <cell r="C91">
            <v>0</v>
          </cell>
          <cell r="D91" t="str">
            <v>1100-21325-00</v>
          </cell>
        </row>
        <row r="92">
          <cell r="C92">
            <v>-170000</v>
          </cell>
          <cell r="D92" t="str">
            <v>1100-21333-00</v>
          </cell>
        </row>
        <row r="93">
          <cell r="C93">
            <v>0</v>
          </cell>
          <cell r="D93" t="str">
            <v>1100-21411-00</v>
          </cell>
        </row>
        <row r="94">
          <cell r="C94">
            <v>0</v>
          </cell>
          <cell r="D94" t="str">
            <v>1100-21412-00</v>
          </cell>
        </row>
        <row r="95">
          <cell r="C95">
            <v>0</v>
          </cell>
          <cell r="D95" t="str">
            <v>1100-21611-00</v>
          </cell>
        </row>
        <row r="96">
          <cell r="C96">
            <v>0</v>
          </cell>
          <cell r="D96" t="str">
            <v>1100-21621-00</v>
          </cell>
        </row>
        <row r="97">
          <cell r="C97">
            <v>-2981834.81</v>
          </cell>
          <cell r="D97" t="str">
            <v>1100-21656-00</v>
          </cell>
        </row>
        <row r="98">
          <cell r="C98">
            <v>0</v>
          </cell>
          <cell r="D98" t="str">
            <v>1100-21711-00</v>
          </cell>
        </row>
        <row r="99">
          <cell r="C99">
            <v>0</v>
          </cell>
          <cell r="D99" t="str">
            <v>1100-21720-00</v>
          </cell>
        </row>
        <row r="100">
          <cell r="C100">
            <v>0</v>
          </cell>
          <cell r="D100" t="str">
            <v>1100-21721-00</v>
          </cell>
        </row>
        <row r="101">
          <cell r="C101">
            <v>0</v>
          </cell>
          <cell r="D101" t="str">
            <v>1100-21722-00</v>
          </cell>
        </row>
        <row r="102">
          <cell r="C102">
            <v>0</v>
          </cell>
          <cell r="D102" t="str">
            <v>1100-22005-00</v>
          </cell>
        </row>
        <row r="103">
          <cell r="C103">
            <v>0</v>
          </cell>
          <cell r="D103" t="str">
            <v>1100-22010-00</v>
          </cell>
        </row>
        <row r="104">
          <cell r="C104">
            <v>0</v>
          </cell>
          <cell r="D104" t="str">
            <v>1100-22012-00</v>
          </cell>
        </row>
        <row r="105">
          <cell r="C105">
            <v>0</v>
          </cell>
          <cell r="D105" t="str">
            <v>1100-22013-00</v>
          </cell>
        </row>
        <row r="106">
          <cell r="C106">
            <v>0</v>
          </cell>
          <cell r="D106" t="str">
            <v>1100-22017-00</v>
          </cell>
        </row>
        <row r="107">
          <cell r="C107">
            <v>0</v>
          </cell>
          <cell r="D107" t="str">
            <v>1100-22018-00</v>
          </cell>
        </row>
        <row r="108">
          <cell r="C108">
            <v>0</v>
          </cell>
          <cell r="D108" t="str">
            <v>1100-22040-00</v>
          </cell>
        </row>
        <row r="109">
          <cell r="C109">
            <v>0</v>
          </cell>
          <cell r="D109" t="str">
            <v>1100-22041-00</v>
          </cell>
        </row>
        <row r="110">
          <cell r="C110">
            <v>-71690150</v>
          </cell>
          <cell r="D110" t="str">
            <v>1100-22306-00</v>
          </cell>
        </row>
        <row r="111">
          <cell r="C111">
            <v>-225000000</v>
          </cell>
          <cell r="D111" t="str">
            <v>1100-22308-00</v>
          </cell>
        </row>
        <row r="112">
          <cell r="C112">
            <v>0</v>
          </cell>
          <cell r="D112" t="str">
            <v>1100-22447-00</v>
          </cell>
        </row>
        <row r="113">
          <cell r="C113">
            <v>0</v>
          </cell>
          <cell r="D113" t="str">
            <v>1100-22448-00</v>
          </cell>
        </row>
        <row r="114">
          <cell r="C114">
            <v>0</v>
          </cell>
          <cell r="D114" t="str">
            <v>1100-22449-00</v>
          </cell>
        </row>
        <row r="115">
          <cell r="C115">
            <v>-89833390</v>
          </cell>
          <cell r="D115" t="str">
            <v>1100-31111-00</v>
          </cell>
        </row>
        <row r="116">
          <cell r="C116">
            <v>0</v>
          </cell>
          <cell r="D116" t="str">
            <v>1100-31112-00</v>
          </cell>
        </row>
        <row r="117">
          <cell r="C117">
            <v>-29142285.670000002</v>
          </cell>
          <cell r="D117" t="str">
            <v>1100-31211-00</v>
          </cell>
        </row>
        <row r="118">
          <cell r="C118">
            <v>0</v>
          </cell>
          <cell r="D118" t="str">
            <v>1100-31314-00</v>
          </cell>
        </row>
        <row r="119">
          <cell r="C119">
            <v>72914469.260000005</v>
          </cell>
          <cell r="D119" t="str">
            <v>1100-31410-00</v>
          </cell>
        </row>
        <row r="120">
          <cell r="C120">
            <v>-33255046.039999999</v>
          </cell>
          <cell r="D120" t="str">
            <v>1100-41001-00</v>
          </cell>
        </row>
        <row r="121">
          <cell r="C121">
            <v>0</v>
          </cell>
          <cell r="D121" t="str">
            <v>1100-41003-00</v>
          </cell>
        </row>
        <row r="122">
          <cell r="C122">
            <v>0</v>
          </cell>
          <cell r="D122" t="str">
            <v>1100-41501-00</v>
          </cell>
        </row>
        <row r="123">
          <cell r="C123">
            <v>-24197054.829999998</v>
          </cell>
          <cell r="D123" t="str">
            <v>1100-41902-00</v>
          </cell>
        </row>
        <row r="124">
          <cell r="C124">
            <v>0</v>
          </cell>
          <cell r="D124" t="str">
            <v>1100-43001-00</v>
          </cell>
        </row>
        <row r="125">
          <cell r="C125">
            <v>0</v>
          </cell>
          <cell r="D125" t="str">
            <v>1100-43506-00</v>
          </cell>
        </row>
        <row r="126">
          <cell r="C126">
            <v>-40000</v>
          </cell>
          <cell r="D126" t="str">
            <v>1100-46001-00</v>
          </cell>
        </row>
        <row r="127">
          <cell r="C127">
            <v>0</v>
          </cell>
          <cell r="D127" t="str">
            <v>1100-46012-00</v>
          </cell>
        </row>
        <row r="128">
          <cell r="C128">
            <v>770702.86</v>
          </cell>
          <cell r="D128" t="str">
            <v>1100-41906-00</v>
          </cell>
        </row>
        <row r="129">
          <cell r="C129">
            <v>650000</v>
          </cell>
          <cell r="D129" t="str">
            <v>1100-52201-00</v>
          </cell>
        </row>
        <row r="130">
          <cell r="C130">
            <v>125000</v>
          </cell>
          <cell r="D130" t="str">
            <v>1100-52202-OA</v>
          </cell>
        </row>
        <row r="131">
          <cell r="C131">
            <v>330000</v>
          </cell>
          <cell r="D131" t="str">
            <v>1100-72999-00</v>
          </cell>
        </row>
        <row r="132">
          <cell r="C132">
            <v>588616.5</v>
          </cell>
          <cell r="D132" t="str">
            <v>1100-75000-00</v>
          </cell>
        </row>
        <row r="133">
          <cell r="C133">
            <v>8600000</v>
          </cell>
          <cell r="D133" t="str">
            <v>1100-81111-00</v>
          </cell>
        </row>
        <row r="134">
          <cell r="C134">
            <v>339000</v>
          </cell>
          <cell r="D134" t="str">
            <v>1100-90101-OA</v>
          </cell>
        </row>
        <row r="135">
          <cell r="C135">
            <v>52500</v>
          </cell>
          <cell r="D135" t="str">
            <v>1100-91111-00</v>
          </cell>
        </row>
        <row r="136">
          <cell r="C136">
            <v>0</v>
          </cell>
          <cell r="D136" t="str">
            <v>1100-91114-00</v>
          </cell>
        </row>
        <row r="137">
          <cell r="C137">
            <v>0</v>
          </cell>
          <cell r="D137" t="str">
            <v>1100-91321-00</v>
          </cell>
        </row>
        <row r="138">
          <cell r="C138">
            <v>12510000</v>
          </cell>
          <cell r="D138" t="str">
            <v>1100-91329-00</v>
          </cell>
        </row>
        <row r="139">
          <cell r="C139">
            <v>0</v>
          </cell>
          <cell r="D139" t="str">
            <v>1100-99997-00</v>
          </cell>
        </row>
        <row r="140">
          <cell r="C140">
            <v>1767313.74</v>
          </cell>
          <cell r="D140" t="str">
            <v>1101-51001-00</v>
          </cell>
        </row>
        <row r="141">
          <cell r="C141">
            <v>27553.75</v>
          </cell>
          <cell r="D141" t="str">
            <v>1101-51002-00</v>
          </cell>
        </row>
        <row r="142">
          <cell r="C142">
            <v>283976</v>
          </cell>
          <cell r="D142" t="str">
            <v>1101-61211-OA</v>
          </cell>
        </row>
        <row r="143">
          <cell r="C143">
            <v>0</v>
          </cell>
          <cell r="D143" t="str">
            <v>1101-71111-MM</v>
          </cell>
        </row>
        <row r="144">
          <cell r="C144">
            <v>65000</v>
          </cell>
          <cell r="D144" t="str">
            <v>1101-71111-OA</v>
          </cell>
        </row>
        <row r="145">
          <cell r="C145">
            <v>0</v>
          </cell>
          <cell r="D145" t="str">
            <v>1101-71211-MM</v>
          </cell>
        </row>
        <row r="146">
          <cell r="C146">
            <v>100000</v>
          </cell>
          <cell r="D146" t="str">
            <v>1101-71211-OA</v>
          </cell>
        </row>
        <row r="147">
          <cell r="C147">
            <v>0</v>
          </cell>
          <cell r="D147" t="str">
            <v>1101-71224-OA</v>
          </cell>
        </row>
        <row r="148">
          <cell r="C148">
            <v>0</v>
          </cell>
          <cell r="D148" t="str">
            <v>1101-71225-OA</v>
          </cell>
        </row>
        <row r="149">
          <cell r="C149">
            <v>11000</v>
          </cell>
          <cell r="D149" t="str">
            <v>1101-71231-OA</v>
          </cell>
        </row>
        <row r="150">
          <cell r="C150">
            <v>0</v>
          </cell>
          <cell r="D150" t="str">
            <v>1101-71331-MM</v>
          </cell>
        </row>
        <row r="151">
          <cell r="C151">
            <v>0</v>
          </cell>
          <cell r="D151" t="str">
            <v>1101-71331-OA</v>
          </cell>
        </row>
        <row r="152">
          <cell r="C152">
            <v>8500</v>
          </cell>
          <cell r="D152" t="str">
            <v>1101-71701-OA</v>
          </cell>
        </row>
        <row r="153">
          <cell r="C153">
            <v>0</v>
          </cell>
          <cell r="D153" t="str">
            <v>1101-71731-MM</v>
          </cell>
        </row>
        <row r="154">
          <cell r="C154">
            <v>1000</v>
          </cell>
          <cell r="D154" t="str">
            <v>1101-71732-OA</v>
          </cell>
        </row>
        <row r="155">
          <cell r="C155">
            <v>0</v>
          </cell>
          <cell r="D155" t="str">
            <v>1101-77611-MM</v>
          </cell>
        </row>
        <row r="156">
          <cell r="C156">
            <v>0</v>
          </cell>
          <cell r="D156" t="str">
            <v>1101-77611-OA</v>
          </cell>
        </row>
        <row r="157">
          <cell r="C157">
            <v>0</v>
          </cell>
          <cell r="D157" t="str">
            <v>1101-78611-OA</v>
          </cell>
        </row>
        <row r="158">
          <cell r="C158">
            <v>0</v>
          </cell>
          <cell r="D158" t="str">
            <v>1101-80111-OA</v>
          </cell>
        </row>
        <row r="159">
          <cell r="C159">
            <v>589104.57999999996</v>
          </cell>
          <cell r="D159" t="str">
            <v>1102-51001-00</v>
          </cell>
        </row>
        <row r="160">
          <cell r="C160">
            <v>72466</v>
          </cell>
          <cell r="D160" t="str">
            <v>1102-61211-OA</v>
          </cell>
        </row>
        <row r="161">
          <cell r="C161">
            <v>0</v>
          </cell>
          <cell r="D161" t="str">
            <v>1102-71111-MM</v>
          </cell>
        </row>
        <row r="162">
          <cell r="C162">
            <v>25000</v>
          </cell>
          <cell r="D162" t="str">
            <v>1102-71111-OA</v>
          </cell>
        </row>
        <row r="163">
          <cell r="C163">
            <v>0</v>
          </cell>
          <cell r="D163" t="str">
            <v>1102-71211-MM</v>
          </cell>
        </row>
        <row r="164">
          <cell r="C164">
            <v>27000</v>
          </cell>
          <cell r="D164" t="str">
            <v>1102-71211-OA</v>
          </cell>
        </row>
        <row r="165">
          <cell r="C165">
            <v>0</v>
          </cell>
          <cell r="D165" t="str">
            <v>1102-71225-MM</v>
          </cell>
        </row>
        <row r="166">
          <cell r="C166">
            <v>0</v>
          </cell>
          <cell r="D166" t="str">
            <v>1102-71225-OA</v>
          </cell>
        </row>
        <row r="167">
          <cell r="C167">
            <v>11000</v>
          </cell>
          <cell r="D167" t="str">
            <v>1102-71231-OA</v>
          </cell>
        </row>
        <row r="168">
          <cell r="C168">
            <v>0</v>
          </cell>
          <cell r="D168" t="str">
            <v>1102-71331-MM</v>
          </cell>
        </row>
        <row r="169">
          <cell r="C169">
            <v>0</v>
          </cell>
          <cell r="D169" t="str">
            <v>1102-71331-OA</v>
          </cell>
        </row>
        <row r="170">
          <cell r="C170">
            <v>0</v>
          </cell>
          <cell r="D170" t="str">
            <v>1102-71621-OA</v>
          </cell>
        </row>
        <row r="171">
          <cell r="C171">
            <v>3000</v>
          </cell>
          <cell r="D171" t="str">
            <v>1102-71701-OA</v>
          </cell>
        </row>
        <row r="172">
          <cell r="C172">
            <v>1000</v>
          </cell>
          <cell r="D172" t="str">
            <v>1102-71732-OA</v>
          </cell>
        </row>
        <row r="173">
          <cell r="C173">
            <v>0</v>
          </cell>
          <cell r="D173" t="str">
            <v>1102-77611-MM</v>
          </cell>
        </row>
        <row r="174">
          <cell r="C174">
            <v>0</v>
          </cell>
          <cell r="D174" t="str">
            <v>1102-77611-OA</v>
          </cell>
        </row>
        <row r="175">
          <cell r="C175">
            <v>0</v>
          </cell>
          <cell r="D175" t="str">
            <v>1102-78611-OA</v>
          </cell>
        </row>
        <row r="176">
          <cell r="C176">
            <v>0</v>
          </cell>
          <cell r="D176" t="str">
            <v>1102-80111-OA</v>
          </cell>
        </row>
        <row r="177">
          <cell r="C177">
            <v>1570945.54</v>
          </cell>
          <cell r="D177" t="str">
            <v>1103-51001-00</v>
          </cell>
        </row>
        <row r="178">
          <cell r="C178">
            <v>49659.07</v>
          </cell>
          <cell r="D178" t="str">
            <v>1103-51002-00</v>
          </cell>
        </row>
        <row r="179">
          <cell r="C179">
            <v>50000</v>
          </cell>
          <cell r="D179" t="str">
            <v>1103-51003-00</v>
          </cell>
        </row>
        <row r="180">
          <cell r="C180">
            <v>375811</v>
          </cell>
          <cell r="D180" t="str">
            <v>1103-61211-OA</v>
          </cell>
        </row>
        <row r="181">
          <cell r="C181">
            <v>0</v>
          </cell>
          <cell r="D181" t="str">
            <v>1103-71111-MM</v>
          </cell>
        </row>
        <row r="182">
          <cell r="C182">
            <v>75000</v>
          </cell>
          <cell r="D182" t="str">
            <v>1103-71111-OA</v>
          </cell>
        </row>
        <row r="183">
          <cell r="C183">
            <v>0</v>
          </cell>
          <cell r="D183" t="str">
            <v>1103-71211-MM</v>
          </cell>
        </row>
        <row r="184">
          <cell r="C184">
            <v>59000</v>
          </cell>
          <cell r="D184" t="str">
            <v>1103-71211-OA</v>
          </cell>
        </row>
        <row r="185">
          <cell r="C185">
            <v>0</v>
          </cell>
          <cell r="D185" t="str">
            <v>1103-71224-OA</v>
          </cell>
        </row>
        <row r="186">
          <cell r="C186">
            <v>0</v>
          </cell>
          <cell r="D186" t="str">
            <v>1103-71225-MM</v>
          </cell>
        </row>
        <row r="187">
          <cell r="C187">
            <v>0</v>
          </cell>
          <cell r="D187" t="str">
            <v>1103-71225-OA</v>
          </cell>
        </row>
        <row r="188">
          <cell r="C188">
            <v>11000</v>
          </cell>
          <cell r="D188" t="str">
            <v>1103-71231-OA</v>
          </cell>
        </row>
        <row r="189">
          <cell r="C189">
            <v>0</v>
          </cell>
          <cell r="D189" t="str">
            <v>1103-71331-MM</v>
          </cell>
        </row>
        <row r="190">
          <cell r="C190">
            <v>0</v>
          </cell>
          <cell r="D190" t="str">
            <v>1103-71331-OA</v>
          </cell>
        </row>
        <row r="191">
          <cell r="C191">
            <v>0</v>
          </cell>
          <cell r="D191" t="str">
            <v>1103-71621-MM</v>
          </cell>
        </row>
        <row r="192">
          <cell r="C192">
            <v>0</v>
          </cell>
          <cell r="D192" t="str">
            <v>1103-71621-OA</v>
          </cell>
        </row>
        <row r="193">
          <cell r="C193">
            <v>15000</v>
          </cell>
          <cell r="D193" t="str">
            <v>1103-71701-OA</v>
          </cell>
        </row>
        <row r="194">
          <cell r="C194">
            <v>1000</v>
          </cell>
          <cell r="D194" t="str">
            <v>1103-71732-OA</v>
          </cell>
        </row>
        <row r="195">
          <cell r="C195">
            <v>0</v>
          </cell>
          <cell r="D195" t="str">
            <v>1103-77611-MM</v>
          </cell>
        </row>
        <row r="196">
          <cell r="C196">
            <v>0</v>
          </cell>
          <cell r="D196" t="str">
            <v>1103-77611-OA</v>
          </cell>
        </row>
        <row r="197">
          <cell r="C197">
            <v>0</v>
          </cell>
          <cell r="D197" t="str">
            <v>1103-78611-OA</v>
          </cell>
        </row>
        <row r="198">
          <cell r="C198">
            <v>0</v>
          </cell>
          <cell r="D198" t="str">
            <v>1103-80111-OA</v>
          </cell>
        </row>
        <row r="199">
          <cell r="C199">
            <v>0</v>
          </cell>
          <cell r="D199" t="str">
            <v>1104-51001-00</v>
          </cell>
        </row>
        <row r="200">
          <cell r="C200">
            <v>173093.12</v>
          </cell>
          <cell r="D200" t="str">
            <v>1121-51001-00</v>
          </cell>
        </row>
        <row r="201">
          <cell r="C201">
            <v>367114.56</v>
          </cell>
          <cell r="D201" t="str">
            <v>1121-51002-00</v>
          </cell>
        </row>
        <row r="202">
          <cell r="C202">
            <v>23500</v>
          </cell>
          <cell r="D202" t="str">
            <v>1121-51003-00</v>
          </cell>
        </row>
        <row r="203">
          <cell r="C203">
            <v>16866</v>
          </cell>
          <cell r="D203" t="str">
            <v>1121-61211-OA</v>
          </cell>
        </row>
        <row r="204">
          <cell r="C204">
            <v>60000</v>
          </cell>
          <cell r="D204" t="str">
            <v>1121-71111-OA</v>
          </cell>
        </row>
        <row r="205">
          <cell r="C205">
            <v>0</v>
          </cell>
          <cell r="D205" t="str">
            <v>1121-71211-MM</v>
          </cell>
        </row>
        <row r="206">
          <cell r="C206">
            <v>13000</v>
          </cell>
          <cell r="D206" t="str">
            <v>1121-71211-OA</v>
          </cell>
        </row>
        <row r="207">
          <cell r="C207">
            <v>0</v>
          </cell>
          <cell r="D207" t="str">
            <v>1121-71225-OA</v>
          </cell>
        </row>
        <row r="208">
          <cell r="C208">
            <v>0</v>
          </cell>
          <cell r="D208" t="str">
            <v>1121-71331-MM</v>
          </cell>
        </row>
        <row r="209">
          <cell r="C209">
            <v>5000</v>
          </cell>
          <cell r="D209" t="str">
            <v>1121-71331-OA</v>
          </cell>
        </row>
        <row r="210">
          <cell r="C210">
            <v>765000</v>
          </cell>
          <cell r="D210" t="str">
            <v>1121-71412-OA</v>
          </cell>
        </row>
        <row r="211">
          <cell r="C211">
            <v>0</v>
          </cell>
          <cell r="D211" t="str">
            <v>1121-71701-OA</v>
          </cell>
        </row>
        <row r="212">
          <cell r="C212">
            <v>0</v>
          </cell>
          <cell r="D212" t="str">
            <v>1121-77611-OA</v>
          </cell>
        </row>
        <row r="213">
          <cell r="C213">
            <v>38305.230000000003</v>
          </cell>
          <cell r="D213" t="str">
            <v>1122-51002-00</v>
          </cell>
        </row>
        <row r="214">
          <cell r="C214">
            <v>3000</v>
          </cell>
          <cell r="D214" t="str">
            <v>1122-61211-OA</v>
          </cell>
        </row>
        <row r="215">
          <cell r="C215">
            <v>0</v>
          </cell>
          <cell r="D215" t="str">
            <v>1122-71111-MM</v>
          </cell>
        </row>
        <row r="216">
          <cell r="C216">
            <v>0</v>
          </cell>
          <cell r="D216" t="str">
            <v>1122-71331-MM</v>
          </cell>
        </row>
        <row r="217">
          <cell r="C217">
            <v>0</v>
          </cell>
          <cell r="D217" t="str">
            <v>1122-71412-OA</v>
          </cell>
        </row>
        <row r="218">
          <cell r="C218">
            <v>0</v>
          </cell>
          <cell r="D218" t="str">
            <v>1122-71701-OA</v>
          </cell>
        </row>
        <row r="219">
          <cell r="C219">
            <v>0</v>
          </cell>
          <cell r="D219" t="str">
            <v>1122-71731-OA</v>
          </cell>
        </row>
        <row r="220">
          <cell r="C220">
            <v>0</v>
          </cell>
          <cell r="D220" t="str">
            <v>1122-77611-MM</v>
          </cell>
        </row>
        <row r="221">
          <cell r="C221">
            <v>0</v>
          </cell>
          <cell r="D221" t="str">
            <v>1122-77611-OA</v>
          </cell>
        </row>
        <row r="222">
          <cell r="C222">
            <v>50863.67</v>
          </cell>
          <cell r="D222" t="str">
            <v>1123-51002-00</v>
          </cell>
        </row>
        <row r="223">
          <cell r="C223">
            <v>3000</v>
          </cell>
          <cell r="D223" t="str">
            <v>1123-61211-OA</v>
          </cell>
        </row>
        <row r="224">
          <cell r="C224">
            <v>0</v>
          </cell>
          <cell r="D224" t="str">
            <v>1123-71111-MM</v>
          </cell>
        </row>
        <row r="225">
          <cell r="C225">
            <v>0</v>
          </cell>
          <cell r="D225" t="str">
            <v>1123-71211-MM</v>
          </cell>
        </row>
        <row r="226">
          <cell r="C226">
            <v>0</v>
          </cell>
          <cell r="D226" t="str">
            <v>1123-71331-MM</v>
          </cell>
        </row>
        <row r="227">
          <cell r="C227">
            <v>0</v>
          </cell>
          <cell r="D227" t="str">
            <v>1123-71412-OA</v>
          </cell>
        </row>
        <row r="228">
          <cell r="C228">
            <v>0</v>
          </cell>
          <cell r="D228" t="str">
            <v>1123-71701-OA</v>
          </cell>
        </row>
        <row r="229">
          <cell r="C229">
            <v>0</v>
          </cell>
          <cell r="D229" t="str">
            <v>1123-71731-OA</v>
          </cell>
        </row>
        <row r="230">
          <cell r="C230">
            <v>0</v>
          </cell>
          <cell r="D230" t="str">
            <v>1123-77611-OA</v>
          </cell>
        </row>
        <row r="231">
          <cell r="C231">
            <v>537000</v>
          </cell>
          <cell r="D231" t="str">
            <v>1131-61212-OA</v>
          </cell>
        </row>
        <row r="232">
          <cell r="C232">
            <v>0</v>
          </cell>
          <cell r="D232" t="str">
            <v>1131-71225-OA</v>
          </cell>
        </row>
        <row r="233">
          <cell r="C233">
            <v>0</v>
          </cell>
          <cell r="D233" t="str">
            <v>1131-71331-MM</v>
          </cell>
        </row>
        <row r="234">
          <cell r="C234">
            <v>0</v>
          </cell>
          <cell r="D234" t="str">
            <v>1131-71331-OA</v>
          </cell>
        </row>
        <row r="235">
          <cell r="C235">
            <v>3000</v>
          </cell>
          <cell r="D235" t="str">
            <v>1131-71701-OA</v>
          </cell>
        </row>
        <row r="236">
          <cell r="C236">
            <v>2000</v>
          </cell>
          <cell r="D236" t="str">
            <v>1131-71732-OA</v>
          </cell>
        </row>
        <row r="237">
          <cell r="C237">
            <v>0</v>
          </cell>
          <cell r="D237" t="str">
            <v>1131-77611-OA</v>
          </cell>
        </row>
        <row r="238">
          <cell r="C238">
            <v>0</v>
          </cell>
          <cell r="D238" t="str">
            <v>1131-78611-OA</v>
          </cell>
        </row>
        <row r="239">
          <cell r="C239">
            <v>0</v>
          </cell>
          <cell r="D239" t="str">
            <v>1131-80111-OA</v>
          </cell>
        </row>
        <row r="240">
          <cell r="C240">
            <v>68466</v>
          </cell>
          <cell r="D240" t="str">
            <v>1134-61211-OA</v>
          </cell>
        </row>
        <row r="241">
          <cell r="C241">
            <v>0</v>
          </cell>
          <cell r="D241" t="str">
            <v>1134-71111-MM</v>
          </cell>
        </row>
        <row r="242">
          <cell r="C242">
            <v>80000</v>
          </cell>
          <cell r="D242" t="str">
            <v>1134-71111-OA</v>
          </cell>
        </row>
        <row r="243">
          <cell r="C243">
            <v>0</v>
          </cell>
          <cell r="D243" t="str">
            <v>1134-71211-MM</v>
          </cell>
        </row>
        <row r="244">
          <cell r="C244">
            <v>46000</v>
          </cell>
          <cell r="D244" t="str">
            <v>1134-71211-OA</v>
          </cell>
        </row>
        <row r="245">
          <cell r="C245">
            <v>0</v>
          </cell>
          <cell r="D245" t="str">
            <v>1134-71225-MM</v>
          </cell>
        </row>
        <row r="246">
          <cell r="C246">
            <v>0</v>
          </cell>
          <cell r="D246" t="str">
            <v>1134-71225-OA</v>
          </cell>
        </row>
        <row r="247">
          <cell r="C247">
            <v>0</v>
          </cell>
          <cell r="D247" t="str">
            <v>1134-71331-MM</v>
          </cell>
        </row>
        <row r="248">
          <cell r="C248">
            <v>10000</v>
          </cell>
          <cell r="D248" t="str">
            <v>1134-71331-OA</v>
          </cell>
        </row>
        <row r="249">
          <cell r="C249">
            <v>0</v>
          </cell>
          <cell r="D249" t="str">
            <v>1134-71621-MM</v>
          </cell>
        </row>
        <row r="250">
          <cell r="C250">
            <v>0</v>
          </cell>
          <cell r="D250" t="str">
            <v>1134-71621-OA</v>
          </cell>
        </row>
        <row r="251">
          <cell r="C251">
            <v>0</v>
          </cell>
          <cell r="D251" t="str">
            <v>1134-71701-OA</v>
          </cell>
        </row>
        <row r="252">
          <cell r="C252">
            <v>0</v>
          </cell>
          <cell r="D252" t="str">
            <v>1134-77611-MM</v>
          </cell>
        </row>
        <row r="253">
          <cell r="C253">
            <v>0</v>
          </cell>
          <cell r="D253" t="str">
            <v>1134-77611-OA</v>
          </cell>
        </row>
        <row r="254">
          <cell r="C254">
            <v>0</v>
          </cell>
          <cell r="D254" t="str">
            <v>1134-78611-OA</v>
          </cell>
        </row>
        <row r="255">
          <cell r="C255">
            <v>0</v>
          </cell>
          <cell r="D255" t="str">
            <v>1134-80111-OA</v>
          </cell>
        </row>
        <row r="256">
          <cell r="C256">
            <v>-84300</v>
          </cell>
          <cell r="D256" t="str">
            <v>1151-46101-00</v>
          </cell>
        </row>
        <row r="257">
          <cell r="C257">
            <v>-176900</v>
          </cell>
          <cell r="D257" t="str">
            <v>1151-46102-00</v>
          </cell>
        </row>
        <row r="258">
          <cell r="C258">
            <v>-27000</v>
          </cell>
          <cell r="D258" t="str">
            <v>1151-46104-00</v>
          </cell>
        </row>
        <row r="259">
          <cell r="C259">
            <v>1050000</v>
          </cell>
          <cell r="D259" t="str">
            <v>1151-61111-OA</v>
          </cell>
        </row>
        <row r="260">
          <cell r="C260">
            <v>0</v>
          </cell>
          <cell r="D260" t="str">
            <v>1151-63111-OA</v>
          </cell>
        </row>
        <row r="261">
          <cell r="C261">
            <v>0</v>
          </cell>
          <cell r="D261" t="str">
            <v>1151-63131-OA</v>
          </cell>
        </row>
        <row r="262">
          <cell r="C262">
            <v>0</v>
          </cell>
          <cell r="D262" t="str">
            <v>1151-71181-OA</v>
          </cell>
        </row>
        <row r="263">
          <cell r="C263">
            <v>0</v>
          </cell>
          <cell r="D263" t="str">
            <v>1151-71211-MM</v>
          </cell>
        </row>
        <row r="264">
          <cell r="C264">
            <v>0</v>
          </cell>
          <cell r="D264" t="str">
            <v>1151-71211-OA</v>
          </cell>
        </row>
        <row r="265">
          <cell r="C265">
            <v>0</v>
          </cell>
          <cell r="D265" t="str">
            <v>1151-71212-OA</v>
          </cell>
        </row>
        <row r="266">
          <cell r="C266">
            <v>6000</v>
          </cell>
          <cell r="D266" t="str">
            <v>1151-71213-OA</v>
          </cell>
        </row>
        <row r="267">
          <cell r="C267">
            <v>0</v>
          </cell>
          <cell r="D267" t="str">
            <v>1151-71225-OA</v>
          </cell>
        </row>
        <row r="268">
          <cell r="C268">
            <v>0</v>
          </cell>
          <cell r="D268" t="str">
            <v>1151-71231-OA</v>
          </cell>
        </row>
        <row r="269">
          <cell r="C269">
            <v>0</v>
          </cell>
          <cell r="D269" t="str">
            <v>1151-71331-MM</v>
          </cell>
        </row>
        <row r="270">
          <cell r="C270">
            <v>105000</v>
          </cell>
          <cell r="D270" t="str">
            <v>1151-71331-OA</v>
          </cell>
        </row>
        <row r="271">
          <cell r="C271">
            <v>0</v>
          </cell>
          <cell r="D271" t="str">
            <v>1151-71412-OA</v>
          </cell>
        </row>
        <row r="272">
          <cell r="C272">
            <v>7000</v>
          </cell>
          <cell r="D272" t="str">
            <v>1151-71442-OA</v>
          </cell>
        </row>
        <row r="273">
          <cell r="C273">
            <v>25000</v>
          </cell>
          <cell r="D273" t="str">
            <v>1151-71511-OA</v>
          </cell>
        </row>
        <row r="274">
          <cell r="C274">
            <v>0</v>
          </cell>
          <cell r="D274" t="str">
            <v>1151-71514-OA</v>
          </cell>
        </row>
        <row r="275">
          <cell r="C275">
            <v>4000</v>
          </cell>
          <cell r="D275" t="str">
            <v>1151-71611-OA</v>
          </cell>
        </row>
        <row r="276">
          <cell r="C276">
            <v>0</v>
          </cell>
          <cell r="D276" t="str">
            <v>1151-71613-OA</v>
          </cell>
        </row>
        <row r="277">
          <cell r="C277">
            <v>0</v>
          </cell>
          <cell r="D277" t="str">
            <v>1151-71621-MM</v>
          </cell>
        </row>
        <row r="278">
          <cell r="C278">
            <v>8000</v>
          </cell>
          <cell r="D278" t="str">
            <v>1151-71621-OA</v>
          </cell>
        </row>
        <row r="279">
          <cell r="C279">
            <v>0</v>
          </cell>
          <cell r="D279" t="str">
            <v>1151-71631-OA</v>
          </cell>
        </row>
        <row r="280">
          <cell r="C280">
            <v>0</v>
          </cell>
          <cell r="D280" t="str">
            <v>1151-71701-MM</v>
          </cell>
        </row>
        <row r="281">
          <cell r="C281">
            <v>31500</v>
          </cell>
          <cell r="D281" t="str">
            <v>1151-71701-OA</v>
          </cell>
        </row>
        <row r="282">
          <cell r="C282">
            <v>0</v>
          </cell>
          <cell r="D282" t="str">
            <v>1151-71731-MM</v>
          </cell>
        </row>
        <row r="283">
          <cell r="C283">
            <v>11000</v>
          </cell>
          <cell r="D283" t="str">
            <v>1151-71731-OA</v>
          </cell>
        </row>
        <row r="284">
          <cell r="C284">
            <v>0</v>
          </cell>
          <cell r="D284" t="str">
            <v>1151-71813-OA</v>
          </cell>
        </row>
        <row r="285">
          <cell r="C285">
            <v>0</v>
          </cell>
          <cell r="D285" t="str">
            <v>1151-71814-OA</v>
          </cell>
        </row>
        <row r="286">
          <cell r="C286">
            <v>130000</v>
          </cell>
          <cell r="D286" t="str">
            <v>1151-71818-OA</v>
          </cell>
        </row>
        <row r="287">
          <cell r="C287">
            <v>0</v>
          </cell>
          <cell r="D287" t="str">
            <v>1151-72311-OA</v>
          </cell>
        </row>
        <row r="288">
          <cell r="C288">
            <v>0</v>
          </cell>
          <cell r="D288" t="str">
            <v>1151-72814-MM</v>
          </cell>
        </row>
        <row r="289">
          <cell r="C289">
            <v>2689800</v>
          </cell>
          <cell r="D289" t="str">
            <v>1151-73111-MM</v>
          </cell>
        </row>
        <row r="290">
          <cell r="C290">
            <v>952000</v>
          </cell>
          <cell r="D290" t="str">
            <v>1151-73800-OA</v>
          </cell>
        </row>
        <row r="291">
          <cell r="C291">
            <v>217120</v>
          </cell>
          <cell r="D291" t="str">
            <v>1151-73902-OA</v>
          </cell>
        </row>
        <row r="292">
          <cell r="C292">
            <v>0</v>
          </cell>
          <cell r="D292" t="str">
            <v>1151-77611-MM</v>
          </cell>
        </row>
        <row r="293">
          <cell r="C293">
            <v>0</v>
          </cell>
          <cell r="D293" t="str">
            <v>1151-77611-OA</v>
          </cell>
        </row>
        <row r="294">
          <cell r="C294">
            <v>0</v>
          </cell>
          <cell r="D294" t="str">
            <v>1151-78611-OA</v>
          </cell>
        </row>
        <row r="295">
          <cell r="C295">
            <v>0</v>
          </cell>
          <cell r="D295" t="str">
            <v>1151-80111-OA</v>
          </cell>
        </row>
        <row r="296">
          <cell r="C296">
            <v>5000</v>
          </cell>
          <cell r="D296" t="str">
            <v>1153-71221-OA</v>
          </cell>
        </row>
        <row r="297">
          <cell r="C297">
            <v>0</v>
          </cell>
          <cell r="D297" t="str">
            <v>1153-71222-OA</v>
          </cell>
        </row>
        <row r="298">
          <cell r="C298">
            <v>5000</v>
          </cell>
          <cell r="D298" t="str">
            <v>1153-71223-OA</v>
          </cell>
        </row>
        <row r="299">
          <cell r="C299">
            <v>0</v>
          </cell>
          <cell r="D299" t="str">
            <v>1153-71224-OA</v>
          </cell>
        </row>
        <row r="300">
          <cell r="C300">
            <v>0</v>
          </cell>
          <cell r="D300" t="str">
            <v>1153-71225-OA</v>
          </cell>
        </row>
        <row r="301">
          <cell r="C301">
            <v>5000</v>
          </cell>
          <cell r="D301" t="str">
            <v>1153-71331-OA</v>
          </cell>
        </row>
        <row r="302">
          <cell r="C302">
            <v>0</v>
          </cell>
          <cell r="D302" t="str">
            <v>1154-71225-OA</v>
          </cell>
        </row>
        <row r="303">
          <cell r="C303">
            <v>22000</v>
          </cell>
          <cell r="D303" t="str">
            <v>1154-71611-OA</v>
          </cell>
        </row>
        <row r="304">
          <cell r="C304">
            <v>12000</v>
          </cell>
          <cell r="D304" t="str">
            <v>1154-71612-OA</v>
          </cell>
        </row>
        <row r="305">
          <cell r="C305">
            <v>8000</v>
          </cell>
          <cell r="D305" t="str">
            <v>1154-71613-OA</v>
          </cell>
        </row>
        <row r="306">
          <cell r="C306">
            <v>51600</v>
          </cell>
          <cell r="D306" t="str">
            <v>1154-71631-OA</v>
          </cell>
        </row>
        <row r="307">
          <cell r="C307">
            <v>0</v>
          </cell>
          <cell r="D307" t="str">
            <v>1154-77611-OA</v>
          </cell>
        </row>
        <row r="308">
          <cell r="C308">
            <v>168000</v>
          </cell>
          <cell r="D308" t="str">
            <v>1156-61131-OA</v>
          </cell>
        </row>
        <row r="309">
          <cell r="C309">
            <v>8500</v>
          </cell>
          <cell r="D309" t="str">
            <v>1156-61132-OA</v>
          </cell>
        </row>
        <row r="310">
          <cell r="C310">
            <v>5000</v>
          </cell>
          <cell r="D310" t="str">
            <v>1156-61151-OA</v>
          </cell>
        </row>
        <row r="311">
          <cell r="C311">
            <v>2500</v>
          </cell>
          <cell r="D311" t="str">
            <v>1156-61213-OA</v>
          </cell>
        </row>
        <row r="312">
          <cell r="C312">
            <v>59136</v>
          </cell>
          <cell r="D312" t="str">
            <v>1156-61214-OA</v>
          </cell>
        </row>
        <row r="313">
          <cell r="C313">
            <v>78325</v>
          </cell>
          <cell r="D313" t="str">
            <v>1156-62111-OA</v>
          </cell>
        </row>
        <row r="314">
          <cell r="C314">
            <v>47300</v>
          </cell>
          <cell r="D314" t="str">
            <v>1156-62121-OA</v>
          </cell>
        </row>
        <row r="315">
          <cell r="C315">
            <v>0</v>
          </cell>
          <cell r="D315" t="str">
            <v>1156-62122-OA</v>
          </cell>
        </row>
        <row r="316">
          <cell r="C316">
            <v>137500</v>
          </cell>
          <cell r="D316" t="str">
            <v>1156-62131-OA</v>
          </cell>
        </row>
        <row r="317">
          <cell r="C317">
            <v>19500</v>
          </cell>
          <cell r="D317" t="str">
            <v>1156-62141-OA</v>
          </cell>
        </row>
        <row r="318">
          <cell r="C318">
            <v>2608</v>
          </cell>
          <cell r="D318" t="str">
            <v>1156-62142-OA</v>
          </cell>
        </row>
        <row r="319">
          <cell r="C319">
            <v>323000</v>
          </cell>
          <cell r="D319" t="str">
            <v>1156-62151-OA</v>
          </cell>
        </row>
        <row r="320">
          <cell r="C320">
            <v>18700</v>
          </cell>
          <cell r="D320" t="str">
            <v>1156-62152-OA</v>
          </cell>
        </row>
        <row r="321">
          <cell r="C321">
            <v>31000</v>
          </cell>
          <cell r="D321" t="str">
            <v>1156-62153-OA</v>
          </cell>
        </row>
        <row r="322">
          <cell r="C322">
            <v>122500</v>
          </cell>
          <cell r="D322" t="str">
            <v>1156-62191-OA</v>
          </cell>
        </row>
        <row r="323">
          <cell r="C323">
            <v>10000</v>
          </cell>
          <cell r="D323" t="str">
            <v>1171-71111-OA</v>
          </cell>
        </row>
        <row r="324">
          <cell r="C324">
            <v>20000</v>
          </cell>
          <cell r="D324" t="str">
            <v>1171-71211-OA</v>
          </cell>
        </row>
        <row r="325">
          <cell r="C325">
            <v>30000</v>
          </cell>
          <cell r="D325" t="str">
            <v>1171-71331-OA</v>
          </cell>
        </row>
        <row r="326">
          <cell r="C326">
            <v>0</v>
          </cell>
          <cell r="D326" t="str">
            <v>1171-71621-OA</v>
          </cell>
        </row>
        <row r="327">
          <cell r="C327">
            <v>0</v>
          </cell>
          <cell r="D327" t="str">
            <v>1171-71701-OA</v>
          </cell>
        </row>
        <row r="328">
          <cell r="C328">
            <v>40000</v>
          </cell>
          <cell r="D328" t="str">
            <v>1174-61111-OA</v>
          </cell>
        </row>
        <row r="329">
          <cell r="C329">
            <v>20000</v>
          </cell>
          <cell r="D329" t="str">
            <v>1174-71211-OA</v>
          </cell>
        </row>
        <row r="330">
          <cell r="C330">
            <v>0</v>
          </cell>
          <cell r="D330" t="str">
            <v>1174-71225-OA</v>
          </cell>
        </row>
        <row r="331">
          <cell r="C331">
            <v>50000</v>
          </cell>
          <cell r="D331" t="str">
            <v>1174-71331-OA</v>
          </cell>
        </row>
        <row r="332">
          <cell r="C332">
            <v>0</v>
          </cell>
          <cell r="D332" t="str">
            <v>1174-71621-OA</v>
          </cell>
        </row>
        <row r="333">
          <cell r="C333">
            <v>5000</v>
          </cell>
          <cell r="D333" t="str">
            <v>1174-71701-OA</v>
          </cell>
        </row>
        <row r="334">
          <cell r="C334">
            <v>0</v>
          </cell>
          <cell r="D334" t="str">
            <v>1174-77611-OA</v>
          </cell>
        </row>
        <row r="335">
          <cell r="C335">
            <v>0</v>
          </cell>
          <cell r="D335" t="str">
            <v>1174-78611-OA</v>
          </cell>
        </row>
        <row r="336">
          <cell r="C336">
            <v>0</v>
          </cell>
          <cell r="D336" t="str">
            <v>1174-80111-OA</v>
          </cell>
        </row>
        <row r="337">
          <cell r="C337">
            <v>-127700</v>
          </cell>
          <cell r="D337" t="str">
            <v>1181-46101-00</v>
          </cell>
        </row>
        <row r="338">
          <cell r="C338">
            <v>-194100</v>
          </cell>
          <cell r="D338" t="str">
            <v>1181-46102-00</v>
          </cell>
        </row>
        <row r="339">
          <cell r="C339">
            <v>-12000</v>
          </cell>
          <cell r="D339" t="str">
            <v>1181-46105-00</v>
          </cell>
        </row>
        <row r="340">
          <cell r="C340">
            <v>170000</v>
          </cell>
          <cell r="D340" t="str">
            <v>1181-60100-OA</v>
          </cell>
        </row>
        <row r="341">
          <cell r="C341">
            <v>262500</v>
          </cell>
          <cell r="D341" t="str">
            <v>1181-61111-OA</v>
          </cell>
        </row>
        <row r="342">
          <cell r="C342">
            <v>52000</v>
          </cell>
          <cell r="D342" t="str">
            <v>1181-72111-OA</v>
          </cell>
        </row>
        <row r="343">
          <cell r="C343">
            <v>25000</v>
          </cell>
          <cell r="D343" t="str">
            <v>1181-72112-OA</v>
          </cell>
        </row>
        <row r="344">
          <cell r="C344">
            <v>10000</v>
          </cell>
          <cell r="D344" t="str">
            <v>1181-72131-OA</v>
          </cell>
        </row>
        <row r="345">
          <cell r="C345">
            <v>5000</v>
          </cell>
          <cell r="D345" t="str">
            <v>1181-72211-OA</v>
          </cell>
        </row>
        <row r="346">
          <cell r="C346">
            <v>0</v>
          </cell>
          <cell r="D346" t="str">
            <v>1181-72225-OA</v>
          </cell>
        </row>
        <row r="347">
          <cell r="C347">
            <v>80000</v>
          </cell>
          <cell r="D347" t="str">
            <v>1181-72311-OA</v>
          </cell>
        </row>
        <row r="348">
          <cell r="C348">
            <v>31000</v>
          </cell>
          <cell r="D348" t="str">
            <v>1181-72331-OA</v>
          </cell>
        </row>
        <row r="349">
          <cell r="C349">
            <v>0</v>
          </cell>
          <cell r="D349" t="str">
            <v>1181-72621-OA</v>
          </cell>
        </row>
        <row r="350">
          <cell r="C350">
            <v>5000</v>
          </cell>
          <cell r="D350" t="str">
            <v>1181-72701-OA</v>
          </cell>
        </row>
        <row r="351">
          <cell r="C351">
            <v>3000</v>
          </cell>
          <cell r="D351" t="str">
            <v>1181-72731-OA</v>
          </cell>
        </row>
        <row r="352">
          <cell r="C352">
            <v>205700</v>
          </cell>
          <cell r="D352" t="str">
            <v>1181-72811-OA</v>
          </cell>
        </row>
        <row r="353">
          <cell r="C353">
            <v>63000</v>
          </cell>
          <cell r="D353" t="str">
            <v>1181-72813-OA</v>
          </cell>
        </row>
        <row r="354">
          <cell r="C354">
            <v>69000</v>
          </cell>
          <cell r="D354" t="str">
            <v>1181-72814-OA</v>
          </cell>
        </row>
        <row r="355">
          <cell r="C355">
            <v>15000</v>
          </cell>
          <cell r="D355" t="str">
            <v>1182-61311-OA</v>
          </cell>
        </row>
        <row r="356">
          <cell r="C356">
            <v>15000</v>
          </cell>
          <cell r="D356" t="str">
            <v>1182-72181-OA</v>
          </cell>
        </row>
        <row r="357">
          <cell r="C357">
            <v>50000</v>
          </cell>
          <cell r="D357" t="str">
            <v>1182-72331-OA</v>
          </cell>
        </row>
        <row r="358">
          <cell r="C358">
            <v>17000</v>
          </cell>
          <cell r="D358" t="str">
            <v>1182-72514-OA</v>
          </cell>
        </row>
        <row r="359">
          <cell r="C359">
            <v>0</v>
          </cell>
          <cell r="D359" t="str">
            <v>1183-71211-MM</v>
          </cell>
        </row>
        <row r="360">
          <cell r="C360">
            <v>50000</v>
          </cell>
          <cell r="D360" t="str">
            <v>1183-71211-OA</v>
          </cell>
        </row>
        <row r="361">
          <cell r="C361">
            <v>0</v>
          </cell>
          <cell r="D361" t="str">
            <v>1183-71225-OA</v>
          </cell>
        </row>
        <row r="362">
          <cell r="C362">
            <v>70000</v>
          </cell>
          <cell r="D362" t="str">
            <v>1183-71331-OA</v>
          </cell>
        </row>
        <row r="363">
          <cell r="C363">
            <v>0</v>
          </cell>
          <cell r="D363" t="str">
            <v>1183-77611-OA</v>
          </cell>
        </row>
        <row r="364">
          <cell r="C364">
            <v>0</v>
          </cell>
          <cell r="D364" t="str">
            <v>1185-71331-MM</v>
          </cell>
        </row>
        <row r="365">
          <cell r="C365">
            <v>0</v>
          </cell>
          <cell r="D365" t="str">
            <v>1185-72311-OA</v>
          </cell>
        </row>
        <row r="366">
          <cell r="C366">
            <v>50000</v>
          </cell>
          <cell r="D366" t="str">
            <v>1185-72331-OA</v>
          </cell>
        </row>
        <row r="367">
          <cell r="C367">
            <v>65000</v>
          </cell>
          <cell r="D367" t="str">
            <v>1185-72512-OA</v>
          </cell>
        </row>
        <row r="368">
          <cell r="C368">
            <v>55000</v>
          </cell>
          <cell r="D368" t="str">
            <v>1185-72513-OA</v>
          </cell>
        </row>
        <row r="369">
          <cell r="C369">
            <v>100000</v>
          </cell>
          <cell r="D369" t="str">
            <v>1185-72518-OA</v>
          </cell>
        </row>
        <row r="370">
          <cell r="C370">
            <v>0</v>
          </cell>
          <cell r="D370" t="str">
            <v>1185-72701-OA</v>
          </cell>
        </row>
        <row r="371">
          <cell r="C371">
            <v>0</v>
          </cell>
          <cell r="D371" t="str">
            <v>1185-77611-OA</v>
          </cell>
        </row>
        <row r="372">
          <cell r="C372">
            <v>164000</v>
          </cell>
          <cell r="D372" t="str">
            <v>1186-63101-OA</v>
          </cell>
        </row>
        <row r="373">
          <cell r="C373">
            <v>0</v>
          </cell>
          <cell r="D373" t="str">
            <v>1186-63111-OA</v>
          </cell>
        </row>
        <row r="374">
          <cell r="C374">
            <v>0</v>
          </cell>
          <cell r="D374" t="str">
            <v>1186-71211-OA</v>
          </cell>
        </row>
        <row r="375">
          <cell r="C375">
            <v>0</v>
          </cell>
          <cell r="D375" t="str">
            <v>1186-71331-OA</v>
          </cell>
        </row>
        <row r="376">
          <cell r="C376">
            <v>0</v>
          </cell>
          <cell r="D376" t="str">
            <v>1186-71621-OA</v>
          </cell>
        </row>
        <row r="377">
          <cell r="C377">
            <v>0</v>
          </cell>
          <cell r="D377" t="str">
            <v>1186-71701-OA</v>
          </cell>
        </row>
        <row r="378">
          <cell r="C378">
            <v>0</v>
          </cell>
          <cell r="D378" t="str">
            <v>1186-71731-OA</v>
          </cell>
        </row>
        <row r="379">
          <cell r="C379">
            <v>0</v>
          </cell>
          <cell r="D379" t="str">
            <v>1186-77611-OA</v>
          </cell>
        </row>
        <row r="380">
          <cell r="C380">
            <v>0</v>
          </cell>
          <cell r="D380" t="str">
            <v>1192-46102-00</v>
          </cell>
        </row>
        <row r="381">
          <cell r="C381">
            <v>0</v>
          </cell>
          <cell r="D381" t="str">
            <v>1192-72111-SU</v>
          </cell>
        </row>
        <row r="382">
          <cell r="C382">
            <v>0</v>
          </cell>
          <cell r="D382" t="str">
            <v>1192-72211-SU</v>
          </cell>
        </row>
        <row r="383">
          <cell r="C383">
            <v>0</v>
          </cell>
          <cell r="D383" t="str">
            <v>1192-72311-OA</v>
          </cell>
        </row>
        <row r="384">
          <cell r="C384">
            <v>0</v>
          </cell>
          <cell r="D384" t="str">
            <v>1192-72311-SU</v>
          </cell>
        </row>
        <row r="385">
          <cell r="C385">
            <v>0</v>
          </cell>
          <cell r="D385" t="str">
            <v>1192-72331-OA</v>
          </cell>
        </row>
        <row r="386">
          <cell r="C386">
            <v>0</v>
          </cell>
          <cell r="D386" t="str">
            <v>1192-72331-SU</v>
          </cell>
        </row>
        <row r="387">
          <cell r="C387">
            <v>0</v>
          </cell>
          <cell r="D387" t="str">
            <v>1192-72515-OA</v>
          </cell>
        </row>
        <row r="388">
          <cell r="C388">
            <v>0</v>
          </cell>
          <cell r="D388" t="str">
            <v>1192-72518-SU</v>
          </cell>
        </row>
        <row r="389">
          <cell r="C389">
            <v>0</v>
          </cell>
          <cell r="D389" t="str">
            <v>1192-72621-SU</v>
          </cell>
        </row>
        <row r="390">
          <cell r="C390">
            <v>0</v>
          </cell>
          <cell r="D390" t="str">
            <v>1192-72701-SU</v>
          </cell>
        </row>
        <row r="391">
          <cell r="C391">
            <v>0</v>
          </cell>
          <cell r="D391" t="str">
            <v>1192-72731-SU</v>
          </cell>
        </row>
        <row r="392">
          <cell r="C392">
            <v>0</v>
          </cell>
          <cell r="D392" t="str">
            <v>1192-73800-OA</v>
          </cell>
        </row>
        <row r="393">
          <cell r="C393">
            <v>0</v>
          </cell>
          <cell r="D393" t="str">
            <v>1192-77611-SU</v>
          </cell>
        </row>
        <row r="395">
          <cell r="C395">
            <v>-7.0000020787119865E-2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efreshError="1"/>
      <sheetData sheetId="1" refreshError="1"/>
      <sheetData sheetId="2">
        <row r="41">
          <cell r="O41">
            <v>282829.84000000003</v>
          </cell>
        </row>
        <row r="65">
          <cell r="O65">
            <v>282829.84000000003</v>
          </cell>
        </row>
        <row r="337">
          <cell r="O337">
            <v>304559.51</v>
          </cell>
        </row>
        <row r="358">
          <cell r="O358">
            <v>1143578.73</v>
          </cell>
        </row>
      </sheetData>
      <sheetData sheetId="3" refreshError="1"/>
      <sheetData sheetId="4">
        <row r="42">
          <cell r="D42">
            <v>235705.7</v>
          </cell>
          <cell r="E42">
            <v>0</v>
          </cell>
          <cell r="F42">
            <v>0</v>
          </cell>
        </row>
        <row r="66">
          <cell r="C66">
            <v>0</v>
          </cell>
          <cell r="D66">
            <v>235705.7</v>
          </cell>
          <cell r="E66">
            <v>0</v>
          </cell>
          <cell r="F66">
            <v>0</v>
          </cell>
        </row>
        <row r="338">
          <cell r="C338">
            <v>494981.31</v>
          </cell>
          <cell r="D338">
            <v>382714.83</v>
          </cell>
          <cell r="E338">
            <v>561238.72000000009</v>
          </cell>
          <cell r="F338">
            <v>602385.07010577898</v>
          </cell>
        </row>
        <row r="359">
          <cell r="C359">
            <v>983692.87999999989</v>
          </cell>
          <cell r="D359">
            <v>1245625.7000000002</v>
          </cell>
          <cell r="E359">
            <v>1289847.7400000002</v>
          </cell>
          <cell r="F359">
            <v>1387447.0153457788</v>
          </cell>
        </row>
      </sheetData>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65">
          <cell r="O65">
            <v>60603.9</v>
          </cell>
        </row>
        <row r="358">
          <cell r="O358">
            <v>443743.9</v>
          </cell>
        </row>
      </sheetData>
      <sheetData sheetId="3"/>
      <sheetData sheetId="4">
        <row r="66">
          <cell r="C66">
            <v>0</v>
          </cell>
          <cell r="D66">
            <v>46759.199999999997</v>
          </cell>
          <cell r="E66">
            <v>0</v>
          </cell>
          <cell r="F66">
            <v>0</v>
          </cell>
        </row>
        <row r="338">
          <cell r="C338">
            <v>46477.87</v>
          </cell>
          <cell r="D338">
            <v>792.78</v>
          </cell>
          <cell r="E338">
            <v>77516.087700000004</v>
          </cell>
          <cell r="F338">
            <v>101170.073</v>
          </cell>
        </row>
        <row r="345">
          <cell r="C345">
            <v>46477.87</v>
          </cell>
          <cell r="D345">
            <v>792.78</v>
          </cell>
          <cell r="E345">
            <v>77516.087700000004</v>
          </cell>
          <cell r="F345">
            <v>101170.073</v>
          </cell>
        </row>
        <row r="359">
          <cell r="C359">
            <v>410885.75</v>
          </cell>
          <cell r="D359">
            <v>450493.83100000001</v>
          </cell>
          <cell r="E359">
            <v>541002.09970000002</v>
          </cell>
          <cell r="F359">
            <v>546872.36670000001</v>
          </cell>
        </row>
      </sheetData>
      <sheetData sheetId="5"/>
      <sheetData sheetId="6"/>
      <sheetData sheetId="7"/>
      <sheetData sheetId="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337">
          <cell r="O337">
            <v>1659.16</v>
          </cell>
        </row>
        <row r="358">
          <cell r="O358">
            <v>34812.160000000003</v>
          </cell>
        </row>
      </sheetData>
      <sheetData sheetId="3"/>
      <sheetData sheetId="4">
        <row r="338">
          <cell r="C338">
            <v>1098.9100000000001</v>
          </cell>
          <cell r="D338">
            <v>1402.71</v>
          </cell>
          <cell r="E338">
            <v>1125.53</v>
          </cell>
          <cell r="F338">
            <v>1253.07</v>
          </cell>
        </row>
        <row r="345">
          <cell r="C345">
            <v>1098.9100000000001</v>
          </cell>
          <cell r="D345">
            <v>1402.71</v>
          </cell>
          <cell r="E345">
            <v>1125.53</v>
          </cell>
          <cell r="F345">
            <v>1253.07</v>
          </cell>
        </row>
        <row r="359">
          <cell r="C359">
            <v>34233</v>
          </cell>
          <cell r="D359">
            <v>34641.74</v>
          </cell>
          <cell r="E359">
            <v>35125.81</v>
          </cell>
          <cell r="F359">
            <v>36492.178600000007</v>
          </cell>
        </row>
      </sheetData>
      <sheetData sheetId="5"/>
      <sheetData sheetId="6"/>
      <sheetData sheetId="7"/>
      <sheetData sheetId="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358">
          <cell r="O358">
            <v>14081</v>
          </cell>
        </row>
      </sheetData>
      <sheetData sheetId="3"/>
      <sheetData sheetId="4">
        <row r="359">
          <cell r="C359">
            <v>4286</v>
          </cell>
          <cell r="D359">
            <v>9508.2800000000007</v>
          </cell>
          <cell r="E359">
            <v>9061.61</v>
          </cell>
          <cell r="F359">
            <v>9717.4600000000009</v>
          </cell>
        </row>
      </sheetData>
      <sheetData sheetId="5"/>
      <sheetData sheetId="6"/>
      <sheetData sheetId="7"/>
      <sheetData sheetId="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65">
          <cell r="O65">
            <v>41724.21</v>
          </cell>
        </row>
        <row r="337">
          <cell r="O337">
            <v>368057.46</v>
          </cell>
        </row>
        <row r="358">
          <cell r="O358">
            <v>667867.66999999993</v>
          </cell>
        </row>
      </sheetData>
      <sheetData sheetId="3"/>
      <sheetData sheetId="4">
        <row r="66">
          <cell r="C66">
            <v>0</v>
          </cell>
          <cell r="D66">
            <v>43361.5</v>
          </cell>
          <cell r="E66">
            <v>0</v>
          </cell>
          <cell r="F66">
            <v>0</v>
          </cell>
        </row>
        <row r="338">
          <cell r="C338">
            <v>437850.05</v>
          </cell>
          <cell r="D338">
            <v>387136.52</v>
          </cell>
          <cell r="E338">
            <v>414494.46</v>
          </cell>
          <cell r="F338">
            <v>464230.68</v>
          </cell>
        </row>
        <row r="345">
          <cell r="C345">
            <v>437850.05</v>
          </cell>
          <cell r="D345">
            <v>387136.52</v>
          </cell>
          <cell r="E345">
            <v>414494.46</v>
          </cell>
          <cell r="F345">
            <v>464230.68</v>
          </cell>
        </row>
        <row r="359">
          <cell r="C359">
            <v>804371.93</v>
          </cell>
          <cell r="D359">
            <v>787216.22</v>
          </cell>
          <cell r="E359">
            <v>864509.2191000001</v>
          </cell>
          <cell r="F359">
            <v>930918.77912000031</v>
          </cell>
        </row>
      </sheetData>
      <sheetData sheetId="5"/>
      <sheetData sheetId="6"/>
      <sheetData sheetId="7"/>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344">
          <cell r="O344">
            <v>0</v>
          </cell>
        </row>
        <row r="358">
          <cell r="O358">
            <v>90805</v>
          </cell>
        </row>
      </sheetData>
      <sheetData sheetId="3"/>
      <sheetData sheetId="4">
        <row r="345">
          <cell r="C345">
            <v>1144.4100000000001</v>
          </cell>
          <cell r="D345">
            <v>403.14</v>
          </cell>
          <cell r="E345">
            <v>403.14</v>
          </cell>
          <cell r="F345">
            <v>412.00900000000001</v>
          </cell>
        </row>
        <row r="359">
          <cell r="C359">
            <v>78782.48</v>
          </cell>
          <cell r="D359">
            <v>98773.47</v>
          </cell>
          <cell r="E359">
            <v>91941.590000000011</v>
          </cell>
          <cell r="F359">
            <v>96057.570599999992</v>
          </cell>
        </row>
      </sheetData>
      <sheetData sheetId="5"/>
      <sheetData sheetId="6"/>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65">
          <cell r="O65">
            <v>394447</v>
          </cell>
        </row>
        <row r="358">
          <cell r="O358">
            <v>415941.995</v>
          </cell>
        </row>
      </sheetData>
      <sheetData sheetId="3"/>
      <sheetData sheetId="4">
        <row r="66">
          <cell r="C66">
            <v>341201.78</v>
          </cell>
          <cell r="D66">
            <v>386977</v>
          </cell>
          <cell r="E66">
            <v>410858</v>
          </cell>
          <cell r="F66">
            <v>421863</v>
          </cell>
        </row>
        <row r="359">
          <cell r="C359">
            <v>350738.22</v>
          </cell>
          <cell r="D359">
            <v>395805</v>
          </cell>
          <cell r="E359">
            <v>419852</v>
          </cell>
          <cell r="F359">
            <v>436263</v>
          </cell>
        </row>
      </sheetData>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65">
          <cell r="O65">
            <v>86323</v>
          </cell>
        </row>
        <row r="358">
          <cell r="O358">
            <v>96548</v>
          </cell>
        </row>
      </sheetData>
      <sheetData sheetId="3"/>
      <sheetData sheetId="4">
        <row r="66">
          <cell r="C66">
            <v>89065.04</v>
          </cell>
          <cell r="D66">
            <v>87790</v>
          </cell>
          <cell r="E66">
            <v>87718</v>
          </cell>
          <cell r="F66">
            <v>89399</v>
          </cell>
        </row>
        <row r="359">
          <cell r="C359">
            <v>97476.800000000003</v>
          </cell>
          <cell r="D359">
            <v>100101</v>
          </cell>
          <cell r="E359">
            <v>99504</v>
          </cell>
          <cell r="F359">
            <v>106423</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CC25408</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0</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0</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0</v>
          </cell>
        </row>
        <row r="86">
          <cell r="A86" t="str">
            <v>A60406</v>
          </cell>
          <cell r="O86">
            <v>0</v>
          </cell>
        </row>
        <row r="87">
          <cell r="A87" t="str">
            <v>A60412</v>
          </cell>
          <cell r="O87">
            <v>0</v>
          </cell>
        </row>
        <row r="88">
          <cell r="A88" t="str">
            <v>P6040</v>
          </cell>
          <cell r="O88">
            <v>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3854.28</v>
          </cell>
        </row>
        <row r="106">
          <cell r="A106" t="str">
            <v>A61103</v>
          </cell>
          <cell r="O106">
            <v>0</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3854.28</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5779</v>
          </cell>
        </row>
        <row r="126">
          <cell r="A126" t="str">
            <v>A61512</v>
          </cell>
          <cell r="O126">
            <v>0</v>
          </cell>
        </row>
        <row r="127">
          <cell r="A127" t="str">
            <v>A61513</v>
          </cell>
          <cell r="O127">
            <v>0</v>
          </cell>
        </row>
        <row r="128">
          <cell r="A128" t="str">
            <v>P6150</v>
          </cell>
          <cell r="O128">
            <v>5779</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0</v>
          </cell>
        </row>
        <row r="270">
          <cell r="A270" t="str">
            <v>A70407</v>
          </cell>
          <cell r="O270">
            <v>0</v>
          </cell>
        </row>
        <row r="271">
          <cell r="A271" t="str">
            <v>A70409</v>
          </cell>
          <cell r="O271">
            <v>0</v>
          </cell>
        </row>
        <row r="272">
          <cell r="A272" t="str">
            <v>P7040</v>
          </cell>
          <cell r="O272">
            <v>0</v>
          </cell>
        </row>
        <row r="273">
          <cell r="A273" t="str">
            <v>A70501</v>
          </cell>
          <cell r="O273">
            <v>0</v>
          </cell>
        </row>
        <row r="274">
          <cell r="A274" t="str">
            <v>A70503</v>
          </cell>
          <cell r="O274">
            <v>0</v>
          </cell>
        </row>
        <row r="275">
          <cell r="A275" t="str">
            <v>A70505</v>
          </cell>
          <cell r="O275">
            <v>0</v>
          </cell>
        </row>
        <row r="276">
          <cell r="A276" t="str">
            <v>A70507</v>
          </cell>
          <cell r="O276">
            <v>0</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0</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0</v>
          </cell>
        </row>
        <row r="306">
          <cell r="A306" t="str">
            <v>A70811</v>
          </cell>
          <cell r="O306">
            <v>0</v>
          </cell>
        </row>
        <row r="307">
          <cell r="A307" t="str">
            <v>P7080</v>
          </cell>
          <cell r="O307">
            <v>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-125</v>
          </cell>
        </row>
        <row r="356">
          <cell r="A356" t="str">
            <v>A79958</v>
          </cell>
          <cell r="O356">
            <v>0</v>
          </cell>
        </row>
        <row r="357">
          <cell r="A357" t="str">
            <v>P7995</v>
          </cell>
          <cell r="O357">
            <v>-125</v>
          </cell>
        </row>
        <row r="358">
          <cell r="A358" t="str">
            <v>OAPPP</v>
          </cell>
          <cell r="O358">
            <v>9508.2800000000007</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row r="52">
          <cell r="O52">
            <v>0</v>
          </cell>
        </row>
        <row r="53">
          <cell r="O53">
            <v>0</v>
          </cell>
        </row>
        <row r="54">
          <cell r="O54">
            <v>0</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0</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4286</v>
          </cell>
        </row>
        <row r="106">
          <cell r="O106">
            <v>0</v>
          </cell>
        </row>
        <row r="107">
          <cell r="O107">
            <v>0</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4286</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6">
          <cell r="O126">
            <v>0</v>
          </cell>
        </row>
        <row r="127">
          <cell r="O127">
            <v>0</v>
          </cell>
        </row>
        <row r="128">
          <cell r="O128">
            <v>0</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0</v>
          </cell>
        </row>
        <row r="154">
          <cell r="O154">
            <v>0</v>
          </cell>
        </row>
        <row r="155">
          <cell r="O155">
            <v>0</v>
          </cell>
        </row>
        <row r="156">
          <cell r="O156">
            <v>0</v>
          </cell>
        </row>
        <row r="157">
          <cell r="O157">
            <v>0</v>
          </cell>
        </row>
        <row r="158">
          <cell r="O158">
            <v>0</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0</v>
          </cell>
        </row>
        <row r="171">
          <cell r="O171">
            <v>0</v>
          </cell>
        </row>
        <row r="172">
          <cell r="O172">
            <v>0</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0</v>
          </cell>
        </row>
        <row r="270">
          <cell r="O270">
            <v>0</v>
          </cell>
        </row>
        <row r="271">
          <cell r="O271">
            <v>0</v>
          </cell>
        </row>
        <row r="272">
          <cell r="O272">
            <v>0</v>
          </cell>
        </row>
        <row r="273">
          <cell r="O273">
            <v>0</v>
          </cell>
        </row>
        <row r="274">
          <cell r="O274">
            <v>0</v>
          </cell>
        </row>
        <row r="275">
          <cell r="O275">
            <v>0</v>
          </cell>
        </row>
        <row r="276">
          <cell r="O276">
            <v>0</v>
          </cell>
        </row>
        <row r="277">
          <cell r="O277">
            <v>0</v>
          </cell>
        </row>
        <row r="278">
          <cell r="O278">
            <v>0</v>
          </cell>
        </row>
        <row r="279">
          <cell r="O279">
            <v>0</v>
          </cell>
        </row>
        <row r="280">
          <cell r="O280">
            <v>0</v>
          </cell>
        </row>
        <row r="281">
          <cell r="O281">
            <v>0</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0</v>
          </cell>
        </row>
        <row r="339">
          <cell r="O339">
            <v>0</v>
          </cell>
        </row>
        <row r="340">
          <cell r="O340">
            <v>0</v>
          </cell>
        </row>
        <row r="341">
          <cell r="O341">
            <v>0</v>
          </cell>
        </row>
        <row r="342">
          <cell r="O342">
            <v>0</v>
          </cell>
        </row>
        <row r="343">
          <cell r="O343">
            <v>0</v>
          </cell>
        </row>
        <row r="344">
          <cell r="O344">
            <v>0</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4286</v>
          </cell>
        </row>
      </sheetData>
      <sheetData sheetId="2">
        <row r="358">
          <cell r="O358">
            <v>14081</v>
          </cell>
        </row>
      </sheetData>
      <sheetData sheetId="3" refreshError="1"/>
      <sheetData sheetId="4">
        <row r="1">
          <cell r="A1" t="str">
            <v>CC25408</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65">
          <cell r="O65">
            <v>78453</v>
          </cell>
        </row>
        <row r="358">
          <cell r="O358">
            <v>114805</v>
          </cell>
        </row>
      </sheetData>
      <sheetData sheetId="3"/>
      <sheetData sheetId="4">
        <row r="66">
          <cell r="C66">
            <v>76728.759999999995</v>
          </cell>
          <cell r="D66">
            <v>80103</v>
          </cell>
          <cell r="E66">
            <v>78949</v>
          </cell>
          <cell r="F66">
            <v>82195</v>
          </cell>
        </row>
        <row r="359">
          <cell r="C359">
            <v>122427.72</v>
          </cell>
          <cell r="D359">
            <v>101579</v>
          </cell>
          <cell r="E359">
            <v>101519</v>
          </cell>
          <cell r="F359">
            <v>119076</v>
          </cell>
        </row>
      </sheetData>
      <sheetData sheetId="5"/>
      <sheetData sheetId="6"/>
      <sheetData sheetId="7"/>
      <sheetData sheetId="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358">
          <cell r="O358">
            <v>15347</v>
          </cell>
        </row>
      </sheetData>
      <sheetData sheetId="3"/>
      <sheetData sheetId="4">
        <row r="359">
          <cell r="C359">
            <v>6550.34</v>
          </cell>
          <cell r="D359">
            <v>15445</v>
          </cell>
          <cell r="E359">
            <v>15445</v>
          </cell>
          <cell r="F359">
            <v>20000</v>
          </cell>
        </row>
      </sheetData>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65">
          <cell r="O65">
            <v>102001</v>
          </cell>
        </row>
        <row r="358">
          <cell r="O358">
            <v>403227</v>
          </cell>
        </row>
      </sheetData>
      <sheetData sheetId="3"/>
      <sheetData sheetId="4">
        <row r="66">
          <cell r="C66">
            <v>101403.5</v>
          </cell>
          <cell r="D66">
            <v>103725</v>
          </cell>
          <cell r="E66">
            <v>103714</v>
          </cell>
          <cell r="F66">
            <v>165727</v>
          </cell>
        </row>
        <row r="359">
          <cell r="C359">
            <v>326898.94</v>
          </cell>
          <cell r="D359">
            <v>395420</v>
          </cell>
          <cell r="E359">
            <v>395410</v>
          </cell>
          <cell r="F359">
            <v>519606</v>
          </cell>
          <cell r="K359">
            <v>31176.360000000044</v>
          </cell>
        </row>
      </sheetData>
      <sheetData sheetId="5"/>
      <sheetData sheetId="6"/>
      <sheetData sheetId="7"/>
      <sheetData sheetId="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28 Doc 1"/>
      <sheetName val="GI-28 Doc 2"/>
      <sheetName val="GI-28 Doc 2.1"/>
      <sheetName val="25401"/>
      <sheetName val="25404"/>
      <sheetName val="25406"/>
      <sheetName val="25408"/>
      <sheetName val="25411"/>
      <sheetName val="25413"/>
      <sheetName val="GI-28 Doc 3"/>
      <sheetName val="GI-28 Doc 3.1"/>
      <sheetName val="25430"/>
      <sheetName val="25432"/>
      <sheetName val="25434"/>
      <sheetName val="25436"/>
      <sheetName val="25451"/>
      <sheetName val="GI-28 Doc 4"/>
      <sheetName val="GI-28 Doc 4.1"/>
      <sheetName val="Récap autres charges"/>
      <sheetName val="Rcap salaires"/>
      <sheetName val="25442"/>
      <sheetName val="25444"/>
      <sheetName val="25446"/>
      <sheetName val="25448"/>
      <sheetName val="25449"/>
      <sheetName val="GI-28 Doc 5"/>
      <sheetName val="GI-28 Doc 5.1"/>
      <sheetName val="25450"/>
      <sheetName val="GI-28 Doc 6"/>
      <sheetName val="GI-28 Doc 6.1"/>
      <sheetName val="25452"/>
      <sheetName val="GI-28 Doc 7"/>
      <sheetName val="GI-28 Doc 7.1"/>
      <sheetName val="25440"/>
      <sheetName val="25441"/>
      <sheetName val="GI-28 Doc 8"/>
      <sheetName val="GI-28 Doc 8.1"/>
      <sheetName val="GI-28 Doc 8.3"/>
      <sheetName val="GI-28 Doc 9"/>
    </sheetNames>
    <sheetDataSet>
      <sheetData sheetId="0">
        <row r="65">
          <cell r="Q65" t="str">
            <v>GI-28</v>
          </cell>
        </row>
        <row r="68">
          <cell r="A68" t="str">
            <v>Original: 2015-08-28</v>
          </cell>
          <cell r="Q68" t="str">
            <v>Requête 3924-2015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1">
          <cell r="N11" t="str">
            <v>2015 (3+9)</v>
          </cell>
          <cell r="P11" t="str">
            <v>Cause 2016</v>
          </cell>
        </row>
        <row r="12">
          <cell r="N12" t="str">
            <v>vs Réel 2014</v>
          </cell>
          <cell r="P12" t="str">
            <v>vs 2015 (3+9)</v>
          </cell>
        </row>
      </sheetData>
      <sheetData sheetId="16"/>
      <sheetData sheetId="17"/>
      <sheetData sheetId="18"/>
      <sheetData sheetId="19"/>
      <sheetData sheetId="20">
        <row r="16">
          <cell r="D16">
            <v>151.15659000000002</v>
          </cell>
          <cell r="H16">
            <v>161.13200000000001</v>
          </cell>
          <cell r="L16">
            <v>186.84200000000001</v>
          </cell>
        </row>
      </sheetData>
      <sheetData sheetId="21">
        <row r="11">
          <cell r="N11" t="str">
            <v>2015 (3+9)</v>
          </cell>
          <cell r="P11" t="str">
            <v>Cause 2016</v>
          </cell>
        </row>
        <row r="12">
          <cell r="N12" t="str">
            <v>vs Réel 2014</v>
          </cell>
          <cell r="P12" t="str">
            <v>vs 2015 (3+9)</v>
          </cell>
        </row>
        <row r="16">
          <cell r="D16">
            <v>0</v>
          </cell>
          <cell r="H16">
            <v>0</v>
          </cell>
          <cell r="L16">
            <v>0</v>
          </cell>
        </row>
      </sheetData>
      <sheetData sheetId="22">
        <row r="16">
          <cell r="D16">
            <v>566.16538000000003</v>
          </cell>
          <cell r="H16">
            <v>558.85816</v>
          </cell>
          <cell r="L16">
            <v>582.62599999999998</v>
          </cell>
        </row>
      </sheetData>
      <sheetData sheetId="23">
        <row r="11">
          <cell r="N11" t="str">
            <v>2015 (3+9)</v>
          </cell>
          <cell r="P11" t="str">
            <v>Cause 2016</v>
          </cell>
        </row>
        <row r="12">
          <cell r="N12" t="str">
            <v>vs Réel 2014</v>
          </cell>
          <cell r="P12" t="str">
            <v>vs 2015 (3+9)</v>
          </cell>
        </row>
        <row r="16">
          <cell r="D16">
            <v>240.29703000000001</v>
          </cell>
          <cell r="H16">
            <v>245.86099999999999</v>
          </cell>
          <cell r="L16">
            <v>250.28100000000001</v>
          </cell>
        </row>
      </sheetData>
      <sheetData sheetId="24">
        <row r="16">
          <cell r="D16">
            <v>204.74941000000001</v>
          </cell>
          <cell r="H16">
            <v>204.422</v>
          </cell>
          <cell r="L16">
            <v>213.33600000000001</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65">
          <cell r="O65">
            <v>157288</v>
          </cell>
        </row>
        <row r="358">
          <cell r="O358">
            <v>159428</v>
          </cell>
        </row>
      </sheetData>
      <sheetData sheetId="3"/>
      <sheetData sheetId="4">
        <row r="66">
          <cell r="C66">
            <v>371311.24</v>
          </cell>
          <cell r="D66">
            <v>160963.5</v>
          </cell>
          <cell r="E66">
            <v>0</v>
          </cell>
          <cell r="F66">
            <v>0</v>
          </cell>
        </row>
        <row r="345">
          <cell r="C345">
            <v>151157.01</v>
          </cell>
          <cell r="D345">
            <v>0</v>
          </cell>
          <cell r="E345">
            <v>161132</v>
          </cell>
          <cell r="F345">
            <v>186842</v>
          </cell>
        </row>
        <row r="358">
          <cell r="C358">
            <v>-371311.66</v>
          </cell>
          <cell r="D358">
            <v>-2300</v>
          </cell>
          <cell r="E358">
            <v>0</v>
          </cell>
          <cell r="F358">
            <v>0</v>
          </cell>
        </row>
        <row r="359">
          <cell r="C359">
            <v>153476.32</v>
          </cell>
          <cell r="D359">
            <v>163806.5</v>
          </cell>
          <cell r="E359">
            <v>166333</v>
          </cell>
          <cell r="F359">
            <v>191847</v>
          </cell>
        </row>
      </sheetData>
      <sheetData sheetId="5"/>
      <sheetData sheetId="6"/>
      <sheetData sheetId="7"/>
      <sheetData sheetId="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358">
          <cell r="O358">
            <v>270000</v>
          </cell>
        </row>
      </sheetData>
      <sheetData sheetId="3"/>
      <sheetData sheetId="4">
        <row r="359">
          <cell r="C359">
            <v>271582.03999999998</v>
          </cell>
          <cell r="D359">
            <v>274250</v>
          </cell>
          <cell r="E359">
            <v>274249.68</v>
          </cell>
          <cell r="F359">
            <v>280800</v>
          </cell>
        </row>
      </sheetData>
      <sheetData sheetId="5"/>
      <sheetData sheetId="6"/>
      <sheetData sheetId="7"/>
      <sheetData sheetId="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65">
          <cell r="O65">
            <v>639923</v>
          </cell>
        </row>
        <row r="358">
          <cell r="O358">
            <v>1008127</v>
          </cell>
        </row>
      </sheetData>
      <sheetData sheetId="3"/>
      <sheetData sheetId="4">
        <row r="66">
          <cell r="C66">
            <v>564008.06999999995</v>
          </cell>
          <cell r="D66">
            <v>567765.00000000105</v>
          </cell>
          <cell r="E66">
            <v>555858.16</v>
          </cell>
          <cell r="F66">
            <v>579493</v>
          </cell>
        </row>
        <row r="338">
          <cell r="C338">
            <v>2157.31</v>
          </cell>
          <cell r="D338">
            <v>0</v>
          </cell>
          <cell r="E338">
            <v>3000</v>
          </cell>
          <cell r="F338">
            <v>3133</v>
          </cell>
        </row>
        <row r="359">
          <cell r="C359">
            <v>906183.21999999986</v>
          </cell>
          <cell r="D359">
            <v>928814.00000000105</v>
          </cell>
          <cell r="E359">
            <v>918278.16</v>
          </cell>
          <cell r="F359">
            <v>965369</v>
          </cell>
        </row>
      </sheetData>
      <sheetData sheetId="5"/>
      <sheetData sheetId="6"/>
      <sheetData sheetId="7"/>
      <sheetData sheetId="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65">
          <cell r="O65">
            <v>241926</v>
          </cell>
        </row>
        <row r="358">
          <cell r="O358">
            <v>168402</v>
          </cell>
        </row>
      </sheetData>
      <sheetData sheetId="3"/>
      <sheetData sheetId="4">
        <row r="66">
          <cell r="C66">
            <v>240297.03</v>
          </cell>
          <cell r="D66">
            <v>245861</v>
          </cell>
          <cell r="E66">
            <v>245861</v>
          </cell>
          <cell r="F66">
            <v>250281</v>
          </cell>
        </row>
        <row r="359">
          <cell r="C359">
            <v>144901.93999999994</v>
          </cell>
          <cell r="D359">
            <v>162073</v>
          </cell>
          <cell r="E359">
            <v>162073</v>
          </cell>
          <cell r="F359">
            <v>171350</v>
          </cell>
        </row>
      </sheetData>
      <sheetData sheetId="5"/>
      <sheetData sheetId="6"/>
      <sheetData sheetId="7"/>
      <sheetData sheetId="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25448 (2)"/>
      <sheetName val="25448 V revue avec Lise et Caro"/>
      <sheetName val="INSTRUCTIONS"/>
      <sheetName val="INPUT"/>
      <sheetName val="Forecast 2015 vs Budget 2015"/>
      <sheetName val="Budget 2016 vs Forecast 2015"/>
      <sheetName val="Budget 2016 vs Réel 2014"/>
      <sheetName val="Forecast 2015 vs Réel 2014"/>
    </sheetNames>
    <sheetDataSet>
      <sheetData sheetId="0"/>
      <sheetData sheetId="1"/>
      <sheetData sheetId="2"/>
      <sheetData sheetId="3"/>
      <sheetData sheetId="4"/>
      <sheetData sheetId="5"/>
      <sheetData sheetId="6"/>
      <sheetData sheetId="7">
        <row r="138">
          <cell r="B138" t="str">
            <v>OUTSIDE CONTRACT LABOUR</v>
          </cell>
        </row>
        <row r="174">
          <cell r="B174" t="str">
            <v>OTHER OUTSIDE SERVICES</v>
          </cell>
        </row>
        <row r="283">
          <cell r="B283" t="str">
            <v>TRAVEL AND ENTERTAINMENT</v>
          </cell>
        </row>
        <row r="302">
          <cell r="B302" t="str">
            <v>OTHER OPERATING</v>
          </cell>
        </row>
      </sheetData>
      <sheetData sheetId="8">
        <row r="118">
          <cell r="B118" t="str">
            <v>OFFICE MATERIALS AND SUPPLIES</v>
          </cell>
          <cell r="E118">
            <v>2366.89</v>
          </cell>
          <cell r="H118" t="str">
            <v>?? La moyenne à 3 ans est de 2307 (2012/2013/2014).  Pourquoi F2015 et B2016 sont-elles si élevées, je ne sais pas…</v>
          </cell>
        </row>
        <row r="138">
          <cell r="B138" t="str">
            <v>OUTSIDE CONTRACT LABOUR</v>
          </cell>
          <cell r="E138">
            <v>3833.0299999999988</v>
          </cell>
          <cell r="H138" t="str">
            <v>On réouvre les compteurs ici.
Les frais augment de 2.1 et 2.2% d'année en année = l'inflation.  Le solde de la vartiation provient d'un effet volume (+ de redlock).  En 2014: 883.  En 2015: 934 et en 2016:954.  C'est une tendance historique qui viendrait faire augmenter la prévision.</v>
          </cell>
        </row>
        <row r="160">
          <cell r="B160" t="str">
            <v>OFFICE AND TECHNOLOGY SERVICES</v>
          </cell>
          <cell r="E160">
            <v>9074.5999999999985</v>
          </cell>
          <cell r="H160" t="str">
            <v>Le timbre est passé de 0.7$ en 2014 à une prévision de .77$ en 2016.  Soit une aug de 10%. Cette augmentation est à combiner à une augmentation du nombre d'avis à envoyer également (environ 13% sur 2 ans)</v>
          </cell>
        </row>
        <row r="283">
          <cell r="B283" t="str">
            <v>TRAVEL AND ENTERTAINMENT</v>
          </cell>
          <cell r="E283">
            <v>829.96</v>
          </cell>
          <cell r="H283" t="str">
            <v>?? On compare 2 année sans conférence ici, si je comprends bien.  Pourquoi augmente-t-on de 146%?? Mais le montant n'est pas très significatif…</v>
          </cell>
        </row>
        <row r="301">
          <cell r="E301">
            <v>-173701.75</v>
          </cell>
        </row>
        <row r="357">
          <cell r="E357">
            <v>169944</v>
          </cell>
          <cell r="H357" t="str">
            <v>Effet volume tel que ci-dessus.  En effet, les revenus pour unlock et les revenus 48hres sont inchangés entre 2014, 2015 et 2016.</v>
          </cell>
        </row>
        <row r="359">
          <cell r="B359" t="str">
            <v>INTERNAL RECOVERIES</v>
          </cell>
        </row>
      </sheetData>
      <sheetData sheetId="9">
        <row r="118">
          <cell r="B118" t="str">
            <v>OFFICE MATERIALS AND SUPPLIES</v>
          </cell>
        </row>
        <row r="131">
          <cell r="B131" t="str">
            <v>CONTRACT SERVICES AND TEMP LABOUR</v>
          </cell>
        </row>
        <row r="155">
          <cell r="B155" t="str">
            <v>POSTAGE COURIER AND MISC FREIGHT</v>
          </cell>
        </row>
        <row r="283">
          <cell r="B283" t="str">
            <v>TRAVEL AND ENTERTAINMENT</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21">
          <cell r="O21">
            <v>1160218</v>
          </cell>
        </row>
        <row r="40">
          <cell r="O40">
            <v>2355594</v>
          </cell>
        </row>
        <row r="41">
          <cell r="O41">
            <v>595579</v>
          </cell>
        </row>
        <row r="56">
          <cell r="O56">
            <v>686054</v>
          </cell>
        </row>
        <row r="62">
          <cell r="O62">
            <v>268709</v>
          </cell>
        </row>
        <row r="128">
          <cell r="O128">
            <v>193939</v>
          </cell>
        </row>
        <row r="291">
          <cell r="O291">
            <v>271313</v>
          </cell>
        </row>
        <row r="338">
          <cell r="O338">
            <v>855122</v>
          </cell>
        </row>
        <row r="343">
          <cell r="O343">
            <v>343537</v>
          </cell>
        </row>
        <row r="357">
          <cell r="O357">
            <v>-734409</v>
          </cell>
        </row>
        <row r="358">
          <cell r="O358">
            <v>5850799</v>
          </cell>
        </row>
      </sheetData>
      <sheetData sheetId="3"/>
      <sheetData sheetId="4">
        <row r="22">
          <cell r="C22">
            <v>1096291</v>
          </cell>
          <cell r="D22">
            <v>553000</v>
          </cell>
          <cell r="E22">
            <v>553000</v>
          </cell>
          <cell r="F22">
            <v>0</v>
          </cell>
        </row>
        <row r="25">
          <cell r="C25">
            <v>54814.15</v>
          </cell>
          <cell r="D25">
            <v>65100</v>
          </cell>
          <cell r="E25">
            <v>65100</v>
          </cell>
          <cell r="F25">
            <v>77000</v>
          </cell>
        </row>
        <row r="41">
          <cell r="C41">
            <v>2417096.63</v>
          </cell>
          <cell r="D41">
            <v>1885138</v>
          </cell>
          <cell r="E41">
            <v>1942152.0100000002</v>
          </cell>
          <cell r="F41">
            <v>1450203</v>
          </cell>
        </row>
        <row r="57">
          <cell r="C57">
            <v>570436.5</v>
          </cell>
          <cell r="D57">
            <v>758000.87</v>
          </cell>
          <cell r="E57">
            <v>736670</v>
          </cell>
          <cell r="F57">
            <v>782361</v>
          </cell>
        </row>
        <row r="61">
          <cell r="C61">
            <v>35839.68</v>
          </cell>
          <cell r="D61">
            <v>0</v>
          </cell>
        </row>
        <row r="63">
          <cell r="C63">
            <v>212536.27</v>
          </cell>
          <cell r="D63">
            <v>281783</v>
          </cell>
          <cell r="E63">
            <v>281783</v>
          </cell>
          <cell r="F63">
            <v>364283</v>
          </cell>
        </row>
        <row r="66">
          <cell r="C66">
            <v>1337973.03</v>
          </cell>
          <cell r="D66">
            <v>1667370.87</v>
          </cell>
          <cell r="E66">
            <v>1832557.4100000001</v>
          </cell>
          <cell r="F66">
            <v>1788812</v>
          </cell>
        </row>
        <row r="129">
          <cell r="C129">
            <v>371794.18</v>
          </cell>
          <cell r="D129">
            <v>230055</v>
          </cell>
          <cell r="E129">
            <v>230054.25</v>
          </cell>
          <cell r="F129">
            <v>237733</v>
          </cell>
        </row>
        <row r="288">
          <cell r="C288">
            <v>260108.51</v>
          </cell>
          <cell r="D288">
            <v>281235.75</v>
          </cell>
          <cell r="E288">
            <v>281235.75</v>
          </cell>
          <cell r="F288">
            <v>258288</v>
          </cell>
        </row>
        <row r="345">
          <cell r="C345">
            <v>1176253.22</v>
          </cell>
          <cell r="D345">
            <v>1299654</v>
          </cell>
          <cell r="E345">
            <v>1340654</v>
          </cell>
          <cell r="F345">
            <v>1356604</v>
          </cell>
        </row>
        <row r="346">
          <cell r="C346">
            <v>-658587.56000000006</v>
          </cell>
          <cell r="D346">
            <v>-607540</v>
          </cell>
          <cell r="E346">
            <v>-639842</v>
          </cell>
          <cell r="F346">
            <v>-537314</v>
          </cell>
        </row>
        <row r="347">
          <cell r="C347">
            <v>-140207.81</v>
          </cell>
          <cell r="D347">
            <v>-141248</v>
          </cell>
          <cell r="E347">
            <v>-132730</v>
          </cell>
          <cell r="F347">
            <v>-136252</v>
          </cell>
        </row>
        <row r="359">
          <cell r="D359">
            <v>5545637.6200000001</v>
          </cell>
          <cell r="E359">
            <v>5853987.8200000012</v>
          </cell>
          <cell r="F359">
            <v>5469221</v>
          </cell>
        </row>
        <row r="360">
          <cell r="K360">
            <v>1114352.4400000002</v>
          </cell>
        </row>
        <row r="361">
          <cell r="C361">
            <v>5761991.1900000004</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CC25411</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43361.5</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43361.5</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500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3150</v>
          </cell>
        </row>
        <row r="85">
          <cell r="A85" t="str">
            <v>A60415</v>
          </cell>
          <cell r="O85">
            <v>0</v>
          </cell>
        </row>
        <row r="86">
          <cell r="A86" t="str">
            <v>A60406</v>
          </cell>
          <cell r="O86">
            <v>0</v>
          </cell>
        </row>
        <row r="87">
          <cell r="A87" t="str">
            <v>A60412</v>
          </cell>
          <cell r="O87">
            <v>0</v>
          </cell>
        </row>
        <row r="88">
          <cell r="A88" t="str">
            <v>P6040</v>
          </cell>
          <cell r="O88">
            <v>3650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13000</v>
          </cell>
        </row>
        <row r="98">
          <cell r="A98" t="str">
            <v>A61003</v>
          </cell>
          <cell r="O98">
            <v>10000</v>
          </cell>
        </row>
        <row r="99">
          <cell r="A99" t="str">
            <v>A61005</v>
          </cell>
          <cell r="O99">
            <v>0</v>
          </cell>
        </row>
        <row r="100">
          <cell r="A100" t="str">
            <v>A61007</v>
          </cell>
          <cell r="O100">
            <v>0</v>
          </cell>
        </row>
        <row r="101">
          <cell r="A101" t="str">
            <v>A61009</v>
          </cell>
          <cell r="O101">
            <v>1100</v>
          </cell>
        </row>
        <row r="102">
          <cell r="A102" t="str">
            <v>A61011</v>
          </cell>
          <cell r="O102">
            <v>30000</v>
          </cell>
        </row>
        <row r="103">
          <cell r="A103" t="str">
            <v>A61021</v>
          </cell>
          <cell r="O103">
            <v>0</v>
          </cell>
        </row>
        <row r="104">
          <cell r="A104" t="str">
            <v>P6100</v>
          </cell>
          <cell r="O104">
            <v>54100</v>
          </cell>
        </row>
        <row r="105">
          <cell r="A105" t="str">
            <v>A61101</v>
          </cell>
          <cell r="O105">
            <v>1200</v>
          </cell>
        </row>
        <row r="106">
          <cell r="A106" t="str">
            <v>A61103</v>
          </cell>
          <cell r="O106">
            <v>6500</v>
          </cell>
        </row>
        <row r="107">
          <cell r="A107" t="str">
            <v>A61105</v>
          </cell>
          <cell r="O107">
            <v>360</v>
          </cell>
        </row>
        <row r="108">
          <cell r="A108" t="str">
            <v>A61107</v>
          </cell>
          <cell r="O108">
            <v>0</v>
          </cell>
        </row>
        <row r="109">
          <cell r="A109" t="str">
            <v>A61109</v>
          </cell>
          <cell r="O109">
            <v>700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8760</v>
          </cell>
        </row>
        <row r="117">
          <cell r="A117" t="str">
            <v>A61201</v>
          </cell>
          <cell r="O117">
            <v>1500</v>
          </cell>
        </row>
        <row r="118">
          <cell r="A118" t="str">
            <v>A61299</v>
          </cell>
          <cell r="O118">
            <v>15250</v>
          </cell>
        </row>
        <row r="119">
          <cell r="A119" t="str">
            <v>P6120</v>
          </cell>
          <cell r="O119">
            <v>16750</v>
          </cell>
        </row>
        <row r="120">
          <cell r="A120" t="str">
            <v>A61501</v>
          </cell>
          <cell r="O120">
            <v>0</v>
          </cell>
        </row>
        <row r="121">
          <cell r="A121" t="str">
            <v>A61503</v>
          </cell>
          <cell r="O121">
            <v>10000</v>
          </cell>
        </row>
        <row r="122">
          <cell r="A122" t="str">
            <v>A61505</v>
          </cell>
          <cell r="O122">
            <v>0</v>
          </cell>
        </row>
        <row r="123">
          <cell r="A123" t="str">
            <v>A61507</v>
          </cell>
          <cell r="O123">
            <v>0</v>
          </cell>
        </row>
        <row r="124">
          <cell r="A124" t="str">
            <v>A61509</v>
          </cell>
          <cell r="O124">
            <v>0</v>
          </cell>
        </row>
        <row r="125">
          <cell r="A125" t="str">
            <v>A61511</v>
          </cell>
          <cell r="O125">
            <v>7000</v>
          </cell>
        </row>
        <row r="126">
          <cell r="A126" t="str">
            <v>A61512</v>
          </cell>
          <cell r="O126">
            <v>0</v>
          </cell>
        </row>
        <row r="127">
          <cell r="A127" t="str">
            <v>A61513</v>
          </cell>
          <cell r="O127">
            <v>0</v>
          </cell>
        </row>
        <row r="128">
          <cell r="A128" t="str">
            <v>P6150</v>
          </cell>
          <cell r="O128">
            <v>17000</v>
          </cell>
        </row>
        <row r="129">
          <cell r="A129" t="str">
            <v>A61601</v>
          </cell>
          <cell r="O129">
            <v>293450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293450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850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850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3400</v>
          </cell>
        </row>
        <row r="171">
          <cell r="A171" t="str">
            <v>A61906</v>
          </cell>
          <cell r="O171">
            <v>0</v>
          </cell>
        </row>
        <row r="172">
          <cell r="A172" t="str">
            <v>P6190</v>
          </cell>
          <cell r="O172">
            <v>3400</v>
          </cell>
        </row>
        <row r="173">
          <cell r="A173" t="str">
            <v>A62001</v>
          </cell>
          <cell r="O173">
            <v>2010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730</v>
          </cell>
        </row>
        <row r="223">
          <cell r="A223" t="str">
            <v>A62063</v>
          </cell>
          <cell r="O223">
            <v>0</v>
          </cell>
        </row>
        <row r="224">
          <cell r="A224" t="str">
            <v>A62064</v>
          </cell>
          <cell r="O224">
            <v>0</v>
          </cell>
        </row>
        <row r="225">
          <cell r="A225" t="str">
            <v>A62071</v>
          </cell>
          <cell r="O225">
            <v>14320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17060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93227</v>
          </cell>
        </row>
        <row r="236">
          <cell r="A236" t="str">
            <v>A62311</v>
          </cell>
          <cell r="O236">
            <v>4000</v>
          </cell>
        </row>
        <row r="237">
          <cell r="A237" t="str">
            <v>A62312</v>
          </cell>
          <cell r="O237">
            <v>0</v>
          </cell>
        </row>
        <row r="238">
          <cell r="A238" t="str">
            <v>P6230</v>
          </cell>
          <cell r="O238">
            <v>97227</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4329</v>
          </cell>
        </row>
        <row r="270">
          <cell r="A270" t="str">
            <v>A70407</v>
          </cell>
          <cell r="O270">
            <v>1008</v>
          </cell>
        </row>
        <row r="271">
          <cell r="A271" t="str">
            <v>A70409</v>
          </cell>
          <cell r="O271">
            <v>0</v>
          </cell>
        </row>
        <row r="272">
          <cell r="A272" t="str">
            <v>P7040</v>
          </cell>
          <cell r="O272">
            <v>5337</v>
          </cell>
        </row>
        <row r="273">
          <cell r="A273" t="str">
            <v>A70501</v>
          </cell>
          <cell r="O273">
            <v>350</v>
          </cell>
        </row>
        <row r="274">
          <cell r="A274" t="str">
            <v>A70503</v>
          </cell>
          <cell r="O274">
            <v>200</v>
          </cell>
        </row>
        <row r="275">
          <cell r="A275" t="str">
            <v>A70505</v>
          </cell>
          <cell r="O275">
            <v>1200</v>
          </cell>
        </row>
        <row r="276">
          <cell r="A276" t="str">
            <v>A70507</v>
          </cell>
          <cell r="O276">
            <v>1250</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3000</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9900</v>
          </cell>
        </row>
        <row r="300">
          <cell r="A300" t="str">
            <v>P7089</v>
          </cell>
          <cell r="O300">
            <v>9900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160</v>
          </cell>
        </row>
        <row r="306">
          <cell r="A306" t="str">
            <v>A70811</v>
          </cell>
          <cell r="O306">
            <v>2200</v>
          </cell>
        </row>
        <row r="307">
          <cell r="A307" t="str">
            <v>P7080</v>
          </cell>
          <cell r="O307">
            <v>2360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387136.52</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387136.52</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-162750.79999999999</v>
          </cell>
        </row>
        <row r="356">
          <cell r="A356" t="str">
            <v>A79958</v>
          </cell>
          <cell r="O356">
            <v>-13375.000000000002</v>
          </cell>
        </row>
        <row r="357">
          <cell r="A357" t="str">
            <v>P7995</v>
          </cell>
          <cell r="O357">
            <v>-176125.8</v>
          </cell>
        </row>
        <row r="358">
          <cell r="A358" t="str">
            <v>OAPPP</v>
          </cell>
          <cell r="O358">
            <v>787216.22</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row r="52">
          <cell r="O52">
            <v>0</v>
          </cell>
        </row>
        <row r="53">
          <cell r="O53">
            <v>0</v>
          </cell>
        </row>
        <row r="54">
          <cell r="O54">
            <v>0</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0</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217.44</v>
          </cell>
        </row>
        <row r="80">
          <cell r="O80">
            <v>0</v>
          </cell>
        </row>
        <row r="81">
          <cell r="O81">
            <v>0</v>
          </cell>
        </row>
        <row r="82">
          <cell r="O82">
            <v>0</v>
          </cell>
        </row>
        <row r="83">
          <cell r="O83">
            <v>0</v>
          </cell>
        </row>
        <row r="84">
          <cell r="O84">
            <v>0</v>
          </cell>
        </row>
        <row r="85">
          <cell r="O85">
            <v>0</v>
          </cell>
        </row>
        <row r="86">
          <cell r="O86">
            <v>0</v>
          </cell>
        </row>
        <row r="87">
          <cell r="O87">
            <v>0</v>
          </cell>
        </row>
        <row r="88">
          <cell r="O88">
            <v>217.44</v>
          </cell>
        </row>
        <row r="89">
          <cell r="O89">
            <v>0</v>
          </cell>
        </row>
        <row r="90">
          <cell r="O90">
            <v>0</v>
          </cell>
        </row>
        <row r="91">
          <cell r="O91">
            <v>0</v>
          </cell>
        </row>
        <row r="92">
          <cell r="O92">
            <v>0</v>
          </cell>
        </row>
        <row r="93">
          <cell r="O93">
            <v>0</v>
          </cell>
        </row>
        <row r="94">
          <cell r="O94">
            <v>0</v>
          </cell>
        </row>
        <row r="95">
          <cell r="O95">
            <v>0</v>
          </cell>
        </row>
        <row r="96">
          <cell r="O96">
            <v>0</v>
          </cell>
        </row>
        <row r="97">
          <cell r="O97">
            <v>9103.7900000000009</v>
          </cell>
        </row>
        <row r="98">
          <cell r="O98">
            <v>11845.23</v>
          </cell>
        </row>
        <row r="99">
          <cell r="O99">
            <v>0</v>
          </cell>
        </row>
        <row r="100">
          <cell r="O100">
            <v>0</v>
          </cell>
        </row>
        <row r="101">
          <cell r="O101">
            <v>115.24</v>
          </cell>
        </row>
        <row r="102">
          <cell r="O102">
            <v>29274.74</v>
          </cell>
        </row>
        <row r="103">
          <cell r="O103">
            <v>0</v>
          </cell>
        </row>
        <row r="104">
          <cell r="O104">
            <v>50339</v>
          </cell>
        </row>
        <row r="105">
          <cell r="O105">
            <v>0</v>
          </cell>
        </row>
        <row r="106">
          <cell r="O106">
            <v>12576.73</v>
          </cell>
        </row>
        <row r="107">
          <cell r="O107">
            <v>227.85</v>
          </cell>
        </row>
        <row r="108">
          <cell r="O108">
            <v>0</v>
          </cell>
        </row>
        <row r="109">
          <cell r="O109">
            <v>493.85</v>
          </cell>
        </row>
        <row r="110">
          <cell r="O110">
            <v>0</v>
          </cell>
        </row>
        <row r="111">
          <cell r="O111">
            <v>0</v>
          </cell>
        </row>
        <row r="112">
          <cell r="O112">
            <v>0</v>
          </cell>
        </row>
        <row r="113">
          <cell r="O113">
            <v>0</v>
          </cell>
        </row>
        <row r="114">
          <cell r="O114">
            <v>0</v>
          </cell>
        </row>
        <row r="115">
          <cell r="O115">
            <v>0</v>
          </cell>
        </row>
        <row r="116">
          <cell r="O116">
            <v>13298.43</v>
          </cell>
        </row>
        <row r="117">
          <cell r="O117">
            <v>0</v>
          </cell>
        </row>
        <row r="118">
          <cell r="O118">
            <v>11994.72</v>
          </cell>
        </row>
        <row r="119">
          <cell r="O119">
            <v>11994.72</v>
          </cell>
        </row>
        <row r="120">
          <cell r="O120">
            <v>0</v>
          </cell>
        </row>
        <row r="121">
          <cell r="O121">
            <v>0</v>
          </cell>
        </row>
        <row r="122">
          <cell r="O122">
            <v>0</v>
          </cell>
        </row>
        <row r="123">
          <cell r="O123">
            <v>0</v>
          </cell>
        </row>
        <row r="124">
          <cell r="O124">
            <v>0</v>
          </cell>
        </row>
        <row r="125">
          <cell r="O125">
            <v>5577.58</v>
          </cell>
        </row>
        <row r="126">
          <cell r="O126">
            <v>0</v>
          </cell>
        </row>
        <row r="127">
          <cell r="O127">
            <v>0</v>
          </cell>
        </row>
        <row r="128">
          <cell r="O128">
            <v>5577.58</v>
          </cell>
        </row>
        <row r="129">
          <cell r="O129">
            <v>261106.85</v>
          </cell>
        </row>
        <row r="130">
          <cell r="O130">
            <v>0</v>
          </cell>
        </row>
        <row r="131">
          <cell r="O131">
            <v>0</v>
          </cell>
        </row>
        <row r="132">
          <cell r="O132">
            <v>0</v>
          </cell>
        </row>
        <row r="133">
          <cell r="O133">
            <v>0</v>
          </cell>
        </row>
        <row r="134">
          <cell r="O134">
            <v>0</v>
          </cell>
        </row>
        <row r="135">
          <cell r="O135">
            <v>0</v>
          </cell>
        </row>
        <row r="136">
          <cell r="O136">
            <v>261106.85</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54.93</v>
          </cell>
        </row>
        <row r="154">
          <cell r="O154">
            <v>0</v>
          </cell>
        </row>
        <row r="155">
          <cell r="O155">
            <v>0</v>
          </cell>
        </row>
        <row r="156">
          <cell r="O156">
            <v>0</v>
          </cell>
        </row>
        <row r="157">
          <cell r="O157">
            <v>0</v>
          </cell>
        </row>
        <row r="158">
          <cell r="O158">
            <v>54.93</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47668.45</v>
          </cell>
        </row>
        <row r="171">
          <cell r="O171">
            <v>0</v>
          </cell>
        </row>
        <row r="172">
          <cell r="O172">
            <v>47668.45</v>
          </cell>
        </row>
        <row r="173">
          <cell r="O173">
            <v>827.46</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278.77</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5204.9799999999996</v>
          </cell>
        </row>
        <row r="226">
          <cell r="O226">
            <v>0</v>
          </cell>
        </row>
        <row r="227">
          <cell r="O227">
            <v>0</v>
          </cell>
        </row>
        <row r="228">
          <cell r="O228">
            <v>0</v>
          </cell>
        </row>
        <row r="229">
          <cell r="O229">
            <v>0</v>
          </cell>
        </row>
        <row r="230">
          <cell r="O230">
            <v>6311.21</v>
          </cell>
        </row>
        <row r="231">
          <cell r="O231">
            <v>0</v>
          </cell>
        </row>
        <row r="232">
          <cell r="O232">
            <v>0</v>
          </cell>
        </row>
        <row r="233">
          <cell r="O233">
            <v>0</v>
          </cell>
        </row>
        <row r="234">
          <cell r="O234">
            <v>0</v>
          </cell>
        </row>
        <row r="235">
          <cell r="O235">
            <v>86037.85</v>
          </cell>
        </row>
        <row r="236">
          <cell r="O236">
            <v>2495.67</v>
          </cell>
        </row>
        <row r="237">
          <cell r="O237">
            <v>0</v>
          </cell>
        </row>
        <row r="238">
          <cell r="O238">
            <v>88533.52</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5510.76</v>
          </cell>
        </row>
        <row r="270">
          <cell r="O270">
            <v>1551.9</v>
          </cell>
        </row>
        <row r="271">
          <cell r="O271">
            <v>0</v>
          </cell>
        </row>
        <row r="272">
          <cell r="O272">
            <v>7062.66</v>
          </cell>
        </row>
        <row r="273">
          <cell r="O273">
            <v>119.23</v>
          </cell>
        </row>
        <row r="274">
          <cell r="O274">
            <v>6.46</v>
          </cell>
        </row>
        <row r="275">
          <cell r="O275">
            <v>1128.07</v>
          </cell>
        </row>
        <row r="276">
          <cell r="O276">
            <v>1393.71</v>
          </cell>
        </row>
        <row r="277">
          <cell r="O277">
            <v>0</v>
          </cell>
        </row>
        <row r="278">
          <cell r="O278">
            <v>0</v>
          </cell>
        </row>
        <row r="279">
          <cell r="O279">
            <v>0</v>
          </cell>
        </row>
        <row r="280">
          <cell r="O280">
            <v>0</v>
          </cell>
        </row>
        <row r="281">
          <cell r="O281">
            <v>2647.47</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113.93</v>
          </cell>
        </row>
        <row r="296">
          <cell r="O296">
            <v>0</v>
          </cell>
        </row>
        <row r="297">
          <cell r="O297">
            <v>0</v>
          </cell>
        </row>
        <row r="298">
          <cell r="O298">
            <v>113.93</v>
          </cell>
        </row>
        <row r="299">
          <cell r="O299">
            <v>9881.34</v>
          </cell>
        </row>
        <row r="300">
          <cell r="O300">
            <v>9881.34</v>
          </cell>
        </row>
        <row r="301">
          <cell r="O301">
            <v>0</v>
          </cell>
        </row>
        <row r="302">
          <cell r="O302">
            <v>0</v>
          </cell>
        </row>
        <row r="303">
          <cell r="O303">
            <v>0</v>
          </cell>
        </row>
        <row r="304">
          <cell r="O304">
            <v>0</v>
          </cell>
        </row>
        <row r="305">
          <cell r="O305">
            <v>414.79</v>
          </cell>
        </row>
        <row r="306">
          <cell r="O306">
            <v>1600</v>
          </cell>
        </row>
        <row r="307">
          <cell r="O307">
            <v>2014.79</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437850.05</v>
          </cell>
        </row>
        <row r="338">
          <cell r="O338">
            <v>0</v>
          </cell>
        </row>
        <row r="339">
          <cell r="O339">
            <v>0</v>
          </cell>
        </row>
        <row r="340">
          <cell r="O340">
            <v>0</v>
          </cell>
        </row>
        <row r="341">
          <cell r="O341">
            <v>0</v>
          </cell>
        </row>
        <row r="342">
          <cell r="O342">
            <v>0</v>
          </cell>
        </row>
        <row r="343">
          <cell r="O343">
            <v>0</v>
          </cell>
        </row>
        <row r="344">
          <cell r="O344">
            <v>437850.05</v>
          </cell>
        </row>
        <row r="345">
          <cell r="O345">
            <v>0</v>
          </cell>
        </row>
        <row r="346">
          <cell r="O346">
            <v>-126800.44</v>
          </cell>
        </row>
        <row r="347">
          <cell r="O347">
            <v>-13500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-140300.44</v>
          </cell>
        </row>
        <row r="358">
          <cell r="O358">
            <v>804371.93</v>
          </cell>
        </row>
      </sheetData>
      <sheetData sheetId="2">
        <row r="65">
          <cell r="O65">
            <v>41724.21</v>
          </cell>
        </row>
      </sheetData>
      <sheetData sheetId="3" refreshError="1"/>
      <sheetData sheetId="4">
        <row r="1">
          <cell r="A1" t="str">
            <v>CC25411</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28 Doc 1"/>
      <sheetName val="GI-28 Doc 2"/>
      <sheetName val="GI-28 Doc 2.1"/>
      <sheetName val="25401"/>
      <sheetName val="25404"/>
      <sheetName val="25406"/>
      <sheetName val="25408"/>
      <sheetName val="25411"/>
      <sheetName val="25413"/>
      <sheetName val="GI-28 Doc 3"/>
      <sheetName val="GI-28 Doc 3.1"/>
      <sheetName val="25430"/>
      <sheetName val="25432"/>
      <sheetName val="25434"/>
      <sheetName val="25436"/>
      <sheetName val="25451"/>
      <sheetName val="GI-28 Doc 4"/>
      <sheetName val="GI-28 Doc 4.1"/>
      <sheetName val="Récap autres charges"/>
      <sheetName val="Rcap salaires"/>
      <sheetName val="25442"/>
      <sheetName val="25444"/>
      <sheetName val="25446"/>
      <sheetName val="25448"/>
      <sheetName val="25449"/>
      <sheetName val="GI-28 Doc 5"/>
      <sheetName val="GI-28 Doc 5.1"/>
      <sheetName val="25450"/>
      <sheetName val="GI-28 Doc 6"/>
      <sheetName val="GI-28 Doc 6.1"/>
      <sheetName val="25452"/>
      <sheetName val="GI-28 Doc 7"/>
      <sheetName val="GI-28 Doc 7.1"/>
      <sheetName val="GI-28 Doc 7.1 V de travail"/>
      <sheetName val="25440"/>
      <sheetName val="25441"/>
      <sheetName val="GI-28 Doc 8"/>
      <sheetName val="GI-28 Doc 8.1"/>
      <sheetName val="GI-28 Doc 9"/>
    </sheetNames>
    <sheetDataSet>
      <sheetData sheetId="0" refreshError="1">
        <row r="65">
          <cell r="Q65" t="str">
            <v>GI-28</v>
          </cell>
        </row>
        <row r="68">
          <cell r="Q68" t="str">
            <v>Requête 3924-2015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8">
          <cell r="Q8" t="str">
            <v>Cause 2016</v>
          </cell>
        </row>
        <row r="9">
          <cell r="N9" t="str">
            <v>vs Réel 2014</v>
          </cell>
        </row>
      </sheetData>
      <sheetData sheetId="26" refreshError="1"/>
      <sheetData sheetId="27" refreshError="1"/>
      <sheetData sheetId="28" refreshError="1"/>
      <sheetData sheetId="29" refreshError="1"/>
      <sheetData sheetId="30" refreshError="1">
        <row r="16">
          <cell r="D16">
            <v>296.16640000000001</v>
          </cell>
          <cell r="F16">
            <v>304.19499999999999</v>
          </cell>
          <cell r="J16">
            <v>293.51499999999999</v>
          </cell>
        </row>
        <row r="21">
          <cell r="F21">
            <v>170.63500000000025</v>
          </cell>
          <cell r="J21">
            <v>337.91</v>
          </cell>
        </row>
        <row r="24">
          <cell r="F24">
            <v>518.82899999999995</v>
          </cell>
          <cell r="J24">
            <v>571.47</v>
          </cell>
        </row>
        <row r="25">
          <cell r="F25">
            <v>493.33199999999999</v>
          </cell>
          <cell r="J25">
            <v>728.13200000000006</v>
          </cell>
        </row>
        <row r="26">
          <cell r="F26">
            <v>241.19099999999997</v>
          </cell>
          <cell r="J26">
            <v>-18.446000000000026</v>
          </cell>
        </row>
        <row r="27">
          <cell r="F27">
            <v>373.68700000000001</v>
          </cell>
          <cell r="J27">
            <v>233.18100000000001</v>
          </cell>
        </row>
        <row r="28">
          <cell r="F28">
            <v>96.227000000000004</v>
          </cell>
          <cell r="J28">
            <v>-21.573</v>
          </cell>
        </row>
        <row r="29">
          <cell r="F29">
            <v>289.21600000000001</v>
          </cell>
          <cell r="J29">
            <v>421.41100000000006</v>
          </cell>
        </row>
        <row r="30">
          <cell r="F30">
            <v>0</v>
          </cell>
          <cell r="J30">
            <v>85</v>
          </cell>
        </row>
        <row r="31">
          <cell r="F31">
            <v>0</v>
          </cell>
          <cell r="J31">
            <v>0</v>
          </cell>
        </row>
        <row r="32">
          <cell r="F32">
            <v>0</v>
          </cell>
          <cell r="J32">
            <v>0</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41">
          <cell r="O41">
            <v>304195</v>
          </cell>
        </row>
        <row r="65">
          <cell r="O65">
            <v>304195</v>
          </cell>
        </row>
        <row r="123">
          <cell r="O123">
            <v>2012481.9999999998</v>
          </cell>
        </row>
        <row r="358">
          <cell r="O358">
            <v>2487312</v>
          </cell>
        </row>
      </sheetData>
      <sheetData sheetId="3"/>
      <sheetData sheetId="4">
        <row r="66">
          <cell r="C66">
            <v>296166.40000000002</v>
          </cell>
          <cell r="D66">
            <v>293515</v>
          </cell>
          <cell r="E66">
            <v>293815.45</v>
          </cell>
          <cell r="F66">
            <v>389498</v>
          </cell>
        </row>
        <row r="124">
          <cell r="C124">
            <v>2012543.49</v>
          </cell>
          <cell r="D124">
            <v>1999174</v>
          </cell>
          <cell r="E124">
            <v>1999174</v>
          </cell>
          <cell r="F124">
            <v>926379</v>
          </cell>
        </row>
        <row r="359">
          <cell r="C359">
            <v>2505170.1599999992</v>
          </cell>
          <cell r="D359">
            <v>2630599</v>
          </cell>
          <cell r="E359">
            <v>2595405.4500000002</v>
          </cell>
          <cell r="F359">
            <v>1637966</v>
          </cell>
          <cell r="K359">
            <v>16379.659999999916</v>
          </cell>
        </row>
      </sheetData>
      <sheetData sheetId="5"/>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28 Doc 1"/>
      <sheetName val="GI-28 Doc 2"/>
      <sheetName val="GI-28 Doc 2.1"/>
      <sheetName val="25401"/>
      <sheetName val="25404"/>
      <sheetName val="25406"/>
      <sheetName val="25408"/>
      <sheetName val="25411"/>
      <sheetName val="25413"/>
      <sheetName val="GI-28 Doc 3"/>
      <sheetName val="GI-28 Doc 3.1"/>
      <sheetName val="25430"/>
      <sheetName val="25432"/>
      <sheetName val="25434"/>
      <sheetName val="25436"/>
      <sheetName val="25451"/>
      <sheetName val="GI-28 Doc 4"/>
      <sheetName val="GI-28 Doc 4.1"/>
      <sheetName val="Récap autres charges"/>
      <sheetName val="Rcap salaires"/>
      <sheetName val="25442"/>
      <sheetName val="25444"/>
      <sheetName val="25446"/>
      <sheetName val="25448"/>
      <sheetName val="25449"/>
      <sheetName val="GI-28 Doc 5"/>
      <sheetName val="GI-28 Doc 5.1"/>
      <sheetName val="25450"/>
      <sheetName val="GI-28 Doc 6"/>
      <sheetName val="GI-28 Doc 6.1"/>
      <sheetName val="25452"/>
      <sheetName val="GI-28 Doc 7 à déposer"/>
      <sheetName val="GI-28 Doc 7 de travail"/>
      <sheetName val="GI-28 Doc 7.1"/>
      <sheetName val="GI-28 Doc 7.1 V de travail"/>
      <sheetName val="25440"/>
      <sheetName val="25441"/>
      <sheetName val="GI-28 Doc 8"/>
      <sheetName val="GI-28 Doc 8.1"/>
      <sheetName val="GI-28 Doc 8.2"/>
      <sheetName val="GI-28 Doc 9"/>
    </sheetNames>
    <sheetDataSet>
      <sheetData sheetId="0">
        <row r="65">
          <cell r="Q65" t="str">
            <v>GI-28</v>
          </cell>
        </row>
        <row r="68">
          <cell r="A68" t="str">
            <v>Original: 2015-08-28</v>
          </cell>
          <cell r="Q68" t="str">
            <v>Requête 3924-2015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7">
          <cell r="D7">
            <v>2014</v>
          </cell>
          <cell r="H7">
            <v>2015</v>
          </cell>
          <cell r="N7" t="str">
            <v>2015 (4+8)</v>
          </cell>
          <cell r="Q7" t="str">
            <v>Cause 2016</v>
          </cell>
        </row>
        <row r="8">
          <cell r="D8" t="str">
            <v>Réel</v>
          </cell>
          <cell r="H8" t="str">
            <v>(4+8)</v>
          </cell>
          <cell r="N8" t="str">
            <v>vs Réel 2014</v>
          </cell>
          <cell r="Q8" t="str">
            <v>vs 2015 (4+8)</v>
          </cell>
        </row>
      </sheetData>
      <sheetData sheetId="29"/>
      <sheetData sheetId="30"/>
      <sheetData sheetId="31"/>
      <sheetData sheetId="32"/>
      <sheetData sheetId="33"/>
      <sheetData sheetId="34"/>
      <sheetData sheetId="35">
        <row r="16">
          <cell r="F16">
            <v>530.69899999999996</v>
          </cell>
          <cell r="J16">
            <v>557.65899999999999</v>
          </cell>
        </row>
        <row r="21">
          <cell r="F21">
            <v>229.529</v>
          </cell>
          <cell r="J21">
            <v>210.364</v>
          </cell>
        </row>
      </sheetData>
      <sheetData sheetId="36">
        <row r="16">
          <cell r="F16">
            <v>0</v>
          </cell>
          <cell r="J16">
            <v>0</v>
          </cell>
        </row>
        <row r="21">
          <cell r="F21">
            <v>76.22508000000002</v>
          </cell>
          <cell r="J21">
            <v>76.335999999999999</v>
          </cell>
        </row>
      </sheetData>
      <sheetData sheetId="37"/>
      <sheetData sheetId="38"/>
      <sheetData sheetId="39"/>
      <sheetData sheetId="4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65">
          <cell r="O65">
            <v>530699</v>
          </cell>
        </row>
        <row r="344">
          <cell r="O344">
            <v>118605.96</v>
          </cell>
        </row>
        <row r="358">
          <cell r="O358">
            <v>878833.96</v>
          </cell>
        </row>
      </sheetData>
      <sheetData sheetId="3"/>
      <sheetData sheetId="4">
        <row r="66">
          <cell r="C66">
            <v>448088.5</v>
          </cell>
          <cell r="D66">
            <v>557659</v>
          </cell>
          <cell r="E66">
            <v>550522.80000000005</v>
          </cell>
          <cell r="F66">
            <v>561776</v>
          </cell>
        </row>
        <row r="345">
          <cell r="C345">
            <v>113428.32</v>
          </cell>
          <cell r="D345">
            <v>123156</v>
          </cell>
          <cell r="E345">
            <v>102410</v>
          </cell>
          <cell r="F345">
            <v>82272</v>
          </cell>
        </row>
        <row r="359">
          <cell r="C359">
            <v>762252.72</v>
          </cell>
          <cell r="D359">
            <v>891179</v>
          </cell>
          <cell r="E359">
            <v>870517.48</v>
          </cell>
          <cell r="F359">
            <v>877567</v>
          </cell>
        </row>
      </sheetData>
      <sheetData sheetId="5"/>
      <sheetData sheetId="6"/>
      <sheetData sheetId="7"/>
      <sheetData sheetId="8"/>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sheetData sheetId="1"/>
      <sheetData sheetId="2">
        <row r="65">
          <cell r="O65">
            <v>0</v>
          </cell>
        </row>
        <row r="344">
          <cell r="O344">
            <v>479017.8</v>
          </cell>
        </row>
        <row r="358">
          <cell r="O358">
            <v>555242.88</v>
          </cell>
        </row>
      </sheetData>
      <sheetData sheetId="3"/>
      <sheetData sheetId="4">
        <row r="66">
          <cell r="C66">
            <v>58055.32</v>
          </cell>
          <cell r="D66">
            <v>0</v>
          </cell>
          <cell r="E66">
            <v>0</v>
          </cell>
          <cell r="F66">
            <v>0</v>
          </cell>
        </row>
        <row r="345">
          <cell r="C345">
            <v>421011.73</v>
          </cell>
          <cell r="D345">
            <v>487500</v>
          </cell>
          <cell r="E345">
            <v>593504</v>
          </cell>
          <cell r="F345">
            <v>651150</v>
          </cell>
        </row>
        <row r="358">
          <cell r="C358">
            <v>-58055.32</v>
          </cell>
          <cell r="E358">
            <v>0</v>
          </cell>
        </row>
        <row r="359">
          <cell r="C359">
            <v>492386.48</v>
          </cell>
          <cell r="D359">
            <v>563836</v>
          </cell>
          <cell r="E359">
            <v>671099.03</v>
          </cell>
          <cell r="F359">
            <v>743370</v>
          </cell>
        </row>
      </sheetData>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CC25413</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0</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0</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0</v>
          </cell>
        </row>
        <row r="86">
          <cell r="A86" t="str">
            <v>A60406</v>
          </cell>
          <cell r="O86">
            <v>0</v>
          </cell>
        </row>
        <row r="87">
          <cell r="A87" t="str">
            <v>A60412</v>
          </cell>
          <cell r="O87">
            <v>0</v>
          </cell>
        </row>
        <row r="88">
          <cell r="A88" t="str">
            <v>P6040</v>
          </cell>
          <cell r="O88">
            <v>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0</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0</v>
          </cell>
        </row>
        <row r="117">
          <cell r="A117" t="str">
            <v>A61201</v>
          </cell>
          <cell r="O117">
            <v>0</v>
          </cell>
        </row>
        <row r="118">
          <cell r="A118" t="str">
            <v>A61299</v>
          </cell>
          <cell r="O118">
            <v>15175.33</v>
          </cell>
        </row>
        <row r="119">
          <cell r="A119" t="str">
            <v>P6120</v>
          </cell>
          <cell r="O119">
            <v>15175.33</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84595</v>
          </cell>
        </row>
        <row r="126">
          <cell r="A126" t="str">
            <v>A61512</v>
          </cell>
          <cell r="O126">
            <v>0</v>
          </cell>
        </row>
        <row r="127">
          <cell r="A127" t="str">
            <v>A61513</v>
          </cell>
          <cell r="O127">
            <v>0</v>
          </cell>
        </row>
        <row r="128">
          <cell r="A128" t="str">
            <v>P6150</v>
          </cell>
          <cell r="O128">
            <v>84595</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0</v>
          </cell>
        </row>
        <row r="270">
          <cell r="A270" t="str">
            <v>A70407</v>
          </cell>
          <cell r="O270">
            <v>0</v>
          </cell>
        </row>
        <row r="271">
          <cell r="A271" t="str">
            <v>A70409</v>
          </cell>
          <cell r="O271">
            <v>0</v>
          </cell>
        </row>
        <row r="272">
          <cell r="A272" t="str">
            <v>P7040</v>
          </cell>
          <cell r="O272">
            <v>0</v>
          </cell>
        </row>
        <row r="273">
          <cell r="A273" t="str">
            <v>A70501</v>
          </cell>
          <cell r="O273">
            <v>0</v>
          </cell>
        </row>
        <row r="274">
          <cell r="A274" t="str">
            <v>A70503</v>
          </cell>
          <cell r="O274">
            <v>0</v>
          </cell>
        </row>
        <row r="275">
          <cell r="A275" t="str">
            <v>A70505</v>
          </cell>
          <cell r="O275">
            <v>0</v>
          </cell>
        </row>
        <row r="276">
          <cell r="A276" t="str">
            <v>A70507</v>
          </cell>
          <cell r="O276">
            <v>0</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0</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0</v>
          </cell>
        </row>
        <row r="306">
          <cell r="A306" t="str">
            <v>A70811</v>
          </cell>
          <cell r="O306">
            <v>0</v>
          </cell>
        </row>
        <row r="307">
          <cell r="A307" t="str">
            <v>P7080</v>
          </cell>
          <cell r="O307">
            <v>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403.14</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403.14</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-1400</v>
          </cell>
        </row>
        <row r="356">
          <cell r="A356" t="str">
            <v>A79958</v>
          </cell>
          <cell r="O356">
            <v>0</v>
          </cell>
        </row>
        <row r="357">
          <cell r="A357" t="str">
            <v>P7995</v>
          </cell>
          <cell r="O357">
            <v>-1400</v>
          </cell>
        </row>
        <row r="358">
          <cell r="A358" t="str">
            <v>OAPPP</v>
          </cell>
          <cell r="O358">
            <v>98773.47</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row r="52">
          <cell r="O52">
            <v>0</v>
          </cell>
        </row>
        <row r="53">
          <cell r="O53">
            <v>0</v>
          </cell>
        </row>
        <row r="54">
          <cell r="O54">
            <v>0</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0</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0</v>
          </cell>
        </row>
        <row r="107">
          <cell r="O107">
            <v>0</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0</v>
          </cell>
        </row>
        <row r="117">
          <cell r="O117">
            <v>0</v>
          </cell>
        </row>
        <row r="118">
          <cell r="O118">
            <v>721.59</v>
          </cell>
        </row>
        <row r="119">
          <cell r="O119">
            <v>721.59</v>
          </cell>
        </row>
        <row r="120">
          <cell r="O120">
            <v>0</v>
          </cell>
        </row>
        <row r="121">
          <cell r="O121">
            <v>0</v>
          </cell>
        </row>
        <row r="122">
          <cell r="O122">
            <v>0</v>
          </cell>
        </row>
        <row r="123">
          <cell r="O123">
            <v>0</v>
          </cell>
        </row>
        <row r="124">
          <cell r="O124">
            <v>0</v>
          </cell>
        </row>
        <row r="125">
          <cell r="O125">
            <v>75336.08</v>
          </cell>
        </row>
        <row r="126">
          <cell r="O126">
            <v>0</v>
          </cell>
        </row>
        <row r="127">
          <cell r="O127">
            <v>0</v>
          </cell>
        </row>
        <row r="128">
          <cell r="O128">
            <v>75336.08</v>
          </cell>
        </row>
        <row r="129">
          <cell r="O129">
            <v>1232.4000000000001</v>
          </cell>
        </row>
        <row r="130">
          <cell r="O130">
            <v>0</v>
          </cell>
        </row>
        <row r="131">
          <cell r="O131">
            <v>0</v>
          </cell>
        </row>
        <row r="132">
          <cell r="O132">
            <v>0</v>
          </cell>
        </row>
        <row r="133">
          <cell r="O133">
            <v>0</v>
          </cell>
        </row>
        <row r="134">
          <cell r="O134">
            <v>0</v>
          </cell>
        </row>
        <row r="135">
          <cell r="O135">
            <v>0</v>
          </cell>
        </row>
        <row r="136">
          <cell r="O136">
            <v>1232.4000000000001</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0</v>
          </cell>
        </row>
        <row r="154">
          <cell r="O154">
            <v>0</v>
          </cell>
        </row>
        <row r="155">
          <cell r="O155">
            <v>0</v>
          </cell>
        </row>
        <row r="156">
          <cell r="O156">
            <v>0</v>
          </cell>
        </row>
        <row r="157">
          <cell r="O157">
            <v>0</v>
          </cell>
        </row>
        <row r="158">
          <cell r="O158">
            <v>0</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348</v>
          </cell>
        </row>
        <row r="171">
          <cell r="O171">
            <v>0</v>
          </cell>
        </row>
        <row r="172">
          <cell r="O172">
            <v>348</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0</v>
          </cell>
        </row>
        <row r="270">
          <cell r="O270">
            <v>0</v>
          </cell>
        </row>
        <row r="271">
          <cell r="O271">
            <v>0</v>
          </cell>
        </row>
        <row r="272">
          <cell r="O272">
            <v>0</v>
          </cell>
        </row>
        <row r="273">
          <cell r="O273">
            <v>0</v>
          </cell>
        </row>
        <row r="274">
          <cell r="O274">
            <v>0</v>
          </cell>
        </row>
        <row r="275">
          <cell r="O275">
            <v>0</v>
          </cell>
        </row>
        <row r="276">
          <cell r="O276">
            <v>0</v>
          </cell>
        </row>
        <row r="277">
          <cell r="O277">
            <v>0</v>
          </cell>
        </row>
        <row r="278">
          <cell r="O278">
            <v>0</v>
          </cell>
        </row>
        <row r="279">
          <cell r="O279">
            <v>0</v>
          </cell>
        </row>
        <row r="280">
          <cell r="O280">
            <v>0</v>
          </cell>
        </row>
        <row r="281">
          <cell r="O281">
            <v>0</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1144.4100000000001</v>
          </cell>
        </row>
        <row r="338">
          <cell r="O338">
            <v>0</v>
          </cell>
        </row>
        <row r="339">
          <cell r="O339">
            <v>0</v>
          </cell>
        </row>
        <row r="340">
          <cell r="O340">
            <v>0</v>
          </cell>
        </row>
        <row r="341">
          <cell r="O341">
            <v>0</v>
          </cell>
        </row>
        <row r="342">
          <cell r="O342">
            <v>0</v>
          </cell>
        </row>
        <row r="343">
          <cell r="O343">
            <v>0</v>
          </cell>
        </row>
        <row r="344">
          <cell r="O344">
            <v>1144.4100000000001</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78782.48</v>
          </cell>
        </row>
      </sheetData>
      <sheetData sheetId="2">
        <row r="344">
          <cell r="O344">
            <v>0</v>
          </cell>
        </row>
      </sheetData>
      <sheetData sheetId="3" refreshError="1"/>
      <sheetData sheetId="4">
        <row r="1">
          <cell r="A1" t="str">
            <v>CC25413</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CC25430</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386977</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386977</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1550</v>
          </cell>
        </row>
        <row r="86">
          <cell r="A86" t="str">
            <v>A60406</v>
          </cell>
          <cell r="O86">
            <v>0</v>
          </cell>
        </row>
        <row r="87">
          <cell r="A87" t="str">
            <v>A60412</v>
          </cell>
          <cell r="O87">
            <v>0</v>
          </cell>
        </row>
        <row r="88">
          <cell r="A88" t="str">
            <v>P6040</v>
          </cell>
          <cell r="O88">
            <v>1550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2052</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2052</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829</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829</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1194</v>
          </cell>
        </row>
        <row r="270">
          <cell r="A270" t="str">
            <v>A70407</v>
          </cell>
          <cell r="O270">
            <v>0</v>
          </cell>
        </row>
        <row r="271">
          <cell r="A271" t="str">
            <v>A70409</v>
          </cell>
          <cell r="O271">
            <v>0</v>
          </cell>
        </row>
        <row r="272">
          <cell r="A272" t="str">
            <v>P7040</v>
          </cell>
          <cell r="O272">
            <v>1194</v>
          </cell>
        </row>
        <row r="273">
          <cell r="A273" t="str">
            <v>A70501</v>
          </cell>
          <cell r="O273">
            <v>1298</v>
          </cell>
        </row>
        <row r="274">
          <cell r="A274" t="str">
            <v>A70503</v>
          </cell>
          <cell r="O274">
            <v>2053</v>
          </cell>
        </row>
        <row r="275">
          <cell r="A275" t="str">
            <v>A70505</v>
          </cell>
          <cell r="O275">
            <v>715</v>
          </cell>
        </row>
        <row r="276">
          <cell r="A276" t="str">
            <v>A70507</v>
          </cell>
          <cell r="O276">
            <v>4175</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8241</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562</v>
          </cell>
        </row>
        <row r="306">
          <cell r="A306" t="str">
            <v>A70811</v>
          </cell>
          <cell r="O306">
            <v>0</v>
          </cell>
        </row>
        <row r="307">
          <cell r="A307" t="str">
            <v>P7080</v>
          </cell>
          <cell r="O307">
            <v>562</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0</v>
          </cell>
        </row>
        <row r="356">
          <cell r="A356" t="str">
            <v>A79958</v>
          </cell>
          <cell r="O356">
            <v>-5600</v>
          </cell>
        </row>
        <row r="357">
          <cell r="A357" t="str">
            <v>P7995</v>
          </cell>
          <cell r="O357">
            <v>-5600</v>
          </cell>
        </row>
        <row r="358">
          <cell r="A358" t="str">
            <v>OAPPP</v>
          </cell>
          <cell r="O358">
            <v>395805</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268850.57</v>
          </cell>
        </row>
        <row r="42">
          <cell r="O42">
            <v>0</v>
          </cell>
        </row>
        <row r="43">
          <cell r="O43">
            <v>0</v>
          </cell>
        </row>
        <row r="44">
          <cell r="O44">
            <v>0</v>
          </cell>
        </row>
        <row r="45">
          <cell r="O45">
            <v>0</v>
          </cell>
        </row>
        <row r="46">
          <cell r="O46">
            <v>0</v>
          </cell>
        </row>
        <row r="47">
          <cell r="O47">
            <v>22682.27</v>
          </cell>
        </row>
        <row r="48">
          <cell r="O48">
            <v>27500</v>
          </cell>
        </row>
        <row r="49">
          <cell r="O49">
            <v>0</v>
          </cell>
        </row>
        <row r="50">
          <cell r="O50">
            <v>0</v>
          </cell>
        </row>
        <row r="51">
          <cell r="O51">
            <v>0</v>
          </cell>
        </row>
        <row r="52">
          <cell r="O52">
            <v>0</v>
          </cell>
        </row>
        <row r="53">
          <cell r="O53">
            <v>6743.91</v>
          </cell>
        </row>
        <row r="54">
          <cell r="O54">
            <v>15425.03</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341201.78</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270.02999999999997</v>
          </cell>
        </row>
        <row r="107">
          <cell r="O107">
            <v>0</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270.02999999999997</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2698.93</v>
          </cell>
        </row>
        <row r="126">
          <cell r="O126">
            <v>0</v>
          </cell>
        </row>
        <row r="127">
          <cell r="O127">
            <v>0</v>
          </cell>
        </row>
        <row r="128">
          <cell r="O128">
            <v>2698.93</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2502.71</v>
          </cell>
        </row>
        <row r="142">
          <cell r="O142">
            <v>0</v>
          </cell>
        </row>
        <row r="143">
          <cell r="O143">
            <v>0</v>
          </cell>
        </row>
        <row r="144">
          <cell r="O144">
            <v>2502.71</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72.260000000000005</v>
          </cell>
        </row>
        <row r="154">
          <cell r="O154">
            <v>0</v>
          </cell>
        </row>
        <row r="155">
          <cell r="O155">
            <v>0</v>
          </cell>
        </row>
        <row r="156">
          <cell r="O156">
            <v>0</v>
          </cell>
        </row>
        <row r="157">
          <cell r="O157">
            <v>0</v>
          </cell>
        </row>
        <row r="158">
          <cell r="O158">
            <v>72.260000000000005</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71.819999999999993</v>
          </cell>
        </row>
        <row r="171">
          <cell r="O171">
            <v>0</v>
          </cell>
        </row>
        <row r="172">
          <cell r="O172">
            <v>71.819999999999993</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1493.31</v>
          </cell>
        </row>
        <row r="270">
          <cell r="O270">
            <v>0</v>
          </cell>
        </row>
        <row r="271">
          <cell r="O271">
            <v>0</v>
          </cell>
        </row>
        <row r="272">
          <cell r="O272">
            <v>1493.31</v>
          </cell>
        </row>
        <row r="273">
          <cell r="O273">
            <v>950.91</v>
          </cell>
        </row>
        <row r="274">
          <cell r="O274">
            <v>459.43</v>
          </cell>
        </row>
        <row r="275">
          <cell r="O275">
            <v>150.33000000000001</v>
          </cell>
        </row>
        <row r="276">
          <cell r="O276">
            <v>854.1</v>
          </cell>
        </row>
        <row r="277">
          <cell r="O277">
            <v>12.61</v>
          </cell>
        </row>
        <row r="278">
          <cell r="O278">
            <v>0</v>
          </cell>
        </row>
        <row r="279">
          <cell r="O279">
            <v>0</v>
          </cell>
        </row>
        <row r="280">
          <cell r="O280">
            <v>0</v>
          </cell>
        </row>
        <row r="281">
          <cell r="O281">
            <v>2427.38</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0</v>
          </cell>
        </row>
        <row r="307">
          <cell r="O307">
            <v>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0</v>
          </cell>
        </row>
        <row r="339">
          <cell r="O339">
            <v>0</v>
          </cell>
        </row>
        <row r="340">
          <cell r="O340">
            <v>0</v>
          </cell>
        </row>
        <row r="341">
          <cell r="O341">
            <v>0</v>
          </cell>
        </row>
        <row r="342">
          <cell r="O342">
            <v>0</v>
          </cell>
        </row>
        <row r="343">
          <cell r="O343">
            <v>0</v>
          </cell>
        </row>
        <row r="344">
          <cell r="O344">
            <v>0</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350738.22</v>
          </cell>
        </row>
      </sheetData>
      <sheetData sheetId="2">
        <row r="65">
          <cell r="O65">
            <v>394447</v>
          </cell>
        </row>
      </sheetData>
      <sheetData sheetId="3" refreshError="1"/>
      <sheetData sheetId="4">
        <row r="1">
          <cell r="A1" t="str">
            <v>CC25430</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CC25432</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87790</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87790</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0</v>
          </cell>
        </row>
        <row r="86">
          <cell r="A86" t="str">
            <v>A60406</v>
          </cell>
          <cell r="O86">
            <v>0</v>
          </cell>
        </row>
        <row r="87">
          <cell r="A87" t="str">
            <v>A60412</v>
          </cell>
          <cell r="O87">
            <v>0</v>
          </cell>
        </row>
        <row r="88">
          <cell r="A88" t="str">
            <v>P6040</v>
          </cell>
          <cell r="O88">
            <v>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0</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0</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663</v>
          </cell>
        </row>
        <row r="270">
          <cell r="A270" t="str">
            <v>A70407</v>
          </cell>
          <cell r="O270">
            <v>0</v>
          </cell>
        </row>
        <row r="271">
          <cell r="A271" t="str">
            <v>A70409</v>
          </cell>
          <cell r="O271">
            <v>0</v>
          </cell>
        </row>
        <row r="272">
          <cell r="A272" t="str">
            <v>P7040</v>
          </cell>
          <cell r="O272">
            <v>663</v>
          </cell>
        </row>
        <row r="273">
          <cell r="A273" t="str">
            <v>A70501</v>
          </cell>
          <cell r="O273">
            <v>0</v>
          </cell>
        </row>
        <row r="274">
          <cell r="A274" t="str">
            <v>A70503</v>
          </cell>
          <cell r="O274">
            <v>4814</v>
          </cell>
        </row>
        <row r="275">
          <cell r="A275" t="str">
            <v>A70505</v>
          </cell>
          <cell r="O275">
            <v>374</v>
          </cell>
        </row>
        <row r="276">
          <cell r="A276" t="str">
            <v>A70507</v>
          </cell>
          <cell r="O276">
            <v>1139</v>
          </cell>
        </row>
        <row r="277">
          <cell r="A277" t="str">
            <v>A70509</v>
          </cell>
          <cell r="O277">
            <v>0</v>
          </cell>
        </row>
        <row r="278">
          <cell r="A278" t="str">
            <v>A70511</v>
          </cell>
          <cell r="O278">
            <v>955</v>
          </cell>
        </row>
        <row r="279">
          <cell r="A279" t="str">
            <v>A70506</v>
          </cell>
          <cell r="O279">
            <v>0</v>
          </cell>
        </row>
        <row r="280">
          <cell r="A280" t="str">
            <v>A70510</v>
          </cell>
          <cell r="O280">
            <v>0</v>
          </cell>
        </row>
        <row r="281">
          <cell r="A281" t="str">
            <v>P7050</v>
          </cell>
          <cell r="O281">
            <v>7282</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791</v>
          </cell>
        </row>
        <row r="305">
          <cell r="A305" t="str">
            <v>A70809</v>
          </cell>
          <cell r="O305">
            <v>0</v>
          </cell>
        </row>
        <row r="306">
          <cell r="A306" t="str">
            <v>A70811</v>
          </cell>
          <cell r="O306">
            <v>0</v>
          </cell>
        </row>
        <row r="307">
          <cell r="A307" t="str">
            <v>P7080</v>
          </cell>
          <cell r="O307">
            <v>791</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5000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5000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-1425</v>
          </cell>
        </row>
        <row r="356">
          <cell r="A356" t="str">
            <v>A79958</v>
          </cell>
          <cell r="O356">
            <v>0</v>
          </cell>
        </row>
        <row r="357">
          <cell r="A357" t="str">
            <v>P7995</v>
          </cell>
          <cell r="O357">
            <v>-1425</v>
          </cell>
        </row>
        <row r="358">
          <cell r="A358" t="str">
            <v>OAPPP</v>
          </cell>
          <cell r="O358">
            <v>100101</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68235.5</v>
          </cell>
        </row>
        <row r="42">
          <cell r="O42">
            <v>0</v>
          </cell>
        </row>
        <row r="43">
          <cell r="O43">
            <v>0</v>
          </cell>
        </row>
        <row r="44">
          <cell r="O44">
            <v>0</v>
          </cell>
        </row>
        <row r="45">
          <cell r="O45">
            <v>0</v>
          </cell>
        </row>
        <row r="46">
          <cell r="O46">
            <v>0</v>
          </cell>
        </row>
        <row r="47">
          <cell r="O47">
            <v>13566.72</v>
          </cell>
        </row>
        <row r="48">
          <cell r="O48">
            <v>0</v>
          </cell>
        </row>
        <row r="49">
          <cell r="O49">
            <v>0</v>
          </cell>
        </row>
        <row r="50">
          <cell r="O50">
            <v>0</v>
          </cell>
        </row>
        <row r="51">
          <cell r="O51">
            <v>0</v>
          </cell>
        </row>
        <row r="52">
          <cell r="O52">
            <v>0</v>
          </cell>
        </row>
        <row r="53">
          <cell r="O53">
            <v>991.26</v>
          </cell>
        </row>
        <row r="54">
          <cell r="O54">
            <v>6271.56</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89065.04</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0</v>
          </cell>
        </row>
        <row r="107">
          <cell r="O107">
            <v>0</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0</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6">
          <cell r="O126">
            <v>0</v>
          </cell>
        </row>
        <row r="127">
          <cell r="O127">
            <v>0</v>
          </cell>
        </row>
        <row r="128">
          <cell r="O128">
            <v>0</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16.72</v>
          </cell>
        </row>
        <row r="154">
          <cell r="O154">
            <v>0</v>
          </cell>
        </row>
        <row r="155">
          <cell r="O155">
            <v>0</v>
          </cell>
        </row>
        <row r="156">
          <cell r="O156">
            <v>0</v>
          </cell>
        </row>
        <row r="157">
          <cell r="O157">
            <v>0</v>
          </cell>
        </row>
        <row r="158">
          <cell r="O158">
            <v>16.72</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0</v>
          </cell>
        </row>
        <row r="171">
          <cell r="O171">
            <v>0</v>
          </cell>
        </row>
        <row r="172">
          <cell r="O172">
            <v>0</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586.45000000000005</v>
          </cell>
        </row>
        <row r="270">
          <cell r="O270">
            <v>0</v>
          </cell>
        </row>
        <row r="271">
          <cell r="O271">
            <v>0</v>
          </cell>
        </row>
        <row r="272">
          <cell r="O272">
            <v>586.45000000000005</v>
          </cell>
        </row>
        <row r="273">
          <cell r="O273">
            <v>0</v>
          </cell>
        </row>
        <row r="274">
          <cell r="O274">
            <v>3514.97</v>
          </cell>
        </row>
        <row r="275">
          <cell r="O275">
            <v>372.19</v>
          </cell>
        </row>
        <row r="276">
          <cell r="O276">
            <v>639.12</v>
          </cell>
        </row>
        <row r="277">
          <cell r="O277">
            <v>0</v>
          </cell>
        </row>
        <row r="278">
          <cell r="O278">
            <v>375.66</v>
          </cell>
        </row>
        <row r="279">
          <cell r="O279">
            <v>0</v>
          </cell>
        </row>
        <row r="280">
          <cell r="O280">
            <v>0</v>
          </cell>
        </row>
        <row r="281">
          <cell r="O281">
            <v>4901.9399999999996</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725</v>
          </cell>
        </row>
        <row r="305">
          <cell r="O305">
            <v>50</v>
          </cell>
        </row>
        <row r="306">
          <cell r="O306">
            <v>0</v>
          </cell>
        </row>
        <row r="307">
          <cell r="O307">
            <v>775</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2131.65</v>
          </cell>
        </row>
        <row r="339">
          <cell r="O339">
            <v>0</v>
          </cell>
        </row>
        <row r="340">
          <cell r="O340">
            <v>0</v>
          </cell>
        </row>
        <row r="341">
          <cell r="O341">
            <v>0</v>
          </cell>
        </row>
        <row r="342">
          <cell r="O342">
            <v>0</v>
          </cell>
        </row>
        <row r="343">
          <cell r="O343">
            <v>0</v>
          </cell>
        </row>
        <row r="344">
          <cell r="O344">
            <v>2131.65</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97476.800000000003</v>
          </cell>
        </row>
      </sheetData>
      <sheetData sheetId="2">
        <row r="65">
          <cell r="O65">
            <v>86323</v>
          </cell>
        </row>
      </sheetData>
      <sheetData sheetId="3" refreshError="1"/>
      <sheetData sheetId="4">
        <row r="1">
          <cell r="A1" t="str">
            <v>CC25432</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CC25434</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80103</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80103</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0</v>
          </cell>
        </row>
        <row r="86">
          <cell r="A86" t="str">
            <v>A60406</v>
          </cell>
          <cell r="O86">
            <v>0</v>
          </cell>
        </row>
        <row r="87">
          <cell r="A87" t="str">
            <v>A60412</v>
          </cell>
          <cell r="O87">
            <v>0</v>
          </cell>
        </row>
        <row r="88">
          <cell r="A88" t="str">
            <v>P6040</v>
          </cell>
          <cell r="O88">
            <v>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0</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0</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0</v>
          </cell>
        </row>
        <row r="142">
          <cell r="A142" t="str">
            <v>A61561</v>
          </cell>
          <cell r="O142">
            <v>0</v>
          </cell>
        </row>
        <row r="143">
          <cell r="A143" t="str">
            <v>A61563</v>
          </cell>
          <cell r="O143">
            <v>0</v>
          </cell>
        </row>
        <row r="144">
          <cell r="A144" t="str">
            <v>P6155</v>
          </cell>
          <cell r="O144">
            <v>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573</v>
          </cell>
        </row>
        <row r="270">
          <cell r="A270" t="str">
            <v>A70407</v>
          </cell>
          <cell r="O270">
            <v>0</v>
          </cell>
        </row>
        <row r="271">
          <cell r="A271" t="str">
            <v>A70409</v>
          </cell>
          <cell r="O271">
            <v>0</v>
          </cell>
        </row>
        <row r="272">
          <cell r="A272" t="str">
            <v>P7040</v>
          </cell>
          <cell r="O272">
            <v>573</v>
          </cell>
        </row>
        <row r="273">
          <cell r="A273" t="str">
            <v>A70501</v>
          </cell>
          <cell r="O273">
            <v>593</v>
          </cell>
        </row>
        <row r="274">
          <cell r="A274" t="str">
            <v>A70503</v>
          </cell>
          <cell r="O274">
            <v>6057</v>
          </cell>
        </row>
        <row r="275">
          <cell r="A275" t="str">
            <v>A70505</v>
          </cell>
          <cell r="O275">
            <v>950</v>
          </cell>
        </row>
        <row r="276">
          <cell r="A276" t="str">
            <v>A70507</v>
          </cell>
          <cell r="O276">
            <v>1731</v>
          </cell>
        </row>
        <row r="277">
          <cell r="A277" t="str">
            <v>A70509</v>
          </cell>
          <cell r="O277">
            <v>470</v>
          </cell>
        </row>
        <row r="278">
          <cell r="A278" t="str">
            <v>A70511</v>
          </cell>
          <cell r="O278">
            <v>129</v>
          </cell>
        </row>
        <row r="279">
          <cell r="A279" t="str">
            <v>A70506</v>
          </cell>
          <cell r="O279">
            <v>0</v>
          </cell>
        </row>
        <row r="280">
          <cell r="A280" t="str">
            <v>A70510</v>
          </cell>
          <cell r="O280">
            <v>0</v>
          </cell>
        </row>
        <row r="281">
          <cell r="A281" t="str">
            <v>P7050</v>
          </cell>
          <cell r="O281">
            <v>9930</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12000</v>
          </cell>
        </row>
        <row r="305">
          <cell r="A305" t="str">
            <v>A70809</v>
          </cell>
          <cell r="O305">
            <v>448</v>
          </cell>
        </row>
        <row r="306">
          <cell r="A306" t="str">
            <v>A70811</v>
          </cell>
          <cell r="O306">
            <v>0</v>
          </cell>
        </row>
        <row r="307">
          <cell r="A307" t="str">
            <v>P7080</v>
          </cell>
          <cell r="O307">
            <v>12448</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-1475</v>
          </cell>
        </row>
        <row r="356">
          <cell r="A356" t="str">
            <v>A79958</v>
          </cell>
          <cell r="O356">
            <v>0</v>
          </cell>
        </row>
        <row r="357">
          <cell r="A357" t="str">
            <v>P7995</v>
          </cell>
          <cell r="O357">
            <v>-1475</v>
          </cell>
        </row>
        <row r="358">
          <cell r="A358" t="str">
            <v>OAPPP</v>
          </cell>
          <cell r="O358">
            <v>101579</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72514.98</v>
          </cell>
        </row>
        <row r="42">
          <cell r="O42">
            <v>0</v>
          </cell>
        </row>
        <row r="43">
          <cell r="O43">
            <v>0</v>
          </cell>
        </row>
        <row r="44">
          <cell r="O44">
            <v>0</v>
          </cell>
        </row>
        <row r="45">
          <cell r="O45">
            <v>0</v>
          </cell>
        </row>
        <row r="46">
          <cell r="O46">
            <v>0</v>
          </cell>
        </row>
        <row r="47">
          <cell r="O47">
            <v>2713.4</v>
          </cell>
        </row>
        <row r="48">
          <cell r="O48">
            <v>0</v>
          </cell>
        </row>
        <row r="49">
          <cell r="O49">
            <v>0</v>
          </cell>
        </row>
        <row r="50">
          <cell r="O50">
            <v>0</v>
          </cell>
        </row>
        <row r="51">
          <cell r="O51">
            <v>0</v>
          </cell>
        </row>
        <row r="52">
          <cell r="O52">
            <v>0</v>
          </cell>
        </row>
        <row r="53">
          <cell r="O53">
            <v>1205.96</v>
          </cell>
        </row>
        <row r="54">
          <cell r="O54">
            <v>294.42</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76728.759999999995</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569.67999999999995</v>
          </cell>
        </row>
        <row r="80">
          <cell r="O80">
            <v>0</v>
          </cell>
        </row>
        <row r="81">
          <cell r="O81">
            <v>0</v>
          </cell>
        </row>
        <row r="82">
          <cell r="O82">
            <v>0</v>
          </cell>
        </row>
        <row r="83">
          <cell r="O83">
            <v>0</v>
          </cell>
        </row>
        <row r="84">
          <cell r="O84">
            <v>0</v>
          </cell>
        </row>
        <row r="85">
          <cell r="O85">
            <v>1613.57</v>
          </cell>
        </row>
        <row r="86">
          <cell r="O86">
            <v>0</v>
          </cell>
        </row>
        <row r="87">
          <cell r="O87">
            <v>0</v>
          </cell>
        </row>
        <row r="88">
          <cell r="O88">
            <v>2183.25</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0</v>
          </cell>
        </row>
        <row r="107">
          <cell r="O107">
            <v>0</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0</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6">
          <cell r="O126">
            <v>0</v>
          </cell>
        </row>
        <row r="127">
          <cell r="O127">
            <v>0</v>
          </cell>
        </row>
        <row r="128">
          <cell r="O128">
            <v>0</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0</v>
          </cell>
        </row>
        <row r="142">
          <cell r="O142">
            <v>0</v>
          </cell>
        </row>
        <row r="143">
          <cell r="O143">
            <v>0</v>
          </cell>
        </row>
        <row r="144">
          <cell r="O144">
            <v>0</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56.41</v>
          </cell>
        </row>
        <row r="154">
          <cell r="O154">
            <v>0</v>
          </cell>
        </row>
        <row r="155">
          <cell r="O155">
            <v>0</v>
          </cell>
        </row>
        <row r="156">
          <cell r="O156">
            <v>0</v>
          </cell>
        </row>
        <row r="157">
          <cell r="O157">
            <v>0</v>
          </cell>
        </row>
        <row r="158">
          <cell r="O158">
            <v>56.41</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0</v>
          </cell>
        </row>
        <row r="171">
          <cell r="O171">
            <v>0</v>
          </cell>
        </row>
        <row r="172">
          <cell r="O172">
            <v>0</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466.4</v>
          </cell>
        </row>
        <row r="270">
          <cell r="O270">
            <v>0</v>
          </cell>
        </row>
        <row r="271">
          <cell r="O271">
            <v>0</v>
          </cell>
        </row>
        <row r="272">
          <cell r="O272">
            <v>466.4</v>
          </cell>
        </row>
        <row r="273">
          <cell r="O273">
            <v>53.2</v>
          </cell>
        </row>
        <row r="274">
          <cell r="O274">
            <v>5953.9</v>
          </cell>
        </row>
        <row r="275">
          <cell r="O275">
            <v>1379.52</v>
          </cell>
        </row>
        <row r="276">
          <cell r="O276">
            <v>1819.84</v>
          </cell>
        </row>
        <row r="277">
          <cell r="O277">
            <v>0</v>
          </cell>
        </row>
        <row r="278">
          <cell r="O278">
            <v>81.86</v>
          </cell>
        </row>
        <row r="279">
          <cell r="O279">
            <v>0</v>
          </cell>
        </row>
        <row r="280">
          <cell r="O280">
            <v>0</v>
          </cell>
        </row>
        <row r="281">
          <cell r="O281">
            <v>9288.32</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33203.410000000003</v>
          </cell>
        </row>
        <row r="305">
          <cell r="O305">
            <v>501.17</v>
          </cell>
        </row>
        <row r="306">
          <cell r="O306">
            <v>0</v>
          </cell>
        </row>
        <row r="307">
          <cell r="O307">
            <v>33704.58</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0</v>
          </cell>
        </row>
        <row r="339">
          <cell r="O339">
            <v>0</v>
          </cell>
        </row>
        <row r="340">
          <cell r="O340">
            <v>0</v>
          </cell>
        </row>
        <row r="341">
          <cell r="O341">
            <v>0</v>
          </cell>
        </row>
        <row r="342">
          <cell r="O342">
            <v>0</v>
          </cell>
        </row>
        <row r="343">
          <cell r="O343">
            <v>0</v>
          </cell>
        </row>
        <row r="344">
          <cell r="O344">
            <v>0</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122427.72</v>
          </cell>
        </row>
      </sheetData>
      <sheetData sheetId="2">
        <row r="65">
          <cell r="O65">
            <v>78453</v>
          </cell>
        </row>
      </sheetData>
      <sheetData sheetId="3" refreshError="1"/>
      <sheetData sheetId="4">
        <row r="1">
          <cell r="A1" t="str">
            <v>CC25434</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15"/>
      <sheetName val="Actual 2014"/>
      <sheetName val="Budget 2014"/>
      <sheetName val="INSTRUCTIONS"/>
      <sheetName val="INPUT"/>
      <sheetName val="Forecast 2015 vs Budget 2015"/>
      <sheetName val="Budget 2016 vs Forecast 2015"/>
      <sheetName val="Forecast 2015 vs Réel 2014"/>
      <sheetName val="GI-x Doc x"/>
    </sheetNames>
    <sheetDataSet>
      <sheetData sheetId="0">
        <row r="1">
          <cell r="A1" t="str">
            <v>CC25436</v>
          </cell>
        </row>
        <row r="2">
          <cell r="A2" t="str">
            <v>PTOTAL</v>
          </cell>
        </row>
        <row r="3">
          <cell r="A3" t="str">
            <v>CCAD</v>
          </cell>
        </row>
        <row r="4">
          <cell r="A4" t="str">
            <v>OTHTOTAL</v>
          </cell>
        </row>
        <row r="5">
          <cell r="A5" t="str">
            <v>DIM6SET</v>
          </cell>
        </row>
        <row r="6">
          <cell r="O6" t="str">
            <v>BYR15</v>
          </cell>
        </row>
        <row r="7">
          <cell r="O7" t="str">
            <v>2015 Budget</v>
          </cell>
        </row>
        <row r="8">
          <cell r="A8" t="str">
            <v>A60001</v>
          </cell>
          <cell r="O8">
            <v>0</v>
          </cell>
        </row>
        <row r="9">
          <cell r="A9" t="str">
            <v>P6000</v>
          </cell>
          <cell r="O9">
            <v>0</v>
          </cell>
        </row>
        <row r="10">
          <cell r="A10" t="str">
            <v>A60201</v>
          </cell>
          <cell r="O10">
            <v>0</v>
          </cell>
        </row>
        <row r="11">
          <cell r="A11" t="str">
            <v>A60202</v>
          </cell>
          <cell r="O11">
            <v>0</v>
          </cell>
        </row>
        <row r="12">
          <cell r="A12" t="str">
            <v>A60205</v>
          </cell>
          <cell r="O12">
            <v>0</v>
          </cell>
        </row>
        <row r="13">
          <cell r="A13" t="str">
            <v>A60207</v>
          </cell>
          <cell r="O13">
            <v>0</v>
          </cell>
        </row>
        <row r="14">
          <cell r="A14" t="str">
            <v>A60211</v>
          </cell>
          <cell r="O14">
            <v>0</v>
          </cell>
        </row>
        <row r="15">
          <cell r="A15" t="str">
            <v>A60212</v>
          </cell>
          <cell r="O15">
            <v>0</v>
          </cell>
        </row>
        <row r="16">
          <cell r="A16" t="str">
            <v>A60213</v>
          </cell>
          <cell r="O16">
            <v>0</v>
          </cell>
        </row>
        <row r="17">
          <cell r="A17" t="str">
            <v>A60215</v>
          </cell>
          <cell r="O17">
            <v>0</v>
          </cell>
        </row>
        <row r="18">
          <cell r="A18" t="str">
            <v>A60219</v>
          </cell>
          <cell r="O18">
            <v>0</v>
          </cell>
        </row>
        <row r="19">
          <cell r="A19" t="str">
            <v>A60221</v>
          </cell>
          <cell r="O19">
            <v>0</v>
          </cell>
        </row>
        <row r="20">
          <cell r="A20" t="str">
            <v>A60225</v>
          </cell>
          <cell r="O20">
            <v>0</v>
          </cell>
        </row>
        <row r="21">
          <cell r="A21" t="str">
            <v>A60227</v>
          </cell>
          <cell r="O21">
            <v>0</v>
          </cell>
        </row>
        <row r="22">
          <cell r="A22" t="str">
            <v>A60228</v>
          </cell>
          <cell r="O22">
            <v>0</v>
          </cell>
        </row>
        <row r="23">
          <cell r="A23" t="str">
            <v>A60230</v>
          </cell>
          <cell r="O23">
            <v>0</v>
          </cell>
        </row>
        <row r="24">
          <cell r="A24" t="str">
            <v>A60231</v>
          </cell>
          <cell r="O24">
            <v>0</v>
          </cell>
        </row>
        <row r="25">
          <cell r="A25" t="str">
            <v>A60237</v>
          </cell>
          <cell r="O25">
            <v>0</v>
          </cell>
        </row>
        <row r="26">
          <cell r="A26" t="str">
            <v>A60239</v>
          </cell>
          <cell r="O26">
            <v>0</v>
          </cell>
        </row>
        <row r="27">
          <cell r="A27" t="str">
            <v>A60243</v>
          </cell>
          <cell r="O27">
            <v>0</v>
          </cell>
        </row>
        <row r="28">
          <cell r="A28" t="str">
            <v>A60255</v>
          </cell>
          <cell r="O28">
            <v>0</v>
          </cell>
        </row>
        <row r="29">
          <cell r="A29" t="str">
            <v>A60257</v>
          </cell>
          <cell r="O29">
            <v>0</v>
          </cell>
        </row>
        <row r="30">
          <cell r="A30" t="str">
            <v>A60261</v>
          </cell>
          <cell r="O30">
            <v>0</v>
          </cell>
        </row>
        <row r="31">
          <cell r="A31" t="str">
            <v>A60265</v>
          </cell>
          <cell r="O31">
            <v>0</v>
          </cell>
        </row>
        <row r="32">
          <cell r="A32" t="str">
            <v>A60271</v>
          </cell>
          <cell r="O32">
            <v>0</v>
          </cell>
        </row>
        <row r="33">
          <cell r="A33" t="str">
            <v>A60269</v>
          </cell>
          <cell r="O33">
            <v>0</v>
          </cell>
        </row>
        <row r="34">
          <cell r="A34" t="str">
            <v>A60299</v>
          </cell>
          <cell r="O34">
            <v>0</v>
          </cell>
        </row>
        <row r="35">
          <cell r="A35" t="str">
            <v>A60229</v>
          </cell>
          <cell r="O35">
            <v>0</v>
          </cell>
        </row>
        <row r="36">
          <cell r="A36" t="str">
            <v>A60223</v>
          </cell>
          <cell r="O36">
            <v>0</v>
          </cell>
        </row>
        <row r="37">
          <cell r="A37" t="str">
            <v>A60209</v>
          </cell>
          <cell r="O37">
            <v>0</v>
          </cell>
        </row>
        <row r="38">
          <cell r="A38" t="str">
            <v>A60273</v>
          </cell>
          <cell r="O38">
            <v>0</v>
          </cell>
        </row>
        <row r="39">
          <cell r="A39" t="str">
            <v>A60274</v>
          </cell>
          <cell r="O39">
            <v>0</v>
          </cell>
        </row>
        <row r="40">
          <cell r="A40" t="str">
            <v>P6020</v>
          </cell>
          <cell r="O40">
            <v>0</v>
          </cell>
        </row>
        <row r="41">
          <cell r="A41" t="str">
            <v>A60101</v>
          </cell>
          <cell r="O41">
            <v>0</v>
          </cell>
        </row>
        <row r="42">
          <cell r="A42" t="str">
            <v>A60103</v>
          </cell>
          <cell r="O42">
            <v>0</v>
          </cell>
        </row>
        <row r="43">
          <cell r="A43" t="str">
            <v>A60105</v>
          </cell>
          <cell r="O43">
            <v>0</v>
          </cell>
        </row>
        <row r="44">
          <cell r="A44" t="str">
            <v>A60107</v>
          </cell>
          <cell r="O44">
            <v>0</v>
          </cell>
        </row>
        <row r="45">
          <cell r="A45" t="str">
            <v>A60109</v>
          </cell>
          <cell r="O45">
            <v>0</v>
          </cell>
        </row>
        <row r="46">
          <cell r="A46" t="str">
            <v>A60113</v>
          </cell>
          <cell r="O46">
            <v>0</v>
          </cell>
        </row>
        <row r="47">
          <cell r="A47" t="str">
            <v>A60117</v>
          </cell>
          <cell r="O47">
            <v>0</v>
          </cell>
        </row>
        <row r="48">
          <cell r="A48" t="str">
            <v>A60119</v>
          </cell>
          <cell r="O48">
            <v>0</v>
          </cell>
        </row>
        <row r="49">
          <cell r="A49" t="str">
            <v>A60121</v>
          </cell>
          <cell r="O49">
            <v>0</v>
          </cell>
        </row>
        <row r="50">
          <cell r="A50" t="str">
            <v>A60123</v>
          </cell>
          <cell r="O50">
            <v>0</v>
          </cell>
        </row>
        <row r="51">
          <cell r="A51" t="str">
            <v>A60127</v>
          </cell>
          <cell r="O51">
            <v>0</v>
          </cell>
        </row>
        <row r="52">
          <cell r="A52" t="str">
            <v>A60129</v>
          </cell>
          <cell r="O52">
            <v>0</v>
          </cell>
        </row>
        <row r="53">
          <cell r="A53" t="str">
            <v>A60131</v>
          </cell>
          <cell r="O53">
            <v>0</v>
          </cell>
        </row>
        <row r="54">
          <cell r="A54" t="str">
            <v>A60133</v>
          </cell>
          <cell r="O54">
            <v>0</v>
          </cell>
        </row>
        <row r="55">
          <cell r="A55" t="str">
            <v>A60135</v>
          </cell>
          <cell r="O55">
            <v>0</v>
          </cell>
        </row>
        <row r="56">
          <cell r="A56" t="str">
            <v>A60137</v>
          </cell>
          <cell r="O56">
            <v>0</v>
          </cell>
        </row>
        <row r="57">
          <cell r="A57" t="str">
            <v>A60139</v>
          </cell>
          <cell r="O57">
            <v>0</v>
          </cell>
        </row>
        <row r="58">
          <cell r="A58" t="str">
            <v>A60145</v>
          </cell>
          <cell r="O58">
            <v>0</v>
          </cell>
        </row>
        <row r="59">
          <cell r="A59" t="str">
            <v>A60138</v>
          </cell>
          <cell r="O59">
            <v>0</v>
          </cell>
        </row>
        <row r="60">
          <cell r="A60" t="str">
            <v>A60146</v>
          </cell>
          <cell r="O60">
            <v>0</v>
          </cell>
        </row>
        <row r="61">
          <cell r="A61" t="str">
            <v>A60147</v>
          </cell>
          <cell r="O61">
            <v>0</v>
          </cell>
        </row>
        <row r="62">
          <cell r="A62" t="str">
            <v>A60148</v>
          </cell>
          <cell r="O62">
            <v>0</v>
          </cell>
        </row>
        <row r="63">
          <cell r="A63" t="str">
            <v>A60115</v>
          </cell>
          <cell r="O63">
            <v>0</v>
          </cell>
        </row>
        <row r="64">
          <cell r="A64" t="str">
            <v>A60141</v>
          </cell>
          <cell r="O64">
            <v>0</v>
          </cell>
        </row>
        <row r="65">
          <cell r="A65" t="str">
            <v>P6010</v>
          </cell>
          <cell r="O65">
            <v>0</v>
          </cell>
        </row>
        <row r="66">
          <cell r="A66" t="str">
            <v>A60301</v>
          </cell>
          <cell r="O66">
            <v>0</v>
          </cell>
        </row>
        <row r="67">
          <cell r="A67" t="str">
            <v>A60303</v>
          </cell>
          <cell r="O67">
            <v>0</v>
          </cell>
        </row>
        <row r="68">
          <cell r="A68" t="str">
            <v>A60305</v>
          </cell>
          <cell r="O68">
            <v>0</v>
          </cell>
        </row>
        <row r="69">
          <cell r="A69" t="str">
            <v>A60307</v>
          </cell>
          <cell r="O69">
            <v>0</v>
          </cell>
        </row>
        <row r="70">
          <cell r="A70" t="str">
            <v>A60308</v>
          </cell>
          <cell r="O70">
            <v>0</v>
          </cell>
        </row>
        <row r="71">
          <cell r="A71" t="str">
            <v>A60309</v>
          </cell>
          <cell r="O71">
            <v>0</v>
          </cell>
        </row>
        <row r="72">
          <cell r="A72" t="str">
            <v>A60310</v>
          </cell>
          <cell r="O72">
            <v>0</v>
          </cell>
        </row>
        <row r="73">
          <cell r="A73" t="str">
            <v>A60311</v>
          </cell>
          <cell r="O73">
            <v>0</v>
          </cell>
        </row>
        <row r="74">
          <cell r="A74" t="str">
            <v>A60313</v>
          </cell>
          <cell r="O74">
            <v>0</v>
          </cell>
        </row>
        <row r="75">
          <cell r="A75" t="str">
            <v>A60315</v>
          </cell>
          <cell r="O75">
            <v>0</v>
          </cell>
        </row>
        <row r="76">
          <cell r="A76" t="str">
            <v>A60317</v>
          </cell>
          <cell r="O76">
            <v>0</v>
          </cell>
        </row>
        <row r="77">
          <cell r="A77" t="str">
            <v>A60319</v>
          </cell>
          <cell r="O77">
            <v>0</v>
          </cell>
        </row>
        <row r="78">
          <cell r="A78" t="str">
            <v>P6030</v>
          </cell>
          <cell r="O78">
            <v>0</v>
          </cell>
        </row>
        <row r="79">
          <cell r="A79" t="str">
            <v>A60401</v>
          </cell>
          <cell r="O79">
            <v>0</v>
          </cell>
        </row>
        <row r="80">
          <cell r="A80" t="str">
            <v>A60403</v>
          </cell>
          <cell r="O80">
            <v>0</v>
          </cell>
        </row>
        <row r="81">
          <cell r="A81" t="str">
            <v>A60405</v>
          </cell>
          <cell r="O81">
            <v>0</v>
          </cell>
        </row>
        <row r="82">
          <cell r="A82" t="str">
            <v>A60407</v>
          </cell>
          <cell r="O82">
            <v>0</v>
          </cell>
        </row>
        <row r="83">
          <cell r="A83" t="str">
            <v>A60409</v>
          </cell>
          <cell r="O83">
            <v>0</v>
          </cell>
        </row>
        <row r="84">
          <cell r="A84" t="str">
            <v>A60411</v>
          </cell>
          <cell r="O84">
            <v>0</v>
          </cell>
        </row>
        <row r="85">
          <cell r="A85" t="str">
            <v>A60415</v>
          </cell>
          <cell r="O85">
            <v>0</v>
          </cell>
        </row>
        <row r="86">
          <cell r="A86" t="str">
            <v>A60406</v>
          </cell>
          <cell r="O86">
            <v>0</v>
          </cell>
        </row>
        <row r="87">
          <cell r="A87" t="str">
            <v>A60412</v>
          </cell>
          <cell r="O87">
            <v>0</v>
          </cell>
        </row>
        <row r="88">
          <cell r="A88" t="str">
            <v>P6040</v>
          </cell>
          <cell r="O88">
            <v>0</v>
          </cell>
        </row>
        <row r="89">
          <cell r="A89" t="str">
            <v>A60501</v>
          </cell>
          <cell r="O89">
            <v>0</v>
          </cell>
        </row>
        <row r="90">
          <cell r="A90" t="str">
            <v>A60503</v>
          </cell>
          <cell r="O90">
            <v>0</v>
          </cell>
        </row>
        <row r="91">
          <cell r="A91" t="str">
            <v>A60505</v>
          </cell>
          <cell r="O91">
            <v>0</v>
          </cell>
        </row>
        <row r="92">
          <cell r="A92" t="str">
            <v>A60507</v>
          </cell>
          <cell r="O92">
            <v>0</v>
          </cell>
        </row>
        <row r="93">
          <cell r="A93" t="str">
            <v>A60509</v>
          </cell>
          <cell r="O93">
            <v>0</v>
          </cell>
        </row>
        <row r="94">
          <cell r="A94" t="str">
            <v>A60511</v>
          </cell>
          <cell r="O94">
            <v>0</v>
          </cell>
        </row>
        <row r="95">
          <cell r="A95" t="str">
            <v>A60513</v>
          </cell>
          <cell r="O95">
            <v>0</v>
          </cell>
        </row>
        <row r="96">
          <cell r="A96" t="str">
            <v>P6050</v>
          </cell>
          <cell r="O96">
            <v>0</v>
          </cell>
        </row>
        <row r="97">
          <cell r="A97" t="str">
            <v>A61001</v>
          </cell>
          <cell r="O97">
            <v>0</v>
          </cell>
        </row>
        <row r="98">
          <cell r="A98" t="str">
            <v>A61003</v>
          </cell>
          <cell r="O98">
            <v>0</v>
          </cell>
        </row>
        <row r="99">
          <cell r="A99" t="str">
            <v>A61005</v>
          </cell>
          <cell r="O99">
            <v>0</v>
          </cell>
        </row>
        <row r="100">
          <cell r="A100" t="str">
            <v>A61007</v>
          </cell>
          <cell r="O100">
            <v>0</v>
          </cell>
        </row>
        <row r="101">
          <cell r="A101" t="str">
            <v>A61009</v>
          </cell>
          <cell r="O101">
            <v>0</v>
          </cell>
        </row>
        <row r="102">
          <cell r="A102" t="str">
            <v>A61011</v>
          </cell>
          <cell r="O102">
            <v>0</v>
          </cell>
        </row>
        <row r="103">
          <cell r="A103" t="str">
            <v>A61021</v>
          </cell>
          <cell r="O103">
            <v>0</v>
          </cell>
        </row>
        <row r="104">
          <cell r="A104" t="str">
            <v>P6100</v>
          </cell>
          <cell r="O104">
            <v>0</v>
          </cell>
        </row>
        <row r="105">
          <cell r="A105" t="str">
            <v>A61101</v>
          </cell>
          <cell r="O105">
            <v>0</v>
          </cell>
        </row>
        <row r="106">
          <cell r="A106" t="str">
            <v>A61103</v>
          </cell>
          <cell r="O106">
            <v>0</v>
          </cell>
        </row>
        <row r="107">
          <cell r="A107" t="str">
            <v>A61105</v>
          </cell>
          <cell r="O107">
            <v>0</v>
          </cell>
        </row>
        <row r="108">
          <cell r="A108" t="str">
            <v>A61107</v>
          </cell>
          <cell r="O108">
            <v>0</v>
          </cell>
        </row>
        <row r="109">
          <cell r="A109" t="str">
            <v>A61109</v>
          </cell>
          <cell r="O109">
            <v>0</v>
          </cell>
        </row>
        <row r="110">
          <cell r="A110" t="str">
            <v>A61111</v>
          </cell>
          <cell r="O110">
            <v>0</v>
          </cell>
        </row>
        <row r="111">
          <cell r="A111" t="str">
            <v>A61113</v>
          </cell>
          <cell r="O111">
            <v>0</v>
          </cell>
        </row>
        <row r="112">
          <cell r="A112" t="str">
            <v>A61115</v>
          </cell>
          <cell r="O112">
            <v>0</v>
          </cell>
        </row>
        <row r="113">
          <cell r="A113" t="str">
            <v>A61116</v>
          </cell>
          <cell r="O113">
            <v>0</v>
          </cell>
        </row>
        <row r="114">
          <cell r="A114" t="str">
            <v>A61117</v>
          </cell>
          <cell r="O114">
            <v>0</v>
          </cell>
        </row>
        <row r="115">
          <cell r="A115" t="str">
            <v>A61119</v>
          </cell>
          <cell r="O115">
            <v>0</v>
          </cell>
        </row>
        <row r="116">
          <cell r="A116" t="str">
            <v>P6110</v>
          </cell>
          <cell r="O116">
            <v>0</v>
          </cell>
        </row>
        <row r="117">
          <cell r="A117" t="str">
            <v>A61201</v>
          </cell>
          <cell r="O117">
            <v>0</v>
          </cell>
        </row>
        <row r="118">
          <cell r="A118" t="str">
            <v>A61299</v>
          </cell>
          <cell r="O118">
            <v>0</v>
          </cell>
        </row>
        <row r="119">
          <cell r="A119" t="str">
            <v>P6120</v>
          </cell>
          <cell r="O119">
            <v>0</v>
          </cell>
        </row>
        <row r="120">
          <cell r="A120" t="str">
            <v>A61501</v>
          </cell>
          <cell r="O120">
            <v>0</v>
          </cell>
        </row>
        <row r="121">
          <cell r="A121" t="str">
            <v>A61503</v>
          </cell>
          <cell r="O121">
            <v>0</v>
          </cell>
        </row>
        <row r="122">
          <cell r="A122" t="str">
            <v>A61505</v>
          </cell>
          <cell r="O122">
            <v>0</v>
          </cell>
        </row>
        <row r="123">
          <cell r="A123" t="str">
            <v>A61507</v>
          </cell>
          <cell r="O123">
            <v>0</v>
          </cell>
        </row>
        <row r="124">
          <cell r="A124" t="str">
            <v>A61509</v>
          </cell>
          <cell r="O124">
            <v>0</v>
          </cell>
        </row>
        <row r="125">
          <cell r="A125" t="str">
            <v>A61511</v>
          </cell>
          <cell r="O125">
            <v>0</v>
          </cell>
        </row>
        <row r="126">
          <cell r="A126" t="str">
            <v>A61512</v>
          </cell>
          <cell r="O126">
            <v>0</v>
          </cell>
        </row>
        <row r="127">
          <cell r="A127" t="str">
            <v>A61513</v>
          </cell>
          <cell r="O127">
            <v>0</v>
          </cell>
        </row>
        <row r="128">
          <cell r="A128" t="str">
            <v>P6150</v>
          </cell>
          <cell r="O128">
            <v>0</v>
          </cell>
        </row>
        <row r="129">
          <cell r="A129" t="str">
            <v>A61601</v>
          </cell>
          <cell r="O129">
            <v>0</v>
          </cell>
        </row>
        <row r="130">
          <cell r="A130" t="str">
            <v>A61603</v>
          </cell>
          <cell r="O130">
            <v>0</v>
          </cell>
        </row>
        <row r="131">
          <cell r="A131" t="str">
            <v>A61605</v>
          </cell>
          <cell r="O131">
            <v>0</v>
          </cell>
        </row>
        <row r="132">
          <cell r="A132" t="str">
            <v>A61607</v>
          </cell>
          <cell r="O132">
            <v>0</v>
          </cell>
        </row>
        <row r="133">
          <cell r="A133" t="str">
            <v>A61609</v>
          </cell>
          <cell r="O133">
            <v>0</v>
          </cell>
        </row>
        <row r="134">
          <cell r="A134" t="str">
            <v>A61611</v>
          </cell>
          <cell r="O134">
            <v>0</v>
          </cell>
        </row>
        <row r="135">
          <cell r="A135" t="str">
            <v>A61606</v>
          </cell>
          <cell r="O135">
            <v>0</v>
          </cell>
        </row>
        <row r="136">
          <cell r="A136" t="str">
            <v>P6160</v>
          </cell>
          <cell r="O136">
            <v>0</v>
          </cell>
        </row>
        <row r="137">
          <cell r="A137" t="str">
            <v>A61551</v>
          </cell>
          <cell r="O137">
            <v>0</v>
          </cell>
        </row>
        <row r="138">
          <cell r="A138" t="str">
            <v>A61553</v>
          </cell>
          <cell r="O138">
            <v>0</v>
          </cell>
        </row>
        <row r="139">
          <cell r="A139" t="str">
            <v>A61555</v>
          </cell>
          <cell r="O139">
            <v>0</v>
          </cell>
        </row>
        <row r="140">
          <cell r="A140" t="str">
            <v>A61557</v>
          </cell>
          <cell r="O140">
            <v>0</v>
          </cell>
        </row>
        <row r="141">
          <cell r="A141" t="str">
            <v>A61559</v>
          </cell>
          <cell r="O141">
            <v>15670</v>
          </cell>
        </row>
        <row r="142">
          <cell r="A142" t="str">
            <v>A61561</v>
          </cell>
          <cell r="O142">
            <v>0</v>
          </cell>
        </row>
        <row r="143">
          <cell r="A143" t="str">
            <v>A61563</v>
          </cell>
          <cell r="O143">
            <v>0</v>
          </cell>
        </row>
        <row r="144">
          <cell r="A144" t="str">
            <v>P6155</v>
          </cell>
          <cell r="O144">
            <v>15670</v>
          </cell>
        </row>
        <row r="145">
          <cell r="A145" t="str">
            <v>A61701</v>
          </cell>
          <cell r="O145">
            <v>0</v>
          </cell>
        </row>
        <row r="146">
          <cell r="A146" t="str">
            <v>A61703</v>
          </cell>
          <cell r="O146">
            <v>0</v>
          </cell>
        </row>
        <row r="147">
          <cell r="A147" t="str">
            <v>A61705</v>
          </cell>
          <cell r="O147">
            <v>0</v>
          </cell>
        </row>
        <row r="148">
          <cell r="A148" t="str">
            <v>A61706</v>
          </cell>
          <cell r="O148">
            <v>0</v>
          </cell>
        </row>
        <row r="149">
          <cell r="A149" t="str">
            <v>A61707</v>
          </cell>
          <cell r="O149">
            <v>0</v>
          </cell>
        </row>
        <row r="150">
          <cell r="A150" t="str">
            <v>A61709</v>
          </cell>
          <cell r="O150">
            <v>0</v>
          </cell>
        </row>
        <row r="151">
          <cell r="A151" t="str">
            <v>A61711</v>
          </cell>
          <cell r="O151">
            <v>0</v>
          </cell>
        </row>
        <row r="152">
          <cell r="A152" t="str">
            <v>A61713</v>
          </cell>
          <cell r="O152">
            <v>0</v>
          </cell>
        </row>
        <row r="153">
          <cell r="A153" t="str">
            <v>A61715</v>
          </cell>
          <cell r="O153">
            <v>0</v>
          </cell>
        </row>
        <row r="154">
          <cell r="A154" t="str">
            <v>A61717</v>
          </cell>
          <cell r="O154">
            <v>0</v>
          </cell>
        </row>
        <row r="155">
          <cell r="A155" t="str">
            <v>A61719</v>
          </cell>
          <cell r="O155">
            <v>0</v>
          </cell>
        </row>
        <row r="156">
          <cell r="A156" t="str">
            <v>A61721</v>
          </cell>
          <cell r="O156">
            <v>0</v>
          </cell>
        </row>
        <row r="157">
          <cell r="A157" t="str">
            <v>A61723</v>
          </cell>
          <cell r="O157">
            <v>0</v>
          </cell>
        </row>
        <row r="158">
          <cell r="A158" t="str">
            <v>P6170</v>
          </cell>
          <cell r="O158">
            <v>0</v>
          </cell>
        </row>
        <row r="159">
          <cell r="A159" t="str">
            <v>A61803</v>
          </cell>
          <cell r="O159">
            <v>0</v>
          </cell>
        </row>
        <row r="160">
          <cell r="A160" t="str">
            <v>A61805</v>
          </cell>
          <cell r="O160">
            <v>0</v>
          </cell>
        </row>
        <row r="161">
          <cell r="A161" t="str">
            <v>A61809</v>
          </cell>
          <cell r="O161">
            <v>0</v>
          </cell>
        </row>
        <row r="162">
          <cell r="A162" t="str">
            <v>P6180</v>
          </cell>
          <cell r="O162">
            <v>0</v>
          </cell>
        </row>
        <row r="163">
          <cell r="A163" t="str">
            <v>A61901</v>
          </cell>
          <cell r="O163">
            <v>0</v>
          </cell>
        </row>
        <row r="164">
          <cell r="A164" t="str">
            <v>A61902</v>
          </cell>
          <cell r="O164">
            <v>0</v>
          </cell>
        </row>
        <row r="165">
          <cell r="A165" t="str">
            <v>A61903</v>
          </cell>
          <cell r="O165">
            <v>0</v>
          </cell>
        </row>
        <row r="166">
          <cell r="A166" t="str">
            <v>A61905</v>
          </cell>
          <cell r="O166">
            <v>0</v>
          </cell>
        </row>
        <row r="167">
          <cell r="A167" t="str">
            <v>A61909</v>
          </cell>
          <cell r="O167">
            <v>0</v>
          </cell>
        </row>
        <row r="168">
          <cell r="A168" t="str">
            <v>A61910</v>
          </cell>
          <cell r="O168">
            <v>0</v>
          </cell>
        </row>
        <row r="169">
          <cell r="A169" t="str">
            <v>A61911</v>
          </cell>
          <cell r="O169">
            <v>0</v>
          </cell>
        </row>
        <row r="170">
          <cell r="A170" t="str">
            <v>A61999</v>
          </cell>
          <cell r="O170">
            <v>0</v>
          </cell>
        </row>
        <row r="171">
          <cell r="A171" t="str">
            <v>A61906</v>
          </cell>
          <cell r="O171">
            <v>0</v>
          </cell>
        </row>
        <row r="172">
          <cell r="A172" t="str">
            <v>P6190</v>
          </cell>
          <cell r="O172">
            <v>0</v>
          </cell>
        </row>
        <row r="173">
          <cell r="A173" t="str">
            <v>A62001</v>
          </cell>
          <cell r="O173">
            <v>0</v>
          </cell>
        </row>
        <row r="174">
          <cell r="A174" t="str">
            <v>A62002</v>
          </cell>
          <cell r="O174">
            <v>0</v>
          </cell>
        </row>
        <row r="175">
          <cell r="A175" t="str">
            <v>A62003</v>
          </cell>
          <cell r="O175">
            <v>0</v>
          </cell>
        </row>
        <row r="176">
          <cell r="A176" t="str">
            <v>A62004</v>
          </cell>
          <cell r="O176">
            <v>0</v>
          </cell>
        </row>
        <row r="177">
          <cell r="A177" t="str">
            <v>A62005</v>
          </cell>
          <cell r="O177">
            <v>0</v>
          </cell>
        </row>
        <row r="178">
          <cell r="A178" t="str">
            <v>A62006</v>
          </cell>
          <cell r="O178">
            <v>0</v>
          </cell>
        </row>
        <row r="179">
          <cell r="A179" t="str">
            <v>A62007</v>
          </cell>
          <cell r="O179">
            <v>0</v>
          </cell>
        </row>
        <row r="180">
          <cell r="A180" t="str">
            <v>A62008</v>
          </cell>
          <cell r="O180">
            <v>0</v>
          </cell>
        </row>
        <row r="181">
          <cell r="A181" t="str">
            <v>A62009</v>
          </cell>
          <cell r="O181">
            <v>0</v>
          </cell>
        </row>
        <row r="182">
          <cell r="A182" t="str">
            <v>A62010</v>
          </cell>
          <cell r="O182">
            <v>0</v>
          </cell>
        </row>
        <row r="183">
          <cell r="A183" t="str">
            <v>A62012</v>
          </cell>
          <cell r="O183">
            <v>0</v>
          </cell>
        </row>
        <row r="184">
          <cell r="A184" t="str">
            <v>A62013</v>
          </cell>
          <cell r="O184">
            <v>0</v>
          </cell>
        </row>
        <row r="185">
          <cell r="A185" t="str">
            <v>A62014</v>
          </cell>
          <cell r="O185">
            <v>0</v>
          </cell>
        </row>
        <row r="186">
          <cell r="A186" t="str">
            <v>A62015</v>
          </cell>
          <cell r="O186">
            <v>0</v>
          </cell>
        </row>
        <row r="187">
          <cell r="A187" t="str">
            <v>A62016</v>
          </cell>
          <cell r="O187">
            <v>0</v>
          </cell>
        </row>
        <row r="188">
          <cell r="A188" t="str">
            <v>A62017</v>
          </cell>
          <cell r="O188">
            <v>0</v>
          </cell>
        </row>
        <row r="189">
          <cell r="A189" t="str">
            <v>A62018</v>
          </cell>
          <cell r="O189">
            <v>0</v>
          </cell>
        </row>
        <row r="190">
          <cell r="A190" t="str">
            <v>A62019</v>
          </cell>
          <cell r="O190">
            <v>0</v>
          </cell>
        </row>
        <row r="191">
          <cell r="A191" t="str">
            <v>A62020</v>
          </cell>
          <cell r="O191">
            <v>0</v>
          </cell>
        </row>
        <row r="192">
          <cell r="A192" t="str">
            <v>A62021</v>
          </cell>
          <cell r="O192">
            <v>0</v>
          </cell>
        </row>
        <row r="193">
          <cell r="A193" t="str">
            <v>A62022</v>
          </cell>
          <cell r="O193">
            <v>0</v>
          </cell>
        </row>
        <row r="194">
          <cell r="A194" t="str">
            <v>A62024</v>
          </cell>
          <cell r="O194">
            <v>0</v>
          </cell>
        </row>
        <row r="195">
          <cell r="A195" t="str">
            <v>A62025</v>
          </cell>
          <cell r="O195">
            <v>0</v>
          </cell>
        </row>
        <row r="196">
          <cell r="A196" t="str">
            <v>A62027</v>
          </cell>
          <cell r="O196">
            <v>0</v>
          </cell>
        </row>
        <row r="197">
          <cell r="A197" t="str">
            <v>A62028</v>
          </cell>
          <cell r="O197">
            <v>0</v>
          </cell>
        </row>
        <row r="198">
          <cell r="A198" t="str">
            <v>A62029</v>
          </cell>
          <cell r="O198">
            <v>0</v>
          </cell>
        </row>
        <row r="199">
          <cell r="A199" t="str">
            <v>A62030</v>
          </cell>
          <cell r="O199">
            <v>0</v>
          </cell>
        </row>
        <row r="200">
          <cell r="A200" t="str">
            <v>A62031</v>
          </cell>
          <cell r="O200">
            <v>0</v>
          </cell>
        </row>
        <row r="201">
          <cell r="A201" t="str">
            <v>A62032</v>
          </cell>
          <cell r="O201">
            <v>0</v>
          </cell>
        </row>
        <row r="202">
          <cell r="A202" t="str">
            <v>A62033</v>
          </cell>
          <cell r="O202">
            <v>0</v>
          </cell>
        </row>
        <row r="203">
          <cell r="A203" t="str">
            <v>A62034</v>
          </cell>
          <cell r="O203">
            <v>0</v>
          </cell>
        </row>
        <row r="204">
          <cell r="A204" t="str">
            <v>A62035</v>
          </cell>
          <cell r="O204">
            <v>0</v>
          </cell>
        </row>
        <row r="205">
          <cell r="A205" t="str">
            <v>A62039</v>
          </cell>
          <cell r="O205">
            <v>0</v>
          </cell>
        </row>
        <row r="206">
          <cell r="A206" t="str">
            <v>A62041</v>
          </cell>
          <cell r="O206">
            <v>0</v>
          </cell>
        </row>
        <row r="207">
          <cell r="A207" t="str">
            <v>A62042</v>
          </cell>
          <cell r="O207">
            <v>0</v>
          </cell>
        </row>
        <row r="208">
          <cell r="A208" t="str">
            <v>A62043</v>
          </cell>
          <cell r="O208">
            <v>0</v>
          </cell>
        </row>
        <row r="209">
          <cell r="A209" t="str">
            <v>A62045</v>
          </cell>
          <cell r="O209">
            <v>0</v>
          </cell>
        </row>
        <row r="210">
          <cell r="A210" t="str">
            <v>A62046</v>
          </cell>
          <cell r="O210">
            <v>0</v>
          </cell>
        </row>
        <row r="211">
          <cell r="A211" t="str">
            <v>A62047</v>
          </cell>
          <cell r="O211">
            <v>0</v>
          </cell>
        </row>
        <row r="212">
          <cell r="A212" t="str">
            <v>A62051</v>
          </cell>
          <cell r="O212">
            <v>0</v>
          </cell>
        </row>
        <row r="213">
          <cell r="A213" t="str">
            <v>A62052</v>
          </cell>
          <cell r="O213">
            <v>0</v>
          </cell>
        </row>
        <row r="214">
          <cell r="A214" t="str">
            <v>A62053</v>
          </cell>
          <cell r="O214">
            <v>0</v>
          </cell>
        </row>
        <row r="215">
          <cell r="A215" t="str">
            <v>A62054</v>
          </cell>
          <cell r="O215">
            <v>0</v>
          </cell>
        </row>
        <row r="216">
          <cell r="A216" t="str">
            <v>A62055</v>
          </cell>
          <cell r="O216">
            <v>0</v>
          </cell>
        </row>
        <row r="217">
          <cell r="A217" t="str">
            <v>A62056</v>
          </cell>
          <cell r="O217">
            <v>0</v>
          </cell>
        </row>
        <row r="218">
          <cell r="A218" t="str">
            <v>A62057</v>
          </cell>
          <cell r="O218">
            <v>0</v>
          </cell>
        </row>
        <row r="219">
          <cell r="A219" t="str">
            <v>A62058</v>
          </cell>
          <cell r="O219">
            <v>0</v>
          </cell>
        </row>
        <row r="220">
          <cell r="A220" t="str">
            <v>A62060</v>
          </cell>
          <cell r="O220">
            <v>0</v>
          </cell>
        </row>
        <row r="221">
          <cell r="A221" t="str">
            <v>A62061</v>
          </cell>
          <cell r="O221">
            <v>0</v>
          </cell>
        </row>
        <row r="222">
          <cell r="A222" t="str">
            <v>A62062</v>
          </cell>
          <cell r="O222">
            <v>0</v>
          </cell>
        </row>
        <row r="223">
          <cell r="A223" t="str">
            <v>A62063</v>
          </cell>
          <cell r="O223">
            <v>0</v>
          </cell>
        </row>
        <row r="224">
          <cell r="A224" t="str">
            <v>A62064</v>
          </cell>
          <cell r="O224">
            <v>0</v>
          </cell>
        </row>
        <row r="225">
          <cell r="A225" t="str">
            <v>A62071</v>
          </cell>
          <cell r="O225">
            <v>0</v>
          </cell>
        </row>
        <row r="226">
          <cell r="A226" t="str">
            <v>A62082</v>
          </cell>
          <cell r="O226">
            <v>0</v>
          </cell>
        </row>
        <row r="227">
          <cell r="A227" t="str">
            <v>A62083</v>
          </cell>
          <cell r="O227">
            <v>0</v>
          </cell>
        </row>
        <row r="228">
          <cell r="A228" t="str">
            <v>A62037</v>
          </cell>
          <cell r="O228">
            <v>0</v>
          </cell>
        </row>
        <row r="229">
          <cell r="A229" t="str">
            <v>A62080</v>
          </cell>
          <cell r="O229">
            <v>0</v>
          </cell>
        </row>
        <row r="230">
          <cell r="A230" t="str">
            <v>P6200</v>
          </cell>
          <cell r="O230">
            <v>0</v>
          </cell>
        </row>
        <row r="231">
          <cell r="A231" t="str">
            <v>A62301</v>
          </cell>
          <cell r="O231">
            <v>0</v>
          </cell>
        </row>
        <row r="232">
          <cell r="A232" t="str">
            <v>A62303</v>
          </cell>
          <cell r="O232">
            <v>0</v>
          </cell>
        </row>
        <row r="233">
          <cell r="A233" t="str">
            <v>A62305</v>
          </cell>
          <cell r="O233">
            <v>0</v>
          </cell>
        </row>
        <row r="234">
          <cell r="A234" t="str">
            <v>A62307</v>
          </cell>
          <cell r="O234">
            <v>0</v>
          </cell>
        </row>
        <row r="235">
          <cell r="A235" t="str">
            <v>A62309</v>
          </cell>
          <cell r="O235">
            <v>0</v>
          </cell>
        </row>
        <row r="236">
          <cell r="A236" t="str">
            <v>A62311</v>
          </cell>
          <cell r="O236">
            <v>0</v>
          </cell>
        </row>
        <row r="237">
          <cell r="A237" t="str">
            <v>A62312</v>
          </cell>
          <cell r="O237">
            <v>0</v>
          </cell>
        </row>
        <row r="238">
          <cell r="A238" t="str">
            <v>P6230</v>
          </cell>
          <cell r="O238">
            <v>0</v>
          </cell>
        </row>
        <row r="239">
          <cell r="A239" t="str">
            <v>A62401</v>
          </cell>
          <cell r="O239">
            <v>0</v>
          </cell>
        </row>
        <row r="240">
          <cell r="A240" t="str">
            <v>A62403</v>
          </cell>
          <cell r="O240">
            <v>0</v>
          </cell>
        </row>
        <row r="241">
          <cell r="A241" t="str">
            <v>A62405</v>
          </cell>
          <cell r="O241">
            <v>0</v>
          </cell>
        </row>
        <row r="242">
          <cell r="A242" t="str">
            <v>A62407</v>
          </cell>
          <cell r="O242">
            <v>0</v>
          </cell>
        </row>
        <row r="243">
          <cell r="A243" t="str">
            <v>A62409</v>
          </cell>
          <cell r="O243">
            <v>0</v>
          </cell>
        </row>
        <row r="244">
          <cell r="A244" t="str">
            <v>A62411</v>
          </cell>
          <cell r="O244">
            <v>0</v>
          </cell>
        </row>
        <row r="245">
          <cell r="A245" t="str">
            <v>A62413</v>
          </cell>
          <cell r="O245">
            <v>0</v>
          </cell>
        </row>
        <row r="246">
          <cell r="A246" t="str">
            <v>P6240</v>
          </cell>
          <cell r="O246">
            <v>0</v>
          </cell>
        </row>
        <row r="247">
          <cell r="A247" t="str">
            <v>A70101</v>
          </cell>
          <cell r="O247">
            <v>0</v>
          </cell>
        </row>
        <row r="248">
          <cell r="A248" t="str">
            <v>A70103</v>
          </cell>
          <cell r="O248">
            <v>0</v>
          </cell>
        </row>
        <row r="249">
          <cell r="A249" t="str">
            <v>A70105</v>
          </cell>
          <cell r="O249">
            <v>0</v>
          </cell>
        </row>
        <row r="250">
          <cell r="A250" t="str">
            <v>P7010</v>
          </cell>
          <cell r="O250">
            <v>0</v>
          </cell>
        </row>
        <row r="251">
          <cell r="A251" t="str">
            <v>A70001</v>
          </cell>
          <cell r="O251">
            <v>0</v>
          </cell>
        </row>
        <row r="252">
          <cell r="A252" t="str">
            <v>A70003</v>
          </cell>
          <cell r="O252">
            <v>0</v>
          </cell>
        </row>
        <row r="253">
          <cell r="A253" t="str">
            <v>A70005</v>
          </cell>
          <cell r="O253">
            <v>0</v>
          </cell>
        </row>
        <row r="254">
          <cell r="A254" t="str">
            <v>A70007</v>
          </cell>
          <cell r="O254">
            <v>0</v>
          </cell>
        </row>
        <row r="255">
          <cell r="A255" t="str">
            <v>A70009</v>
          </cell>
          <cell r="O255">
            <v>0</v>
          </cell>
        </row>
        <row r="256">
          <cell r="A256" t="str">
            <v>A70011</v>
          </cell>
          <cell r="O256">
            <v>0</v>
          </cell>
        </row>
        <row r="257">
          <cell r="A257" t="str">
            <v>A70013</v>
          </cell>
          <cell r="O257">
            <v>0</v>
          </cell>
        </row>
        <row r="258">
          <cell r="A258" t="str">
            <v>A70015</v>
          </cell>
          <cell r="O258">
            <v>0</v>
          </cell>
        </row>
        <row r="259">
          <cell r="A259" t="str">
            <v>A70017</v>
          </cell>
          <cell r="O259">
            <v>0</v>
          </cell>
        </row>
        <row r="260">
          <cell r="A260" t="str">
            <v>P7000</v>
          </cell>
          <cell r="O260">
            <v>0</v>
          </cell>
        </row>
        <row r="261">
          <cell r="A261" t="str">
            <v>A70201</v>
          </cell>
          <cell r="O261">
            <v>0</v>
          </cell>
        </row>
        <row r="262">
          <cell r="A262" t="str">
            <v>A70203</v>
          </cell>
          <cell r="O262">
            <v>0</v>
          </cell>
        </row>
        <row r="263">
          <cell r="A263" t="str">
            <v>A70209</v>
          </cell>
          <cell r="O263">
            <v>0</v>
          </cell>
        </row>
        <row r="264">
          <cell r="A264" t="str">
            <v>P7020</v>
          </cell>
          <cell r="O264">
            <v>0</v>
          </cell>
        </row>
        <row r="265">
          <cell r="A265" t="str">
            <v>A70301</v>
          </cell>
          <cell r="O265">
            <v>0</v>
          </cell>
        </row>
        <row r="266">
          <cell r="A266" t="str">
            <v>P7030</v>
          </cell>
          <cell r="O266">
            <v>0</v>
          </cell>
        </row>
        <row r="267">
          <cell r="A267" t="str">
            <v>A70401</v>
          </cell>
          <cell r="O267">
            <v>0</v>
          </cell>
        </row>
        <row r="268">
          <cell r="A268" t="str">
            <v>A70403</v>
          </cell>
          <cell r="O268">
            <v>0</v>
          </cell>
        </row>
        <row r="269">
          <cell r="A269" t="str">
            <v>A70405</v>
          </cell>
          <cell r="O269">
            <v>0</v>
          </cell>
        </row>
        <row r="270">
          <cell r="A270" t="str">
            <v>A70407</v>
          </cell>
          <cell r="O270">
            <v>0</v>
          </cell>
        </row>
        <row r="271">
          <cell r="A271" t="str">
            <v>A70409</v>
          </cell>
          <cell r="O271">
            <v>0</v>
          </cell>
        </row>
        <row r="272">
          <cell r="A272" t="str">
            <v>P7040</v>
          </cell>
          <cell r="O272">
            <v>0</v>
          </cell>
        </row>
        <row r="273">
          <cell r="A273" t="str">
            <v>A70501</v>
          </cell>
          <cell r="O273">
            <v>0</v>
          </cell>
        </row>
        <row r="274">
          <cell r="A274" t="str">
            <v>A70503</v>
          </cell>
          <cell r="O274">
            <v>0</v>
          </cell>
        </row>
        <row r="275">
          <cell r="A275" t="str">
            <v>A70505</v>
          </cell>
          <cell r="O275">
            <v>0</v>
          </cell>
        </row>
        <row r="276">
          <cell r="A276" t="str">
            <v>A70507</v>
          </cell>
          <cell r="O276">
            <v>0</v>
          </cell>
        </row>
        <row r="277">
          <cell r="A277" t="str">
            <v>A70509</v>
          </cell>
          <cell r="O277">
            <v>0</v>
          </cell>
        </row>
        <row r="278">
          <cell r="A278" t="str">
            <v>A70511</v>
          </cell>
          <cell r="O278">
            <v>0</v>
          </cell>
        </row>
        <row r="279">
          <cell r="A279" t="str">
            <v>A70506</v>
          </cell>
          <cell r="O279">
            <v>0</v>
          </cell>
        </row>
        <row r="280">
          <cell r="A280" t="str">
            <v>A70510</v>
          </cell>
          <cell r="O280">
            <v>0</v>
          </cell>
        </row>
        <row r="281">
          <cell r="A281" t="str">
            <v>P7050</v>
          </cell>
          <cell r="O281">
            <v>0</v>
          </cell>
        </row>
        <row r="282">
          <cell r="A282" t="str">
            <v>A70651</v>
          </cell>
          <cell r="O282">
            <v>0</v>
          </cell>
        </row>
        <row r="283">
          <cell r="A283" t="str">
            <v>A70653</v>
          </cell>
          <cell r="O283">
            <v>0</v>
          </cell>
        </row>
        <row r="284">
          <cell r="A284" t="str">
            <v>A70655</v>
          </cell>
          <cell r="O284">
            <v>0</v>
          </cell>
        </row>
        <row r="285">
          <cell r="A285" t="str">
            <v>A70657</v>
          </cell>
          <cell r="O285">
            <v>0</v>
          </cell>
        </row>
        <row r="286">
          <cell r="A286" t="str">
            <v>P7065</v>
          </cell>
          <cell r="O286">
            <v>0</v>
          </cell>
        </row>
        <row r="287">
          <cell r="A287" t="str">
            <v>A70601</v>
          </cell>
          <cell r="O287">
            <v>0</v>
          </cell>
        </row>
        <row r="288">
          <cell r="A288" t="str">
            <v>A70603</v>
          </cell>
          <cell r="O288">
            <v>0</v>
          </cell>
        </row>
        <row r="289">
          <cell r="A289" t="str">
            <v>A70605</v>
          </cell>
          <cell r="O289">
            <v>0</v>
          </cell>
        </row>
        <row r="290">
          <cell r="A290" t="str">
            <v>A70607</v>
          </cell>
          <cell r="O290">
            <v>0</v>
          </cell>
        </row>
        <row r="291">
          <cell r="A291" t="str">
            <v>P7060</v>
          </cell>
          <cell r="O291">
            <v>0</v>
          </cell>
        </row>
        <row r="292">
          <cell r="A292" t="str">
            <v>A70701</v>
          </cell>
          <cell r="O292">
            <v>0</v>
          </cell>
        </row>
        <row r="293">
          <cell r="A293" t="str">
            <v>A70703</v>
          </cell>
          <cell r="O293">
            <v>0</v>
          </cell>
        </row>
        <row r="294">
          <cell r="A294" t="str">
            <v>A70705</v>
          </cell>
          <cell r="O294">
            <v>0</v>
          </cell>
        </row>
        <row r="295">
          <cell r="A295" t="str">
            <v>A70707</v>
          </cell>
          <cell r="O295">
            <v>0</v>
          </cell>
        </row>
        <row r="296">
          <cell r="A296" t="str">
            <v>A70709</v>
          </cell>
          <cell r="O296">
            <v>0</v>
          </cell>
        </row>
        <row r="297">
          <cell r="A297" t="str">
            <v>A70711</v>
          </cell>
          <cell r="O297">
            <v>0</v>
          </cell>
        </row>
        <row r="298">
          <cell r="A298" t="str">
            <v>P7070</v>
          </cell>
          <cell r="O298">
            <v>0</v>
          </cell>
        </row>
        <row r="299">
          <cell r="A299" t="str">
            <v>A70899</v>
          </cell>
          <cell r="O299">
            <v>0</v>
          </cell>
        </row>
        <row r="300">
          <cell r="A300" t="str">
            <v>P7089</v>
          </cell>
          <cell r="O300">
            <v>0</v>
          </cell>
        </row>
        <row r="301">
          <cell r="A301" t="str">
            <v>A70801</v>
          </cell>
          <cell r="O301">
            <v>0</v>
          </cell>
        </row>
        <row r="302">
          <cell r="A302" t="str">
            <v>A70803</v>
          </cell>
          <cell r="O302">
            <v>0</v>
          </cell>
        </row>
        <row r="303">
          <cell r="A303" t="str">
            <v>A70805</v>
          </cell>
          <cell r="O303">
            <v>0</v>
          </cell>
        </row>
        <row r="304">
          <cell r="A304" t="str">
            <v>A70807</v>
          </cell>
          <cell r="O304">
            <v>0</v>
          </cell>
        </row>
        <row r="305">
          <cell r="A305" t="str">
            <v>A70809</v>
          </cell>
          <cell r="O305">
            <v>0</v>
          </cell>
        </row>
        <row r="306">
          <cell r="A306" t="str">
            <v>A70811</v>
          </cell>
          <cell r="O306">
            <v>0</v>
          </cell>
        </row>
        <row r="307">
          <cell r="A307" t="str">
            <v>P7080</v>
          </cell>
          <cell r="O307">
            <v>0</v>
          </cell>
        </row>
        <row r="308">
          <cell r="A308" t="str">
            <v>A70951</v>
          </cell>
          <cell r="O308">
            <v>0</v>
          </cell>
        </row>
        <row r="309">
          <cell r="A309" t="str">
            <v>A70953</v>
          </cell>
          <cell r="O309">
            <v>0</v>
          </cell>
        </row>
        <row r="310">
          <cell r="A310" t="str">
            <v>A70955</v>
          </cell>
          <cell r="O310">
            <v>0</v>
          </cell>
        </row>
        <row r="311">
          <cell r="A311" t="str">
            <v>A70957</v>
          </cell>
          <cell r="O311">
            <v>0</v>
          </cell>
        </row>
        <row r="312">
          <cell r="A312" t="str">
            <v>A70961</v>
          </cell>
          <cell r="O312">
            <v>0</v>
          </cell>
        </row>
        <row r="313">
          <cell r="A313" t="str">
            <v>A70963</v>
          </cell>
          <cell r="O313">
            <v>0</v>
          </cell>
        </row>
        <row r="314">
          <cell r="A314" t="str">
            <v>A70965</v>
          </cell>
          <cell r="O314">
            <v>0</v>
          </cell>
        </row>
        <row r="315">
          <cell r="A315" t="str">
            <v>A70967</v>
          </cell>
          <cell r="O315">
            <v>0</v>
          </cell>
        </row>
        <row r="316">
          <cell r="A316" t="str">
            <v>A70971</v>
          </cell>
          <cell r="O316">
            <v>0</v>
          </cell>
        </row>
        <row r="317">
          <cell r="A317" t="str">
            <v>A70977</v>
          </cell>
          <cell r="O317">
            <v>0</v>
          </cell>
        </row>
        <row r="318">
          <cell r="A318" t="str">
            <v>A70981</v>
          </cell>
          <cell r="O318">
            <v>0</v>
          </cell>
        </row>
        <row r="319">
          <cell r="A319" t="str">
            <v>A70973</v>
          </cell>
          <cell r="O319">
            <v>0</v>
          </cell>
        </row>
        <row r="320">
          <cell r="A320" t="str">
            <v>A70917</v>
          </cell>
          <cell r="O320">
            <v>0</v>
          </cell>
        </row>
        <row r="321">
          <cell r="A321" t="str">
            <v>P7095</v>
          </cell>
          <cell r="O321">
            <v>0</v>
          </cell>
        </row>
        <row r="322">
          <cell r="A322" t="str">
            <v>A70905</v>
          </cell>
          <cell r="O322">
            <v>0</v>
          </cell>
        </row>
        <row r="323">
          <cell r="A323" t="str">
            <v>A70911</v>
          </cell>
          <cell r="O323">
            <v>0</v>
          </cell>
        </row>
        <row r="324">
          <cell r="A324" t="str">
            <v>A70909</v>
          </cell>
          <cell r="O324">
            <v>0</v>
          </cell>
        </row>
        <row r="325">
          <cell r="A325" t="str">
            <v>P7090</v>
          </cell>
          <cell r="O325">
            <v>0</v>
          </cell>
        </row>
        <row r="326">
          <cell r="A326" t="str">
            <v>A71001</v>
          </cell>
          <cell r="O326">
            <v>0</v>
          </cell>
        </row>
        <row r="327">
          <cell r="A327" t="str">
            <v>A71003</v>
          </cell>
          <cell r="O327">
            <v>0</v>
          </cell>
        </row>
        <row r="328">
          <cell r="A328" t="str">
            <v>P7100</v>
          </cell>
          <cell r="O328">
            <v>0</v>
          </cell>
        </row>
        <row r="329">
          <cell r="A329" t="str">
            <v>A71101</v>
          </cell>
          <cell r="O329">
            <v>0</v>
          </cell>
        </row>
        <row r="330">
          <cell r="A330" t="str">
            <v>A71103</v>
          </cell>
          <cell r="O330">
            <v>0</v>
          </cell>
        </row>
        <row r="331">
          <cell r="A331" t="str">
            <v>A71105</v>
          </cell>
          <cell r="O331">
            <v>0</v>
          </cell>
        </row>
        <row r="332">
          <cell r="A332" t="str">
            <v>A71109</v>
          </cell>
          <cell r="O332">
            <v>0</v>
          </cell>
        </row>
        <row r="333">
          <cell r="A333" t="str">
            <v>A71111</v>
          </cell>
          <cell r="O333">
            <v>0</v>
          </cell>
        </row>
        <row r="334">
          <cell r="A334" t="str">
            <v>A71117</v>
          </cell>
          <cell r="O334">
            <v>0</v>
          </cell>
        </row>
        <row r="335">
          <cell r="A335" t="str">
            <v>A71119</v>
          </cell>
          <cell r="O335">
            <v>0</v>
          </cell>
        </row>
        <row r="336">
          <cell r="A336" t="str">
            <v>P7110</v>
          </cell>
          <cell r="O336">
            <v>0</v>
          </cell>
        </row>
        <row r="337">
          <cell r="A337" t="str">
            <v>A74001</v>
          </cell>
          <cell r="O337">
            <v>0</v>
          </cell>
        </row>
        <row r="338">
          <cell r="A338" t="str">
            <v>A74002</v>
          </cell>
          <cell r="O338">
            <v>0</v>
          </cell>
        </row>
        <row r="339">
          <cell r="A339" t="str">
            <v>A74003</v>
          </cell>
          <cell r="O339">
            <v>0</v>
          </cell>
        </row>
        <row r="340">
          <cell r="A340" t="str">
            <v>A74004</v>
          </cell>
          <cell r="O340">
            <v>0</v>
          </cell>
        </row>
        <row r="341">
          <cell r="A341" t="str">
            <v>A74005</v>
          </cell>
          <cell r="O341">
            <v>0</v>
          </cell>
        </row>
        <row r="342">
          <cell r="A342" t="str">
            <v>A74006</v>
          </cell>
          <cell r="O342">
            <v>0</v>
          </cell>
        </row>
        <row r="343">
          <cell r="A343" t="str">
            <v>A74007</v>
          </cell>
          <cell r="O343">
            <v>0</v>
          </cell>
        </row>
        <row r="344">
          <cell r="A344" t="str">
            <v>P7400</v>
          </cell>
          <cell r="O344">
            <v>0</v>
          </cell>
        </row>
        <row r="345">
          <cell r="A345" t="str">
            <v>A79951</v>
          </cell>
          <cell r="O345">
            <v>0</v>
          </cell>
        </row>
        <row r="346">
          <cell r="A346" t="str">
            <v>A79952</v>
          </cell>
          <cell r="O346">
            <v>0</v>
          </cell>
        </row>
        <row r="347">
          <cell r="A347" t="str">
            <v>A79953</v>
          </cell>
          <cell r="O347">
            <v>0</v>
          </cell>
        </row>
        <row r="348">
          <cell r="A348" t="str">
            <v>A79954</v>
          </cell>
          <cell r="O348">
            <v>0</v>
          </cell>
        </row>
        <row r="349">
          <cell r="A349" t="str">
            <v>A79955</v>
          </cell>
          <cell r="O349">
            <v>0</v>
          </cell>
        </row>
        <row r="350">
          <cell r="A350" t="str">
            <v>A79956</v>
          </cell>
          <cell r="O350">
            <v>0</v>
          </cell>
        </row>
        <row r="351">
          <cell r="A351" t="str">
            <v>A79957</v>
          </cell>
          <cell r="O351">
            <v>0</v>
          </cell>
        </row>
        <row r="352">
          <cell r="A352" t="str">
            <v>A79960</v>
          </cell>
          <cell r="O352">
            <v>0</v>
          </cell>
        </row>
        <row r="353">
          <cell r="A353" t="str">
            <v>A79965</v>
          </cell>
          <cell r="O353">
            <v>0</v>
          </cell>
        </row>
        <row r="354">
          <cell r="A354" t="str">
            <v>A79966</v>
          </cell>
          <cell r="O354">
            <v>0</v>
          </cell>
        </row>
        <row r="355">
          <cell r="A355" t="str">
            <v>A79967</v>
          </cell>
          <cell r="O355">
            <v>-225</v>
          </cell>
        </row>
        <row r="356">
          <cell r="A356" t="str">
            <v>A79958</v>
          </cell>
          <cell r="O356">
            <v>0</v>
          </cell>
        </row>
        <row r="357">
          <cell r="A357" t="str">
            <v>P7995</v>
          </cell>
          <cell r="O357">
            <v>-225</v>
          </cell>
        </row>
        <row r="358">
          <cell r="A358" t="str">
            <v>OAPPP</v>
          </cell>
          <cell r="O358">
            <v>15445</v>
          </cell>
        </row>
        <row r="360">
          <cell r="A360" t="str">
            <v>QTAG</v>
          </cell>
        </row>
      </sheetData>
      <sheetData sheetId="1">
        <row r="6">
          <cell r="O6" t="str">
            <v>AYR14</v>
          </cell>
        </row>
        <row r="7">
          <cell r="O7" t="str">
            <v>2014 Actuals</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row r="52">
          <cell r="O52">
            <v>0</v>
          </cell>
        </row>
        <row r="53">
          <cell r="O53">
            <v>0</v>
          </cell>
        </row>
        <row r="54">
          <cell r="O54">
            <v>0</v>
          </cell>
        </row>
        <row r="55">
          <cell r="O55">
            <v>0</v>
          </cell>
        </row>
        <row r="56">
          <cell r="O56">
            <v>0</v>
          </cell>
        </row>
        <row r="57">
          <cell r="O57">
            <v>0</v>
          </cell>
        </row>
        <row r="58">
          <cell r="O58">
            <v>0</v>
          </cell>
        </row>
        <row r="59">
          <cell r="O59">
            <v>0</v>
          </cell>
        </row>
        <row r="60">
          <cell r="O60">
            <v>0</v>
          </cell>
        </row>
        <row r="61">
          <cell r="O61">
            <v>0</v>
          </cell>
        </row>
        <row r="62">
          <cell r="O62">
            <v>0</v>
          </cell>
        </row>
        <row r="63">
          <cell r="O63">
            <v>0</v>
          </cell>
        </row>
        <row r="64">
          <cell r="O64">
            <v>0</v>
          </cell>
        </row>
        <row r="65">
          <cell r="O65">
            <v>0</v>
          </cell>
        </row>
        <row r="66">
          <cell r="O66">
            <v>0</v>
          </cell>
        </row>
        <row r="67">
          <cell r="O67">
            <v>0</v>
          </cell>
        </row>
        <row r="68">
          <cell r="O68">
            <v>0</v>
          </cell>
        </row>
        <row r="69">
          <cell r="O69">
            <v>0</v>
          </cell>
        </row>
        <row r="70">
          <cell r="O70">
            <v>0</v>
          </cell>
        </row>
        <row r="71">
          <cell r="O71">
            <v>0</v>
          </cell>
        </row>
        <row r="72">
          <cell r="O72">
            <v>0</v>
          </cell>
        </row>
        <row r="73">
          <cell r="O73">
            <v>0</v>
          </cell>
        </row>
        <row r="74">
          <cell r="O74">
            <v>0</v>
          </cell>
        </row>
        <row r="75">
          <cell r="O75">
            <v>0</v>
          </cell>
        </row>
        <row r="76">
          <cell r="O76">
            <v>0</v>
          </cell>
        </row>
        <row r="77">
          <cell r="O77">
            <v>0</v>
          </cell>
        </row>
        <row r="78">
          <cell r="O78">
            <v>0</v>
          </cell>
        </row>
        <row r="79">
          <cell r="O79">
            <v>0</v>
          </cell>
        </row>
        <row r="80">
          <cell r="O80">
            <v>0</v>
          </cell>
        </row>
        <row r="81">
          <cell r="O81">
            <v>0</v>
          </cell>
        </row>
        <row r="82">
          <cell r="O82">
            <v>0</v>
          </cell>
        </row>
        <row r="83">
          <cell r="O83">
            <v>0</v>
          </cell>
        </row>
        <row r="84">
          <cell r="O84">
            <v>0</v>
          </cell>
        </row>
        <row r="85">
          <cell r="O85">
            <v>0</v>
          </cell>
        </row>
        <row r="86">
          <cell r="O86">
            <v>0</v>
          </cell>
        </row>
        <row r="87">
          <cell r="O87">
            <v>0</v>
          </cell>
        </row>
        <row r="88">
          <cell r="O88">
            <v>0</v>
          </cell>
        </row>
        <row r="89">
          <cell r="O89">
            <v>0</v>
          </cell>
        </row>
        <row r="90">
          <cell r="O90">
            <v>0</v>
          </cell>
        </row>
        <row r="91">
          <cell r="O91">
            <v>0</v>
          </cell>
        </row>
        <row r="92">
          <cell r="O92">
            <v>0</v>
          </cell>
        </row>
        <row r="93">
          <cell r="O93">
            <v>0</v>
          </cell>
        </row>
        <row r="94">
          <cell r="O94">
            <v>0</v>
          </cell>
        </row>
        <row r="95">
          <cell r="O95">
            <v>0</v>
          </cell>
        </row>
        <row r="96">
          <cell r="O96">
            <v>0</v>
          </cell>
        </row>
        <row r="97">
          <cell r="O97">
            <v>0</v>
          </cell>
        </row>
        <row r="98">
          <cell r="O98">
            <v>0</v>
          </cell>
        </row>
        <row r="99">
          <cell r="O99">
            <v>0</v>
          </cell>
        </row>
        <row r="100">
          <cell r="O100">
            <v>0</v>
          </cell>
        </row>
        <row r="101">
          <cell r="O101">
            <v>0</v>
          </cell>
        </row>
        <row r="102">
          <cell r="O102">
            <v>0</v>
          </cell>
        </row>
        <row r="103">
          <cell r="O103">
            <v>0</v>
          </cell>
        </row>
        <row r="104">
          <cell r="O104">
            <v>0</v>
          </cell>
        </row>
        <row r="105">
          <cell r="O105">
            <v>0</v>
          </cell>
        </row>
        <row r="106">
          <cell r="O106">
            <v>0</v>
          </cell>
        </row>
        <row r="107">
          <cell r="O107">
            <v>0</v>
          </cell>
        </row>
        <row r="108">
          <cell r="O108">
            <v>0</v>
          </cell>
        </row>
        <row r="109">
          <cell r="O109">
            <v>0</v>
          </cell>
        </row>
        <row r="110">
          <cell r="O110">
            <v>0</v>
          </cell>
        </row>
        <row r="111">
          <cell r="O111">
            <v>0</v>
          </cell>
        </row>
        <row r="112">
          <cell r="O112">
            <v>0</v>
          </cell>
        </row>
        <row r="113">
          <cell r="O113">
            <v>0</v>
          </cell>
        </row>
        <row r="114">
          <cell r="O114">
            <v>0</v>
          </cell>
        </row>
        <row r="115">
          <cell r="O115">
            <v>0</v>
          </cell>
        </row>
        <row r="116">
          <cell r="O116">
            <v>0</v>
          </cell>
        </row>
        <row r="117">
          <cell r="O117">
            <v>0</v>
          </cell>
        </row>
        <row r="118">
          <cell r="O118">
            <v>0</v>
          </cell>
        </row>
        <row r="119">
          <cell r="O119">
            <v>0</v>
          </cell>
        </row>
        <row r="120">
          <cell r="O120">
            <v>0</v>
          </cell>
        </row>
        <row r="121">
          <cell r="O121">
            <v>0</v>
          </cell>
        </row>
        <row r="122">
          <cell r="O122">
            <v>0</v>
          </cell>
        </row>
        <row r="123">
          <cell r="O123">
            <v>0</v>
          </cell>
        </row>
        <row r="124">
          <cell r="O124">
            <v>0</v>
          </cell>
        </row>
        <row r="125">
          <cell r="O125">
            <v>0</v>
          </cell>
        </row>
        <row r="126">
          <cell r="O126">
            <v>0</v>
          </cell>
        </row>
        <row r="127">
          <cell r="O127">
            <v>0</v>
          </cell>
        </row>
        <row r="128">
          <cell r="O128">
            <v>0</v>
          </cell>
        </row>
        <row r="129">
          <cell r="O129">
            <v>0</v>
          </cell>
        </row>
        <row r="130">
          <cell r="O130">
            <v>0</v>
          </cell>
        </row>
        <row r="131">
          <cell r="O131">
            <v>0</v>
          </cell>
        </row>
        <row r="132">
          <cell r="O132">
            <v>0</v>
          </cell>
        </row>
        <row r="133">
          <cell r="O133">
            <v>0</v>
          </cell>
        </row>
        <row r="134">
          <cell r="O134">
            <v>0</v>
          </cell>
        </row>
        <row r="135">
          <cell r="O135">
            <v>0</v>
          </cell>
        </row>
        <row r="136">
          <cell r="O136">
            <v>0</v>
          </cell>
        </row>
        <row r="137">
          <cell r="O137">
            <v>0</v>
          </cell>
        </row>
        <row r="138">
          <cell r="O138">
            <v>0</v>
          </cell>
        </row>
        <row r="139">
          <cell r="O139">
            <v>0</v>
          </cell>
        </row>
        <row r="140">
          <cell r="O140">
            <v>0</v>
          </cell>
        </row>
        <row r="141">
          <cell r="O141">
            <v>3408.31</v>
          </cell>
        </row>
        <row r="142">
          <cell r="O142">
            <v>0</v>
          </cell>
        </row>
        <row r="143">
          <cell r="O143">
            <v>0</v>
          </cell>
        </row>
        <row r="144">
          <cell r="O144">
            <v>3408.31</v>
          </cell>
        </row>
        <row r="145">
          <cell r="O145">
            <v>0</v>
          </cell>
        </row>
        <row r="146">
          <cell r="O146">
            <v>0</v>
          </cell>
        </row>
        <row r="147">
          <cell r="O147">
            <v>0</v>
          </cell>
        </row>
        <row r="148">
          <cell r="O148">
            <v>0</v>
          </cell>
        </row>
        <row r="149">
          <cell r="O149">
            <v>0</v>
          </cell>
        </row>
        <row r="150">
          <cell r="O150">
            <v>0</v>
          </cell>
        </row>
        <row r="151">
          <cell r="O151">
            <v>0</v>
          </cell>
        </row>
        <row r="152">
          <cell r="O152">
            <v>0</v>
          </cell>
        </row>
        <row r="153">
          <cell r="O153">
            <v>77.08</v>
          </cell>
        </row>
        <row r="154">
          <cell r="O154">
            <v>0</v>
          </cell>
        </row>
        <row r="155">
          <cell r="O155">
            <v>0</v>
          </cell>
        </row>
        <row r="156">
          <cell r="O156">
            <v>0</v>
          </cell>
        </row>
        <row r="157">
          <cell r="O157">
            <v>0</v>
          </cell>
        </row>
        <row r="158">
          <cell r="O158">
            <v>77.08</v>
          </cell>
        </row>
        <row r="159">
          <cell r="O159">
            <v>0</v>
          </cell>
        </row>
        <row r="160">
          <cell r="O160">
            <v>0</v>
          </cell>
        </row>
        <row r="161">
          <cell r="O161">
            <v>0</v>
          </cell>
        </row>
        <row r="162">
          <cell r="O162">
            <v>0</v>
          </cell>
        </row>
        <row r="163">
          <cell r="O163">
            <v>0</v>
          </cell>
        </row>
        <row r="164">
          <cell r="O164">
            <v>0</v>
          </cell>
        </row>
        <row r="165">
          <cell r="O165">
            <v>0</v>
          </cell>
        </row>
        <row r="166">
          <cell r="O166">
            <v>0</v>
          </cell>
        </row>
        <row r="167">
          <cell r="O167">
            <v>0</v>
          </cell>
        </row>
        <row r="168">
          <cell r="O168">
            <v>0</v>
          </cell>
        </row>
        <row r="169">
          <cell r="O169">
            <v>0</v>
          </cell>
        </row>
        <row r="170">
          <cell r="O170">
            <v>0</v>
          </cell>
        </row>
        <row r="171">
          <cell r="O171">
            <v>0</v>
          </cell>
        </row>
        <row r="172">
          <cell r="O172">
            <v>0</v>
          </cell>
        </row>
        <row r="173">
          <cell r="O173">
            <v>0</v>
          </cell>
        </row>
        <row r="174">
          <cell r="O174">
            <v>0</v>
          </cell>
        </row>
        <row r="175">
          <cell r="O175">
            <v>0</v>
          </cell>
        </row>
        <row r="176">
          <cell r="O176">
            <v>0</v>
          </cell>
        </row>
        <row r="177">
          <cell r="O177">
            <v>0</v>
          </cell>
        </row>
        <row r="178">
          <cell r="O178">
            <v>0</v>
          </cell>
        </row>
        <row r="179">
          <cell r="O179">
            <v>0</v>
          </cell>
        </row>
        <row r="180">
          <cell r="O180">
            <v>0</v>
          </cell>
        </row>
        <row r="181">
          <cell r="O181">
            <v>0</v>
          </cell>
        </row>
        <row r="182">
          <cell r="O182">
            <v>0</v>
          </cell>
        </row>
        <row r="183">
          <cell r="O183">
            <v>0</v>
          </cell>
        </row>
        <row r="184">
          <cell r="O184">
            <v>0</v>
          </cell>
        </row>
        <row r="185">
          <cell r="O185">
            <v>0</v>
          </cell>
        </row>
        <row r="186">
          <cell r="O186">
            <v>0</v>
          </cell>
        </row>
        <row r="187">
          <cell r="O187">
            <v>0</v>
          </cell>
        </row>
        <row r="188">
          <cell r="O188">
            <v>0</v>
          </cell>
        </row>
        <row r="189">
          <cell r="O189">
            <v>0</v>
          </cell>
        </row>
        <row r="190">
          <cell r="O190">
            <v>0</v>
          </cell>
        </row>
        <row r="191">
          <cell r="O191">
            <v>0</v>
          </cell>
        </row>
        <row r="192">
          <cell r="O192">
            <v>0</v>
          </cell>
        </row>
        <row r="193">
          <cell r="O193">
            <v>0</v>
          </cell>
        </row>
        <row r="194">
          <cell r="O194">
            <v>0</v>
          </cell>
        </row>
        <row r="195">
          <cell r="O195">
            <v>0</v>
          </cell>
        </row>
        <row r="196">
          <cell r="O196">
            <v>0</v>
          </cell>
        </row>
        <row r="197">
          <cell r="O197">
            <v>0</v>
          </cell>
        </row>
        <row r="198">
          <cell r="O198">
            <v>0</v>
          </cell>
        </row>
        <row r="199">
          <cell r="O199">
            <v>0</v>
          </cell>
        </row>
        <row r="200">
          <cell r="O200">
            <v>0</v>
          </cell>
        </row>
        <row r="201">
          <cell r="O201">
            <v>0</v>
          </cell>
        </row>
        <row r="202">
          <cell r="O202">
            <v>0</v>
          </cell>
        </row>
        <row r="203">
          <cell r="O203">
            <v>0</v>
          </cell>
        </row>
        <row r="204">
          <cell r="O204">
            <v>0</v>
          </cell>
        </row>
        <row r="205">
          <cell r="O205">
            <v>0</v>
          </cell>
        </row>
        <row r="206">
          <cell r="O206">
            <v>0</v>
          </cell>
        </row>
        <row r="207">
          <cell r="O207">
            <v>0</v>
          </cell>
        </row>
        <row r="208">
          <cell r="O208">
            <v>0</v>
          </cell>
        </row>
        <row r="209">
          <cell r="O209">
            <v>0</v>
          </cell>
        </row>
        <row r="210">
          <cell r="O210">
            <v>0</v>
          </cell>
        </row>
        <row r="211">
          <cell r="O211">
            <v>0</v>
          </cell>
        </row>
        <row r="212">
          <cell r="O212">
            <v>0</v>
          </cell>
        </row>
        <row r="213">
          <cell r="O213">
            <v>0</v>
          </cell>
        </row>
        <row r="214">
          <cell r="O214">
            <v>0</v>
          </cell>
        </row>
        <row r="215">
          <cell r="O215">
            <v>0</v>
          </cell>
        </row>
        <row r="216">
          <cell r="O216">
            <v>0</v>
          </cell>
        </row>
        <row r="217">
          <cell r="O217">
            <v>0</v>
          </cell>
        </row>
        <row r="218">
          <cell r="O218">
            <v>0</v>
          </cell>
        </row>
        <row r="219">
          <cell r="O219">
            <v>0</v>
          </cell>
        </row>
        <row r="220">
          <cell r="O220">
            <v>0</v>
          </cell>
        </row>
        <row r="221">
          <cell r="O221">
            <v>0</v>
          </cell>
        </row>
        <row r="222">
          <cell r="O222">
            <v>0</v>
          </cell>
        </row>
        <row r="223">
          <cell r="O223">
            <v>0</v>
          </cell>
        </row>
        <row r="224">
          <cell r="O224">
            <v>0</v>
          </cell>
        </row>
        <row r="225">
          <cell r="O225">
            <v>0</v>
          </cell>
        </row>
        <row r="226">
          <cell r="O226">
            <v>0</v>
          </cell>
        </row>
        <row r="227">
          <cell r="O227">
            <v>0</v>
          </cell>
        </row>
        <row r="228">
          <cell r="O228">
            <v>0</v>
          </cell>
        </row>
        <row r="229">
          <cell r="O229">
            <v>0</v>
          </cell>
        </row>
        <row r="230">
          <cell r="O230">
            <v>0</v>
          </cell>
        </row>
        <row r="231">
          <cell r="O231">
            <v>0</v>
          </cell>
        </row>
        <row r="232">
          <cell r="O232">
            <v>0</v>
          </cell>
        </row>
        <row r="233">
          <cell r="O233">
            <v>0</v>
          </cell>
        </row>
        <row r="234">
          <cell r="O234">
            <v>0</v>
          </cell>
        </row>
        <row r="235">
          <cell r="O235">
            <v>0</v>
          </cell>
        </row>
        <row r="236">
          <cell r="O236">
            <v>0</v>
          </cell>
        </row>
        <row r="237">
          <cell r="O237">
            <v>0</v>
          </cell>
        </row>
        <row r="238">
          <cell r="O238">
            <v>0</v>
          </cell>
        </row>
        <row r="239">
          <cell r="O239">
            <v>0</v>
          </cell>
        </row>
        <row r="240">
          <cell r="O240">
            <v>0</v>
          </cell>
        </row>
        <row r="241">
          <cell r="O241">
            <v>0</v>
          </cell>
        </row>
        <row r="242">
          <cell r="O242">
            <v>0</v>
          </cell>
        </row>
        <row r="243">
          <cell r="O243">
            <v>0</v>
          </cell>
        </row>
        <row r="244">
          <cell r="O244">
            <v>0</v>
          </cell>
        </row>
        <row r="245">
          <cell r="O245">
            <v>0</v>
          </cell>
        </row>
        <row r="246">
          <cell r="O246">
            <v>0</v>
          </cell>
        </row>
        <row r="247">
          <cell r="O247">
            <v>0</v>
          </cell>
        </row>
        <row r="248">
          <cell r="O248">
            <v>0</v>
          </cell>
        </row>
        <row r="249">
          <cell r="O249">
            <v>0</v>
          </cell>
        </row>
        <row r="250">
          <cell r="O250">
            <v>0</v>
          </cell>
        </row>
        <row r="251">
          <cell r="O251">
            <v>0</v>
          </cell>
        </row>
        <row r="252">
          <cell r="O252">
            <v>0</v>
          </cell>
        </row>
        <row r="253">
          <cell r="O253">
            <v>0</v>
          </cell>
        </row>
        <row r="254">
          <cell r="O254">
            <v>0</v>
          </cell>
        </row>
        <row r="255">
          <cell r="O255">
            <v>0</v>
          </cell>
        </row>
        <row r="256">
          <cell r="O256">
            <v>0</v>
          </cell>
        </row>
        <row r="257">
          <cell r="O257">
            <v>0</v>
          </cell>
        </row>
        <row r="258">
          <cell r="O258">
            <v>0</v>
          </cell>
        </row>
        <row r="259">
          <cell r="O259">
            <v>0</v>
          </cell>
        </row>
        <row r="260">
          <cell r="O260">
            <v>0</v>
          </cell>
        </row>
        <row r="261">
          <cell r="O261">
            <v>0</v>
          </cell>
        </row>
        <row r="262">
          <cell r="O262">
            <v>0</v>
          </cell>
        </row>
        <row r="263">
          <cell r="O263">
            <v>0</v>
          </cell>
        </row>
        <row r="264">
          <cell r="O264">
            <v>0</v>
          </cell>
        </row>
        <row r="265">
          <cell r="O265">
            <v>0</v>
          </cell>
        </row>
        <row r="266">
          <cell r="O266">
            <v>0</v>
          </cell>
        </row>
        <row r="267">
          <cell r="O267">
            <v>0</v>
          </cell>
        </row>
        <row r="268">
          <cell r="O268">
            <v>0</v>
          </cell>
        </row>
        <row r="269">
          <cell r="O269">
            <v>0</v>
          </cell>
        </row>
        <row r="270">
          <cell r="O270">
            <v>0</v>
          </cell>
        </row>
        <row r="271">
          <cell r="O271">
            <v>0</v>
          </cell>
        </row>
        <row r="272">
          <cell r="O272">
            <v>0</v>
          </cell>
        </row>
        <row r="273">
          <cell r="O273">
            <v>0</v>
          </cell>
        </row>
        <row r="274">
          <cell r="O274">
            <v>0</v>
          </cell>
        </row>
        <row r="275">
          <cell r="O275">
            <v>0</v>
          </cell>
        </row>
        <row r="276">
          <cell r="O276">
            <v>2064.9499999999998</v>
          </cell>
        </row>
        <row r="277">
          <cell r="O277">
            <v>0</v>
          </cell>
        </row>
        <row r="278">
          <cell r="O278">
            <v>0</v>
          </cell>
        </row>
        <row r="279">
          <cell r="O279">
            <v>0</v>
          </cell>
        </row>
        <row r="280">
          <cell r="O280">
            <v>0</v>
          </cell>
        </row>
        <row r="281">
          <cell r="O281">
            <v>2064.9499999999998</v>
          </cell>
        </row>
        <row r="282">
          <cell r="O282">
            <v>0</v>
          </cell>
        </row>
        <row r="283">
          <cell r="O283">
            <v>0</v>
          </cell>
        </row>
        <row r="284">
          <cell r="O284">
            <v>0</v>
          </cell>
        </row>
        <row r="285">
          <cell r="O285">
            <v>0</v>
          </cell>
        </row>
        <row r="286">
          <cell r="O286">
            <v>0</v>
          </cell>
        </row>
        <row r="287">
          <cell r="O287">
            <v>0</v>
          </cell>
        </row>
        <row r="288">
          <cell r="O288">
            <v>0</v>
          </cell>
        </row>
        <row r="289">
          <cell r="O289">
            <v>0</v>
          </cell>
        </row>
        <row r="290">
          <cell r="O290">
            <v>0</v>
          </cell>
        </row>
        <row r="291">
          <cell r="O291">
            <v>0</v>
          </cell>
        </row>
        <row r="292">
          <cell r="O292">
            <v>0</v>
          </cell>
        </row>
        <row r="293">
          <cell r="O293">
            <v>0</v>
          </cell>
        </row>
        <row r="294">
          <cell r="O294">
            <v>0</v>
          </cell>
        </row>
        <row r="295">
          <cell r="O295">
            <v>0</v>
          </cell>
        </row>
        <row r="296">
          <cell r="O296">
            <v>0</v>
          </cell>
        </row>
        <row r="297">
          <cell r="O297">
            <v>0</v>
          </cell>
        </row>
        <row r="298">
          <cell r="O298">
            <v>0</v>
          </cell>
        </row>
        <row r="299">
          <cell r="O299">
            <v>0</v>
          </cell>
        </row>
        <row r="300">
          <cell r="O300">
            <v>0</v>
          </cell>
        </row>
        <row r="301">
          <cell r="O301">
            <v>0</v>
          </cell>
        </row>
        <row r="302">
          <cell r="O302">
            <v>0</v>
          </cell>
        </row>
        <row r="303">
          <cell r="O303">
            <v>0</v>
          </cell>
        </row>
        <row r="304">
          <cell r="O304">
            <v>0</v>
          </cell>
        </row>
        <row r="305">
          <cell r="O305">
            <v>0</v>
          </cell>
        </row>
        <row r="306">
          <cell r="O306">
            <v>1000</v>
          </cell>
        </row>
        <row r="307">
          <cell r="O307">
            <v>1000</v>
          </cell>
        </row>
        <row r="308">
          <cell r="O308">
            <v>0</v>
          </cell>
        </row>
        <row r="309">
          <cell r="O309">
            <v>0</v>
          </cell>
        </row>
        <row r="310">
          <cell r="O310">
            <v>0</v>
          </cell>
        </row>
        <row r="311">
          <cell r="O311">
            <v>0</v>
          </cell>
        </row>
        <row r="312">
          <cell r="O312">
            <v>0</v>
          </cell>
        </row>
        <row r="313">
          <cell r="O313">
            <v>0</v>
          </cell>
        </row>
        <row r="314">
          <cell r="O314">
            <v>0</v>
          </cell>
        </row>
        <row r="315">
          <cell r="O315">
            <v>0</v>
          </cell>
        </row>
        <row r="316">
          <cell r="O316">
            <v>0</v>
          </cell>
        </row>
        <row r="317">
          <cell r="O317">
            <v>0</v>
          </cell>
        </row>
        <row r="318">
          <cell r="O318">
            <v>0</v>
          </cell>
        </row>
        <row r="319">
          <cell r="O319">
            <v>0</v>
          </cell>
        </row>
        <row r="320">
          <cell r="O320">
            <v>0</v>
          </cell>
        </row>
        <row r="321">
          <cell r="O321">
            <v>0</v>
          </cell>
        </row>
        <row r="322">
          <cell r="O322">
            <v>0</v>
          </cell>
        </row>
        <row r="323">
          <cell r="O323">
            <v>0</v>
          </cell>
        </row>
        <row r="324">
          <cell r="O324">
            <v>0</v>
          </cell>
        </row>
        <row r="325">
          <cell r="O325">
            <v>0</v>
          </cell>
        </row>
        <row r="326">
          <cell r="O326">
            <v>0</v>
          </cell>
        </row>
        <row r="327">
          <cell r="O327">
            <v>0</v>
          </cell>
        </row>
        <row r="328">
          <cell r="O328">
            <v>0</v>
          </cell>
        </row>
        <row r="329">
          <cell r="O329">
            <v>0</v>
          </cell>
        </row>
        <row r="330">
          <cell r="O330">
            <v>0</v>
          </cell>
        </row>
        <row r="331">
          <cell r="O331">
            <v>0</v>
          </cell>
        </row>
        <row r="332">
          <cell r="O332">
            <v>0</v>
          </cell>
        </row>
        <row r="333">
          <cell r="O333">
            <v>0</v>
          </cell>
        </row>
        <row r="334">
          <cell r="O334">
            <v>0</v>
          </cell>
        </row>
        <row r="335">
          <cell r="O335">
            <v>0</v>
          </cell>
        </row>
        <row r="336">
          <cell r="O336">
            <v>0</v>
          </cell>
        </row>
        <row r="337">
          <cell r="O337">
            <v>0</v>
          </cell>
        </row>
        <row r="338">
          <cell r="O338">
            <v>0</v>
          </cell>
        </row>
        <row r="339">
          <cell r="O339">
            <v>0</v>
          </cell>
        </row>
        <row r="340">
          <cell r="O340">
            <v>0</v>
          </cell>
        </row>
        <row r="341">
          <cell r="O341">
            <v>0</v>
          </cell>
        </row>
        <row r="342">
          <cell r="O342">
            <v>0</v>
          </cell>
        </row>
        <row r="343">
          <cell r="O343">
            <v>0</v>
          </cell>
        </row>
        <row r="344">
          <cell r="O344">
            <v>0</v>
          </cell>
        </row>
        <row r="345">
          <cell r="O345">
            <v>0</v>
          </cell>
        </row>
        <row r="346">
          <cell r="O346">
            <v>0</v>
          </cell>
        </row>
        <row r="347">
          <cell r="O347">
            <v>0</v>
          </cell>
        </row>
        <row r="348">
          <cell r="O348">
            <v>0</v>
          </cell>
        </row>
        <row r="349">
          <cell r="O349">
            <v>0</v>
          </cell>
        </row>
        <row r="350">
          <cell r="O350">
            <v>0</v>
          </cell>
        </row>
        <row r="351">
          <cell r="O351">
            <v>0</v>
          </cell>
        </row>
        <row r="352">
          <cell r="O352">
            <v>0</v>
          </cell>
        </row>
        <row r="353">
          <cell r="O353">
            <v>0</v>
          </cell>
        </row>
        <row r="354">
          <cell r="O354">
            <v>0</v>
          </cell>
        </row>
        <row r="355">
          <cell r="O355">
            <v>0</v>
          </cell>
        </row>
        <row r="356">
          <cell r="O356">
            <v>0</v>
          </cell>
        </row>
        <row r="357">
          <cell r="O357">
            <v>0</v>
          </cell>
        </row>
        <row r="358">
          <cell r="O358">
            <v>6550.34</v>
          </cell>
        </row>
      </sheetData>
      <sheetData sheetId="2">
        <row r="358">
          <cell r="O358">
            <v>15347</v>
          </cell>
        </row>
      </sheetData>
      <sheetData sheetId="3" refreshError="1"/>
      <sheetData sheetId="4">
        <row r="1">
          <cell r="A1" t="str">
            <v>CC25436</v>
          </cell>
        </row>
        <row r="2">
          <cell r="A2" t="str">
            <v>PTOTAL</v>
          </cell>
        </row>
        <row r="3">
          <cell r="A3" t="str">
            <v>CCAD</v>
          </cell>
        </row>
        <row r="4">
          <cell r="A4" t="str">
            <v>OTHTOTAL</v>
          </cell>
        </row>
        <row r="5">
          <cell r="A5" t="str">
            <v>DIM6SET</v>
          </cell>
        </row>
        <row r="6">
          <cell r="E6" t="str">
            <v>FORECAST</v>
          </cell>
          <cell r="F6" t="str">
            <v>BUDGET</v>
          </cell>
        </row>
        <row r="7">
          <cell r="E7">
            <v>2015</v>
          </cell>
          <cell r="F7">
            <v>2016</v>
          </cell>
        </row>
        <row r="9">
          <cell r="A9" t="str">
            <v>A60001</v>
          </cell>
        </row>
        <row r="10">
          <cell r="A10" t="str">
            <v>P6000</v>
          </cell>
        </row>
        <row r="11">
          <cell r="A11" t="str">
            <v>A60201</v>
          </cell>
        </row>
        <row r="12">
          <cell r="A12" t="str">
            <v>A60202</v>
          </cell>
        </row>
        <row r="13">
          <cell r="A13" t="str">
            <v>A60205</v>
          </cell>
        </row>
        <row r="14">
          <cell r="A14" t="str">
            <v>A60207</v>
          </cell>
        </row>
        <row r="15">
          <cell r="A15" t="str">
            <v>A60211</v>
          </cell>
        </row>
        <row r="16">
          <cell r="A16" t="str">
            <v>A60212</v>
          </cell>
        </row>
        <row r="17">
          <cell r="A17" t="str">
            <v>A60213</v>
          </cell>
        </row>
        <row r="18">
          <cell r="A18" t="str">
            <v>A60215</v>
          </cell>
        </row>
        <row r="19">
          <cell r="A19" t="str">
            <v>A60219</v>
          </cell>
        </row>
        <row r="20">
          <cell r="A20" t="str">
            <v>A60221</v>
          </cell>
        </row>
        <row r="21">
          <cell r="A21" t="str">
            <v>A60225</v>
          </cell>
        </row>
        <row r="22">
          <cell r="A22" t="str">
            <v>A60227</v>
          </cell>
        </row>
        <row r="23">
          <cell r="A23" t="str">
            <v>A60228</v>
          </cell>
        </row>
        <row r="24">
          <cell r="A24" t="str">
            <v>A60230</v>
          </cell>
        </row>
        <row r="25">
          <cell r="A25" t="str">
            <v>A60231</v>
          </cell>
        </row>
        <row r="26">
          <cell r="A26" t="str">
            <v>A60237</v>
          </cell>
        </row>
        <row r="27">
          <cell r="A27" t="str">
            <v>A60239</v>
          </cell>
        </row>
        <row r="28">
          <cell r="A28" t="str">
            <v>A60243</v>
          </cell>
        </row>
        <row r="29">
          <cell r="A29" t="str">
            <v>A60255</v>
          </cell>
        </row>
        <row r="30">
          <cell r="A30" t="str">
            <v>A60257</v>
          </cell>
        </row>
        <row r="31">
          <cell r="A31" t="str">
            <v>A60261</v>
          </cell>
        </row>
        <row r="32">
          <cell r="A32" t="str">
            <v>A60265</v>
          </cell>
        </row>
        <row r="33">
          <cell r="A33" t="str">
            <v>A60271</v>
          </cell>
        </row>
        <row r="34">
          <cell r="A34" t="str">
            <v>A60269</v>
          </cell>
        </row>
        <row r="35">
          <cell r="A35" t="str">
            <v>A60299</v>
          </cell>
        </row>
        <row r="36">
          <cell r="A36" t="str">
            <v>A60229</v>
          </cell>
        </row>
        <row r="37">
          <cell r="A37" t="str">
            <v>A60223</v>
          </cell>
        </row>
        <row r="38">
          <cell r="A38" t="str">
            <v>A60209</v>
          </cell>
        </row>
        <row r="39">
          <cell r="A39" t="str">
            <v>A60273</v>
          </cell>
        </row>
        <row r="40">
          <cell r="A40" t="str">
            <v>A60274</v>
          </cell>
        </row>
        <row r="41">
          <cell r="A41" t="str">
            <v>P6020</v>
          </cell>
          <cell r="E41">
            <v>0</v>
          </cell>
          <cell r="F41">
            <v>0</v>
          </cell>
        </row>
        <row r="42">
          <cell r="A42" t="str">
            <v>A60101</v>
          </cell>
        </row>
        <row r="43">
          <cell r="A43" t="str">
            <v>A60103</v>
          </cell>
        </row>
        <row r="44">
          <cell r="A44" t="str">
            <v>A60105</v>
          </cell>
        </row>
        <row r="45">
          <cell r="A45" t="str">
            <v>A60107</v>
          </cell>
        </row>
        <row r="46">
          <cell r="A46" t="str">
            <v>A60109</v>
          </cell>
        </row>
        <row r="47">
          <cell r="A47" t="str">
            <v>A60113</v>
          </cell>
        </row>
        <row r="48">
          <cell r="A48" t="str">
            <v>A60117</v>
          </cell>
        </row>
        <row r="49">
          <cell r="A49" t="str">
            <v>A60119</v>
          </cell>
        </row>
        <row r="50">
          <cell r="A50" t="str">
            <v>A60121</v>
          </cell>
        </row>
        <row r="51">
          <cell r="A51" t="str">
            <v>A60123</v>
          </cell>
        </row>
        <row r="52">
          <cell r="A52" t="str">
            <v>A60127</v>
          </cell>
        </row>
        <row r="53">
          <cell r="A53" t="str">
            <v>A60129</v>
          </cell>
        </row>
        <row r="54">
          <cell r="A54" t="str">
            <v>A60131</v>
          </cell>
        </row>
        <row r="55">
          <cell r="A55" t="str">
            <v>A60133</v>
          </cell>
        </row>
        <row r="56">
          <cell r="A56" t="str">
            <v>A60135</v>
          </cell>
        </row>
        <row r="57">
          <cell r="A57" t="str">
            <v>A60137</v>
          </cell>
        </row>
        <row r="58">
          <cell r="A58" t="str">
            <v>A60139</v>
          </cell>
        </row>
        <row r="59">
          <cell r="A59" t="str">
            <v>A60145</v>
          </cell>
        </row>
        <row r="60">
          <cell r="A60" t="str">
            <v>A60138</v>
          </cell>
        </row>
        <row r="61">
          <cell r="A61" t="str">
            <v>A60146</v>
          </cell>
        </row>
        <row r="62">
          <cell r="A62" t="str">
            <v>A60147</v>
          </cell>
        </row>
        <row r="63">
          <cell r="A63" t="str">
            <v>A60148</v>
          </cell>
        </row>
        <row r="64">
          <cell r="A64" t="str">
            <v>A60115</v>
          </cell>
        </row>
        <row r="65">
          <cell r="A65" t="str">
            <v>A60141</v>
          </cell>
        </row>
        <row r="66">
          <cell r="A66" t="str">
            <v>P6010</v>
          </cell>
          <cell r="E66">
            <v>0</v>
          </cell>
          <cell r="F66">
            <v>0</v>
          </cell>
        </row>
        <row r="67">
          <cell r="A67" t="str">
            <v>A60301</v>
          </cell>
        </row>
        <row r="68">
          <cell r="A68" t="str">
            <v>A60303</v>
          </cell>
        </row>
        <row r="69">
          <cell r="A69" t="str">
            <v>A60305</v>
          </cell>
        </row>
        <row r="70">
          <cell r="A70" t="str">
            <v>A60307</v>
          </cell>
        </row>
        <row r="71">
          <cell r="A71" t="str">
            <v>A60308</v>
          </cell>
        </row>
        <row r="72">
          <cell r="A72" t="str">
            <v>A60309</v>
          </cell>
        </row>
        <row r="73">
          <cell r="A73" t="str">
            <v>A60310</v>
          </cell>
        </row>
        <row r="74">
          <cell r="A74" t="str">
            <v>A60311</v>
          </cell>
        </row>
        <row r="75">
          <cell r="A75" t="str">
            <v>A60313</v>
          </cell>
        </row>
        <row r="76">
          <cell r="A76" t="str">
            <v>A60315</v>
          </cell>
        </row>
        <row r="77">
          <cell r="A77" t="str">
            <v>A60317</v>
          </cell>
        </row>
        <row r="78">
          <cell r="A78" t="str">
            <v>A60319</v>
          </cell>
        </row>
        <row r="79">
          <cell r="A79" t="str">
            <v>P6030</v>
          </cell>
          <cell r="E79">
            <v>0</v>
          </cell>
          <cell r="F79">
            <v>0</v>
          </cell>
        </row>
        <row r="80">
          <cell r="A80" t="str">
            <v>A60401</v>
          </cell>
        </row>
        <row r="81">
          <cell r="A81" t="str">
            <v>A60403</v>
          </cell>
        </row>
        <row r="82">
          <cell r="A82" t="str">
            <v>A60405</v>
          </cell>
        </row>
        <row r="83">
          <cell r="A83" t="str">
            <v>A60407</v>
          </cell>
        </row>
        <row r="84">
          <cell r="A84" t="str">
            <v>A60409</v>
          </cell>
        </row>
        <row r="85">
          <cell r="A85" t="str">
            <v>A60411</v>
          </cell>
        </row>
        <row r="86">
          <cell r="A86" t="str">
            <v>A60415</v>
          </cell>
        </row>
        <row r="87">
          <cell r="A87" t="str">
            <v>A60406</v>
          </cell>
        </row>
        <row r="88">
          <cell r="A88" t="str">
            <v>A60412</v>
          </cell>
        </row>
        <row r="89">
          <cell r="A89" t="str">
            <v>P6040</v>
          </cell>
          <cell r="E89">
            <v>0</v>
          </cell>
          <cell r="F89">
            <v>0</v>
          </cell>
        </row>
        <row r="90">
          <cell r="A90" t="str">
            <v>A60501</v>
          </cell>
        </row>
        <row r="91">
          <cell r="A91" t="str">
            <v>A60503</v>
          </cell>
        </row>
        <row r="92">
          <cell r="A92" t="str">
            <v>A60505</v>
          </cell>
        </row>
        <row r="93">
          <cell r="A93" t="str">
            <v>A60507</v>
          </cell>
        </row>
        <row r="94">
          <cell r="A94" t="str">
            <v>A60509</v>
          </cell>
        </row>
        <row r="95">
          <cell r="A95" t="str">
            <v>A60511</v>
          </cell>
        </row>
        <row r="96">
          <cell r="A96" t="str">
            <v>A60513</v>
          </cell>
        </row>
        <row r="97">
          <cell r="A97" t="str">
            <v>P6050</v>
          </cell>
          <cell r="E97">
            <v>0</v>
          </cell>
          <cell r="F97">
            <v>0</v>
          </cell>
        </row>
        <row r="98">
          <cell r="A98" t="str">
            <v>A61001</v>
          </cell>
        </row>
        <row r="99">
          <cell r="A99" t="str">
            <v>A61003</v>
          </cell>
        </row>
        <row r="100">
          <cell r="A100" t="str">
            <v>A61005</v>
          </cell>
        </row>
        <row r="101">
          <cell r="A101" t="str">
            <v>A61007</v>
          </cell>
        </row>
        <row r="102">
          <cell r="A102" t="str">
            <v>A61009</v>
          </cell>
        </row>
        <row r="103">
          <cell r="A103" t="str">
            <v>A61011</v>
          </cell>
        </row>
        <row r="104">
          <cell r="A104" t="str">
            <v>A61021</v>
          </cell>
        </row>
        <row r="105">
          <cell r="A105" t="str">
            <v>P6100</v>
          </cell>
          <cell r="E105">
            <v>0</v>
          </cell>
          <cell r="F105">
            <v>0</v>
          </cell>
        </row>
        <row r="106">
          <cell r="A106" t="str">
            <v>A61101</v>
          </cell>
        </row>
        <row r="107">
          <cell r="A107" t="str">
            <v>A61103</v>
          </cell>
        </row>
        <row r="108">
          <cell r="A108" t="str">
            <v>A61105</v>
          </cell>
        </row>
        <row r="109">
          <cell r="A109" t="str">
            <v>A61107</v>
          </cell>
        </row>
        <row r="110">
          <cell r="A110" t="str">
            <v>A61109</v>
          </cell>
        </row>
        <row r="111">
          <cell r="A111" t="str">
            <v>A61111</v>
          </cell>
        </row>
        <row r="112">
          <cell r="A112" t="str">
            <v>A61113</v>
          </cell>
        </row>
        <row r="113">
          <cell r="A113" t="str">
            <v>A61115</v>
          </cell>
        </row>
        <row r="114">
          <cell r="A114" t="str">
            <v>A61116</v>
          </cell>
        </row>
        <row r="115">
          <cell r="A115" t="str">
            <v>A61117</v>
          </cell>
        </row>
        <row r="116">
          <cell r="A116" t="str">
            <v>A61119</v>
          </cell>
        </row>
        <row r="117">
          <cell r="A117" t="str">
            <v>P6110</v>
          </cell>
          <cell r="E117">
            <v>0</v>
          </cell>
          <cell r="F117">
            <v>0</v>
          </cell>
        </row>
        <row r="118">
          <cell r="A118" t="str">
            <v>A61201</v>
          </cell>
        </row>
        <row r="119">
          <cell r="A119" t="str">
            <v>A61299</v>
          </cell>
        </row>
        <row r="120">
          <cell r="A120" t="str">
            <v>P6120</v>
          </cell>
          <cell r="E120">
            <v>0</v>
          </cell>
          <cell r="F120">
            <v>0</v>
          </cell>
        </row>
        <row r="121">
          <cell r="A121" t="str">
            <v>A61501</v>
          </cell>
        </row>
        <row r="122">
          <cell r="A122" t="str">
            <v>A61503</v>
          </cell>
        </row>
        <row r="123">
          <cell r="A123" t="str">
            <v>A61505</v>
          </cell>
        </row>
        <row r="124">
          <cell r="A124" t="str">
            <v>A61507</v>
          </cell>
        </row>
        <row r="125">
          <cell r="A125" t="str">
            <v>A61509</v>
          </cell>
        </row>
        <row r="126">
          <cell r="A126" t="str">
            <v>A61511</v>
          </cell>
        </row>
        <row r="127">
          <cell r="A127" t="str">
            <v>A61512</v>
          </cell>
        </row>
        <row r="128">
          <cell r="A128" t="str">
            <v>A61513</v>
          </cell>
        </row>
        <row r="129">
          <cell r="A129" t="str">
            <v>P6150</v>
          </cell>
          <cell r="E129">
            <v>0</v>
          </cell>
          <cell r="F129">
            <v>0</v>
          </cell>
        </row>
        <row r="130">
          <cell r="A130" t="str">
            <v>A61601</v>
          </cell>
        </row>
        <row r="131">
          <cell r="A131" t="str">
            <v>A61603</v>
          </cell>
        </row>
        <row r="132">
          <cell r="A132" t="str">
            <v>A61605</v>
          </cell>
        </row>
        <row r="133">
          <cell r="A133" t="str">
            <v>A61607</v>
          </cell>
        </row>
        <row r="134">
          <cell r="A134" t="str">
            <v>A61609</v>
          </cell>
        </row>
        <row r="135">
          <cell r="A135" t="str">
            <v>A61611</v>
          </cell>
        </row>
        <row r="136">
          <cell r="A136" t="str">
            <v>A61606</v>
          </cell>
        </row>
        <row r="137">
          <cell r="A137" t="str">
            <v>P6160</v>
          </cell>
          <cell r="E137">
            <v>0</v>
          </cell>
          <cell r="F137">
            <v>0</v>
          </cell>
        </row>
        <row r="138">
          <cell r="A138" t="str">
            <v>A61551</v>
          </cell>
        </row>
        <row r="139">
          <cell r="A139" t="str">
            <v>A61553</v>
          </cell>
        </row>
        <row r="140">
          <cell r="A140" t="str">
            <v>A61555</v>
          </cell>
        </row>
        <row r="141">
          <cell r="A141" t="str">
            <v>A61557</v>
          </cell>
        </row>
        <row r="142">
          <cell r="A142" t="str">
            <v>A61559</v>
          </cell>
        </row>
        <row r="143">
          <cell r="A143" t="str">
            <v>A61561</v>
          </cell>
        </row>
        <row r="144">
          <cell r="A144" t="str">
            <v>A61563</v>
          </cell>
        </row>
        <row r="145">
          <cell r="A145" t="str">
            <v>P6155</v>
          </cell>
          <cell r="E145">
            <v>0</v>
          </cell>
          <cell r="F145">
            <v>0</v>
          </cell>
        </row>
        <row r="146">
          <cell r="A146" t="str">
            <v>A61701</v>
          </cell>
        </row>
        <row r="147">
          <cell r="A147" t="str">
            <v>A61703</v>
          </cell>
        </row>
        <row r="148">
          <cell r="A148" t="str">
            <v>A61705</v>
          </cell>
        </row>
        <row r="149">
          <cell r="A149" t="str">
            <v>A61706</v>
          </cell>
        </row>
        <row r="150">
          <cell r="A150" t="str">
            <v>A61707</v>
          </cell>
        </row>
        <row r="151">
          <cell r="A151" t="str">
            <v>A61709</v>
          </cell>
        </row>
        <row r="152">
          <cell r="A152" t="str">
            <v>A61711</v>
          </cell>
        </row>
        <row r="153">
          <cell r="A153" t="str">
            <v>A61713</v>
          </cell>
        </row>
        <row r="154">
          <cell r="A154" t="str">
            <v>A61715</v>
          </cell>
        </row>
        <row r="155">
          <cell r="A155" t="str">
            <v>A61717</v>
          </cell>
        </row>
        <row r="156">
          <cell r="A156" t="str">
            <v>A61719</v>
          </cell>
        </row>
        <row r="157">
          <cell r="A157" t="str">
            <v>A61721</v>
          </cell>
        </row>
        <row r="158">
          <cell r="A158" t="str">
            <v>A61723</v>
          </cell>
        </row>
        <row r="159">
          <cell r="A159" t="str">
            <v>P6170</v>
          </cell>
          <cell r="E159">
            <v>0</v>
          </cell>
          <cell r="F159">
            <v>0</v>
          </cell>
        </row>
        <row r="160">
          <cell r="A160" t="str">
            <v>A61803</v>
          </cell>
        </row>
        <row r="161">
          <cell r="A161" t="str">
            <v>A61805</v>
          </cell>
        </row>
        <row r="162">
          <cell r="A162" t="str">
            <v>A61809</v>
          </cell>
        </row>
        <row r="163">
          <cell r="A163" t="str">
            <v>P6180</v>
          </cell>
          <cell r="E163">
            <v>0</v>
          </cell>
          <cell r="F163">
            <v>0</v>
          </cell>
        </row>
        <row r="164">
          <cell r="A164" t="str">
            <v>A61901</v>
          </cell>
        </row>
        <row r="165">
          <cell r="A165" t="str">
            <v>A61902</v>
          </cell>
        </row>
        <row r="166">
          <cell r="A166" t="str">
            <v>A61903</v>
          </cell>
        </row>
        <row r="167">
          <cell r="A167" t="str">
            <v>A61905</v>
          </cell>
        </row>
        <row r="168">
          <cell r="A168" t="str">
            <v>A61909</v>
          </cell>
        </row>
        <row r="169">
          <cell r="A169" t="str">
            <v>A61910</v>
          </cell>
        </row>
        <row r="170">
          <cell r="A170" t="str">
            <v>A61911</v>
          </cell>
        </row>
        <row r="171">
          <cell r="A171" t="str">
            <v>A61999</v>
          </cell>
        </row>
        <row r="172">
          <cell r="A172" t="str">
            <v>A61906</v>
          </cell>
        </row>
        <row r="173">
          <cell r="A173" t="str">
            <v>P6190</v>
          </cell>
          <cell r="E173">
            <v>0</v>
          </cell>
          <cell r="F173">
            <v>0</v>
          </cell>
        </row>
        <row r="174">
          <cell r="A174" t="str">
            <v>A62001</v>
          </cell>
        </row>
        <row r="175">
          <cell r="A175" t="str">
            <v>A62002</v>
          </cell>
        </row>
        <row r="176">
          <cell r="A176" t="str">
            <v>A62003</v>
          </cell>
        </row>
        <row r="177">
          <cell r="A177" t="str">
            <v>A62004</v>
          </cell>
        </row>
        <row r="178">
          <cell r="A178" t="str">
            <v>A62005</v>
          </cell>
        </row>
        <row r="179">
          <cell r="A179" t="str">
            <v>A62006</v>
          </cell>
        </row>
        <row r="180">
          <cell r="A180" t="str">
            <v>A62007</v>
          </cell>
        </row>
        <row r="181">
          <cell r="A181" t="str">
            <v>A62008</v>
          </cell>
        </row>
        <row r="182">
          <cell r="A182" t="str">
            <v>A62009</v>
          </cell>
        </row>
        <row r="183">
          <cell r="A183" t="str">
            <v>A62010</v>
          </cell>
        </row>
        <row r="184">
          <cell r="A184" t="str">
            <v>A62012</v>
          </cell>
        </row>
        <row r="185">
          <cell r="A185" t="str">
            <v>A62013</v>
          </cell>
        </row>
        <row r="186">
          <cell r="A186" t="str">
            <v>A62014</v>
          </cell>
        </row>
        <row r="187">
          <cell r="A187" t="str">
            <v>A62015</v>
          </cell>
        </row>
        <row r="188">
          <cell r="A188" t="str">
            <v>A62016</v>
          </cell>
        </row>
        <row r="189">
          <cell r="A189" t="str">
            <v>A62017</v>
          </cell>
        </row>
        <row r="190">
          <cell r="A190" t="str">
            <v>A62018</v>
          </cell>
        </row>
        <row r="191">
          <cell r="A191" t="str">
            <v>A62019</v>
          </cell>
        </row>
        <row r="192">
          <cell r="A192" t="str">
            <v>A62020</v>
          </cell>
        </row>
        <row r="193">
          <cell r="A193" t="str">
            <v>A62021</v>
          </cell>
        </row>
        <row r="194">
          <cell r="A194" t="str">
            <v>A62022</v>
          </cell>
        </row>
        <row r="195">
          <cell r="A195" t="str">
            <v>A62024</v>
          </cell>
        </row>
        <row r="196">
          <cell r="A196" t="str">
            <v>A62025</v>
          </cell>
        </row>
        <row r="197">
          <cell r="A197" t="str">
            <v>A62027</v>
          </cell>
        </row>
        <row r="198">
          <cell r="A198" t="str">
            <v>A62028</v>
          </cell>
        </row>
        <row r="199">
          <cell r="A199" t="str">
            <v>A62029</v>
          </cell>
        </row>
        <row r="200">
          <cell r="A200" t="str">
            <v>A62030</v>
          </cell>
        </row>
        <row r="201">
          <cell r="A201" t="str">
            <v>A62031</v>
          </cell>
        </row>
        <row r="202">
          <cell r="A202" t="str">
            <v>A62032</v>
          </cell>
        </row>
        <row r="203">
          <cell r="A203" t="str">
            <v>A62033</v>
          </cell>
        </row>
        <row r="204">
          <cell r="A204" t="str">
            <v>A62034</v>
          </cell>
        </row>
        <row r="205">
          <cell r="A205" t="str">
            <v>A62035</v>
          </cell>
        </row>
        <row r="206">
          <cell r="A206" t="str">
            <v>A62039</v>
          </cell>
        </row>
        <row r="207">
          <cell r="A207" t="str">
            <v>A62041</v>
          </cell>
        </row>
        <row r="208">
          <cell r="A208" t="str">
            <v>A62042</v>
          </cell>
        </row>
        <row r="209">
          <cell r="A209" t="str">
            <v>A62043</v>
          </cell>
        </row>
        <row r="210">
          <cell r="A210" t="str">
            <v>A62045</v>
          </cell>
        </row>
        <row r="211">
          <cell r="A211" t="str">
            <v>A62046</v>
          </cell>
        </row>
        <row r="212">
          <cell r="A212" t="str">
            <v>A62047</v>
          </cell>
        </row>
        <row r="213">
          <cell r="A213" t="str">
            <v>A62051</v>
          </cell>
        </row>
        <row r="214">
          <cell r="A214" t="str">
            <v>A62052</v>
          </cell>
        </row>
        <row r="215">
          <cell r="A215" t="str">
            <v>A62053</v>
          </cell>
        </row>
        <row r="216">
          <cell r="A216" t="str">
            <v>A62054</v>
          </cell>
        </row>
        <row r="217">
          <cell r="A217" t="str">
            <v>A62055</v>
          </cell>
        </row>
        <row r="218">
          <cell r="A218" t="str">
            <v>A62056</v>
          </cell>
        </row>
        <row r="219">
          <cell r="A219" t="str">
            <v>A62057</v>
          </cell>
        </row>
        <row r="220">
          <cell r="A220" t="str">
            <v>A62058</v>
          </cell>
        </row>
        <row r="221">
          <cell r="A221" t="str">
            <v>A62060</v>
          </cell>
        </row>
        <row r="222">
          <cell r="A222" t="str">
            <v>A62061</v>
          </cell>
        </row>
        <row r="223">
          <cell r="A223" t="str">
            <v>A62062</v>
          </cell>
        </row>
        <row r="224">
          <cell r="A224" t="str">
            <v>A62063</v>
          </cell>
        </row>
        <row r="225">
          <cell r="A225" t="str">
            <v>A62064</v>
          </cell>
        </row>
        <row r="226">
          <cell r="A226" t="str">
            <v>A62071</v>
          </cell>
        </row>
        <row r="227">
          <cell r="A227" t="str">
            <v>A62082</v>
          </cell>
        </row>
        <row r="228">
          <cell r="A228" t="str">
            <v>A62083</v>
          </cell>
        </row>
        <row r="229">
          <cell r="A229" t="str">
            <v>A62037</v>
          </cell>
        </row>
        <row r="230">
          <cell r="A230" t="str">
            <v>A62080</v>
          </cell>
        </row>
        <row r="231">
          <cell r="A231" t="str">
            <v>P6200</v>
          </cell>
          <cell r="E231">
            <v>0</v>
          </cell>
          <cell r="F231">
            <v>0</v>
          </cell>
        </row>
        <row r="232">
          <cell r="A232" t="str">
            <v>A62301</v>
          </cell>
        </row>
        <row r="233">
          <cell r="A233" t="str">
            <v>A62303</v>
          </cell>
        </row>
        <row r="234">
          <cell r="A234" t="str">
            <v>A62305</v>
          </cell>
        </row>
        <row r="235">
          <cell r="A235" t="str">
            <v>A62307</v>
          </cell>
        </row>
        <row r="236">
          <cell r="A236" t="str">
            <v>A62309</v>
          </cell>
        </row>
        <row r="237">
          <cell r="A237" t="str">
            <v>A62311</v>
          </cell>
        </row>
        <row r="238">
          <cell r="A238" t="str">
            <v>A62312</v>
          </cell>
        </row>
        <row r="239">
          <cell r="A239" t="str">
            <v>P6230</v>
          </cell>
          <cell r="E239">
            <v>0</v>
          </cell>
          <cell r="F239">
            <v>0</v>
          </cell>
        </row>
        <row r="240">
          <cell r="A240" t="str">
            <v>A62401</v>
          </cell>
        </row>
        <row r="241">
          <cell r="A241" t="str">
            <v>A62403</v>
          </cell>
        </row>
        <row r="242">
          <cell r="A242" t="str">
            <v>A62405</v>
          </cell>
        </row>
        <row r="243">
          <cell r="A243" t="str">
            <v>A62407</v>
          </cell>
        </row>
        <row r="244">
          <cell r="A244" t="str">
            <v>A62409</v>
          </cell>
        </row>
        <row r="245">
          <cell r="A245" t="str">
            <v>A62411</v>
          </cell>
        </row>
        <row r="246">
          <cell r="A246" t="str">
            <v>A62413</v>
          </cell>
        </row>
        <row r="247">
          <cell r="A247" t="str">
            <v>P6240</v>
          </cell>
          <cell r="E247">
            <v>0</v>
          </cell>
          <cell r="F247">
            <v>0</v>
          </cell>
        </row>
        <row r="248">
          <cell r="A248" t="str">
            <v>A70101</v>
          </cell>
        </row>
        <row r="249">
          <cell r="A249" t="str">
            <v>A70103</v>
          </cell>
        </row>
        <row r="250">
          <cell r="A250" t="str">
            <v>A70105</v>
          </cell>
        </row>
        <row r="251">
          <cell r="A251" t="str">
            <v>P7010</v>
          </cell>
          <cell r="E251">
            <v>0</v>
          </cell>
          <cell r="F251">
            <v>0</v>
          </cell>
        </row>
        <row r="252">
          <cell r="A252" t="str">
            <v>A70001</v>
          </cell>
        </row>
        <row r="253">
          <cell r="A253" t="str">
            <v>A70003</v>
          </cell>
        </row>
        <row r="254">
          <cell r="A254" t="str">
            <v>A70005</v>
          </cell>
        </row>
        <row r="255">
          <cell r="A255" t="str">
            <v>A70007</v>
          </cell>
        </row>
        <row r="256">
          <cell r="A256" t="str">
            <v>A70009</v>
          </cell>
        </row>
        <row r="257">
          <cell r="A257" t="str">
            <v>A70011</v>
          </cell>
        </row>
        <row r="258">
          <cell r="A258" t="str">
            <v>A70013</v>
          </cell>
        </row>
        <row r="259">
          <cell r="A259" t="str">
            <v>A70015</v>
          </cell>
        </row>
        <row r="260">
          <cell r="A260" t="str">
            <v>A70017</v>
          </cell>
        </row>
        <row r="261">
          <cell r="A261" t="str">
            <v>P7000</v>
          </cell>
          <cell r="E261">
            <v>0</v>
          </cell>
          <cell r="F261">
            <v>0</v>
          </cell>
        </row>
        <row r="262">
          <cell r="A262" t="str">
            <v>A70201</v>
          </cell>
        </row>
        <row r="263">
          <cell r="A263" t="str">
            <v>A70203</v>
          </cell>
        </row>
        <row r="264">
          <cell r="A264" t="str">
            <v>A70209</v>
          </cell>
        </row>
        <row r="265">
          <cell r="A265" t="str">
            <v>P7020</v>
          </cell>
          <cell r="E265">
            <v>0</v>
          </cell>
          <cell r="F265">
            <v>0</v>
          </cell>
        </row>
        <row r="266">
          <cell r="A266" t="str">
            <v>A70301</v>
          </cell>
        </row>
        <row r="267">
          <cell r="A267" t="str">
            <v>P7030</v>
          </cell>
          <cell r="E267">
            <v>0</v>
          </cell>
          <cell r="F267">
            <v>0</v>
          </cell>
        </row>
        <row r="268">
          <cell r="A268" t="str">
            <v>A70401</v>
          </cell>
        </row>
        <row r="269">
          <cell r="A269" t="str">
            <v>A70403</v>
          </cell>
        </row>
        <row r="270">
          <cell r="A270" t="str">
            <v>A70405</v>
          </cell>
        </row>
        <row r="271">
          <cell r="A271" t="str">
            <v>A70407</v>
          </cell>
        </row>
        <row r="272">
          <cell r="A272" t="str">
            <v>A70409</v>
          </cell>
        </row>
        <row r="273">
          <cell r="A273" t="str">
            <v>P7040</v>
          </cell>
          <cell r="E273">
            <v>0</v>
          </cell>
          <cell r="F273">
            <v>0</v>
          </cell>
        </row>
        <row r="274">
          <cell r="A274" t="str">
            <v>A70501</v>
          </cell>
        </row>
        <row r="275">
          <cell r="A275" t="str">
            <v>A70503</v>
          </cell>
        </row>
        <row r="276">
          <cell r="A276" t="str">
            <v>A70505</v>
          </cell>
        </row>
        <row r="277">
          <cell r="A277" t="str">
            <v>A70507</v>
          </cell>
        </row>
        <row r="278">
          <cell r="A278" t="str">
            <v>A70509</v>
          </cell>
        </row>
        <row r="279">
          <cell r="A279" t="str">
            <v>A70511</v>
          </cell>
        </row>
        <row r="280">
          <cell r="A280" t="str">
            <v>A70506</v>
          </cell>
        </row>
        <row r="281">
          <cell r="A281" t="str">
            <v>A70510</v>
          </cell>
        </row>
        <row r="282">
          <cell r="A282" t="str">
            <v>P7050</v>
          </cell>
          <cell r="E282">
            <v>0</v>
          </cell>
          <cell r="F282">
            <v>0</v>
          </cell>
        </row>
        <row r="283">
          <cell r="A283" t="str">
            <v>A70651</v>
          </cell>
        </row>
        <row r="284">
          <cell r="A284" t="str">
            <v>A70653</v>
          </cell>
        </row>
        <row r="285">
          <cell r="A285" t="str">
            <v>A70655</v>
          </cell>
        </row>
        <row r="286">
          <cell r="A286" t="str">
            <v>A70657</v>
          </cell>
        </row>
        <row r="287">
          <cell r="A287" t="str">
            <v>P7065</v>
          </cell>
          <cell r="E287">
            <v>0</v>
          </cell>
          <cell r="F287">
            <v>0</v>
          </cell>
        </row>
        <row r="288">
          <cell r="A288" t="str">
            <v>A70601</v>
          </cell>
        </row>
        <row r="289">
          <cell r="A289" t="str">
            <v>A70603</v>
          </cell>
        </row>
        <row r="290">
          <cell r="A290" t="str">
            <v>A70605</v>
          </cell>
        </row>
        <row r="291">
          <cell r="A291" t="str">
            <v>A70607</v>
          </cell>
        </row>
        <row r="292">
          <cell r="A292" t="str">
            <v>P7060</v>
          </cell>
          <cell r="E292">
            <v>0</v>
          </cell>
          <cell r="F292">
            <v>0</v>
          </cell>
        </row>
        <row r="293">
          <cell r="A293" t="str">
            <v>A70701</v>
          </cell>
        </row>
        <row r="294">
          <cell r="A294" t="str">
            <v>A70703</v>
          </cell>
        </row>
        <row r="295">
          <cell r="A295" t="str">
            <v>A70705</v>
          </cell>
        </row>
        <row r="296">
          <cell r="A296" t="str">
            <v>A70707</v>
          </cell>
        </row>
        <row r="297">
          <cell r="A297" t="str">
            <v>A70709</v>
          </cell>
        </row>
        <row r="298">
          <cell r="A298" t="str">
            <v>A70711</v>
          </cell>
        </row>
        <row r="299">
          <cell r="A299" t="str">
            <v>P7070</v>
          </cell>
          <cell r="E299">
            <v>0</v>
          </cell>
          <cell r="F299">
            <v>0</v>
          </cell>
        </row>
        <row r="300">
          <cell r="A300" t="str">
            <v>A70899</v>
          </cell>
        </row>
        <row r="301">
          <cell r="A301" t="str">
            <v>P7089</v>
          </cell>
          <cell r="E301">
            <v>0</v>
          </cell>
          <cell r="F301">
            <v>0</v>
          </cell>
        </row>
        <row r="302">
          <cell r="A302" t="str">
            <v>A70801</v>
          </cell>
        </row>
        <row r="303">
          <cell r="A303" t="str">
            <v>A70803</v>
          </cell>
        </row>
        <row r="304">
          <cell r="A304" t="str">
            <v>A70805</v>
          </cell>
        </row>
        <row r="305">
          <cell r="A305" t="str">
            <v>A70807</v>
          </cell>
        </row>
        <row r="306">
          <cell r="A306" t="str">
            <v>A70809</v>
          </cell>
        </row>
        <row r="307">
          <cell r="A307" t="str">
            <v>A70811</v>
          </cell>
        </row>
        <row r="308">
          <cell r="A308" t="str">
            <v>P7080</v>
          </cell>
          <cell r="E308">
            <v>0</v>
          </cell>
          <cell r="F308">
            <v>0</v>
          </cell>
        </row>
        <row r="309">
          <cell r="A309" t="str">
            <v>A70951</v>
          </cell>
        </row>
        <row r="310">
          <cell r="A310" t="str">
            <v>A70953</v>
          </cell>
        </row>
        <row r="311">
          <cell r="A311" t="str">
            <v>A70955</v>
          </cell>
        </row>
        <row r="312">
          <cell r="A312" t="str">
            <v>A70957</v>
          </cell>
        </row>
        <row r="313">
          <cell r="A313" t="str">
            <v>A70961</v>
          </cell>
        </row>
        <row r="314">
          <cell r="A314" t="str">
            <v>A70963</v>
          </cell>
        </row>
        <row r="315">
          <cell r="A315" t="str">
            <v>A70965</v>
          </cell>
        </row>
        <row r="316">
          <cell r="A316" t="str">
            <v>A70967</v>
          </cell>
        </row>
        <row r="317">
          <cell r="A317" t="str">
            <v>A70971</v>
          </cell>
        </row>
        <row r="318">
          <cell r="A318" t="str">
            <v>A70977</v>
          </cell>
        </row>
        <row r="319">
          <cell r="A319" t="str">
            <v>A70981</v>
          </cell>
        </row>
        <row r="320">
          <cell r="A320" t="str">
            <v>A70973</v>
          </cell>
        </row>
        <row r="321">
          <cell r="A321" t="str">
            <v>A70917</v>
          </cell>
        </row>
        <row r="322">
          <cell r="A322" t="str">
            <v>P7095</v>
          </cell>
          <cell r="E322">
            <v>0</v>
          </cell>
          <cell r="F322">
            <v>0</v>
          </cell>
        </row>
        <row r="323">
          <cell r="A323" t="str">
            <v>A70905</v>
          </cell>
        </row>
        <row r="324">
          <cell r="A324" t="str">
            <v>A70911</v>
          </cell>
        </row>
        <row r="325">
          <cell r="A325" t="str">
            <v>A70909</v>
          </cell>
        </row>
        <row r="326">
          <cell r="A326" t="str">
            <v>P7090</v>
          </cell>
          <cell r="E326">
            <v>0</v>
          </cell>
          <cell r="F326">
            <v>0</v>
          </cell>
        </row>
        <row r="327">
          <cell r="A327" t="str">
            <v>A71001</v>
          </cell>
        </row>
        <row r="328">
          <cell r="A328" t="str">
            <v>A71003</v>
          </cell>
        </row>
        <row r="329">
          <cell r="A329" t="str">
            <v>P7100</v>
          </cell>
          <cell r="E329">
            <v>0</v>
          </cell>
          <cell r="F329">
            <v>0</v>
          </cell>
        </row>
        <row r="330">
          <cell r="A330" t="str">
            <v>A71101</v>
          </cell>
        </row>
        <row r="331">
          <cell r="A331" t="str">
            <v>A71103</v>
          </cell>
        </row>
        <row r="332">
          <cell r="A332" t="str">
            <v>A71105</v>
          </cell>
        </row>
        <row r="333">
          <cell r="A333" t="str">
            <v>A71109</v>
          </cell>
        </row>
        <row r="334">
          <cell r="A334" t="str">
            <v>A71111</v>
          </cell>
        </row>
        <row r="335">
          <cell r="A335" t="str">
            <v>A71117</v>
          </cell>
        </row>
        <row r="336">
          <cell r="A336" t="str">
            <v>A71119</v>
          </cell>
        </row>
        <row r="337">
          <cell r="A337" t="str">
            <v>P7110</v>
          </cell>
          <cell r="E337">
            <v>0</v>
          </cell>
          <cell r="F337">
            <v>0</v>
          </cell>
        </row>
        <row r="338">
          <cell r="A338" t="str">
            <v>A74001</v>
          </cell>
        </row>
        <row r="339">
          <cell r="A339" t="str">
            <v>A74002</v>
          </cell>
        </row>
        <row r="340">
          <cell r="A340" t="str">
            <v>A74003</v>
          </cell>
        </row>
        <row r="341">
          <cell r="A341" t="str">
            <v>A74004</v>
          </cell>
        </row>
        <row r="342">
          <cell r="A342" t="str">
            <v>A74005</v>
          </cell>
        </row>
        <row r="343">
          <cell r="A343" t="str">
            <v>A74006</v>
          </cell>
        </row>
        <row r="344">
          <cell r="A344" t="str">
            <v>A74007</v>
          </cell>
        </row>
        <row r="345">
          <cell r="A345" t="str">
            <v>P7400</v>
          </cell>
          <cell r="E345">
            <v>0</v>
          </cell>
          <cell r="F345">
            <v>0</v>
          </cell>
        </row>
        <row r="346">
          <cell r="A346" t="str">
            <v>A79951</v>
          </cell>
        </row>
        <row r="347">
          <cell r="A347" t="str">
            <v>A79952</v>
          </cell>
        </row>
        <row r="348">
          <cell r="A348" t="str">
            <v>A79953</v>
          </cell>
        </row>
        <row r="349">
          <cell r="A349" t="str">
            <v>A79954</v>
          </cell>
        </row>
        <row r="350">
          <cell r="A350" t="str">
            <v>A79955</v>
          </cell>
        </row>
        <row r="351">
          <cell r="A351" t="str">
            <v>A79956</v>
          </cell>
        </row>
        <row r="352">
          <cell r="A352" t="str">
            <v>A79957</v>
          </cell>
        </row>
        <row r="353">
          <cell r="A353" t="str">
            <v>A79960</v>
          </cell>
        </row>
        <row r="354">
          <cell r="A354" t="str">
            <v>A79965</v>
          </cell>
        </row>
        <row r="355">
          <cell r="A355" t="str">
            <v>A79966</v>
          </cell>
        </row>
        <row r="356">
          <cell r="A356" t="str">
            <v>A79967</v>
          </cell>
        </row>
        <row r="357">
          <cell r="A357" t="str">
            <v>A79958</v>
          </cell>
        </row>
        <row r="358">
          <cell r="A358" t="str">
            <v>P7995</v>
          </cell>
          <cell r="E358">
            <v>0</v>
          </cell>
          <cell r="F358">
            <v>0</v>
          </cell>
        </row>
        <row r="359">
          <cell r="A359" t="str">
            <v>OAPPP</v>
          </cell>
          <cell r="E359">
            <v>0</v>
          </cell>
          <cell r="F359">
            <v>0</v>
          </cell>
        </row>
        <row r="362">
          <cell r="A362" t="str">
            <v>NOUVEAUX COMPTES</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23.bin"/><Relationship Id="rId4" Type="http://schemas.openxmlformats.org/officeDocument/2006/relationships/comments" Target="../comments6.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T84"/>
  <sheetViews>
    <sheetView tabSelected="1" zoomScaleNormal="100" workbookViewId="0">
      <selection activeCell="B5" sqref="B5"/>
    </sheetView>
  </sheetViews>
  <sheetFormatPr baseColWidth="10" defaultColWidth="9.140625" defaultRowHeight="15.75"/>
  <cols>
    <col min="1" max="1" width="7.7109375" style="17" bestFit="1" customWidth="1"/>
    <col min="2" max="2" width="37.140625" style="17" customWidth="1"/>
    <col min="3" max="3" width="9.140625" style="17"/>
    <col min="4" max="4" width="9.5703125" style="17" hidden="1" customWidth="1"/>
    <col min="5" max="5" width="5.28515625" style="17" hidden="1" customWidth="1"/>
    <col min="6" max="6" width="9.5703125" style="17" hidden="1" customWidth="1"/>
    <col min="7" max="7" width="5.28515625" style="17" hidden="1" customWidth="1"/>
    <col min="8" max="8" width="9.5703125" style="17" hidden="1" customWidth="1"/>
    <col min="9" max="9" width="9.5703125" style="17" customWidth="1"/>
    <col min="10" max="10" width="3.85546875" style="17" customWidth="1"/>
    <col min="11" max="11" width="9.7109375" style="17" hidden="1" customWidth="1"/>
    <col min="12" max="12" width="3.85546875" style="17" hidden="1" customWidth="1"/>
    <col min="13" max="13" width="9.5703125" style="17" customWidth="1"/>
    <col min="14" max="14" width="3.85546875" style="17" customWidth="1"/>
    <col min="15" max="15" width="10.42578125" style="17" hidden="1" customWidth="1"/>
    <col min="16" max="16" width="6.42578125" style="17" hidden="1" customWidth="1"/>
    <col min="17" max="17" width="11" style="17" customWidth="1"/>
    <col min="18" max="18" width="9.140625" style="17"/>
    <col min="19" max="19" width="3.140625" style="17" customWidth="1"/>
    <col min="20" max="20" width="19.42578125" style="17" hidden="1" customWidth="1"/>
    <col min="21" max="16384" width="9.140625" style="17"/>
  </cols>
  <sheetData>
    <row r="1" spans="1:20">
      <c r="A1" s="556" t="s">
        <v>26</v>
      </c>
      <c r="B1" s="556"/>
      <c r="C1" s="556"/>
      <c r="D1" s="556"/>
      <c r="E1" s="556"/>
      <c r="F1" s="556"/>
      <c r="G1" s="556"/>
      <c r="H1" s="556"/>
      <c r="I1" s="556"/>
      <c r="J1" s="556"/>
      <c r="K1" s="556"/>
      <c r="L1" s="556"/>
      <c r="M1" s="556"/>
      <c r="N1" s="556"/>
      <c r="O1" s="556"/>
      <c r="P1" s="556"/>
      <c r="Q1" s="556"/>
      <c r="R1" s="556"/>
    </row>
    <row r="2" spans="1:20">
      <c r="A2" s="556" t="s">
        <v>487</v>
      </c>
      <c r="B2" s="556"/>
      <c r="C2" s="556"/>
      <c r="D2" s="556"/>
      <c r="E2" s="556"/>
      <c r="F2" s="556"/>
      <c r="G2" s="556"/>
      <c r="H2" s="556"/>
      <c r="I2" s="556"/>
      <c r="J2" s="556"/>
      <c r="K2" s="556"/>
      <c r="L2" s="556"/>
      <c r="M2" s="556"/>
      <c r="N2" s="556"/>
      <c r="O2" s="556"/>
      <c r="P2" s="556"/>
      <c r="Q2" s="556"/>
      <c r="R2" s="556"/>
    </row>
    <row r="3" spans="1:20">
      <c r="A3" s="556" t="s">
        <v>111</v>
      </c>
      <c r="B3" s="556"/>
      <c r="C3" s="556"/>
      <c r="D3" s="556"/>
      <c r="E3" s="556"/>
      <c r="F3" s="556"/>
      <c r="G3" s="556"/>
      <c r="H3" s="556"/>
      <c r="I3" s="556"/>
      <c r="J3" s="556"/>
      <c r="K3" s="556"/>
      <c r="L3" s="556"/>
      <c r="M3" s="556"/>
      <c r="N3" s="556"/>
      <c r="O3" s="556"/>
      <c r="P3" s="556"/>
      <c r="Q3" s="556"/>
      <c r="R3" s="556"/>
    </row>
    <row r="4" spans="1:20">
      <c r="A4" s="43"/>
      <c r="B4" s="43"/>
      <c r="C4" s="43"/>
      <c r="D4" s="43"/>
      <c r="E4" s="43"/>
      <c r="F4" s="43"/>
      <c r="G4" s="16"/>
    </row>
    <row r="5" spans="1:20">
      <c r="D5" s="80"/>
      <c r="E5" s="80"/>
      <c r="F5" s="94" t="s">
        <v>152</v>
      </c>
      <c r="G5" s="89"/>
      <c r="H5" s="89"/>
      <c r="I5" s="89"/>
      <c r="J5" s="89"/>
      <c r="K5" s="94" t="s">
        <v>152</v>
      </c>
      <c r="L5" s="80"/>
      <c r="M5" s="80"/>
      <c r="N5" s="80"/>
      <c r="O5" s="80"/>
      <c r="P5" s="80"/>
      <c r="Q5" s="80"/>
      <c r="R5" s="80"/>
      <c r="S5" s="80"/>
      <c r="T5" s="94" t="s">
        <v>152</v>
      </c>
    </row>
    <row r="6" spans="1:20">
      <c r="D6" s="80"/>
      <c r="E6" s="80"/>
      <c r="F6" s="80"/>
      <c r="G6" s="80"/>
      <c r="H6" s="80"/>
      <c r="I6" s="80"/>
      <c r="J6" s="80"/>
      <c r="K6" s="80"/>
      <c r="L6" s="80"/>
      <c r="M6" s="80"/>
      <c r="N6" s="80"/>
      <c r="O6" s="555" t="s">
        <v>36</v>
      </c>
      <c r="P6" s="555"/>
      <c r="Q6" s="555"/>
      <c r="R6" s="555"/>
      <c r="S6" s="80"/>
      <c r="T6" s="95"/>
    </row>
    <row r="7" spans="1:20">
      <c r="D7" s="84" t="s">
        <v>27</v>
      </c>
      <c r="E7" s="82"/>
      <c r="F7" s="81">
        <v>2014</v>
      </c>
      <c r="G7" s="82"/>
      <c r="H7" s="84" t="s">
        <v>402</v>
      </c>
      <c r="I7" s="83" t="s">
        <v>153</v>
      </c>
      <c r="J7" s="82"/>
      <c r="K7" s="81">
        <v>2015</v>
      </c>
      <c r="L7" s="80"/>
      <c r="M7" s="83" t="s">
        <v>153</v>
      </c>
      <c r="N7" s="80"/>
      <c r="O7" s="553" t="s">
        <v>403</v>
      </c>
      <c r="P7" s="553"/>
      <c r="Q7" s="553" t="s">
        <v>156</v>
      </c>
      <c r="R7" s="553"/>
      <c r="S7" s="80"/>
      <c r="T7" s="93" t="s">
        <v>155</v>
      </c>
    </row>
    <row r="8" spans="1:20">
      <c r="D8" s="84">
        <v>2014</v>
      </c>
      <c r="E8" s="82"/>
      <c r="F8" s="84" t="s">
        <v>28</v>
      </c>
      <c r="G8" s="82"/>
      <c r="H8" s="84">
        <v>2015</v>
      </c>
      <c r="I8" s="85">
        <v>2005</v>
      </c>
      <c r="J8" s="82"/>
      <c r="K8" s="84" t="s">
        <v>28</v>
      </c>
      <c r="L8" s="80"/>
      <c r="M8" s="85">
        <v>2016</v>
      </c>
      <c r="N8" s="85"/>
      <c r="O8" s="553" t="s">
        <v>197</v>
      </c>
      <c r="P8" s="553"/>
      <c r="Q8" s="554" t="s">
        <v>489</v>
      </c>
      <c r="R8" s="554"/>
      <c r="S8" s="80"/>
      <c r="T8" s="93" t="s">
        <v>156</v>
      </c>
    </row>
    <row r="9" spans="1:20" ht="16.5" thickBot="1">
      <c r="D9" s="86" t="s">
        <v>31</v>
      </c>
      <c r="E9" s="82"/>
      <c r="F9" s="86" t="s">
        <v>31</v>
      </c>
      <c r="G9" s="82"/>
      <c r="H9" s="86" t="s">
        <v>31</v>
      </c>
      <c r="I9" s="87" t="s">
        <v>31</v>
      </c>
      <c r="J9" s="82"/>
      <c r="K9" s="86" t="s">
        <v>31</v>
      </c>
      <c r="L9" s="80"/>
      <c r="M9" s="87" t="s">
        <v>31</v>
      </c>
      <c r="N9" s="88"/>
      <c r="O9" s="91" t="s">
        <v>31</v>
      </c>
      <c r="P9" s="91" t="s">
        <v>52</v>
      </c>
      <c r="Q9" s="91" t="s">
        <v>31</v>
      </c>
      <c r="R9" s="91" t="s">
        <v>52</v>
      </c>
      <c r="S9" s="80"/>
      <c r="T9" s="91" t="s">
        <v>31</v>
      </c>
    </row>
    <row r="10" spans="1:20">
      <c r="D10" s="89">
        <v>1</v>
      </c>
      <c r="E10" s="89"/>
      <c r="F10" s="89"/>
      <c r="G10" s="89"/>
      <c r="H10" s="89">
        <v>2</v>
      </c>
      <c r="I10" s="105">
        <v>1</v>
      </c>
      <c r="J10" s="89"/>
      <c r="K10" s="89"/>
      <c r="L10" s="89"/>
      <c r="M10" s="89">
        <v>2</v>
      </c>
      <c r="N10" s="90"/>
      <c r="O10" s="90" t="s">
        <v>199</v>
      </c>
      <c r="P10" s="90">
        <v>5</v>
      </c>
      <c r="Q10" s="90" t="s">
        <v>488</v>
      </c>
      <c r="R10" s="90">
        <v>4</v>
      </c>
      <c r="S10" s="80"/>
      <c r="T10" s="96">
        <v>8</v>
      </c>
    </row>
    <row r="12" spans="1:20">
      <c r="A12" s="44"/>
      <c r="B12" s="45" t="s">
        <v>0</v>
      </c>
      <c r="D12" s="20"/>
      <c r="E12" s="20"/>
      <c r="F12" s="20"/>
    </row>
    <row r="13" spans="1:20">
      <c r="A13" s="46">
        <v>1</v>
      </c>
      <c r="B13" s="47" t="s">
        <v>69</v>
      </c>
      <c r="C13" s="454" t="s">
        <v>38</v>
      </c>
      <c r="D13" s="20">
        <f>'GI-28 Doc 2.2'!D12</f>
        <v>981.55255000000011</v>
      </c>
      <c r="E13" s="20"/>
      <c r="F13" s="20">
        <f>'GI-28 Doc 2.2'!F12</f>
        <v>1059.4340800000002</v>
      </c>
      <c r="H13" s="20">
        <f>'GI-28 Doc 2.2'!H12</f>
        <v>1054.7779376999999</v>
      </c>
      <c r="I13" s="20">
        <f>'GI-28 Doc 2.2'!I12</f>
        <v>570.1</v>
      </c>
      <c r="K13" s="20">
        <f>'GI-28 Doc 2.2'!K12</f>
        <v>1098.2763799999998</v>
      </c>
      <c r="M13" s="20">
        <f>'GI-28 Doc 2.2'!M12</f>
        <v>1169.4509021057788</v>
      </c>
      <c r="O13" s="20">
        <f>H13-D13</f>
        <v>73.225387699999828</v>
      </c>
      <c r="P13" s="92">
        <f>IF(D13&gt;0,O13/D13,0)</f>
        <v>7.4601596929272734E-2</v>
      </c>
      <c r="Q13" s="20">
        <f>M13-I13</f>
        <v>599.3509021057788</v>
      </c>
      <c r="R13" s="92">
        <f>IF(I13&gt;0,Q13/I13,0)</f>
        <v>1.0513083706468669</v>
      </c>
    </row>
    <row r="14" spans="1:20">
      <c r="A14" s="48"/>
      <c r="B14" s="44"/>
      <c r="C14" s="455"/>
      <c r="D14" s="20"/>
      <c r="E14" s="20"/>
      <c r="F14" s="20"/>
      <c r="O14" s="20"/>
      <c r="P14" s="92"/>
      <c r="Q14" s="20"/>
      <c r="R14" s="92"/>
    </row>
    <row r="15" spans="1:20">
      <c r="A15" s="46">
        <v>2</v>
      </c>
      <c r="B15" s="47" t="s">
        <v>177</v>
      </c>
      <c r="C15" s="454" t="s">
        <v>39</v>
      </c>
      <c r="D15" s="20">
        <f>'GI-28 Doc 3.2'!D12</f>
        <v>608.39908000000003</v>
      </c>
      <c r="E15" s="20"/>
      <c r="F15" s="20">
        <f>'GI-28 Doc 3.2'!F12</f>
        <v>661.22399999999993</v>
      </c>
      <c r="H15" s="20">
        <f>'GI-28 Doc 3.2'!H12</f>
        <v>681.23900000000003</v>
      </c>
      <c r="I15" s="20">
        <f>'GI-28 Doc 3.2'!I12</f>
        <v>429.5</v>
      </c>
      <c r="K15" s="20">
        <f>'GI-28 Doc 3.2'!K12</f>
        <v>658.59500000000003</v>
      </c>
      <c r="M15" s="20">
        <f>'GI-28 Doc 3.2'!M12</f>
        <v>759.18399999999997</v>
      </c>
      <c r="O15" s="20">
        <f t="shared" ref="O15:O21" si="0">H15-D15</f>
        <v>72.839920000000006</v>
      </c>
      <c r="P15" s="92">
        <f t="shared" ref="P15:P23" si="1">IF(D15&gt;0,O15/D15,0)</f>
        <v>0.11972391542735404</v>
      </c>
      <c r="Q15" s="20">
        <f>M15-I15</f>
        <v>329.68399999999997</v>
      </c>
      <c r="R15" s="92">
        <f>IF(I15&gt;0,Q15/I15,0)</f>
        <v>0.76759953434225836</v>
      </c>
    </row>
    <row r="16" spans="1:20">
      <c r="A16" s="48"/>
      <c r="B16" s="44"/>
      <c r="C16" s="455"/>
      <c r="D16" s="20"/>
      <c r="E16" s="20"/>
      <c r="F16" s="20"/>
      <c r="O16" s="20"/>
      <c r="P16" s="92"/>
      <c r="Q16" s="20"/>
      <c r="R16" s="92"/>
    </row>
    <row r="17" spans="1:18">
      <c r="A17" s="46">
        <v>3</v>
      </c>
      <c r="B17" s="47" t="s">
        <v>5</v>
      </c>
      <c r="C17" s="454" t="s">
        <v>40</v>
      </c>
      <c r="D17" s="20">
        <f>'GI-28 Doc 4.2'!D13</f>
        <v>1162.36841</v>
      </c>
      <c r="E17" s="20"/>
      <c r="F17" s="20">
        <f>'GI-28 Doc 4.2'!F13</f>
        <v>1244.049</v>
      </c>
      <c r="H17" s="20">
        <f>'GI-28 Doc 4.2'!H13</f>
        <v>1170.27316</v>
      </c>
      <c r="I17" s="20">
        <f>'GI-28 Doc 4.2'!I13</f>
        <v>598.9</v>
      </c>
      <c r="K17" s="20">
        <f>'GI-28 Doc 4.2'!K13</f>
        <v>1176.103000000001</v>
      </c>
      <c r="M17" s="20">
        <f>'GI-28 Doc 4.2'!M13</f>
        <v>1233.085</v>
      </c>
      <c r="O17" s="20">
        <f t="shared" si="0"/>
        <v>7.9047499999999218</v>
      </c>
      <c r="P17" s="92">
        <f t="shared" si="1"/>
        <v>6.8005547397833373E-3</v>
      </c>
      <c r="Q17" s="20">
        <f>M17-I17</f>
        <v>634.18500000000006</v>
      </c>
      <c r="R17" s="92">
        <f t="shared" ref="R17:R23" si="2">IF(I17&gt;0,Q17/I17,0)</f>
        <v>1.0589163466354985</v>
      </c>
    </row>
    <row r="18" spans="1:18">
      <c r="A18" s="48"/>
      <c r="C18" s="455"/>
      <c r="D18" s="20"/>
      <c r="E18" s="20"/>
      <c r="F18" s="20"/>
      <c r="O18" s="20"/>
      <c r="P18" s="92"/>
      <c r="Q18" s="20"/>
      <c r="R18" s="92"/>
    </row>
    <row r="19" spans="1:18">
      <c r="A19" s="46">
        <v>4</v>
      </c>
      <c r="B19" s="49" t="s">
        <v>1</v>
      </c>
      <c r="C19" s="456" t="s">
        <v>41</v>
      </c>
      <c r="D19" s="39">
        <f>'GI-28 Doc 5 de travail'!D14</f>
        <v>519.16057999999998</v>
      </c>
      <c r="E19" s="20"/>
      <c r="F19" s="39">
        <f>'GI-28 Doc 5 de travail'!F14</f>
        <v>595.57899999999995</v>
      </c>
      <c r="H19" s="39">
        <f>'GI-28 Doc 5 de travail'!H14</f>
        <v>814.10441000000014</v>
      </c>
      <c r="I19" s="39">
        <f>'GI-28 Doc 5.2'!I14</f>
        <v>380.5</v>
      </c>
      <c r="K19" s="39">
        <f>'GI-28 Doc 5 de travail'!J14</f>
        <v>627.5870000000001</v>
      </c>
      <c r="M19" s="39">
        <f>'GI-28 Doc 5 de travail'!L14</f>
        <v>642.16800000000001</v>
      </c>
      <c r="O19" s="20">
        <f t="shared" si="0"/>
        <v>294.94383000000016</v>
      </c>
      <c r="P19" s="92">
        <f>IF(D19&gt;0,O19/D19,0)</f>
        <v>0.56811676649255649</v>
      </c>
      <c r="Q19" s="20">
        <f>M19-I19</f>
        <v>261.66800000000001</v>
      </c>
      <c r="R19" s="92">
        <f t="shared" si="2"/>
        <v>0.68769513797634696</v>
      </c>
    </row>
    <row r="20" spans="1:18">
      <c r="A20" s="46"/>
      <c r="B20" s="49"/>
      <c r="C20" s="456"/>
      <c r="D20" s="39"/>
      <c r="E20" s="20"/>
      <c r="F20" s="39"/>
      <c r="H20" s="28"/>
      <c r="O20" s="20"/>
      <c r="P20" s="92"/>
      <c r="Q20" s="20"/>
      <c r="R20" s="92"/>
    </row>
    <row r="21" spans="1:18">
      <c r="A21" s="46">
        <v>5</v>
      </c>
      <c r="B21" s="49" t="s">
        <v>90</v>
      </c>
      <c r="C21" s="454" t="s">
        <v>42</v>
      </c>
      <c r="D21" s="39">
        <f>'GI-28 Doc 7.2'!D13</f>
        <v>448.08850000000001</v>
      </c>
      <c r="E21" s="20"/>
      <c r="F21" s="39">
        <f>'GI-28 Doc 7.2'!F13</f>
        <v>530.69899999999996</v>
      </c>
      <c r="H21" s="39">
        <f>'GI-28 Doc 7.2'!H13</f>
        <v>550.52280000000007</v>
      </c>
      <c r="I21" s="39">
        <f>'GI-28 Doc 7.2'!I13</f>
        <v>0</v>
      </c>
      <c r="K21" s="39">
        <f>'GI-28 Doc 7.2'!K13</f>
        <v>557.65899999999999</v>
      </c>
      <c r="M21" s="39">
        <f>'GI-28 Doc 7.2'!M13</f>
        <v>561.77599999999995</v>
      </c>
      <c r="O21" s="20">
        <f t="shared" si="0"/>
        <v>102.43430000000006</v>
      </c>
      <c r="P21" s="92">
        <f t="shared" si="1"/>
        <v>0.22860283180666333</v>
      </c>
      <c r="Q21" s="20">
        <f>M21-I21</f>
        <v>561.77599999999995</v>
      </c>
      <c r="R21" s="92">
        <f t="shared" si="2"/>
        <v>0</v>
      </c>
    </row>
    <row r="22" spans="1:18">
      <c r="A22" s="48"/>
      <c r="C22" s="455"/>
      <c r="D22" s="39"/>
      <c r="E22" s="20"/>
      <c r="F22" s="39"/>
      <c r="O22" s="20"/>
      <c r="P22" s="92"/>
      <c r="Q22" s="20"/>
      <c r="R22" s="92"/>
    </row>
    <row r="23" spans="1:18">
      <c r="A23" s="46">
        <v>6</v>
      </c>
      <c r="B23" s="47" t="s">
        <v>37</v>
      </c>
      <c r="C23" s="454" t="s">
        <v>43</v>
      </c>
      <c r="D23" s="30">
        <f>'GI-28 Doc 6.2'!D12</f>
        <v>296.16640000000001</v>
      </c>
      <c r="E23" s="20"/>
      <c r="F23" s="30">
        <f>'GI-28 Doc 6.2'!F12</f>
        <v>304.19499999999999</v>
      </c>
      <c r="H23" s="30">
        <f>'GI-28 Doc 6.2'!H12</f>
        <v>293.81545</v>
      </c>
      <c r="I23" s="30">
        <f>'GI-28 Doc 6.2'!I12</f>
        <v>203.9</v>
      </c>
      <c r="K23" s="30">
        <f>'GI-28 Doc 6.2'!K12</f>
        <v>293.51499999999999</v>
      </c>
      <c r="M23" s="30">
        <f>'GI-28 Doc 6.2'!M12</f>
        <v>389.49799999999999</v>
      </c>
      <c r="O23" s="20">
        <f>H23-D23</f>
        <v>-2.3509500000000116</v>
      </c>
      <c r="P23" s="92">
        <f t="shared" si="1"/>
        <v>-7.9379362412482016E-3</v>
      </c>
      <c r="Q23" s="20">
        <f>M23-I23</f>
        <v>185.59799999999998</v>
      </c>
      <c r="R23" s="92">
        <f t="shared" si="2"/>
        <v>0.91024031387935256</v>
      </c>
    </row>
    <row r="24" spans="1:18">
      <c r="A24" s="48"/>
      <c r="B24" s="44"/>
      <c r="C24" s="455"/>
      <c r="D24" s="20"/>
      <c r="E24" s="20"/>
      <c r="F24" s="20"/>
      <c r="O24" s="42"/>
      <c r="Q24" s="79"/>
    </row>
    <row r="25" spans="1:18" ht="16.5" thickBot="1">
      <c r="A25" s="46">
        <v>7</v>
      </c>
      <c r="B25" s="51" t="s">
        <v>2</v>
      </c>
      <c r="C25" s="455"/>
      <c r="D25" s="31">
        <f>SUM(D13:D24)</f>
        <v>4015.7355200000002</v>
      </c>
      <c r="E25" s="20"/>
      <c r="F25" s="31">
        <f t="shared" ref="F25:M25" si="3">SUM(F13:F24)</f>
        <v>4395.1800800000001</v>
      </c>
      <c r="H25" s="31">
        <f t="shared" si="3"/>
        <v>4564.7327576999996</v>
      </c>
      <c r="I25" s="31">
        <f>SUM(I13:I24)</f>
        <v>2182.9</v>
      </c>
      <c r="K25" s="31">
        <f t="shared" si="3"/>
        <v>4411.735380000001</v>
      </c>
      <c r="M25" s="31">
        <f t="shared" si="3"/>
        <v>4755.1619021057786</v>
      </c>
      <c r="O25" s="31">
        <f>SUM(O13:O24)</f>
        <v>548.99723769999991</v>
      </c>
      <c r="P25" s="92">
        <f t="shared" ref="P25" si="4">IF(D25&gt;0,O25/D25,0)</f>
        <v>0.13671150277844987</v>
      </c>
      <c r="Q25" s="31">
        <f>SUM(Q13:Q24)</f>
        <v>2572.2619021057785</v>
      </c>
      <c r="R25" s="92">
        <f>IF(I25&gt;0,Q25/I25,0)</f>
        <v>1.1783690971211591</v>
      </c>
    </row>
    <row r="26" spans="1:18">
      <c r="A26" s="44"/>
      <c r="B26" s="44"/>
      <c r="C26" s="455"/>
      <c r="D26" s="20"/>
      <c r="E26" s="20"/>
      <c r="F26" s="20"/>
    </row>
    <row r="27" spans="1:18">
      <c r="A27" s="44"/>
      <c r="B27" s="45" t="s">
        <v>3</v>
      </c>
      <c r="C27" s="455"/>
      <c r="D27" s="20"/>
      <c r="E27" s="20"/>
      <c r="F27" s="20"/>
    </row>
    <row r="28" spans="1:18">
      <c r="A28" s="46">
        <v>8</v>
      </c>
      <c r="B28" s="47" t="s">
        <v>69</v>
      </c>
      <c r="C28" s="454" t="s">
        <v>44</v>
      </c>
      <c r="D28" s="20">
        <f>'GI-28 Doc 2.2'!D34</f>
        <v>1196.0474899999999</v>
      </c>
      <c r="E28" s="20"/>
      <c r="F28" s="20">
        <f>'GI-28 Doc 2.2'!F34</f>
        <v>1335.4543799999999</v>
      </c>
      <c r="H28" s="20">
        <f>'GI-28 Doc 2.2'!H34</f>
        <v>1646.9241311000001</v>
      </c>
      <c r="I28" s="20">
        <f>'GI-28 Doc 2.2'!I34</f>
        <v>621.80000000000007</v>
      </c>
      <c r="K28" s="20">
        <f>'GI-28 Doc 2.2'!K34</f>
        <v>1527.9828610000002</v>
      </c>
      <c r="M28" s="20">
        <f>'GI-28 Doc 2.2'!M34</f>
        <v>1702.3954682600001</v>
      </c>
      <c r="O28" s="20">
        <f>H28-D28</f>
        <v>450.87664110000014</v>
      </c>
      <c r="P28" s="108">
        <f t="shared" ref="P28:P36" si="5">IF(D28&gt;0,O28/D28,0)</f>
        <v>0.37697218954073486</v>
      </c>
      <c r="Q28" s="20">
        <f>M28-I28</f>
        <v>1080.59546826</v>
      </c>
      <c r="R28" s="108">
        <f t="shared" ref="R28:R38" si="6">IF(I28&gt;0,Q28/I28,0)</f>
        <v>1.7378505440012864</v>
      </c>
    </row>
    <row r="29" spans="1:18">
      <c r="A29" s="48"/>
      <c r="B29" s="44"/>
      <c r="C29" s="455"/>
      <c r="D29" s="20"/>
      <c r="E29" s="20"/>
      <c r="F29" s="20"/>
      <c r="O29" s="20"/>
      <c r="P29" s="108"/>
      <c r="Q29" s="20"/>
      <c r="R29" s="108"/>
    </row>
    <row r="30" spans="1:18">
      <c r="A30" s="46">
        <v>9</v>
      </c>
      <c r="B30" s="47" t="s">
        <v>177</v>
      </c>
      <c r="C30" s="454" t="s">
        <v>45</v>
      </c>
      <c r="D30" s="20">
        <f>'GI-28 Doc 3.2'!D25</f>
        <v>293.56094000000002</v>
      </c>
      <c r="E30" s="20"/>
      <c r="F30" s="20">
        <f>'GI-28 Doc 3.2'!F25</f>
        <v>384.64499499999999</v>
      </c>
      <c r="H30" s="20">
        <f>'GI-28 Doc 3.2'!H25</f>
        <v>350.49099999999999</v>
      </c>
      <c r="I30" s="20">
        <f>'GI-28 Doc 3.2'!I25</f>
        <v>259.89999999999998</v>
      </c>
      <c r="K30" s="20">
        <f>'GI-28 Doc 3.2'!K25</f>
        <v>349.75499999999994</v>
      </c>
      <c r="M30" s="20">
        <f>'GI-28 Doc 3.2'!M25</f>
        <v>442.18399999999997</v>
      </c>
      <c r="O30" s="20">
        <f>H30-D30</f>
        <v>56.930059999999969</v>
      </c>
      <c r="P30" s="108">
        <f t="shared" si="5"/>
        <v>0.19392927410574434</v>
      </c>
      <c r="Q30" s="20">
        <f>M30-I30</f>
        <v>182.28399999999999</v>
      </c>
      <c r="R30" s="108">
        <f t="shared" si="6"/>
        <v>0.70136206233166609</v>
      </c>
    </row>
    <row r="31" spans="1:18">
      <c r="A31" s="48"/>
      <c r="B31" s="44"/>
      <c r="C31" s="455"/>
      <c r="D31" s="20"/>
      <c r="E31" s="20"/>
      <c r="F31" s="20"/>
      <c r="O31" s="20"/>
      <c r="P31" s="108"/>
      <c r="Q31" s="20"/>
      <c r="R31" s="108"/>
    </row>
    <row r="32" spans="1:18">
      <c r="A32" s="46">
        <v>10</v>
      </c>
      <c r="B32" s="47" t="s">
        <v>5</v>
      </c>
      <c r="C32" s="454" t="s">
        <v>46</v>
      </c>
      <c r="D32" s="20">
        <f>'GI-28 Doc 4.2'!D26</f>
        <v>525.12220999999965</v>
      </c>
      <c r="E32" s="20"/>
      <c r="F32" s="20" t="e">
        <f>'GI-28 Doc 4.2'!F26</f>
        <v>#REF!</v>
      </c>
      <c r="H32" s="20">
        <f>'GI-28 Doc 4.2'!H26</f>
        <v>565.96068000000002</v>
      </c>
      <c r="I32" s="20">
        <f>'GI-28 Doc 4.2'!I26</f>
        <v>340.1</v>
      </c>
      <c r="K32" s="20" t="e">
        <f>'GI-28 Doc 4.2'!K26</f>
        <v>#REF!</v>
      </c>
      <c r="M32" s="20">
        <f>'GI-28 Doc 4.2'!M26</f>
        <v>599.30299999999988</v>
      </c>
      <c r="O32" s="20">
        <f>H32-D32</f>
        <v>40.83847000000037</v>
      </c>
      <c r="P32" s="108">
        <f t="shared" si="5"/>
        <v>7.7769458656110541E-2</v>
      </c>
      <c r="Q32" s="20">
        <f>M32-I32</f>
        <v>259.20299999999986</v>
      </c>
      <c r="R32" s="108">
        <f t="shared" si="6"/>
        <v>0.7621376065862977</v>
      </c>
    </row>
    <row r="33" spans="1:18">
      <c r="A33" s="48"/>
      <c r="B33" s="44"/>
      <c r="C33" s="455"/>
      <c r="D33" s="20"/>
      <c r="E33" s="20"/>
      <c r="F33" s="20"/>
      <c r="O33" s="20"/>
      <c r="P33" s="108"/>
      <c r="Q33" s="20"/>
      <c r="R33" s="108"/>
    </row>
    <row r="34" spans="1:18">
      <c r="A34" s="46">
        <v>11</v>
      </c>
      <c r="B34" s="47" t="s">
        <v>1</v>
      </c>
      <c r="C34" s="454" t="s">
        <v>47</v>
      </c>
      <c r="D34" s="39">
        <f>'GI-28 Doc 5 de travail'!D33</f>
        <v>3610.6573900000017</v>
      </c>
      <c r="E34" s="20"/>
      <c r="F34" s="39">
        <f>'GI-28 Doc 5 de travail'!F33</f>
        <v>4056.5609999999992</v>
      </c>
      <c r="H34" s="39">
        <f>'GI-28 Doc 5 de travail'!H33</f>
        <v>3238.8694100000007</v>
      </c>
      <c r="I34" s="39">
        <f>'GI-28 Doc 5.2'!I33</f>
        <v>1215.2</v>
      </c>
      <c r="K34" s="39">
        <f>'GI-28 Doc 5 de travail'!J33</f>
        <v>3618.39662</v>
      </c>
      <c r="M34" s="39">
        <f>'GI-28 Doc 5 de travail'!L33</f>
        <v>3050.9619999999995</v>
      </c>
      <c r="O34" s="20">
        <f>H34-D34</f>
        <v>-371.78798000000097</v>
      </c>
      <c r="P34" s="108">
        <f t="shared" si="5"/>
        <v>-0.10296960908827764</v>
      </c>
      <c r="Q34" s="20">
        <f>M34-I34</f>
        <v>1835.7619999999995</v>
      </c>
      <c r="R34" s="108">
        <f t="shared" si="6"/>
        <v>1.5106665569453583</v>
      </c>
    </row>
    <row r="35" spans="1:18">
      <c r="A35" s="46"/>
      <c r="B35" s="47"/>
      <c r="C35" s="454"/>
      <c r="D35" s="39"/>
      <c r="E35" s="20"/>
      <c r="F35" s="39"/>
      <c r="H35" s="28"/>
      <c r="O35" s="20"/>
      <c r="P35" s="108"/>
      <c r="Q35" s="20"/>
      <c r="R35" s="108"/>
    </row>
    <row r="36" spans="1:18">
      <c r="A36" s="46">
        <v>12</v>
      </c>
      <c r="B36" s="49" t="s">
        <v>90</v>
      </c>
      <c r="C36" s="454" t="s">
        <v>48</v>
      </c>
      <c r="D36" s="39">
        <f>'GI-28 Doc 7.2'!D25</f>
        <v>203.38164999999992</v>
      </c>
      <c r="E36" s="20"/>
      <c r="F36" s="39">
        <f>'GI-28 Doc 7.2'!F25</f>
        <v>305.75408000000004</v>
      </c>
      <c r="H36" s="39">
        <f>'GI-28 Doc 7.2'!H25</f>
        <v>223.66470999999996</v>
      </c>
      <c r="I36" s="39">
        <f>'GI-28 Doc 7.2'!I25</f>
        <v>0</v>
      </c>
      <c r="K36" s="39">
        <f>'GI-28 Doc 7.2'!K25</f>
        <v>286.7</v>
      </c>
      <c r="M36" s="39">
        <f>'GI-28 Doc 7.2'!M25</f>
        <v>250.22800000000004</v>
      </c>
      <c r="O36" s="20">
        <f>H36-D36</f>
        <v>20.283060000000035</v>
      </c>
      <c r="P36" s="108">
        <f t="shared" si="5"/>
        <v>9.9729056185747539E-2</v>
      </c>
      <c r="Q36" s="20">
        <f>M36-I36</f>
        <v>250.22800000000004</v>
      </c>
      <c r="R36" s="108">
        <f t="shared" si="6"/>
        <v>0</v>
      </c>
    </row>
    <row r="37" spans="1:18">
      <c r="A37" s="46"/>
      <c r="B37" s="47"/>
      <c r="C37" s="455"/>
      <c r="D37" s="39"/>
      <c r="E37" s="20"/>
      <c r="F37" s="39"/>
      <c r="O37" s="20"/>
      <c r="P37" s="108"/>
      <c r="Q37" s="20"/>
      <c r="R37" s="108"/>
    </row>
    <row r="38" spans="1:18">
      <c r="A38" s="46">
        <v>13</v>
      </c>
      <c r="B38" s="47" t="s">
        <v>37</v>
      </c>
      <c r="C38" s="454" t="s">
        <v>50</v>
      </c>
      <c r="D38" s="30">
        <f>'GI-28 Doc 6.2'!D33</f>
        <v>2209.0032699999997</v>
      </c>
      <c r="E38" s="20"/>
      <c r="F38" s="30">
        <f>'GI-28 Doc 6.2'!F33</f>
        <v>2183.1170000000006</v>
      </c>
      <c r="H38" s="30">
        <f>'GI-28 Doc 6.2'!H33</f>
        <v>2301.5910000000003</v>
      </c>
      <c r="I38" s="30">
        <f>'GI-28 Doc 6.2'!I33</f>
        <v>441.8</v>
      </c>
      <c r="K38" s="30">
        <f>'GI-28 Doc 6.2'!K33</f>
        <v>2337.085</v>
      </c>
      <c r="M38" s="30">
        <f>'GI-28 Doc 6.2'!M33</f>
        <v>1248.4680000000001</v>
      </c>
      <c r="O38" s="20">
        <f>H38-D38</f>
        <v>92.587730000000647</v>
      </c>
      <c r="P38" s="108">
        <f>IF(D38&gt;0,O38/D38,0)</f>
        <v>4.1913803957384213E-2</v>
      </c>
      <c r="Q38" s="20">
        <f>M38-I38</f>
        <v>806.66800000000012</v>
      </c>
      <c r="R38" s="108">
        <f t="shared" si="6"/>
        <v>1.8258669081032144</v>
      </c>
    </row>
    <row r="39" spans="1:18">
      <c r="A39" s="48"/>
      <c r="B39" s="44"/>
      <c r="C39" s="455"/>
      <c r="D39" s="20"/>
      <c r="E39" s="20"/>
      <c r="F39" s="20"/>
      <c r="O39" s="42"/>
      <c r="Q39" s="42"/>
    </row>
    <row r="40" spans="1:18" ht="16.5" thickBot="1">
      <c r="A40" s="46">
        <v>14</v>
      </c>
      <c r="B40" s="51" t="s">
        <v>2</v>
      </c>
      <c r="C40" s="455"/>
      <c r="D40" s="31">
        <f>SUM(D28:D38)</f>
        <v>8037.7729500000023</v>
      </c>
      <c r="E40" s="20"/>
      <c r="F40" s="31" t="e">
        <f t="shared" ref="F40:K40" si="7">SUM(F28:F38)</f>
        <v>#REF!</v>
      </c>
      <c r="H40" s="31">
        <f t="shared" si="7"/>
        <v>8327.5009311000013</v>
      </c>
      <c r="I40" s="31">
        <f>SUM(I28:I38)</f>
        <v>2878.8</v>
      </c>
      <c r="K40" s="31" t="e">
        <f t="shared" si="7"/>
        <v>#REF!</v>
      </c>
      <c r="M40" s="31">
        <f>SUM(M28:M38)</f>
        <v>7293.5404682599992</v>
      </c>
      <c r="O40" s="31">
        <f>SUM(O28:O38)</f>
        <v>289.72798110000014</v>
      </c>
      <c r="P40" s="108">
        <f>IF(D40&gt;0,O40/D40,0)</f>
        <v>3.6045803097734933E-2</v>
      </c>
      <c r="Q40" s="31">
        <f>SUM(Q28:Q38)</f>
        <v>4414.740468259999</v>
      </c>
      <c r="R40" s="108">
        <f>IF(I40&gt;0,Q40/I40,0)</f>
        <v>1.5335349688272888</v>
      </c>
    </row>
    <row r="41" spans="1:18">
      <c r="A41" s="52"/>
      <c r="B41" s="52"/>
      <c r="C41" s="455"/>
      <c r="D41" s="20"/>
      <c r="E41" s="20"/>
      <c r="F41" s="20"/>
    </row>
    <row r="42" spans="1:18">
      <c r="A42" s="52"/>
      <c r="B42" s="53" t="s">
        <v>74</v>
      </c>
      <c r="C42" s="455"/>
      <c r="D42" s="20"/>
      <c r="E42" s="20"/>
      <c r="F42" s="20"/>
    </row>
    <row r="43" spans="1:18" ht="16.5" thickBot="1">
      <c r="A43" s="54">
        <v>15</v>
      </c>
      <c r="B43" s="55" t="s">
        <v>75</v>
      </c>
      <c r="C43" s="454" t="s">
        <v>151</v>
      </c>
      <c r="D43" s="31">
        <f>'GI-28 Doc 8.3'!C31</f>
        <v>1402.5332700000004</v>
      </c>
      <c r="E43" s="20"/>
      <c r="F43" s="31">
        <f>'GI-28 Doc 8.3'!E31</f>
        <v>1612.037</v>
      </c>
      <c r="G43" s="31" t="str">
        <f>'GI-28 Doc 8.3'!G31</f>
        <v>(2)</v>
      </c>
      <c r="H43" s="31">
        <f>'GI-28 Doc 8.3'!E31</f>
        <v>1612.037</v>
      </c>
      <c r="I43" s="547">
        <f>'GI-28 Doc 8.3'!F31</f>
        <v>1330.6999999999998</v>
      </c>
      <c r="K43" s="31">
        <f>'GI-28 Doc 8.3'!J31</f>
        <v>209.50372999999968</v>
      </c>
      <c r="L43" s="31">
        <f>'GI-28 Doc 8.3'!K31</f>
        <v>0</v>
      </c>
      <c r="M43" s="31">
        <f>'GI-28 Doc 8.3'!H31</f>
        <v>1669.056</v>
      </c>
      <c r="O43" s="31">
        <f>+H43-D43</f>
        <v>209.50372999999968</v>
      </c>
      <c r="P43" s="108">
        <f>IF(D43&gt;0,O43/D43,0)</f>
        <v>0.1493752301505116</v>
      </c>
      <c r="Q43" s="31">
        <f>M43-I43</f>
        <v>338.35600000000022</v>
      </c>
      <c r="R43" s="108">
        <f>IF(I43&gt;0,Q43/I43,0)</f>
        <v>0.2542691816337268</v>
      </c>
    </row>
    <row r="44" spans="1:18">
      <c r="C44" s="455"/>
      <c r="D44" s="20"/>
      <c r="E44" s="20"/>
      <c r="F44" s="20"/>
    </row>
    <row r="45" spans="1:18">
      <c r="A45" s="56"/>
      <c r="B45" s="47"/>
      <c r="C45" s="455"/>
      <c r="D45" s="20"/>
      <c r="E45" s="20"/>
      <c r="F45" s="20"/>
    </row>
    <row r="46" spans="1:18" ht="16.5" thickBot="1">
      <c r="A46" s="46">
        <v>16</v>
      </c>
      <c r="B46" s="51" t="s">
        <v>4</v>
      </c>
      <c r="C46" s="455"/>
      <c r="D46" s="24">
        <f>D25+D40+D43</f>
        <v>13456.041740000002</v>
      </c>
      <c r="E46" s="457" t="s">
        <v>172</v>
      </c>
      <c r="F46" s="24" t="e">
        <f>F25+F40+F43</f>
        <v>#REF!</v>
      </c>
      <c r="H46" s="24">
        <f>H25+H40+H43</f>
        <v>14504.270688800001</v>
      </c>
      <c r="I46" s="24">
        <f>I25+I40+I43</f>
        <v>6392.4000000000005</v>
      </c>
      <c r="J46" s="454" t="s">
        <v>172</v>
      </c>
      <c r="K46" s="24" t="e">
        <f>K25+K40+K43</f>
        <v>#REF!</v>
      </c>
      <c r="M46" s="24">
        <f>M25+M40+M43</f>
        <v>13717.758370365778</v>
      </c>
      <c r="O46" s="24">
        <f>O25+O40+O43</f>
        <v>1048.2289487999997</v>
      </c>
      <c r="P46" s="108">
        <f>IF(D46&gt;0,O46/D46,0)</f>
        <v>7.7900245038924759E-2</v>
      </c>
      <c r="Q46" s="24">
        <f>Q25+Q40+Q43</f>
        <v>7325.3583703657769</v>
      </c>
      <c r="R46" s="108">
        <f>IF(I46&gt;0,Q46/I46,0)</f>
        <v>1.1459480586893462</v>
      </c>
    </row>
    <row r="47" spans="1:18" ht="16.5" thickTop="1">
      <c r="A47" s="56"/>
      <c r="B47" s="44"/>
      <c r="E47" s="20"/>
    </row>
    <row r="48" spans="1:18">
      <c r="A48" s="550" t="s">
        <v>49</v>
      </c>
      <c r="B48" s="549" t="s">
        <v>493</v>
      </c>
      <c r="D48" s="20"/>
      <c r="H48" s="20"/>
      <c r="I48" s="20"/>
      <c r="M48" s="174"/>
      <c r="Q48" s="20"/>
    </row>
    <row r="49" spans="1:13">
      <c r="A49" s="550"/>
      <c r="B49" s="549" t="s">
        <v>517</v>
      </c>
      <c r="D49" s="20"/>
      <c r="H49" s="20"/>
      <c r="I49" s="20"/>
      <c r="M49" s="174"/>
    </row>
    <row r="50" spans="1:13">
      <c r="A50" s="550"/>
      <c r="B50" s="549" t="s">
        <v>519</v>
      </c>
      <c r="D50" s="20"/>
      <c r="H50" s="20"/>
      <c r="I50" s="20"/>
      <c r="M50" s="174"/>
    </row>
    <row r="51" spans="1:13">
      <c r="A51" s="550"/>
      <c r="B51" s="549" t="s">
        <v>521</v>
      </c>
      <c r="D51" s="20"/>
      <c r="H51" s="20"/>
      <c r="I51" s="20"/>
      <c r="M51" s="174"/>
    </row>
    <row r="52" spans="1:13">
      <c r="A52" s="550"/>
      <c r="B52" s="549" t="s">
        <v>523</v>
      </c>
      <c r="D52" s="20"/>
      <c r="H52" s="20"/>
      <c r="I52" s="20"/>
      <c r="M52" s="174"/>
    </row>
    <row r="53" spans="1:13">
      <c r="A53" s="550"/>
      <c r="B53" s="549" t="s">
        <v>525</v>
      </c>
      <c r="D53" s="20"/>
      <c r="H53" s="20"/>
      <c r="I53" s="20"/>
      <c r="M53" s="174"/>
    </row>
    <row r="54" spans="1:13">
      <c r="A54" s="548"/>
      <c r="B54" s="549" t="s">
        <v>494</v>
      </c>
      <c r="D54" s="20"/>
      <c r="H54" s="20"/>
      <c r="I54" s="20"/>
      <c r="M54" s="174"/>
    </row>
    <row r="55" spans="1:13">
      <c r="A55" s="548"/>
      <c r="B55" s="549" t="s">
        <v>518</v>
      </c>
      <c r="D55" s="20"/>
      <c r="H55" s="20"/>
      <c r="I55" s="20"/>
      <c r="M55" s="174"/>
    </row>
    <row r="56" spans="1:13">
      <c r="A56" s="548"/>
      <c r="B56" s="549" t="s">
        <v>520</v>
      </c>
    </row>
    <row r="57" spans="1:13">
      <c r="A57" s="548"/>
      <c r="B57" s="549" t="s">
        <v>522</v>
      </c>
    </row>
    <row r="58" spans="1:13">
      <c r="A58" s="548"/>
      <c r="B58" s="549" t="s">
        <v>524</v>
      </c>
    </row>
    <row r="59" spans="1:13">
      <c r="A59" s="548"/>
      <c r="B59" s="549" t="s">
        <v>553</v>
      </c>
    </row>
    <row r="60" spans="1:13">
      <c r="A60" s="548"/>
      <c r="B60" s="549" t="s">
        <v>538</v>
      </c>
    </row>
    <row r="61" spans="1:13">
      <c r="A61" s="548"/>
      <c r="B61" s="548" t="s">
        <v>540</v>
      </c>
    </row>
    <row r="62" spans="1:13">
      <c r="A62" s="548"/>
      <c r="B62" s="549" t="s">
        <v>541</v>
      </c>
    </row>
    <row r="65" spans="1:18">
      <c r="R65" s="14" t="s">
        <v>174</v>
      </c>
    </row>
    <row r="66" spans="1:18">
      <c r="R66" s="14" t="s">
        <v>492</v>
      </c>
    </row>
    <row r="67" spans="1:18">
      <c r="R67" s="14" t="s">
        <v>51</v>
      </c>
    </row>
    <row r="68" spans="1:18">
      <c r="A68" s="17" t="s">
        <v>491</v>
      </c>
      <c r="R68" s="14" t="s">
        <v>99</v>
      </c>
    </row>
    <row r="70" spans="1:18" hidden="1">
      <c r="A70" s="206" t="s">
        <v>169</v>
      </c>
      <c r="B70" s="205" t="s">
        <v>164</v>
      </c>
      <c r="C70" s="204"/>
      <c r="D70" s="203">
        <v>-326.221</v>
      </c>
      <c r="E70" s="204"/>
      <c r="F70" s="204"/>
      <c r="G70" s="204"/>
      <c r="H70" s="203">
        <v>-370.238</v>
      </c>
      <c r="I70" s="203"/>
      <c r="J70" s="204"/>
      <c r="K70" s="204"/>
      <c r="L70" s="204"/>
      <c r="M70" s="203">
        <v>-398.76299999999998</v>
      </c>
      <c r="N70" s="202"/>
    </row>
    <row r="71" spans="1:18" hidden="1">
      <c r="A71" s="204"/>
      <c r="B71" s="205" t="s">
        <v>165</v>
      </c>
      <c r="C71" s="204"/>
      <c r="D71" s="203">
        <v>-37.590000000000003</v>
      </c>
      <c r="E71" s="204"/>
      <c r="F71" s="204"/>
      <c r="G71" s="204"/>
      <c r="H71" s="203">
        <v>-82.634</v>
      </c>
      <c r="I71" s="203"/>
      <c r="J71" s="204"/>
      <c r="K71" s="204"/>
      <c r="L71" s="204"/>
      <c r="M71" s="203">
        <v>-46.906999999999996</v>
      </c>
      <c r="N71" s="202"/>
    </row>
    <row r="72" spans="1:18" hidden="1">
      <c r="A72" s="204"/>
      <c r="B72" s="205" t="s">
        <v>166</v>
      </c>
      <c r="C72" s="204"/>
      <c r="D72" s="201">
        <v>1990.0889999999999</v>
      </c>
      <c r="E72" s="204"/>
      <c r="F72" s="204"/>
      <c r="G72" s="204"/>
      <c r="H72" s="201">
        <v>2038.739</v>
      </c>
      <c r="I72" s="201"/>
      <c r="J72" s="204"/>
      <c r="K72" s="204"/>
      <c r="L72" s="204"/>
      <c r="M72" s="201">
        <v>2262.2230100114002</v>
      </c>
      <c r="N72" s="202"/>
    </row>
    <row r="73" spans="1:18" hidden="1">
      <c r="A73" s="204"/>
      <c r="B73" s="205" t="s">
        <v>167</v>
      </c>
      <c r="C73" s="204"/>
      <c r="D73" s="220">
        <v>-241.49299999999999</v>
      </c>
      <c r="E73" s="204"/>
      <c r="F73" s="204"/>
      <c r="G73" s="204"/>
      <c r="H73" s="220">
        <v>-290.25900000000001</v>
      </c>
      <c r="I73" s="201"/>
      <c r="J73" s="204"/>
      <c r="K73" s="204"/>
      <c r="L73" s="204"/>
      <c r="M73" s="220">
        <v>-296.88799999999998</v>
      </c>
      <c r="N73" s="202"/>
    </row>
    <row r="74" spans="1:18" hidden="1">
      <c r="A74" s="204"/>
      <c r="B74" s="204"/>
      <c r="C74" s="204"/>
      <c r="D74" s="200"/>
      <c r="E74" s="204"/>
      <c r="F74" s="204"/>
      <c r="G74" s="204"/>
      <c r="H74" s="200"/>
      <c r="I74" s="200"/>
      <c r="J74" s="204"/>
      <c r="K74" s="204"/>
      <c r="L74" s="204"/>
      <c r="M74" s="200"/>
      <c r="N74" s="202"/>
    </row>
    <row r="75" spans="1:18" hidden="1">
      <c r="A75" s="204"/>
      <c r="B75" s="205" t="s">
        <v>168</v>
      </c>
      <c r="C75" s="204"/>
      <c r="D75" s="221">
        <f>D46+D70+D71+D72+D73</f>
        <v>14840.826740000002</v>
      </c>
      <c r="E75" s="204" t="s">
        <v>170</v>
      </c>
      <c r="F75" s="204"/>
      <c r="G75" s="204"/>
      <c r="H75" s="221">
        <f>H46+H70+H71+H72+H73</f>
        <v>15799.878688800001</v>
      </c>
      <c r="I75" s="221"/>
      <c r="J75" s="204" t="s">
        <v>170</v>
      </c>
      <c r="K75" s="204"/>
      <c r="L75" s="204"/>
      <c r="M75" s="221">
        <f>M46+M70+M71+M72+M73</f>
        <v>15237.423380377177</v>
      </c>
      <c r="N75" s="204" t="s">
        <v>170</v>
      </c>
    </row>
    <row r="76" spans="1:18" hidden="1">
      <c r="A76" s="202"/>
      <c r="B76" s="202"/>
      <c r="C76" s="202"/>
      <c r="D76" s="184">
        <f>15814.419-D75</f>
        <v>973.59225999999762</v>
      </c>
      <c r="E76" s="202"/>
      <c r="F76" s="202"/>
      <c r="G76" s="202"/>
      <c r="H76" s="184">
        <f>16886.069-H75</f>
        <v>1086.1903111999982</v>
      </c>
      <c r="I76" s="184"/>
      <c r="J76" s="202"/>
      <c r="K76" s="202"/>
      <c r="L76" s="202"/>
      <c r="M76" s="184">
        <f>16289.051-M75</f>
        <v>1051.6276196228227</v>
      </c>
      <c r="N76" s="202"/>
    </row>
    <row r="77" spans="1:18" hidden="1">
      <c r="A77" s="202"/>
      <c r="B77" s="469" t="s">
        <v>388</v>
      </c>
      <c r="C77" s="204"/>
      <c r="D77" s="203"/>
      <c r="E77" s="204"/>
      <c r="F77" s="204"/>
      <c r="G77" s="204"/>
      <c r="H77" s="203"/>
      <c r="I77" s="203"/>
      <c r="J77" s="204"/>
      <c r="K77" s="204"/>
      <c r="L77" s="204"/>
      <c r="M77" s="203"/>
      <c r="N77" s="202"/>
    </row>
    <row r="78" spans="1:18" hidden="1">
      <c r="A78" s="202"/>
      <c r="B78" s="205" t="s">
        <v>389</v>
      </c>
      <c r="C78" s="204"/>
      <c r="D78" s="203">
        <f>'GI-28 Doc 5 de travail'!D29</f>
        <v>-455.92</v>
      </c>
      <c r="E78" s="204"/>
      <c r="F78" s="203">
        <f>'GI-28 Doc 5 de travail'!F29</f>
        <v>0</v>
      </c>
      <c r="G78" s="203">
        <f>'GI-28 Doc 5 de travail'!G29</f>
        <v>0</v>
      </c>
      <c r="H78" s="203">
        <f>'GI-28 Doc 5 de travail'!H29</f>
        <v>-460.36</v>
      </c>
      <c r="I78" s="203"/>
      <c r="J78" s="204"/>
      <c r="K78" s="203">
        <f>'GI-28 Doc 5 de travail'!J29</f>
        <v>0</v>
      </c>
      <c r="L78" s="203">
        <f>'GI-28 Doc 5 de travail'!K29</f>
        <v>0</v>
      </c>
      <c r="M78" s="203">
        <f>'GI-28 Doc 5 de travail'!L29</f>
        <v>-419.48700000000002</v>
      </c>
      <c r="N78" s="202"/>
    </row>
    <row r="79" spans="1:18" hidden="1">
      <c r="A79" s="202"/>
      <c r="B79" s="205" t="s">
        <v>90</v>
      </c>
      <c r="C79" s="204"/>
      <c r="D79" s="203">
        <f>'GI-28 Doc 7.2'!D22</f>
        <v>-68.728999999999999</v>
      </c>
      <c r="E79" s="204"/>
      <c r="F79" s="204">
        <f>'GI-28 Doc 7.2'!F22</f>
        <v>0</v>
      </c>
      <c r="G79" s="204">
        <f>'GI-28 Doc 7.2'!G22</f>
        <v>0</v>
      </c>
      <c r="H79" s="203">
        <f>'GI-28 Doc 7.2'!H22</f>
        <v>-71.515000000000001</v>
      </c>
      <c r="I79" s="203"/>
      <c r="J79" s="204"/>
      <c r="K79" s="204">
        <f>'GI-28 Doc 7.2'!K22</f>
        <v>0</v>
      </c>
      <c r="L79" s="204">
        <f>'GI-28 Doc 7.2'!L22</f>
        <v>0</v>
      </c>
      <c r="M79" s="203">
        <f>'GI-28 Doc 7.2'!M22</f>
        <v>-75.510999999999996</v>
      </c>
      <c r="N79" s="202"/>
    </row>
    <row r="80" spans="1:18" hidden="1">
      <c r="A80" s="202"/>
      <c r="B80" s="205" t="s">
        <v>390</v>
      </c>
      <c r="C80" s="204"/>
      <c r="D80" s="203">
        <f>'GI-28 Doc 8.3'!C28</f>
        <v>-449.34</v>
      </c>
      <c r="E80" s="204"/>
      <c r="F80" s="203">
        <f>'GI-28 Doc 8.3'!E28</f>
        <v>-555.01700000000005</v>
      </c>
      <c r="G80" s="203" t="str">
        <f>'GI-28 Doc 8.3'!G28</f>
        <v>(1)</v>
      </c>
      <c r="H80" s="203">
        <f>'GI-28 Doc 8.3'!E28</f>
        <v>-555.01700000000005</v>
      </c>
      <c r="I80" s="203"/>
      <c r="J80" s="204"/>
      <c r="K80" s="203">
        <f>'GI-28 Doc 8.3'!J28</f>
        <v>-105.67700000000008</v>
      </c>
      <c r="L80" s="203">
        <f>'GI-28 Doc 8.3'!K28</f>
        <v>0</v>
      </c>
      <c r="M80" s="203">
        <f>'GI-28 Doc 8.3'!H28</f>
        <v>-556.529</v>
      </c>
      <c r="N80" s="202"/>
    </row>
    <row r="81" spans="1:14" hidden="1">
      <c r="A81" s="202"/>
      <c r="B81" s="205"/>
      <c r="C81" s="204"/>
      <c r="D81" s="476">
        <f>D76+D78+D79+D80</f>
        <v>-0.39674000000240994</v>
      </c>
      <c r="E81" s="477"/>
      <c r="F81" s="476">
        <f t="shared" ref="F81:M81" si="8">F76+F78+F79+F80</f>
        <v>-555.01700000000005</v>
      </c>
      <c r="G81" s="476">
        <f t="shared" si="8"/>
        <v>-1</v>
      </c>
      <c r="H81" s="476">
        <f>H76+H78+H79+H80</f>
        <v>-0.70168880000187528</v>
      </c>
      <c r="I81" s="528"/>
      <c r="J81" s="477"/>
      <c r="K81" s="476">
        <f t="shared" si="8"/>
        <v>-105.67700000000008</v>
      </c>
      <c r="L81" s="476">
        <f t="shared" si="8"/>
        <v>0</v>
      </c>
      <c r="M81" s="476">
        <f t="shared" si="8"/>
        <v>0.10061962282270542</v>
      </c>
      <c r="N81" s="202"/>
    </row>
    <row r="82" spans="1:14" hidden="1">
      <c r="C82" s="482" t="s">
        <v>391</v>
      </c>
      <c r="D82" s="475">
        <f>973.987</f>
        <v>973.98699999999997</v>
      </c>
      <c r="E82" s="475"/>
      <c r="F82" s="475"/>
      <c r="G82" s="475"/>
      <c r="H82" s="475">
        <v>1086.8920000000001</v>
      </c>
      <c r="I82" s="475"/>
      <c r="J82" s="475"/>
      <c r="K82" s="475"/>
      <c r="L82" s="475"/>
      <c r="M82" s="475">
        <v>1051.527</v>
      </c>
    </row>
    <row r="84" spans="1:14">
      <c r="D84" s="474"/>
      <c r="E84" s="474"/>
      <c r="F84" s="474"/>
      <c r="G84" s="474"/>
      <c r="H84" s="474"/>
      <c r="I84" s="474"/>
      <c r="J84" s="474"/>
      <c r="K84" s="474"/>
      <c r="L84" s="474"/>
      <c r="M84" s="474"/>
    </row>
  </sheetData>
  <mergeCells count="8">
    <mergeCell ref="O8:P8"/>
    <mergeCell ref="Q8:R8"/>
    <mergeCell ref="O6:R6"/>
    <mergeCell ref="A1:R1"/>
    <mergeCell ref="A2:R2"/>
    <mergeCell ref="A3:R3"/>
    <mergeCell ref="O7:P7"/>
    <mergeCell ref="Q7:R7"/>
  </mergeCells>
  <printOptions horizontalCentered="1"/>
  <pageMargins left="0.39" right="0.4" top="0.7" bottom="0.57999999999999996" header="0.23" footer="0.35"/>
  <pageSetup scale="67"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U50"/>
  <sheetViews>
    <sheetView zoomScaleNormal="100" workbookViewId="0">
      <selection activeCell="B7" sqref="B7"/>
    </sheetView>
  </sheetViews>
  <sheetFormatPr baseColWidth="10" defaultColWidth="9.140625" defaultRowHeight="15.75" outlineLevelCol="1"/>
  <cols>
    <col min="1" max="1" width="7.7109375" style="17" bestFit="1" customWidth="1"/>
    <col min="2" max="2" width="30.85546875" style="17" customWidth="1"/>
    <col min="3" max="3" width="14.28515625" style="17" hidden="1" customWidth="1" outlineLevel="1"/>
    <col min="4" max="4" width="0" style="17" hidden="1" customWidth="1" collapsed="1"/>
    <col min="5" max="5" width="3.85546875" style="17" hidden="1" customWidth="1"/>
    <col min="6" max="6" width="0" style="17" hidden="1" customWidth="1"/>
    <col min="7" max="7" width="3.85546875" style="17" hidden="1" customWidth="1"/>
    <col min="8" max="8" width="0" style="17" hidden="1" customWidth="1"/>
    <col min="9" max="9" width="9.140625" style="17"/>
    <col min="10" max="10" width="3.85546875" style="17" customWidth="1"/>
    <col min="11" max="11" width="0" style="17" hidden="1" customWidth="1"/>
    <col min="12" max="12" width="3.85546875" style="17" hidden="1" customWidth="1"/>
    <col min="13" max="13" width="9.140625" style="17"/>
    <col min="14" max="14" width="3.85546875" style="17" customWidth="1"/>
    <col min="15" max="15" width="11.7109375" style="17" hidden="1" customWidth="1"/>
    <col min="16" max="16" width="3.85546875" style="17" hidden="1" customWidth="1"/>
    <col min="17" max="17" width="6" style="17" hidden="1" customWidth="1"/>
    <col min="18" max="18" width="9.140625" style="17"/>
    <col min="19" max="19" width="6.42578125" style="17" customWidth="1"/>
    <col min="20" max="20" width="8.42578125" style="17" customWidth="1"/>
    <col min="21" max="21" width="19.5703125" style="17" hidden="1" customWidth="1"/>
    <col min="22" max="16384" width="9.140625" style="17"/>
  </cols>
  <sheetData>
    <row r="1" spans="1:21">
      <c r="A1" s="558" t="s">
        <v>8</v>
      </c>
      <c r="B1" s="558"/>
      <c r="C1" s="558"/>
      <c r="D1" s="558"/>
      <c r="E1" s="558"/>
      <c r="F1" s="558"/>
      <c r="G1" s="558"/>
      <c r="H1" s="558"/>
      <c r="I1" s="558"/>
      <c r="J1" s="558"/>
      <c r="K1" s="558"/>
      <c r="L1" s="558"/>
      <c r="M1" s="558"/>
      <c r="N1" s="558"/>
      <c r="O1" s="558"/>
      <c r="P1" s="558"/>
      <c r="Q1" s="558"/>
      <c r="R1" s="558"/>
      <c r="S1" s="558"/>
      <c r="T1" s="558"/>
    </row>
    <row r="2" spans="1:21">
      <c r="A2" s="559" t="s">
        <v>487</v>
      </c>
      <c r="B2" s="559"/>
      <c r="C2" s="559"/>
      <c r="D2" s="559"/>
      <c r="E2" s="559"/>
      <c r="F2" s="559"/>
      <c r="G2" s="559"/>
      <c r="H2" s="559"/>
      <c r="I2" s="559"/>
      <c r="J2" s="559"/>
      <c r="K2" s="559"/>
      <c r="L2" s="559"/>
      <c r="M2" s="559"/>
      <c r="N2" s="559"/>
      <c r="O2" s="559"/>
      <c r="P2" s="559"/>
      <c r="Q2" s="559"/>
      <c r="R2" s="559"/>
      <c r="S2" s="559"/>
      <c r="T2" s="559"/>
    </row>
    <row r="3" spans="1:21">
      <c r="A3" s="560" t="s">
        <v>176</v>
      </c>
      <c r="B3" s="560"/>
      <c r="C3" s="560"/>
      <c r="D3" s="560"/>
      <c r="E3" s="560"/>
      <c r="F3" s="560"/>
      <c r="G3" s="560"/>
      <c r="H3" s="560"/>
      <c r="I3" s="560"/>
      <c r="J3" s="560"/>
      <c r="K3" s="560"/>
      <c r="L3" s="560"/>
      <c r="M3" s="560"/>
      <c r="N3" s="560"/>
      <c r="O3" s="560"/>
      <c r="P3" s="560"/>
      <c r="Q3" s="560"/>
      <c r="R3" s="560"/>
      <c r="S3" s="560"/>
      <c r="T3" s="560"/>
    </row>
    <row r="4" spans="1:21">
      <c r="A4" s="561" t="s">
        <v>92</v>
      </c>
      <c r="B4" s="561"/>
      <c r="C4" s="561"/>
      <c r="D4" s="561"/>
      <c r="E4" s="561"/>
      <c r="F4" s="561"/>
      <c r="G4" s="561"/>
      <c r="H4" s="561"/>
      <c r="I4" s="561"/>
      <c r="J4" s="561"/>
      <c r="K4" s="561"/>
      <c r="L4" s="561"/>
      <c r="M4" s="561"/>
      <c r="N4" s="561"/>
      <c r="O4" s="561"/>
      <c r="P4" s="561"/>
      <c r="Q4" s="561"/>
      <c r="R4" s="561"/>
      <c r="S4" s="561"/>
      <c r="T4" s="561"/>
    </row>
    <row r="5" spans="1:21">
      <c r="F5" s="155" t="s">
        <v>152</v>
      </c>
      <c r="G5" s="32"/>
      <c r="H5" s="32"/>
      <c r="I5" s="32"/>
      <c r="J5" s="32"/>
      <c r="K5" s="155" t="s">
        <v>152</v>
      </c>
      <c r="U5" s="155" t="s">
        <v>152</v>
      </c>
    </row>
    <row r="6" spans="1:21">
      <c r="O6" s="565" t="s">
        <v>36</v>
      </c>
      <c r="P6" s="565"/>
      <c r="Q6" s="565"/>
      <c r="R6" s="565"/>
      <c r="S6" s="565"/>
      <c r="U6" s="156"/>
    </row>
    <row r="7" spans="1:21">
      <c r="D7" s="84" t="s">
        <v>27</v>
      </c>
      <c r="E7" s="100"/>
      <c r="F7" s="99">
        <v>2014</v>
      </c>
      <c r="G7" s="100"/>
      <c r="H7" s="84" t="str">
        <f>'GI-28 Doc 2.2'!H7</f>
        <v>(4+8)</v>
      </c>
      <c r="I7" s="83" t="s">
        <v>153</v>
      </c>
      <c r="J7" s="100"/>
      <c r="K7" s="99">
        <v>2015</v>
      </c>
      <c r="L7" s="98"/>
      <c r="M7" s="83" t="s">
        <v>153</v>
      </c>
      <c r="O7" s="564" t="str">
        <f>'GI-28 Doc 2.2'!O7:Q7</f>
        <v>2015 (4+8)</v>
      </c>
      <c r="P7" s="564"/>
      <c r="Q7" s="564"/>
      <c r="R7" s="564" t="str">
        <f>'GI-28 Doc 2.2'!R7:S7</f>
        <v>Cause 2016</v>
      </c>
      <c r="S7" s="564"/>
      <c r="U7" s="159" t="s">
        <v>155</v>
      </c>
    </row>
    <row r="8" spans="1:21">
      <c r="D8" s="84">
        <v>2014</v>
      </c>
      <c r="E8" s="100"/>
      <c r="F8" s="101" t="s">
        <v>28</v>
      </c>
      <c r="G8" s="100"/>
      <c r="H8" s="84">
        <v>2015</v>
      </c>
      <c r="I8" s="85">
        <v>2005</v>
      </c>
      <c r="J8" s="100"/>
      <c r="K8" s="101" t="s">
        <v>28</v>
      </c>
      <c r="L8" s="98"/>
      <c r="M8" s="85">
        <v>2016</v>
      </c>
      <c r="N8" s="161"/>
      <c r="O8" s="564" t="str">
        <f>'GI-28 Doc 2.2'!O8:Q8</f>
        <v>vs Réel 2014</v>
      </c>
      <c r="P8" s="564"/>
      <c r="Q8" s="564"/>
      <c r="R8" s="564" t="str">
        <f>'GI-28 Doc 2.2'!R8:S8</f>
        <v>vs Cause 2005</v>
      </c>
      <c r="S8" s="564"/>
      <c r="U8" s="159" t="s">
        <v>156</v>
      </c>
    </row>
    <row r="9" spans="1:21" ht="16.5" thickBot="1">
      <c r="D9" s="162" t="s">
        <v>31</v>
      </c>
      <c r="E9" s="158"/>
      <c r="F9" s="162" t="s">
        <v>31</v>
      </c>
      <c r="G9" s="158"/>
      <c r="H9" s="162" t="s">
        <v>31</v>
      </c>
      <c r="I9" s="87" t="s">
        <v>31</v>
      </c>
      <c r="J9" s="158"/>
      <c r="K9" s="162" t="s">
        <v>31</v>
      </c>
      <c r="M9" s="163" t="s">
        <v>31</v>
      </c>
      <c r="N9" s="164"/>
      <c r="O9" s="165" t="s">
        <v>31</v>
      </c>
      <c r="P9" s="165"/>
      <c r="Q9" s="165" t="s">
        <v>52</v>
      </c>
      <c r="R9" s="165" t="s">
        <v>31</v>
      </c>
      <c r="S9" s="165" t="s">
        <v>52</v>
      </c>
      <c r="U9" s="165" t="s">
        <v>31</v>
      </c>
    </row>
    <row r="10" spans="1:21">
      <c r="D10" s="32">
        <v>1</v>
      </c>
      <c r="E10" s="32"/>
      <c r="F10" s="32"/>
      <c r="G10" s="32"/>
      <c r="H10" s="32">
        <v>2</v>
      </c>
      <c r="I10" s="105">
        <v>1</v>
      </c>
      <c r="J10" s="32"/>
      <c r="K10" s="32"/>
      <c r="L10" s="32"/>
      <c r="M10" s="32">
        <v>2</v>
      </c>
      <c r="N10" s="166"/>
      <c r="O10" s="166" t="s">
        <v>199</v>
      </c>
      <c r="P10" s="166"/>
      <c r="Q10" s="166">
        <v>5</v>
      </c>
      <c r="R10" s="166" t="s">
        <v>488</v>
      </c>
      <c r="S10" s="166">
        <v>4</v>
      </c>
      <c r="T10"/>
      <c r="U10" s="167">
        <v>8</v>
      </c>
    </row>
    <row r="11" spans="1:21">
      <c r="D11" s="32"/>
      <c r="E11" s="32"/>
      <c r="F11" s="32"/>
      <c r="G11" s="32"/>
      <c r="H11" s="32"/>
      <c r="I11" s="32"/>
      <c r="J11" s="32"/>
      <c r="K11" s="32"/>
      <c r="L11" s="32"/>
      <c r="M11" s="32"/>
      <c r="N11" s="166"/>
      <c r="O11" s="166"/>
      <c r="P11" s="166"/>
      <c r="Q11" s="166"/>
      <c r="R11" s="166"/>
      <c r="S11" s="166"/>
      <c r="T11"/>
      <c r="U11" s="167"/>
    </row>
    <row r="12" spans="1:21" ht="16.5" thickBot="1">
      <c r="A12" s="59">
        <v>1</v>
      </c>
      <c r="B12" s="58" t="s">
        <v>0</v>
      </c>
      <c r="C12" s="57"/>
      <c r="D12" s="24">
        <f>'25430'!D16+'25432'!D16+'25434'!D16+'25436'!D16+'25451'!D16</f>
        <v>608.39908000000003</v>
      </c>
      <c r="E12" s="32"/>
      <c r="F12" s="24">
        <f>'25430'!F16+'25432'!F16+'25434'!F16+'25436'!F16+'25451'!F16</f>
        <v>661.22399999999993</v>
      </c>
      <c r="G12" s="32"/>
      <c r="H12" s="24">
        <f>'25430'!H16+'25432'!H16+'25434'!H16+'25436'!H16+'25451'!H16</f>
        <v>681.23900000000003</v>
      </c>
      <c r="I12" s="24">
        <v>429.5</v>
      </c>
      <c r="J12" s="232" t="s">
        <v>38</v>
      </c>
      <c r="K12" s="24">
        <f>'25430'!J16+'25432'!J16+'25434'!J16+'25436'!J16+'25451'!J16</f>
        <v>658.59500000000003</v>
      </c>
      <c r="L12" s="32"/>
      <c r="M12" s="24">
        <f>'25430'!L16+'25432'!L16+'25434'!L16+'25436'!L16+'25451'!L16</f>
        <v>759.18399999999997</v>
      </c>
      <c r="N12" s="232" t="s">
        <v>40</v>
      </c>
      <c r="O12" s="24">
        <f>H12-D12</f>
        <v>72.839920000000006</v>
      </c>
      <c r="P12" s="232" t="s">
        <v>38</v>
      </c>
      <c r="Q12" s="108">
        <f>IF(D12&gt;0,O12/D12,0)</f>
        <v>0.11972391542735404</v>
      </c>
      <c r="R12" s="24">
        <f>M12-I12</f>
        <v>329.68399999999997</v>
      </c>
      <c r="S12" s="108">
        <f>IF(I12&gt;0,R12/I12,0)</f>
        <v>0.76759953434225836</v>
      </c>
    </row>
    <row r="13" spans="1:21" ht="16.5" thickTop="1">
      <c r="A13" s="57"/>
      <c r="B13" s="57"/>
      <c r="C13" s="57"/>
      <c r="E13" s="32"/>
      <c r="G13" s="32"/>
      <c r="J13" s="32"/>
      <c r="L13" s="32"/>
    </row>
    <row r="14" spans="1:21">
      <c r="A14" s="61"/>
      <c r="B14" s="62"/>
      <c r="C14" s="57"/>
      <c r="D14" s="20"/>
      <c r="E14" s="32"/>
      <c r="F14" s="20"/>
      <c r="L14" s="32"/>
    </row>
    <row r="15" spans="1:21">
      <c r="A15" s="61"/>
      <c r="B15" s="58" t="s">
        <v>3</v>
      </c>
      <c r="C15" s="57"/>
      <c r="D15" s="20"/>
      <c r="E15" s="20"/>
      <c r="F15" s="20"/>
    </row>
    <row r="16" spans="1:21">
      <c r="A16" s="61"/>
      <c r="B16" s="57"/>
      <c r="C16" s="57"/>
      <c r="D16" s="20"/>
      <c r="E16" s="20"/>
      <c r="F16" s="20"/>
    </row>
    <row r="17" spans="1:19">
      <c r="A17" s="59">
        <v>2</v>
      </c>
      <c r="B17" s="60" t="s">
        <v>159</v>
      </c>
      <c r="C17" s="57" t="s">
        <v>89</v>
      </c>
      <c r="D17" s="20">
        <f>'25436'!D24+'25451'!D26</f>
        <v>244.04578000000001</v>
      </c>
      <c r="E17" s="20"/>
      <c r="F17" s="20">
        <f>'25436'!F24+'25451'!F26</f>
        <v>316.57299999999998</v>
      </c>
      <c r="H17" s="20">
        <f>'25436'!H24+'25451'!H26</f>
        <v>307.14100000000002</v>
      </c>
      <c r="I17" s="20">
        <v>155.1</v>
      </c>
      <c r="K17" s="20">
        <f>'25436'!J24+'25451'!J26</f>
        <v>307.14</v>
      </c>
      <c r="M17" s="20">
        <f>'25436'!L24+'25451'!L26</f>
        <v>373.87900000000002</v>
      </c>
      <c r="N17" s="232"/>
      <c r="O17" s="20">
        <f>H17-D17</f>
        <v>63.095220000000012</v>
      </c>
      <c r="Q17" s="108">
        <f>IF(D17&gt;0,O17/D17,0)</f>
        <v>0.2585384594644497</v>
      </c>
      <c r="R17" s="20">
        <f>M17-I17</f>
        <v>218.77900000000002</v>
      </c>
      <c r="S17" s="108">
        <f>IF(I17&gt;0,R17/I17,0)</f>
        <v>1.4105673758865251</v>
      </c>
    </row>
    <row r="18" spans="1:19">
      <c r="A18" s="61"/>
      <c r="B18" s="57"/>
      <c r="C18" s="57"/>
      <c r="D18" s="20"/>
      <c r="E18" s="20"/>
      <c r="F18" s="20"/>
      <c r="O18" s="20"/>
      <c r="Q18" s="108"/>
      <c r="R18" s="20"/>
      <c r="S18" s="108"/>
    </row>
    <row r="19" spans="1:19">
      <c r="A19" s="59">
        <v>3</v>
      </c>
      <c r="B19" s="60" t="s">
        <v>13</v>
      </c>
      <c r="C19" s="57">
        <v>25432</v>
      </c>
      <c r="D19" s="354">
        <f>'25432'!D24-2.132</f>
        <v>6.2797600000000102</v>
      </c>
      <c r="E19" s="20"/>
      <c r="F19" s="20">
        <f>'25432'!F24</f>
        <v>10.225</v>
      </c>
      <c r="H19" s="20">
        <f>'25432'!H24</f>
        <v>11.786</v>
      </c>
      <c r="I19" s="20">
        <v>29.4</v>
      </c>
      <c r="K19" s="20">
        <f>'25432'!J24</f>
        <v>12.311</v>
      </c>
      <c r="M19" s="20">
        <f>'25432'!L24</f>
        <v>17.024000000000001</v>
      </c>
      <c r="N19" s="232"/>
      <c r="O19" s="20">
        <f t="shared" ref="O19:O23" si="0">H19-D19</f>
        <v>5.5062399999999894</v>
      </c>
      <c r="Q19" s="108">
        <f>IF(D19&gt;0,O19/D19,0)</f>
        <v>0.87682331808858627</v>
      </c>
      <c r="R19" s="20">
        <f t="shared" ref="R19:R23" si="1">M19-I19</f>
        <v>-12.375999999999998</v>
      </c>
      <c r="S19" s="108">
        <f>IF(I19&gt;0,R19/I19,0)</f>
        <v>-0.42095238095238091</v>
      </c>
    </row>
    <row r="20" spans="1:19">
      <c r="A20" s="61"/>
      <c r="B20" s="57"/>
      <c r="C20" s="57"/>
      <c r="D20" s="20"/>
      <c r="E20" s="20"/>
      <c r="F20" s="20"/>
      <c r="O20" s="20"/>
      <c r="P20" s="20"/>
      <c r="Q20" s="108"/>
      <c r="R20" s="20"/>
      <c r="S20" s="108"/>
    </row>
    <row r="21" spans="1:19">
      <c r="A21" s="59">
        <v>4</v>
      </c>
      <c r="B21" s="60" t="s">
        <v>14</v>
      </c>
      <c r="C21" s="57">
        <v>25434</v>
      </c>
      <c r="D21" s="20">
        <f>'25434'!D24</f>
        <v>33.698960000000007</v>
      </c>
      <c r="E21" s="20"/>
      <c r="F21" s="20">
        <f>'25434'!F24</f>
        <v>36.351999999999997</v>
      </c>
      <c r="H21" s="20">
        <f>'25434'!H24</f>
        <v>22.57</v>
      </c>
      <c r="I21" s="20">
        <v>38.5</v>
      </c>
      <c r="K21" s="20">
        <f>'25434'!J24</f>
        <v>21.475999999999999</v>
      </c>
      <c r="M21" s="20">
        <f>'25434'!L24</f>
        <v>36.881</v>
      </c>
      <c r="N21" s="232"/>
      <c r="O21" s="20">
        <f>H21-D21</f>
        <v>-11.128960000000006</v>
      </c>
      <c r="Q21" s="108">
        <f t="shared" ref="Q21:Q23" si="2">IF(D21&gt;0,O21/D21,0)</f>
        <v>-0.33024639336050737</v>
      </c>
      <c r="R21" s="20">
        <f t="shared" si="1"/>
        <v>-1.6189999999999998</v>
      </c>
      <c r="S21" s="108">
        <f>IF(I21&gt;0,R21/I21,0)</f>
        <v>-4.2051948051948049E-2</v>
      </c>
    </row>
    <row r="22" spans="1:19">
      <c r="A22" s="61"/>
      <c r="B22" s="57"/>
      <c r="C22" s="57"/>
      <c r="D22" s="20"/>
      <c r="E22" s="20"/>
      <c r="F22" s="20"/>
      <c r="O22" s="20"/>
      <c r="P22" s="20"/>
      <c r="Q22" s="108"/>
      <c r="R22" s="20"/>
      <c r="S22" s="108"/>
    </row>
    <row r="23" spans="1:19">
      <c r="A23" s="59">
        <v>5</v>
      </c>
      <c r="B23" s="60" t="s">
        <v>332</v>
      </c>
      <c r="C23" s="57">
        <v>25430</v>
      </c>
      <c r="D23" s="30">
        <f>'25430'!D24</f>
        <v>9.5364399999999439</v>
      </c>
      <c r="E23" s="20"/>
      <c r="F23" s="30">
        <f>'25430'!F24</f>
        <v>21.494994999999996</v>
      </c>
      <c r="H23" s="30">
        <f>'25430'!H24</f>
        <v>8.9939999999999998</v>
      </c>
      <c r="I23" s="30">
        <v>36.9</v>
      </c>
      <c r="K23" s="30">
        <f>'25430'!J24</f>
        <v>8.8279999999999994</v>
      </c>
      <c r="M23" s="30">
        <f>'25430'!L24</f>
        <v>14.4</v>
      </c>
      <c r="N23" s="232"/>
      <c r="O23" s="20">
        <f t="shared" si="0"/>
        <v>-0.54243999999994408</v>
      </c>
      <c r="P23" s="232"/>
      <c r="Q23" s="108">
        <f t="shared" si="2"/>
        <v>-5.6880764729809789E-2</v>
      </c>
      <c r="R23" s="20">
        <f t="shared" si="1"/>
        <v>-22.5</v>
      </c>
      <c r="S23" s="108">
        <f>IF(I23&gt;0,R23/I23,0)</f>
        <v>-0.6097560975609756</v>
      </c>
    </row>
    <row r="24" spans="1:19">
      <c r="A24" s="61"/>
      <c r="B24" s="57"/>
      <c r="C24" s="57"/>
      <c r="D24" s="20"/>
      <c r="E24" s="20"/>
      <c r="F24" s="20"/>
      <c r="O24" s="42"/>
      <c r="P24" s="40"/>
      <c r="R24" s="42"/>
    </row>
    <row r="25" spans="1:19" ht="16.5" thickBot="1">
      <c r="A25" s="59">
        <v>6</v>
      </c>
      <c r="B25" s="58" t="s">
        <v>12</v>
      </c>
      <c r="C25" s="57"/>
      <c r="D25" s="24">
        <f>SUM(D17:D23)</f>
        <v>293.56094000000002</v>
      </c>
      <c r="E25" s="20"/>
      <c r="F25" s="24">
        <f t="shared" ref="F25:M25" si="3">SUM(F17:F23)</f>
        <v>384.64499499999999</v>
      </c>
      <c r="H25" s="24">
        <f t="shared" si="3"/>
        <v>350.49099999999999</v>
      </c>
      <c r="I25" s="24">
        <f t="shared" si="3"/>
        <v>259.89999999999998</v>
      </c>
      <c r="J25" s="232" t="s">
        <v>39</v>
      </c>
      <c r="K25" s="24">
        <f t="shared" si="3"/>
        <v>349.75499999999994</v>
      </c>
      <c r="M25" s="24">
        <f t="shared" si="3"/>
        <v>442.18399999999997</v>
      </c>
      <c r="N25" s="232" t="s">
        <v>41</v>
      </c>
      <c r="O25" s="24">
        <f>SUM(O17:O23)</f>
        <v>56.930060000000054</v>
      </c>
      <c r="P25" s="232" t="s">
        <v>39</v>
      </c>
      <c r="Q25" s="108">
        <f>IF(D25&gt;0,O25/D25,0)</f>
        <v>0.19392927410574462</v>
      </c>
      <c r="R25" s="24">
        <f>SUM(R17:R23)</f>
        <v>182.28400000000002</v>
      </c>
      <c r="S25" s="108">
        <f>IF(I25&gt;0,R25/I25,0)</f>
        <v>0.7013620623316662</v>
      </c>
    </row>
    <row r="26" spans="1:19" ht="16.5" thickTop="1">
      <c r="A26" s="61"/>
      <c r="B26" s="62"/>
      <c r="C26" s="57"/>
      <c r="D26" s="20"/>
      <c r="E26" s="20"/>
      <c r="F26" s="20"/>
    </row>
    <row r="27" spans="1:19" ht="16.5" hidden="1" thickBot="1">
      <c r="A27" s="59">
        <v>10</v>
      </c>
      <c r="B27" s="58" t="s">
        <v>15</v>
      </c>
      <c r="C27" s="57"/>
      <c r="D27" s="24" t="e">
        <f>#REF!+D25</f>
        <v>#REF!</v>
      </c>
      <c r="E27" s="20"/>
      <c r="F27" s="24" t="e">
        <f>#REF!+F25</f>
        <v>#REF!</v>
      </c>
      <c r="H27" s="28" t="e">
        <f>#REF!/D27</f>
        <v>#REF!</v>
      </c>
      <c r="I27" s="28"/>
    </row>
    <row r="34" spans="1:19">
      <c r="A34" s="548" t="s">
        <v>73</v>
      </c>
      <c r="B34" s="548" t="s">
        <v>544</v>
      </c>
    </row>
    <row r="35" spans="1:19">
      <c r="A35" s="548"/>
      <c r="B35" s="549" t="s">
        <v>541</v>
      </c>
    </row>
    <row r="36" spans="1:19">
      <c r="A36" s="548"/>
      <c r="B36" s="548" t="s">
        <v>545</v>
      </c>
    </row>
    <row r="37" spans="1:19">
      <c r="A37" s="548"/>
      <c r="B37" s="549" t="s">
        <v>541</v>
      </c>
    </row>
    <row r="38" spans="1:19">
      <c r="A38" s="548"/>
      <c r="B38" s="548" t="s">
        <v>498</v>
      </c>
    </row>
    <row r="39" spans="1:19">
      <c r="A39" s="548"/>
      <c r="B39" s="548" t="s">
        <v>499</v>
      </c>
    </row>
    <row r="47" spans="1:19">
      <c r="S47" s="15" t="str">
        <f>'GI-28 Doc 1.1'!R65</f>
        <v>GI-28</v>
      </c>
    </row>
    <row r="48" spans="1:19">
      <c r="S48" s="15" t="s">
        <v>497</v>
      </c>
    </row>
    <row r="49" spans="1:19">
      <c r="S49" s="15" t="s">
        <v>51</v>
      </c>
    </row>
    <row r="50" spans="1:19">
      <c r="A50" s="17" t="str">
        <f>'GI-28 Doc 1.1'!A68</f>
        <v>Original: 2015-09-09</v>
      </c>
      <c r="S50" s="15" t="str">
        <f>'GI-28 Doc 1.1'!R68</f>
        <v>Requête 3924-2015</v>
      </c>
    </row>
  </sheetData>
  <mergeCells count="9">
    <mergeCell ref="O8:Q8"/>
    <mergeCell ref="R8:S8"/>
    <mergeCell ref="O6:S6"/>
    <mergeCell ref="A1:T1"/>
    <mergeCell ref="A2:T2"/>
    <mergeCell ref="A3:T3"/>
    <mergeCell ref="A4:T4"/>
    <mergeCell ref="O7:Q7"/>
    <mergeCell ref="R7:S7"/>
  </mergeCells>
  <printOptions horizontalCentered="1"/>
  <pageMargins left="0.36" right="0.47" top="0.984251969" bottom="0.5" header="0.38" footer="0.25"/>
  <pageSetup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Z66"/>
  <sheetViews>
    <sheetView topLeftCell="A40" zoomScaleNormal="100" workbookViewId="0">
      <selection activeCell="B34" sqref="B34"/>
    </sheetView>
  </sheetViews>
  <sheetFormatPr baseColWidth="10" defaultColWidth="9.140625" defaultRowHeight="15.75"/>
  <cols>
    <col min="1" max="1" width="3.7109375" style="32" customWidth="1"/>
    <col min="2" max="2" width="29.85546875" style="17" customWidth="1"/>
    <col min="3" max="3" width="28.5703125" style="17" customWidth="1"/>
    <col min="4" max="6" width="9.140625" style="17"/>
    <col min="7" max="8" width="9.5703125" style="17" bestFit="1" customWidth="1"/>
    <col min="9" max="9" width="9.140625" style="17"/>
    <col min="10" max="10" width="6.85546875" style="17" customWidth="1"/>
    <col min="11" max="11" width="9.140625" style="17" customWidth="1"/>
    <col min="12" max="12" width="3.140625" style="17" customWidth="1"/>
    <col min="13" max="13" width="9.140625" style="17" customWidth="1"/>
    <col min="14" max="16384" width="9.140625" style="17"/>
  </cols>
  <sheetData>
    <row r="1" spans="1:13">
      <c r="B1" s="9" t="s">
        <v>8</v>
      </c>
      <c r="C1" s="16"/>
      <c r="D1" s="16"/>
      <c r="E1" s="16"/>
      <c r="F1" s="16"/>
      <c r="G1" s="16"/>
      <c r="H1" s="16"/>
      <c r="I1" s="16"/>
      <c r="J1" s="16"/>
      <c r="K1" s="16"/>
      <c r="L1" s="16"/>
      <c r="M1" s="16"/>
    </row>
    <row r="2" spans="1:13">
      <c r="B2" s="10" t="s">
        <v>9</v>
      </c>
      <c r="C2" s="16"/>
      <c r="D2" s="16"/>
      <c r="E2" s="16"/>
      <c r="F2" s="16"/>
      <c r="G2" s="16"/>
      <c r="H2" s="16"/>
      <c r="I2" s="16"/>
      <c r="J2" s="16"/>
      <c r="K2" s="16"/>
      <c r="L2" s="16"/>
      <c r="M2" s="16"/>
    </row>
    <row r="3" spans="1:13">
      <c r="B3" s="11" t="s">
        <v>175</v>
      </c>
      <c r="C3" s="16"/>
      <c r="D3" s="16"/>
      <c r="E3" s="16"/>
      <c r="F3" s="16"/>
      <c r="G3" s="16"/>
      <c r="H3" s="16"/>
      <c r="I3" s="16"/>
      <c r="J3" s="16"/>
      <c r="K3" s="16"/>
      <c r="L3" s="16"/>
      <c r="M3" s="16"/>
    </row>
    <row r="4" spans="1:13">
      <c r="B4" s="12" t="s">
        <v>92</v>
      </c>
      <c r="C4" s="16"/>
      <c r="D4" s="16"/>
      <c r="E4" s="16"/>
      <c r="F4" s="16"/>
      <c r="G4" s="16"/>
      <c r="H4" s="16"/>
      <c r="I4" s="16"/>
      <c r="J4" s="16"/>
      <c r="K4" s="16"/>
      <c r="L4" s="16"/>
      <c r="M4" s="226"/>
    </row>
    <row r="5" spans="1:13">
      <c r="K5" s="234"/>
    </row>
    <row r="7" spans="1:13">
      <c r="B7" s="242" t="s">
        <v>201</v>
      </c>
    </row>
    <row r="8" spans="1:13">
      <c r="B8" s="242"/>
    </row>
    <row r="9" spans="1:13">
      <c r="A9" s="32">
        <v>1</v>
      </c>
      <c r="B9" s="55" t="s">
        <v>0</v>
      </c>
    </row>
    <row r="10" spans="1:13">
      <c r="L10" s="234"/>
    </row>
    <row r="11" spans="1:13" ht="18.75" customHeight="1">
      <c r="B11" s="566" t="s">
        <v>331</v>
      </c>
      <c r="C11" s="566"/>
      <c r="D11" s="566"/>
      <c r="E11" s="566"/>
      <c r="F11" s="566"/>
      <c r="G11" s="566"/>
      <c r="H11" s="566"/>
      <c r="I11" s="566"/>
      <c r="J11" s="566"/>
      <c r="L11" s="234"/>
    </row>
    <row r="12" spans="1:13" ht="16.5" thickBot="1">
      <c r="B12" s="566"/>
      <c r="C12" s="566"/>
      <c r="D12" s="566"/>
      <c r="E12" s="566"/>
      <c r="F12" s="566"/>
      <c r="G12" s="566"/>
      <c r="H12" s="566"/>
      <c r="I12" s="566"/>
      <c r="J12" s="566"/>
      <c r="L12" s="236"/>
      <c r="M12" s="235">
        <v>72.8</v>
      </c>
    </row>
    <row r="13" spans="1:13" ht="16.5" thickTop="1">
      <c r="M13" s="234"/>
    </row>
    <row r="14" spans="1:13">
      <c r="A14" s="32">
        <v>2</v>
      </c>
      <c r="B14" s="55" t="s">
        <v>3</v>
      </c>
      <c r="M14" s="234"/>
    </row>
    <row r="15" spans="1:13">
      <c r="B15" s="55"/>
      <c r="M15" s="234"/>
    </row>
    <row r="16" spans="1:13">
      <c r="B16" s="566" t="s">
        <v>333</v>
      </c>
      <c r="C16" s="566"/>
      <c r="D16" s="566"/>
      <c r="E16" s="566"/>
      <c r="F16" s="566"/>
      <c r="G16" s="566"/>
      <c r="H16" s="566"/>
      <c r="I16" s="566"/>
      <c r="M16" s="234"/>
    </row>
    <row r="17" spans="2:20">
      <c r="B17" s="566"/>
      <c r="C17" s="566"/>
      <c r="D17" s="566"/>
      <c r="E17" s="566"/>
      <c r="F17" s="566"/>
      <c r="G17" s="566"/>
      <c r="H17" s="566"/>
      <c r="I17" s="566"/>
      <c r="K17" s="17">
        <v>20</v>
      </c>
      <c r="M17" s="234"/>
    </row>
    <row r="18" spans="2:20">
      <c r="B18" s="55"/>
      <c r="M18" s="234"/>
    </row>
    <row r="19" spans="2:20">
      <c r="B19" s="566" t="s">
        <v>334</v>
      </c>
      <c r="C19" s="566"/>
      <c r="D19" s="566"/>
      <c r="E19" s="566"/>
      <c r="F19" s="566"/>
      <c r="G19" s="566"/>
      <c r="H19" s="566"/>
      <c r="I19" s="566"/>
      <c r="M19" s="234"/>
    </row>
    <row r="20" spans="2:20" ht="32.25" customHeight="1">
      <c r="B20" s="566"/>
      <c r="C20" s="566"/>
      <c r="D20" s="566"/>
      <c r="E20" s="566"/>
      <c r="F20" s="566"/>
      <c r="G20" s="566"/>
      <c r="H20" s="566"/>
      <c r="I20" s="566"/>
      <c r="K20" s="17">
        <v>5</v>
      </c>
      <c r="M20" s="234"/>
    </row>
    <row r="21" spans="2:20">
      <c r="B21" s="55"/>
      <c r="M21" s="234"/>
    </row>
    <row r="22" spans="2:20">
      <c r="B22" s="566" t="s">
        <v>352</v>
      </c>
      <c r="C22" s="566"/>
      <c r="D22" s="566"/>
      <c r="E22" s="566"/>
      <c r="F22" s="566"/>
      <c r="G22" s="566"/>
      <c r="H22" s="566"/>
      <c r="I22" s="566"/>
      <c r="M22" s="234"/>
      <c r="O22" s="158"/>
      <c r="P22" s="158"/>
      <c r="Q22" s="158"/>
      <c r="R22" s="158"/>
      <c r="S22" s="158"/>
      <c r="T22" s="158"/>
    </row>
    <row r="23" spans="2:20">
      <c r="B23" s="566"/>
      <c r="C23" s="566"/>
      <c r="D23" s="566"/>
      <c r="E23" s="566"/>
      <c r="F23" s="566"/>
      <c r="G23" s="566"/>
      <c r="H23" s="566"/>
      <c r="I23" s="566"/>
      <c r="K23" s="17">
        <v>24</v>
      </c>
      <c r="M23" s="234"/>
    </row>
    <row r="24" spans="2:20">
      <c r="B24" s="55"/>
      <c r="M24" s="234"/>
    </row>
    <row r="25" spans="2:20">
      <c r="B25" s="566" t="s">
        <v>335</v>
      </c>
      <c r="C25" s="566"/>
      <c r="D25" s="566"/>
      <c r="E25" s="566"/>
      <c r="F25" s="566"/>
      <c r="G25" s="566"/>
      <c r="H25" s="566"/>
      <c r="I25" s="566"/>
      <c r="M25" s="234"/>
    </row>
    <row r="26" spans="2:20">
      <c r="B26" s="566"/>
      <c r="C26" s="566"/>
      <c r="D26" s="566"/>
      <c r="E26" s="566"/>
      <c r="F26" s="566"/>
      <c r="G26" s="566"/>
      <c r="H26" s="566"/>
      <c r="I26" s="566"/>
      <c r="K26" s="17">
        <v>5</v>
      </c>
      <c r="M26" s="234"/>
    </row>
    <row r="27" spans="2:20">
      <c r="B27" s="405"/>
      <c r="C27" s="405"/>
      <c r="D27" s="405"/>
      <c r="E27" s="405"/>
      <c r="F27" s="405"/>
      <c r="G27" s="405"/>
      <c r="H27" s="405"/>
      <c r="I27" s="405"/>
      <c r="M27" s="234"/>
    </row>
    <row r="28" spans="2:20" ht="16.5" customHeight="1">
      <c r="B28" s="566" t="s">
        <v>340</v>
      </c>
      <c r="C28" s="566"/>
      <c r="D28" s="566"/>
      <c r="E28" s="566"/>
      <c r="F28" s="566"/>
      <c r="G28" s="566"/>
      <c r="H28" s="566"/>
      <c r="I28" s="566"/>
      <c r="K28" s="17">
        <v>9.5</v>
      </c>
      <c r="M28" s="234"/>
    </row>
    <row r="29" spans="2:20">
      <c r="K29" s="245"/>
    </row>
    <row r="30" spans="2:20" ht="16.5" thickBot="1">
      <c r="B30" s="17" t="s">
        <v>336</v>
      </c>
      <c r="K30" s="245">
        <f>-8.7+2.1</f>
        <v>-6.6</v>
      </c>
      <c r="M30" s="235">
        <f>SUM(K16:K30)</f>
        <v>56.9</v>
      </c>
      <c r="N30" s="158"/>
      <c r="O30" s="514"/>
      <c r="P30" s="158"/>
    </row>
    <row r="31" spans="2:20" ht="16.5" thickTop="1">
      <c r="K31" s="245"/>
    </row>
    <row r="32" spans="2:20">
      <c r="K32" s="245"/>
    </row>
    <row r="33" spans="1:26">
      <c r="A33" s="164"/>
      <c r="B33" s="40"/>
      <c r="C33" s="40"/>
      <c r="D33" s="40"/>
      <c r="E33" s="40"/>
      <c r="F33" s="40"/>
      <c r="G33" s="40"/>
      <c r="H33" s="40"/>
      <c r="I33" s="40"/>
      <c r="J33" s="40"/>
      <c r="K33" s="40"/>
      <c r="L33" s="40"/>
      <c r="M33" s="40"/>
      <c r="N33" s="40"/>
      <c r="O33" s="40"/>
      <c r="P33" s="246"/>
      <c r="Q33" s="40"/>
      <c r="R33" s="40"/>
      <c r="S33" s="40"/>
      <c r="T33" s="40"/>
      <c r="U33" s="40"/>
      <c r="V33" s="40"/>
      <c r="W33" s="40"/>
      <c r="X33" s="40"/>
      <c r="Y33" s="40"/>
      <c r="Z33" s="40"/>
    </row>
    <row r="34" spans="1:26">
      <c r="A34" s="17"/>
      <c r="B34" s="242" t="s">
        <v>202</v>
      </c>
      <c r="P34" s="158"/>
    </row>
    <row r="35" spans="1:26">
      <c r="A35" s="17"/>
      <c r="B35" s="242"/>
      <c r="P35" s="158"/>
    </row>
    <row r="36" spans="1:26">
      <c r="A36" s="32">
        <v>3</v>
      </c>
      <c r="B36" s="55" t="s">
        <v>0</v>
      </c>
    </row>
    <row r="38" spans="1:26" ht="67.5" customHeight="1">
      <c r="B38" s="566" t="s">
        <v>337</v>
      </c>
      <c r="C38" s="566"/>
      <c r="D38" s="566"/>
      <c r="E38" s="566"/>
      <c r="F38" s="566"/>
      <c r="G38" s="566"/>
      <c r="H38" s="566"/>
      <c r="I38" s="566"/>
      <c r="J38" s="566"/>
    </row>
    <row r="39" spans="1:26" ht="16.5" thickBot="1">
      <c r="B39" s="566"/>
      <c r="C39" s="566"/>
      <c r="D39" s="566"/>
      <c r="E39" s="566"/>
      <c r="F39" s="566"/>
      <c r="G39" s="566"/>
      <c r="H39" s="566"/>
      <c r="I39" s="566"/>
      <c r="J39" s="566"/>
      <c r="M39" s="235">
        <v>77.900000000000006</v>
      </c>
    </row>
    <row r="40" spans="1:26" ht="16.5" customHeight="1" thickTop="1">
      <c r="M40" s="236"/>
    </row>
    <row r="41" spans="1:26">
      <c r="A41" s="32">
        <v>4</v>
      </c>
      <c r="B41" s="55" t="s">
        <v>3</v>
      </c>
      <c r="M41" s="236"/>
    </row>
    <row r="42" spans="1:26">
      <c r="B42" s="55"/>
      <c r="M42" s="236"/>
    </row>
    <row r="43" spans="1:26">
      <c r="B43" s="566" t="s">
        <v>381</v>
      </c>
      <c r="C43" s="566"/>
      <c r="D43" s="566"/>
      <c r="E43" s="566"/>
      <c r="F43" s="566"/>
      <c r="G43" s="566"/>
      <c r="H43" s="566"/>
      <c r="I43" s="566"/>
      <c r="J43" s="566"/>
      <c r="M43" s="236"/>
    </row>
    <row r="44" spans="1:26" ht="33" customHeight="1">
      <c r="B44" s="566"/>
      <c r="C44" s="566"/>
      <c r="D44" s="566"/>
      <c r="E44" s="566"/>
      <c r="F44" s="566"/>
      <c r="G44" s="566"/>
      <c r="H44" s="566"/>
      <c r="I44" s="566"/>
      <c r="J44" s="566"/>
      <c r="M44" s="236"/>
    </row>
    <row r="45" spans="1:26">
      <c r="B45" s="55"/>
      <c r="D45" s="410" t="s">
        <v>341</v>
      </c>
      <c r="E45" s="410" t="s">
        <v>342</v>
      </c>
      <c r="F45" s="410" t="s">
        <v>343</v>
      </c>
      <c r="G45" s="410" t="s">
        <v>228</v>
      </c>
      <c r="H45" s="411" t="s">
        <v>438</v>
      </c>
      <c r="I45" s="412" t="s">
        <v>270</v>
      </c>
      <c r="J45" s="115"/>
      <c r="L45" s="115"/>
    </row>
    <row r="46" spans="1:26">
      <c r="B46" s="17" t="s">
        <v>347</v>
      </c>
      <c r="D46" s="414">
        <f>105127/1000</f>
        <v>105.127</v>
      </c>
      <c r="E46" s="414">
        <f>140945/1000</f>
        <v>140.94499999999999</v>
      </c>
      <c r="F46" s="414">
        <f>116795/1000</f>
        <v>116.795</v>
      </c>
      <c r="G46" s="414">
        <f>102220/1000</f>
        <v>102.22</v>
      </c>
      <c r="H46" s="414">
        <f>126000/1000</f>
        <v>126</v>
      </c>
      <c r="I46" s="414">
        <f>150000/1000</f>
        <v>150</v>
      </c>
      <c r="J46" s="115"/>
      <c r="L46" s="115"/>
    </row>
    <row r="47" spans="1:26">
      <c r="B47" s="17" t="s">
        <v>344</v>
      </c>
      <c r="D47" s="414">
        <f>101284/1000</f>
        <v>101.28400000000001</v>
      </c>
      <c r="E47" s="414">
        <f>100917/1000</f>
        <v>100.917</v>
      </c>
      <c r="F47" s="414">
        <f>97935/1000</f>
        <v>97.935000000000002</v>
      </c>
      <c r="G47" s="414">
        <f>65270/1000</f>
        <v>65.27</v>
      </c>
      <c r="H47" s="414">
        <f>76097/1000</f>
        <v>76.096999999999994</v>
      </c>
      <c r="I47" s="414">
        <f>109000/1000</f>
        <v>109</v>
      </c>
      <c r="J47" s="115"/>
      <c r="L47" s="115"/>
    </row>
    <row r="48" spans="1:26">
      <c r="B48" s="418" t="s">
        <v>348</v>
      </c>
      <c r="C48" s="418"/>
      <c r="D48" s="415">
        <f t="shared" ref="D48:I48" si="0">D46+D47</f>
        <v>206.411</v>
      </c>
      <c r="E48" s="415">
        <f t="shared" si="0"/>
        <v>241.86199999999999</v>
      </c>
      <c r="F48" s="415">
        <f t="shared" si="0"/>
        <v>214.73000000000002</v>
      </c>
      <c r="G48" s="415">
        <f t="shared" si="0"/>
        <v>167.49</v>
      </c>
      <c r="H48" s="415">
        <f t="shared" si="0"/>
        <v>202.09699999999998</v>
      </c>
      <c r="I48" s="415">
        <f t="shared" si="0"/>
        <v>259</v>
      </c>
      <c r="J48" s="115"/>
      <c r="L48" s="115"/>
    </row>
    <row r="49" spans="2:13">
      <c r="B49" s="413" t="s">
        <v>345</v>
      </c>
      <c r="C49" s="416"/>
      <c r="D49" s="416"/>
      <c r="E49" s="416">
        <f>E48-D48</f>
        <v>35.450999999999993</v>
      </c>
      <c r="F49" s="416">
        <f>F48-E48</f>
        <v>-27.131999999999977</v>
      </c>
      <c r="G49" s="416">
        <f>G48-F48</f>
        <v>-47.240000000000009</v>
      </c>
      <c r="H49" s="416">
        <f>H48-G48</f>
        <v>34.606999999999971</v>
      </c>
      <c r="I49" s="416">
        <f>I48-H48</f>
        <v>56.90300000000002</v>
      </c>
      <c r="J49" s="115"/>
      <c r="L49" s="115"/>
    </row>
    <row r="50" spans="2:13">
      <c r="B50" s="413" t="s">
        <v>346</v>
      </c>
      <c r="C50" s="416"/>
      <c r="D50" s="416"/>
      <c r="E50" s="416"/>
      <c r="F50" s="416"/>
      <c r="G50" s="416">
        <f>G48-E48</f>
        <v>-74.371999999999986</v>
      </c>
      <c r="H50" s="416"/>
      <c r="I50" s="417"/>
      <c r="J50" s="115"/>
      <c r="L50" s="115"/>
      <c r="M50" s="115"/>
    </row>
    <row r="51" spans="2:13">
      <c r="B51" s="420"/>
      <c r="C51" s="421"/>
      <c r="D51" s="421"/>
      <c r="E51" s="421"/>
      <c r="F51" s="421"/>
      <c r="G51" s="421"/>
      <c r="H51" s="421"/>
      <c r="I51" s="422"/>
      <c r="J51" s="115"/>
      <c r="K51" s="115"/>
      <c r="L51" s="115"/>
      <c r="M51" s="115"/>
    </row>
    <row r="52" spans="2:13">
      <c r="B52" s="423" t="s">
        <v>382</v>
      </c>
      <c r="C52" s="421"/>
      <c r="D52" s="421"/>
      <c r="E52" s="421"/>
      <c r="F52" s="421"/>
      <c r="G52" s="421"/>
      <c r="H52" s="421"/>
      <c r="I52" s="422"/>
      <c r="J52" s="115"/>
      <c r="K52" s="115">
        <v>56.9</v>
      </c>
      <c r="L52" s="115"/>
      <c r="M52" s="115"/>
    </row>
    <row r="53" spans="2:13">
      <c r="B53" s="55"/>
      <c r="C53" s="407"/>
      <c r="D53" s="407"/>
      <c r="E53" s="407"/>
      <c r="F53" s="407"/>
      <c r="H53" s="407"/>
      <c r="J53" s="115"/>
      <c r="K53" s="115"/>
      <c r="L53" s="115"/>
      <c r="M53" s="115"/>
    </row>
    <row r="54" spans="2:13">
      <c r="B54" s="55"/>
      <c r="C54" s="407"/>
      <c r="D54" s="407"/>
      <c r="E54" s="407"/>
      <c r="F54" s="407"/>
      <c r="H54" s="407"/>
      <c r="J54" s="115"/>
      <c r="K54" s="115"/>
      <c r="L54" s="115"/>
      <c r="M54" s="115"/>
    </row>
    <row r="55" spans="2:13">
      <c r="B55" s="17" t="s">
        <v>349</v>
      </c>
      <c r="C55" s="407"/>
      <c r="D55" s="407"/>
      <c r="E55" s="407"/>
      <c r="F55" s="407"/>
      <c r="G55" s="407"/>
      <c r="H55" s="407"/>
      <c r="I55" s="407"/>
      <c r="J55" s="115"/>
      <c r="K55" s="115">
        <v>9.8000000000000007</v>
      </c>
      <c r="L55" s="115"/>
      <c r="M55" s="115"/>
    </row>
    <row r="56" spans="2:13">
      <c r="B56" s="250"/>
      <c r="D56" s="407"/>
    </row>
    <row r="57" spans="2:13" ht="31.5" customHeight="1">
      <c r="B57" s="566" t="s">
        <v>351</v>
      </c>
      <c r="C57" s="566"/>
      <c r="D57" s="566"/>
      <c r="E57" s="566"/>
      <c r="F57" s="566"/>
      <c r="G57" s="566"/>
      <c r="H57" s="566"/>
      <c r="I57" s="566"/>
      <c r="J57" s="566"/>
      <c r="K57" s="17">
        <f>4.5+4.5+3.5</f>
        <v>12.5</v>
      </c>
    </row>
    <row r="58" spans="2:13">
      <c r="B58" s="250"/>
      <c r="D58" s="407"/>
    </row>
    <row r="59" spans="2:13" ht="16.5" thickBot="1">
      <c r="B59" s="419" t="s">
        <v>350</v>
      </c>
      <c r="D59" s="407"/>
      <c r="K59" s="17">
        <v>12.5</v>
      </c>
      <c r="M59" s="235">
        <f>SUM(K44:K61)</f>
        <v>91.7</v>
      </c>
    </row>
    <row r="60" spans="2:13" ht="16.5" thickTop="1">
      <c r="B60" s="250"/>
      <c r="D60" s="407"/>
    </row>
    <row r="61" spans="2:13">
      <c r="B61" s="250"/>
      <c r="D61" s="407"/>
    </row>
    <row r="63" spans="2:13">
      <c r="M63" s="77" t="str">
        <f>'GI-28 Doc 1.1'!R65</f>
        <v>GI-28</v>
      </c>
    </row>
    <row r="64" spans="2:13">
      <c r="M64" s="77" t="s">
        <v>63</v>
      </c>
    </row>
    <row r="65" spans="2:13">
      <c r="M65" s="77" t="s">
        <v>51</v>
      </c>
    </row>
    <row r="66" spans="2:13">
      <c r="B66" s="17" t="str">
        <f>'GI-28 Doc 1.1'!A68</f>
        <v>Original: 2015-09-09</v>
      </c>
      <c r="M66" s="77" t="str">
        <f>'GI-28 Doc 1.1'!R68</f>
        <v>Requête 3924-2015</v>
      </c>
    </row>
  </sheetData>
  <mergeCells count="9">
    <mergeCell ref="B43:J44"/>
    <mergeCell ref="B57:J57"/>
    <mergeCell ref="B11:J12"/>
    <mergeCell ref="B16:I17"/>
    <mergeCell ref="B19:I20"/>
    <mergeCell ref="B22:I23"/>
    <mergeCell ref="B25:I26"/>
    <mergeCell ref="B38:J39"/>
    <mergeCell ref="B28:I28"/>
  </mergeCells>
  <pageMargins left="0.43" right="0.38" top="0.734251969" bottom="0.56999999999999995" header="0.18" footer="0.31"/>
  <pageSetup scale="62"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FFC000"/>
    <pageSetUpPr fitToPage="1"/>
  </sheetPr>
  <dimension ref="A1:S59"/>
  <sheetViews>
    <sheetView zoomScaleNormal="100" workbookViewId="0">
      <selection activeCell="B34" sqref="B34"/>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5.28515625" style="115" customWidth="1"/>
    <col min="16" max="16" width="12.42578125" style="115" bestFit="1" customWidth="1"/>
    <col min="17" max="17" width="6.85546875" style="115" customWidth="1"/>
    <col min="18" max="18" width="3.28515625" style="115" customWidth="1"/>
    <col min="19" max="19" width="21" style="115" customWidth="1"/>
    <col min="20" max="16384" width="9.140625" style="115"/>
  </cols>
  <sheetData>
    <row r="1" spans="1:19">
      <c r="A1" s="9" t="s">
        <v>8</v>
      </c>
      <c r="B1" s="114"/>
      <c r="C1" s="114"/>
      <c r="D1" s="114"/>
      <c r="E1" s="114"/>
      <c r="F1" s="114"/>
      <c r="G1" s="114"/>
      <c r="H1" s="114"/>
      <c r="I1" s="114"/>
      <c r="J1" s="114"/>
      <c r="K1" s="114"/>
      <c r="L1" s="114"/>
      <c r="M1" s="114"/>
      <c r="N1" s="114"/>
      <c r="O1" s="114"/>
      <c r="P1" s="114"/>
    </row>
    <row r="2" spans="1:19">
      <c r="A2" s="10" t="s">
        <v>9</v>
      </c>
      <c r="B2" s="114"/>
      <c r="C2" s="114"/>
      <c r="D2" s="114"/>
      <c r="E2" s="114"/>
      <c r="F2" s="114"/>
      <c r="G2" s="114"/>
      <c r="H2" s="114"/>
      <c r="I2" s="114"/>
      <c r="J2" s="114"/>
      <c r="K2" s="114"/>
      <c r="L2" s="114"/>
      <c r="M2" s="114"/>
      <c r="N2" s="114"/>
      <c r="O2" s="114"/>
      <c r="P2" s="114"/>
    </row>
    <row r="3" spans="1:19">
      <c r="A3" s="11" t="s">
        <v>112</v>
      </c>
      <c r="B3" s="114"/>
      <c r="C3" s="114"/>
      <c r="D3" s="114"/>
      <c r="E3" s="114"/>
      <c r="F3" s="114"/>
      <c r="G3" s="114"/>
      <c r="H3" s="114"/>
      <c r="I3" s="114"/>
      <c r="J3" s="114"/>
      <c r="K3" s="114"/>
      <c r="L3" s="114"/>
      <c r="M3" s="114"/>
      <c r="N3" s="114"/>
      <c r="O3" s="114"/>
      <c r="P3" s="114"/>
    </row>
    <row r="4" spans="1:19">
      <c r="A4" s="12" t="s">
        <v>92</v>
      </c>
      <c r="B4" s="114"/>
      <c r="C4" s="114"/>
      <c r="D4" s="114"/>
      <c r="E4" s="114"/>
      <c r="F4" s="114"/>
      <c r="G4" s="114"/>
      <c r="H4" s="114"/>
      <c r="I4" s="114"/>
      <c r="J4" s="114"/>
      <c r="K4" s="114"/>
      <c r="L4" s="114"/>
      <c r="M4" s="114"/>
      <c r="N4" s="114"/>
      <c r="O4" s="114"/>
      <c r="P4" s="114"/>
    </row>
    <row r="9" spans="1:19">
      <c r="F9" s="116" t="s">
        <v>152</v>
      </c>
      <c r="G9" s="117"/>
      <c r="H9" s="117"/>
      <c r="I9" s="117"/>
      <c r="J9" s="116" t="s">
        <v>152</v>
      </c>
      <c r="S9" s="116" t="s">
        <v>152</v>
      </c>
    </row>
    <row r="10" spans="1:19">
      <c r="N10" s="562" t="s">
        <v>36</v>
      </c>
      <c r="O10" s="562"/>
      <c r="P10" s="562"/>
      <c r="Q10" s="562"/>
      <c r="S10" s="118"/>
    </row>
    <row r="11" spans="1:19">
      <c r="B11" s="119" t="s">
        <v>113</v>
      </c>
      <c r="D11" s="120">
        <v>2014</v>
      </c>
      <c r="E11" s="121"/>
      <c r="F11" s="120">
        <v>2014</v>
      </c>
      <c r="G11" s="121"/>
      <c r="H11" s="120">
        <v>2015</v>
      </c>
      <c r="I11" s="121"/>
      <c r="J11" s="120">
        <v>2015</v>
      </c>
      <c r="L11" s="122" t="s">
        <v>153</v>
      </c>
      <c r="N11" s="563" t="e">
        <f>'25413'!N11:O11</f>
        <v>#VALUE!</v>
      </c>
      <c r="O11" s="563"/>
      <c r="P11" s="563" t="str">
        <f>'25413'!P11:Q11</f>
        <v>Cause 2016</v>
      </c>
      <c r="Q11" s="563"/>
      <c r="S11" s="123" t="s">
        <v>155</v>
      </c>
    </row>
    <row r="12" spans="1:19">
      <c r="D12" s="124" t="s">
        <v>27</v>
      </c>
      <c r="E12" s="121"/>
      <c r="F12" s="124" t="s">
        <v>28</v>
      </c>
      <c r="G12" s="121"/>
      <c r="H12" s="124" t="s">
        <v>94</v>
      </c>
      <c r="I12" s="121"/>
      <c r="J12" s="124" t="s">
        <v>28</v>
      </c>
      <c r="L12" s="125">
        <v>2016</v>
      </c>
      <c r="M12" s="125"/>
      <c r="N12" s="563" t="e">
        <f>'25413'!N12:O12</f>
        <v>#VALUE!</v>
      </c>
      <c r="O12" s="563"/>
      <c r="P12" s="563" t="str">
        <f>'25413'!P12:Q12</f>
        <v>vs Cause 2005</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199</v>
      </c>
      <c r="O14" s="130">
        <v>5</v>
      </c>
      <c r="P14" s="130" t="s">
        <v>158</v>
      </c>
      <c r="Q14" s="130">
        <v>7</v>
      </c>
      <c r="R14" s="131"/>
      <c r="S14" s="132">
        <v>8</v>
      </c>
    </row>
    <row r="15" spans="1:19">
      <c r="A15" s="117"/>
      <c r="S15" s="118"/>
    </row>
    <row r="16" spans="1:19" ht="16.5" thickBot="1">
      <c r="A16" s="117">
        <v>1</v>
      </c>
      <c r="B16" s="119" t="s">
        <v>0</v>
      </c>
      <c r="D16" s="133">
        <f>[28]INPUT!C66/1000</f>
        <v>341.20178000000004</v>
      </c>
      <c r="E16" s="134"/>
      <c r="F16" s="133">
        <f>'[28]Budget 2014'!O65/1000</f>
        <v>394.447</v>
      </c>
      <c r="G16" s="134"/>
      <c r="H16" s="133">
        <f>[28]INPUT!E66/1000</f>
        <v>410.858</v>
      </c>
      <c r="I16" s="134"/>
      <c r="J16" s="133">
        <f>[28]INPUT!D66/1000</f>
        <v>386.97699999999998</v>
      </c>
      <c r="K16" s="134"/>
      <c r="L16" s="133">
        <f>[28]INPUT!F66/1000</f>
        <v>421.863</v>
      </c>
      <c r="M16" s="135"/>
      <c r="N16" s="133">
        <f>H16-D16</f>
        <v>69.656219999999962</v>
      </c>
      <c r="O16" s="136">
        <f>N16/D16</f>
        <v>0.20414963837527447</v>
      </c>
      <c r="P16" s="113">
        <f>L16-H16</f>
        <v>11.004999999999995</v>
      </c>
      <c r="Q16" s="136">
        <f>P16/H16</f>
        <v>2.678541004434621E-2</v>
      </c>
      <c r="S16" s="137">
        <f>L16</f>
        <v>421.863</v>
      </c>
    </row>
    <row r="17" spans="1:19" ht="16.5" thickTop="1">
      <c r="A17" s="117"/>
      <c r="B17" s="119"/>
      <c r="D17" s="138"/>
      <c r="E17" s="134"/>
      <c r="F17" s="138"/>
      <c r="G17" s="134"/>
      <c r="H17" s="138"/>
      <c r="I17" s="134"/>
      <c r="J17" s="138"/>
      <c r="K17" s="134"/>
      <c r="L17" s="138"/>
      <c r="M17" s="139"/>
      <c r="N17" s="138"/>
      <c r="O17" s="139"/>
      <c r="P17" s="139"/>
      <c r="S17" s="140"/>
    </row>
    <row r="18" spans="1:19">
      <c r="A18" s="117"/>
      <c r="D18" s="134"/>
      <c r="E18" s="134"/>
      <c r="F18" s="134"/>
      <c r="G18" s="134"/>
      <c r="H18" s="134"/>
      <c r="I18" s="134"/>
      <c r="J18" s="134"/>
      <c r="K18" s="134"/>
      <c r="L18" s="134"/>
      <c r="N18" s="134"/>
      <c r="S18" s="140"/>
    </row>
    <row r="19" spans="1:19">
      <c r="A19" s="117"/>
      <c r="B19" s="13" t="s">
        <v>3</v>
      </c>
      <c r="D19" s="134"/>
      <c r="E19" s="134"/>
      <c r="F19" s="134"/>
      <c r="G19" s="134"/>
      <c r="H19" s="134"/>
      <c r="I19" s="134"/>
      <c r="J19" s="134"/>
      <c r="K19" s="134"/>
      <c r="L19" s="134"/>
      <c r="N19" s="134"/>
      <c r="S19" s="140"/>
    </row>
    <row r="20" spans="1:19">
      <c r="A20" s="117"/>
      <c r="D20" s="134"/>
      <c r="E20" s="134"/>
      <c r="F20" s="134"/>
      <c r="G20" s="134"/>
      <c r="H20" s="134"/>
      <c r="I20" s="134"/>
      <c r="J20" s="134"/>
      <c r="K20" s="134"/>
      <c r="L20" s="134"/>
      <c r="N20" s="134"/>
      <c r="S20" s="140"/>
    </row>
    <row r="21" spans="1:19">
      <c r="A21" s="117">
        <v>2</v>
      </c>
      <c r="B21" s="115" t="s">
        <v>114</v>
      </c>
      <c r="D21" s="134">
        <f>([28]INPUT!C359-[28]INPUT!C66)/1000</f>
        <v>9.5364399999999439</v>
      </c>
      <c r="E21" s="134"/>
      <c r="F21" s="134">
        <f>('[28]Budget 2014'!O358-'[28]Budget 2014'!O65)/1000</f>
        <v>21.494994999999996</v>
      </c>
      <c r="G21" s="134"/>
      <c r="H21" s="134">
        <f>([28]INPUT!E359-[28]INPUT!E66)/1000</f>
        <v>8.9939999999999998</v>
      </c>
      <c r="I21" s="134"/>
      <c r="J21" s="134">
        <f>([28]INPUT!D359-[28]INPUT!D66)/1000</f>
        <v>8.8279999999999994</v>
      </c>
      <c r="K21" s="134"/>
      <c r="L21" s="134">
        <f>([28]INPUT!F359-[28]INPUT!F66)/1000</f>
        <v>14.4</v>
      </c>
      <c r="M21" s="139"/>
      <c r="N21" s="134">
        <f>H21-D21</f>
        <v>-0.54243999999994408</v>
      </c>
      <c r="O21" s="136">
        <f>N21/D21</f>
        <v>-5.6880764729809789E-2</v>
      </c>
      <c r="P21" s="134">
        <f>L21-H21</f>
        <v>5.4060000000000006</v>
      </c>
      <c r="Q21" s="136">
        <f>P21/H21</f>
        <v>0.60106737825216816</v>
      </c>
      <c r="S21" s="140">
        <f>L21</f>
        <v>14.4</v>
      </c>
    </row>
    <row r="22" spans="1:19">
      <c r="A22" s="117"/>
      <c r="D22" s="141"/>
      <c r="E22" s="134"/>
      <c r="F22" s="141"/>
      <c r="G22" s="134"/>
      <c r="H22" s="141"/>
      <c r="I22" s="134"/>
      <c r="J22" s="141"/>
      <c r="K22" s="134"/>
      <c r="L22" s="141"/>
      <c r="N22" s="141"/>
      <c r="O22" s="136"/>
      <c r="P22" s="141"/>
      <c r="Q22" s="136"/>
      <c r="S22" s="142"/>
    </row>
    <row r="23" spans="1:19">
      <c r="A23" s="117"/>
      <c r="D23" s="134"/>
      <c r="E23" s="134"/>
      <c r="F23" s="134"/>
      <c r="G23" s="134"/>
      <c r="H23" s="134"/>
      <c r="I23" s="134"/>
      <c r="J23" s="134"/>
      <c r="K23" s="134"/>
      <c r="L23" s="134"/>
      <c r="N23" s="134"/>
      <c r="O23" s="136"/>
      <c r="P23" s="134"/>
      <c r="Q23" s="136"/>
      <c r="S23" s="140"/>
    </row>
    <row r="24" spans="1:19" ht="16.5" thickBot="1">
      <c r="A24" s="117">
        <v>11</v>
      </c>
      <c r="B24" s="13" t="s">
        <v>12</v>
      </c>
      <c r="D24" s="133">
        <f>SUM(D21:D23)</f>
        <v>9.5364399999999439</v>
      </c>
      <c r="E24" s="134"/>
      <c r="F24" s="133">
        <f>SUM(F21:F23)</f>
        <v>21.494994999999996</v>
      </c>
      <c r="G24" s="134"/>
      <c r="H24" s="133">
        <f>SUM(H21:H23)</f>
        <v>8.9939999999999998</v>
      </c>
      <c r="I24" s="134"/>
      <c r="J24" s="133">
        <f>SUM(J21:J23)</f>
        <v>8.8279999999999994</v>
      </c>
      <c r="K24" s="134"/>
      <c r="L24" s="133">
        <f>SUM(L21:L23)</f>
        <v>14.4</v>
      </c>
      <c r="M24" s="135"/>
      <c r="N24" s="133">
        <f>SUM(N21:N23)</f>
        <v>-0.54243999999994408</v>
      </c>
      <c r="O24" s="136">
        <f>N24/D24</f>
        <v>-5.6880764729809789E-2</v>
      </c>
      <c r="P24" s="133">
        <f>SUM(P21:P23)</f>
        <v>5.4060000000000006</v>
      </c>
      <c r="Q24" s="136">
        <f>P24/H24</f>
        <v>0.60106737825216816</v>
      </c>
      <c r="S24" s="137">
        <f>SUM(S21:S23)</f>
        <v>14.4</v>
      </c>
    </row>
    <row r="25" spans="1:19" ht="16.5" thickTop="1">
      <c r="A25" s="117"/>
      <c r="D25" s="134"/>
      <c r="E25" s="134"/>
      <c r="F25" s="134"/>
      <c r="G25" s="143"/>
      <c r="H25" s="134"/>
      <c r="I25" s="134"/>
      <c r="J25" s="134"/>
      <c r="K25" s="143"/>
      <c r="L25" s="134"/>
      <c r="M25" s="139"/>
      <c r="N25" s="134"/>
      <c r="O25" s="139"/>
      <c r="P25" s="139"/>
    </row>
    <row r="26" spans="1:19">
      <c r="A26" s="117"/>
      <c r="D26" s="134"/>
      <c r="E26" s="134"/>
      <c r="F26" s="134"/>
      <c r="G26" s="143"/>
      <c r="H26" s="134"/>
      <c r="I26" s="134"/>
      <c r="J26" s="134"/>
      <c r="K26" s="143"/>
      <c r="L26" s="134"/>
      <c r="M26" s="139"/>
      <c r="N26" s="134"/>
      <c r="O26" s="139"/>
      <c r="P26" s="139"/>
    </row>
    <row r="27" spans="1:19">
      <c r="A27" s="117"/>
      <c r="D27" s="134"/>
      <c r="E27" s="134"/>
      <c r="F27" s="134"/>
      <c r="G27" s="143"/>
      <c r="H27" s="134"/>
      <c r="I27" s="134"/>
      <c r="J27" s="134"/>
      <c r="K27" s="143"/>
      <c r="L27" s="134"/>
      <c r="M27" s="139"/>
      <c r="N27" s="134"/>
      <c r="O27" s="139"/>
      <c r="P27" s="139"/>
    </row>
    <row r="28" spans="1:19">
      <c r="A28" s="115" t="s">
        <v>49</v>
      </c>
      <c r="B28" s="115" t="s">
        <v>71</v>
      </c>
      <c r="D28" s="134"/>
      <c r="E28" s="134"/>
      <c r="F28" s="134"/>
      <c r="G28" s="143"/>
      <c r="H28" s="134"/>
      <c r="I28" s="134"/>
      <c r="J28" s="134"/>
      <c r="K28" s="143"/>
      <c r="L28" s="134"/>
      <c r="M28" s="139"/>
      <c r="N28" s="134"/>
      <c r="O28" s="139"/>
      <c r="P28" s="139"/>
    </row>
    <row r="29" spans="1:19">
      <c r="B29" s="115" t="s">
        <v>72</v>
      </c>
      <c r="D29" s="134"/>
      <c r="E29" s="134"/>
      <c r="F29" s="134"/>
      <c r="G29" s="143"/>
      <c r="H29" s="134"/>
      <c r="I29" s="134"/>
      <c r="J29" s="134"/>
      <c r="K29" s="143"/>
      <c r="L29" s="134"/>
      <c r="M29" s="139"/>
      <c r="N29" s="134"/>
      <c r="O29" s="139"/>
      <c r="P29" s="139"/>
    </row>
    <row r="30" spans="1:19">
      <c r="A30" s="117"/>
      <c r="D30" s="134"/>
      <c r="E30" s="134"/>
      <c r="F30" s="134"/>
      <c r="G30" s="143"/>
      <c r="H30" s="134"/>
      <c r="I30" s="134"/>
      <c r="J30" s="134"/>
      <c r="K30" s="143"/>
      <c r="L30" s="134"/>
      <c r="M30" s="139"/>
      <c r="N30" s="134"/>
      <c r="O30" s="139"/>
      <c r="P30" s="139"/>
    </row>
    <row r="31" spans="1:19">
      <c r="A31" s="117"/>
      <c r="D31" s="134"/>
      <c r="E31" s="134"/>
      <c r="F31" s="134"/>
      <c r="H31" s="134"/>
      <c r="I31" s="134"/>
      <c r="J31" s="134"/>
      <c r="L31" s="134"/>
      <c r="N31" s="134"/>
      <c r="O31" s="139"/>
      <c r="P31" s="139"/>
    </row>
    <row r="35" spans="4:11">
      <c r="D35" s="134"/>
      <c r="E35" s="134"/>
      <c r="F35" s="134"/>
      <c r="G35" s="134"/>
      <c r="H35" s="134"/>
      <c r="I35" s="134"/>
      <c r="J35" s="134"/>
      <c r="K35" s="134"/>
    </row>
    <row r="36" spans="4:11">
      <c r="D36" s="134"/>
      <c r="E36" s="134"/>
      <c r="F36" s="134"/>
      <c r="G36" s="134"/>
    </row>
    <row r="37" spans="4:11">
      <c r="D37" s="134"/>
      <c r="E37" s="134"/>
      <c r="F37" s="134"/>
      <c r="G37" s="134"/>
    </row>
    <row r="38" spans="4:11">
      <c r="D38" s="134"/>
      <c r="E38" s="134"/>
      <c r="F38" s="134"/>
      <c r="G38" s="134"/>
    </row>
    <row r="39" spans="4:11">
      <c r="D39" s="134"/>
      <c r="E39" s="134"/>
      <c r="F39" s="134"/>
      <c r="G39" s="134"/>
    </row>
    <row r="40" spans="4:11">
      <c r="D40" s="134"/>
      <c r="E40" s="134"/>
      <c r="F40" s="134"/>
      <c r="G40" s="134"/>
    </row>
    <row r="54" spans="1:16">
      <c r="H54" s="149"/>
      <c r="I54" s="149"/>
      <c r="J54" s="149"/>
      <c r="K54" s="149"/>
      <c r="L54" s="149"/>
      <c r="M54" s="149"/>
      <c r="N54" s="149"/>
      <c r="O54" s="149"/>
      <c r="P54" s="149" t="s">
        <v>96</v>
      </c>
    </row>
    <row r="55" spans="1:16">
      <c r="H55" s="149"/>
      <c r="I55" s="149"/>
      <c r="J55" s="149"/>
      <c r="K55" s="149"/>
      <c r="L55" s="149"/>
      <c r="M55" s="149"/>
      <c r="N55" s="149"/>
      <c r="O55" s="149"/>
      <c r="P55" s="149" t="s">
        <v>97</v>
      </c>
    </row>
    <row r="56" spans="1:16">
      <c r="H56" s="149"/>
      <c r="I56" s="149"/>
      <c r="J56" s="149"/>
      <c r="K56" s="149"/>
      <c r="L56" s="149"/>
      <c r="M56" s="149"/>
      <c r="N56" s="149"/>
      <c r="O56" s="149"/>
      <c r="P56" s="149" t="s">
        <v>51</v>
      </c>
    </row>
    <row r="57" spans="1:16">
      <c r="A57" s="115" t="s">
        <v>98</v>
      </c>
      <c r="H57" s="149"/>
      <c r="I57" s="149"/>
      <c r="J57" s="149"/>
      <c r="K57" s="149"/>
      <c r="L57" s="149"/>
      <c r="M57" s="149"/>
      <c r="N57" s="149"/>
      <c r="O57" s="149"/>
      <c r="P57" s="149" t="s">
        <v>99</v>
      </c>
    </row>
    <row r="59" spans="1:16">
      <c r="C59" s="150" t="s">
        <v>100</v>
      </c>
      <c r="D59" s="151">
        <f>D16+D24-([28]INPUT!C359)/1000</f>
        <v>0</v>
      </c>
      <c r="E59" s="152"/>
      <c r="F59" s="151">
        <f>F16+F24-('[28]Budget 2014'!O358)/1000</f>
        <v>0</v>
      </c>
      <c r="G59" s="152"/>
      <c r="H59" s="151">
        <f>H16+H24-([28]INPUT!E359)/1000</f>
        <v>0</v>
      </c>
      <c r="I59" s="152"/>
      <c r="J59" s="151">
        <f>J16+J24-([28]INPUT!D359)/1000</f>
        <v>0</v>
      </c>
      <c r="K59" s="152"/>
      <c r="L59" s="151">
        <f>L16+L24-([28]INPUT!F359)/1000</f>
        <v>0</v>
      </c>
    </row>
  </sheetData>
  <mergeCells count="5">
    <mergeCell ref="N10:Q10"/>
    <mergeCell ref="N11:O11"/>
    <mergeCell ref="P11:Q11"/>
    <mergeCell ref="N12:O12"/>
    <mergeCell ref="P12:Q12"/>
  </mergeCells>
  <pageMargins left="0.7" right="0.7" top="0.75" bottom="0.75" header="0.3" footer="0.3"/>
  <pageSetup scale="1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rgb="FFFFC000"/>
  </sheetPr>
  <dimension ref="A1:S59"/>
  <sheetViews>
    <sheetView workbookViewId="0">
      <selection activeCell="B34" sqref="B34"/>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5.7109375" style="115" customWidth="1"/>
    <col min="16" max="16" width="12.42578125" style="115" bestFit="1" customWidth="1"/>
    <col min="17" max="17" width="9.140625" style="115"/>
    <col min="18" max="18" width="3.7109375" style="115" customWidth="1"/>
    <col min="19" max="19" width="20.140625" style="115" customWidth="1"/>
    <col min="20" max="16384" width="9.140625" style="115"/>
  </cols>
  <sheetData>
    <row r="1" spans="1:19">
      <c r="A1" s="9" t="s">
        <v>8</v>
      </c>
      <c r="B1" s="114"/>
      <c r="C1" s="114"/>
      <c r="D1" s="114"/>
      <c r="E1" s="114"/>
      <c r="F1" s="114"/>
      <c r="G1" s="114"/>
      <c r="H1" s="114"/>
      <c r="I1" s="114"/>
      <c r="J1" s="114"/>
      <c r="K1" s="114"/>
      <c r="L1" s="114"/>
      <c r="M1" s="114"/>
      <c r="N1" s="114"/>
      <c r="O1" s="114"/>
      <c r="P1" s="114"/>
    </row>
    <row r="2" spans="1:19">
      <c r="A2" s="10" t="s">
        <v>9</v>
      </c>
      <c r="B2" s="114"/>
      <c r="C2" s="114"/>
      <c r="D2" s="114"/>
      <c r="E2" s="114"/>
      <c r="F2" s="114"/>
      <c r="G2" s="114"/>
      <c r="H2" s="114"/>
      <c r="I2" s="114"/>
      <c r="J2" s="114"/>
      <c r="K2" s="114"/>
      <c r="L2" s="114"/>
      <c r="M2" s="114"/>
      <c r="N2" s="114"/>
      <c r="O2" s="114"/>
      <c r="P2" s="114"/>
    </row>
    <row r="3" spans="1:19">
      <c r="A3" s="11" t="s">
        <v>115</v>
      </c>
      <c r="B3" s="114"/>
      <c r="C3" s="114"/>
      <c r="D3" s="114"/>
      <c r="E3" s="114"/>
      <c r="F3" s="114"/>
      <c r="G3" s="114"/>
      <c r="H3" s="114"/>
      <c r="I3" s="114"/>
      <c r="J3" s="114"/>
      <c r="K3" s="114"/>
      <c r="L3" s="114"/>
      <c r="M3" s="114"/>
      <c r="N3" s="114"/>
      <c r="O3" s="114"/>
      <c r="P3" s="114"/>
    </row>
    <row r="4" spans="1:19">
      <c r="A4" s="12" t="s">
        <v>92</v>
      </c>
      <c r="B4" s="114"/>
      <c r="C4" s="114"/>
      <c r="D4" s="114"/>
      <c r="E4" s="114"/>
      <c r="F4" s="114"/>
      <c r="G4" s="114"/>
      <c r="H4" s="114"/>
      <c r="I4" s="114"/>
      <c r="J4" s="114"/>
      <c r="K4" s="114"/>
      <c r="L4" s="114"/>
      <c r="M4" s="114"/>
      <c r="N4" s="114"/>
      <c r="O4" s="114"/>
      <c r="P4" s="114"/>
    </row>
    <row r="9" spans="1:19">
      <c r="F9" s="116" t="s">
        <v>152</v>
      </c>
      <c r="G9" s="117"/>
      <c r="H9" s="117"/>
      <c r="I9" s="117"/>
      <c r="J9" s="116" t="s">
        <v>152</v>
      </c>
      <c r="S9" s="116" t="s">
        <v>152</v>
      </c>
    </row>
    <row r="10" spans="1:19">
      <c r="N10" s="562" t="s">
        <v>36</v>
      </c>
      <c r="O10" s="562"/>
      <c r="P10" s="562"/>
      <c r="Q10" s="562"/>
      <c r="S10" s="118"/>
    </row>
    <row r="11" spans="1:19">
      <c r="B11" s="119" t="s">
        <v>116</v>
      </c>
      <c r="D11" s="120">
        <v>2014</v>
      </c>
      <c r="E11" s="121"/>
      <c r="F11" s="120">
        <v>2014</v>
      </c>
      <c r="G11" s="121"/>
      <c r="H11" s="120">
        <v>2015</v>
      </c>
      <c r="I11" s="121"/>
      <c r="J11" s="120">
        <v>2015</v>
      </c>
      <c r="L11" s="122" t="s">
        <v>153</v>
      </c>
      <c r="N11" s="563" t="e">
        <f>'25430'!N11:O11</f>
        <v>#VALUE!</v>
      </c>
      <c r="O11" s="563"/>
      <c r="P11" s="563" t="str">
        <f>'25430'!P11:Q11</f>
        <v>Cause 2016</v>
      </c>
      <c r="Q11" s="563"/>
      <c r="S11" s="123" t="s">
        <v>155</v>
      </c>
    </row>
    <row r="12" spans="1:19">
      <c r="D12" s="124" t="s">
        <v>27</v>
      </c>
      <c r="E12" s="121"/>
      <c r="F12" s="124" t="s">
        <v>28</v>
      </c>
      <c r="G12" s="121"/>
      <c r="H12" s="124" t="s">
        <v>94</v>
      </c>
      <c r="I12" s="121"/>
      <c r="J12" s="124" t="s">
        <v>28</v>
      </c>
      <c r="L12" s="125">
        <v>2016</v>
      </c>
      <c r="M12" s="125"/>
      <c r="N12" s="563" t="e">
        <f>'25430'!N12:O12</f>
        <v>#VALUE!</v>
      </c>
      <c r="O12" s="563"/>
      <c r="P12" s="563" t="str">
        <f>'25430'!P12:Q12</f>
        <v>vs Cause 2005</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199</v>
      </c>
      <c r="O14" s="130">
        <v>5</v>
      </c>
      <c r="P14" s="130" t="s">
        <v>158</v>
      </c>
      <c r="Q14" s="130">
        <v>7</v>
      </c>
      <c r="R14" s="131"/>
      <c r="S14" s="132">
        <v>8</v>
      </c>
    </row>
    <row r="15" spans="1:19">
      <c r="A15" s="117"/>
      <c r="S15" s="118"/>
    </row>
    <row r="16" spans="1:19" ht="16.5" thickBot="1">
      <c r="A16" s="117">
        <v>1</v>
      </c>
      <c r="B16" s="119" t="s">
        <v>0</v>
      </c>
      <c r="D16" s="133">
        <f>[29]INPUT!C66/1000</f>
        <v>89.065039999999996</v>
      </c>
      <c r="E16" s="134"/>
      <c r="F16" s="133">
        <f>'[29]Budget 2014'!O65/1000</f>
        <v>86.322999999999993</v>
      </c>
      <c r="G16" s="134"/>
      <c r="H16" s="133">
        <f>[29]INPUT!E66/1000</f>
        <v>87.718000000000004</v>
      </c>
      <c r="I16" s="134"/>
      <c r="J16" s="133">
        <f>[29]INPUT!D66/1000</f>
        <v>87.79</v>
      </c>
      <c r="K16" s="134"/>
      <c r="L16" s="133">
        <f>[29]INPUT!F66/1000</f>
        <v>89.399000000000001</v>
      </c>
      <c r="M16" s="135"/>
      <c r="N16" s="133">
        <f>H16-D16</f>
        <v>-1.3470399999999927</v>
      </c>
      <c r="O16" s="136">
        <f>N16/D16</f>
        <v>-1.5124228316744625E-2</v>
      </c>
      <c r="P16" s="113">
        <f>L16-H16</f>
        <v>1.6809999999999974</v>
      </c>
      <c r="Q16" s="136">
        <f>P16/H16</f>
        <v>1.9163683622517583E-2</v>
      </c>
      <c r="S16" s="137">
        <f>L16</f>
        <v>89.399000000000001</v>
      </c>
    </row>
    <row r="17" spans="1:19" ht="16.5" thickTop="1">
      <c r="A17" s="117"/>
      <c r="B17" s="119"/>
      <c r="D17" s="138"/>
      <c r="E17" s="134"/>
      <c r="F17" s="138"/>
      <c r="G17" s="134"/>
      <c r="H17" s="138"/>
      <c r="I17" s="134"/>
      <c r="J17" s="138"/>
      <c r="K17" s="134"/>
      <c r="L17" s="138"/>
      <c r="M17" s="139"/>
      <c r="N17" s="138"/>
      <c r="O17" s="139"/>
      <c r="P17" s="139"/>
      <c r="S17" s="140"/>
    </row>
    <row r="18" spans="1:19">
      <c r="A18" s="117"/>
      <c r="D18" s="134"/>
      <c r="E18" s="134"/>
      <c r="F18" s="134"/>
      <c r="G18" s="134"/>
      <c r="H18" s="134"/>
      <c r="I18" s="134"/>
      <c r="J18" s="134"/>
      <c r="K18" s="134"/>
      <c r="L18" s="134"/>
      <c r="N18" s="134"/>
      <c r="S18" s="140"/>
    </row>
    <row r="19" spans="1:19">
      <c r="A19" s="117"/>
      <c r="B19" s="13" t="s">
        <v>3</v>
      </c>
      <c r="D19" s="134"/>
      <c r="E19" s="134"/>
      <c r="F19" s="134"/>
      <c r="G19" s="134"/>
      <c r="H19" s="134"/>
      <c r="I19" s="134"/>
      <c r="J19" s="134"/>
      <c r="K19" s="134"/>
      <c r="L19" s="134"/>
      <c r="N19" s="134"/>
      <c r="S19" s="140"/>
    </row>
    <row r="20" spans="1:19">
      <c r="A20" s="117"/>
      <c r="D20" s="134"/>
      <c r="E20" s="134"/>
      <c r="F20" s="134"/>
      <c r="G20" s="134"/>
      <c r="H20" s="134"/>
      <c r="I20" s="134"/>
      <c r="J20" s="134"/>
      <c r="K20" s="134"/>
      <c r="L20" s="134"/>
      <c r="N20" s="134"/>
      <c r="S20" s="140"/>
    </row>
    <row r="21" spans="1:19">
      <c r="A21" s="117">
        <v>2</v>
      </c>
      <c r="B21" s="115" t="s">
        <v>95</v>
      </c>
      <c r="D21" s="134">
        <f>([29]INPUT!C359-[29]INPUT!C66)/1000</f>
        <v>8.4117600000000099</v>
      </c>
      <c r="E21" s="134"/>
      <c r="F21" s="134">
        <f>('[29]Budget 2014'!O358-'[29]Budget 2014'!O65)/1000</f>
        <v>10.225</v>
      </c>
      <c r="G21" s="134"/>
      <c r="H21" s="134">
        <f>([29]INPUT!E359-[29]INPUT!E66)/1000</f>
        <v>11.786</v>
      </c>
      <c r="I21" s="134"/>
      <c r="J21" s="134">
        <f>([29]INPUT!D359-[29]INPUT!D66)/1000</f>
        <v>12.311</v>
      </c>
      <c r="K21" s="134"/>
      <c r="L21" s="134">
        <f>([29]INPUT!F359-[29]INPUT!F66)/1000</f>
        <v>17.024000000000001</v>
      </c>
      <c r="M21" s="139"/>
      <c r="N21" s="134">
        <f>H21-D21</f>
        <v>3.3742399999999897</v>
      </c>
      <c r="O21" s="136">
        <f>N21/D21</f>
        <v>0.401133650983859</v>
      </c>
      <c r="P21" s="134">
        <f>L21-H21</f>
        <v>5.2380000000000013</v>
      </c>
      <c r="Q21" s="136">
        <f>P21/H21</f>
        <v>0.44442558968267448</v>
      </c>
      <c r="S21" s="140">
        <f>L21</f>
        <v>17.024000000000001</v>
      </c>
    </row>
    <row r="22" spans="1:19">
      <c r="A22" s="117"/>
      <c r="D22" s="141"/>
      <c r="E22" s="134"/>
      <c r="F22" s="141"/>
      <c r="G22" s="134"/>
      <c r="H22" s="141"/>
      <c r="I22" s="134"/>
      <c r="J22" s="141"/>
      <c r="K22" s="134"/>
      <c r="L22" s="141"/>
      <c r="N22" s="141"/>
      <c r="O22" s="136"/>
      <c r="P22" s="141"/>
      <c r="Q22" s="136"/>
      <c r="S22" s="142"/>
    </row>
    <row r="23" spans="1:19">
      <c r="A23" s="117"/>
      <c r="D23" s="134"/>
      <c r="E23" s="134"/>
      <c r="F23" s="134"/>
      <c r="G23" s="134"/>
      <c r="H23" s="134"/>
      <c r="I23" s="134"/>
      <c r="J23" s="134"/>
      <c r="K23" s="134"/>
      <c r="L23" s="134"/>
      <c r="N23" s="134"/>
      <c r="O23" s="136"/>
      <c r="P23" s="134"/>
      <c r="Q23" s="136"/>
      <c r="S23" s="140"/>
    </row>
    <row r="24" spans="1:19" ht="16.5" thickBot="1">
      <c r="A24" s="117">
        <v>11</v>
      </c>
      <c r="B24" s="13" t="s">
        <v>12</v>
      </c>
      <c r="D24" s="133">
        <f>SUM(D21:D23)</f>
        <v>8.4117600000000099</v>
      </c>
      <c r="E24" s="134"/>
      <c r="F24" s="133">
        <f>SUM(F21:F23)</f>
        <v>10.225</v>
      </c>
      <c r="G24" s="134"/>
      <c r="H24" s="133">
        <f>SUM(H21:H23)</f>
        <v>11.786</v>
      </c>
      <c r="I24" s="134"/>
      <c r="J24" s="133">
        <f>SUM(J21:J23)</f>
        <v>12.311</v>
      </c>
      <c r="K24" s="134"/>
      <c r="L24" s="133">
        <f>SUM(L21:L23)</f>
        <v>17.024000000000001</v>
      </c>
      <c r="M24" s="135"/>
      <c r="N24" s="133">
        <f>SUM(N21:N23)</f>
        <v>3.3742399999999897</v>
      </c>
      <c r="O24" s="136">
        <f>N24/D24</f>
        <v>0.401133650983859</v>
      </c>
      <c r="P24" s="133">
        <f>SUM(P21:P23)</f>
        <v>5.2380000000000013</v>
      </c>
      <c r="Q24" s="136">
        <f>P24/H24</f>
        <v>0.44442558968267448</v>
      </c>
      <c r="S24" s="137">
        <f>SUM(S21:S23)</f>
        <v>17.024000000000001</v>
      </c>
    </row>
    <row r="25" spans="1:19" ht="16.5" thickTop="1">
      <c r="A25" s="117"/>
      <c r="D25" s="134"/>
      <c r="E25" s="134"/>
      <c r="F25" s="134"/>
      <c r="G25" s="143"/>
      <c r="H25" s="134"/>
      <c r="I25" s="134"/>
      <c r="J25" s="134"/>
      <c r="K25" s="143"/>
      <c r="L25" s="134"/>
      <c r="M25" s="139"/>
      <c r="N25" s="134"/>
      <c r="O25" s="139"/>
      <c r="P25" s="139"/>
    </row>
    <row r="26" spans="1:19">
      <c r="A26" s="117"/>
      <c r="D26" s="134"/>
      <c r="E26" s="134"/>
      <c r="F26" s="134"/>
      <c r="G26" s="143"/>
      <c r="H26" s="134"/>
      <c r="I26" s="134"/>
      <c r="J26" s="134"/>
      <c r="K26" s="143"/>
      <c r="L26" s="134"/>
      <c r="M26" s="139"/>
      <c r="N26" s="134"/>
      <c r="O26" s="139"/>
      <c r="P26" s="139"/>
    </row>
    <row r="27" spans="1:19">
      <c r="A27" s="117"/>
      <c r="D27" s="134"/>
      <c r="E27" s="134"/>
      <c r="F27" s="134"/>
      <c r="G27" s="143"/>
      <c r="H27" s="134"/>
      <c r="I27" s="134"/>
      <c r="J27" s="134"/>
      <c r="K27" s="143"/>
      <c r="L27" s="134"/>
      <c r="M27" s="139"/>
      <c r="N27" s="134"/>
      <c r="O27" s="139"/>
      <c r="P27" s="139"/>
    </row>
    <row r="28" spans="1:19">
      <c r="A28" s="115" t="s">
        <v>49</v>
      </c>
      <c r="B28" s="115" t="s">
        <v>71</v>
      </c>
      <c r="D28" s="134"/>
      <c r="E28" s="134"/>
      <c r="F28" s="134"/>
      <c r="G28" s="143"/>
      <c r="H28" s="134"/>
      <c r="I28" s="134"/>
      <c r="J28" s="134"/>
      <c r="K28" s="143"/>
      <c r="L28" s="134"/>
      <c r="M28" s="139"/>
      <c r="N28" s="134"/>
      <c r="O28" s="139"/>
      <c r="P28" s="139"/>
    </row>
    <row r="29" spans="1:19">
      <c r="B29" s="115" t="s">
        <v>72</v>
      </c>
      <c r="D29" s="134"/>
      <c r="E29" s="134"/>
      <c r="F29" s="134"/>
      <c r="G29" s="143"/>
      <c r="H29" s="134"/>
      <c r="I29" s="134"/>
      <c r="J29" s="134"/>
      <c r="K29" s="143"/>
      <c r="L29" s="134"/>
      <c r="M29" s="139"/>
      <c r="N29" s="134"/>
      <c r="O29" s="139"/>
      <c r="P29" s="139"/>
    </row>
    <row r="30" spans="1:19">
      <c r="A30" s="117"/>
      <c r="D30" s="134"/>
      <c r="E30" s="134"/>
      <c r="F30" s="134"/>
      <c r="G30" s="143"/>
      <c r="H30" s="134"/>
      <c r="I30" s="134"/>
      <c r="J30" s="134"/>
      <c r="K30" s="143"/>
      <c r="L30" s="134"/>
      <c r="M30" s="139"/>
      <c r="N30" s="134"/>
      <c r="O30" s="139"/>
      <c r="P30" s="139"/>
    </row>
    <row r="31" spans="1:19">
      <c r="A31" s="117"/>
      <c r="D31" s="134"/>
      <c r="E31" s="134"/>
      <c r="F31" s="134"/>
      <c r="H31" s="134"/>
      <c r="I31" s="134"/>
      <c r="J31" s="134"/>
      <c r="L31" s="134"/>
      <c r="N31" s="134"/>
      <c r="O31" s="139"/>
      <c r="P31" s="139"/>
    </row>
    <row r="35" spans="4:11">
      <c r="D35" s="134"/>
      <c r="E35" s="134"/>
      <c r="F35" s="134"/>
      <c r="G35" s="134"/>
      <c r="H35" s="134"/>
      <c r="I35" s="134"/>
      <c r="J35" s="134"/>
      <c r="K35" s="134"/>
    </row>
    <row r="36" spans="4:11">
      <c r="D36" s="134"/>
      <c r="E36" s="134"/>
      <c r="F36" s="134"/>
      <c r="G36" s="134"/>
    </row>
    <row r="37" spans="4:11">
      <c r="D37" s="134"/>
      <c r="E37" s="134"/>
      <c r="F37" s="134"/>
      <c r="G37" s="134"/>
    </row>
    <row r="38" spans="4:11">
      <c r="D38" s="134"/>
      <c r="E38" s="134"/>
      <c r="F38" s="134"/>
      <c r="G38" s="134"/>
    </row>
    <row r="39" spans="4:11">
      <c r="D39" s="134"/>
      <c r="E39" s="134"/>
      <c r="F39" s="134"/>
      <c r="G39" s="134"/>
    </row>
    <row r="40" spans="4:11">
      <c r="D40" s="134"/>
      <c r="E40" s="134"/>
      <c r="F40" s="134"/>
      <c r="G40" s="134"/>
    </row>
    <row r="54" spans="1:16">
      <c r="H54" s="149"/>
      <c r="I54" s="149"/>
      <c r="J54" s="149"/>
      <c r="K54" s="149"/>
      <c r="L54" s="149"/>
      <c r="M54" s="149"/>
      <c r="N54" s="149"/>
      <c r="O54" s="149"/>
      <c r="P54" s="149" t="s">
        <v>96</v>
      </c>
    </row>
    <row r="55" spans="1:16">
      <c r="H55" s="149"/>
      <c r="I55" s="149"/>
      <c r="J55" s="149"/>
      <c r="K55" s="149"/>
      <c r="L55" s="149"/>
      <c r="M55" s="149"/>
      <c r="N55" s="149"/>
      <c r="O55" s="149"/>
      <c r="P55" s="149" t="s">
        <v>97</v>
      </c>
    </row>
    <row r="56" spans="1:16">
      <c r="H56" s="149"/>
      <c r="I56" s="149"/>
      <c r="J56" s="149"/>
      <c r="K56" s="149"/>
      <c r="L56" s="149"/>
      <c r="M56" s="149"/>
      <c r="N56" s="149"/>
      <c r="O56" s="149"/>
      <c r="P56" s="149" t="s">
        <v>51</v>
      </c>
    </row>
    <row r="57" spans="1:16">
      <c r="A57" s="115" t="s">
        <v>98</v>
      </c>
      <c r="H57" s="149"/>
      <c r="I57" s="149"/>
      <c r="J57" s="149"/>
      <c r="K57" s="149"/>
      <c r="L57" s="149"/>
      <c r="M57" s="149"/>
      <c r="N57" s="149"/>
      <c r="O57" s="149"/>
      <c r="P57" s="149" t="s">
        <v>99</v>
      </c>
    </row>
    <row r="59" spans="1:16">
      <c r="C59" s="150" t="s">
        <v>100</v>
      </c>
      <c r="D59" s="151">
        <f>D16+D24-([29]INPUT!C359)/1000</f>
        <v>0</v>
      </c>
      <c r="E59" s="152"/>
      <c r="F59" s="151">
        <f>F16+F24-('[29]Budget 2014'!O358)/1000</f>
        <v>0</v>
      </c>
      <c r="G59" s="152"/>
      <c r="H59" s="151">
        <f>H16+H24-([29]INPUT!E359)/1000</f>
        <v>0</v>
      </c>
      <c r="I59" s="152"/>
      <c r="J59" s="151">
        <f>J16+J24-([29]INPUT!D359)/1000</f>
        <v>0</v>
      </c>
      <c r="K59" s="152"/>
      <c r="L59" s="151">
        <f>L16+L24-([29]INPUT!F359)/1000</f>
        <v>0</v>
      </c>
    </row>
  </sheetData>
  <mergeCells count="5">
    <mergeCell ref="N10:Q10"/>
    <mergeCell ref="N11:O11"/>
    <mergeCell ref="P11:Q11"/>
    <mergeCell ref="N12:O12"/>
    <mergeCell ref="P12:Q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tabColor rgb="FFFFC000"/>
    <pageSetUpPr fitToPage="1"/>
  </sheetPr>
  <dimension ref="A1:S59"/>
  <sheetViews>
    <sheetView zoomScaleNormal="100" workbookViewId="0">
      <selection activeCell="B34" sqref="B34"/>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5.5703125" style="115" bestFit="1" customWidth="1"/>
    <col min="16" max="16" width="12.42578125" style="115" bestFit="1" customWidth="1"/>
    <col min="17" max="17" width="6.7109375" style="115" customWidth="1"/>
    <col min="18" max="18" width="3.5703125" style="115" customWidth="1"/>
    <col min="19" max="19" width="19.28515625" style="115" customWidth="1"/>
    <col min="20" max="16384" width="9.140625" style="115"/>
  </cols>
  <sheetData>
    <row r="1" spans="1:19">
      <c r="A1" s="9" t="s">
        <v>8</v>
      </c>
      <c r="B1" s="114"/>
      <c r="C1" s="114"/>
      <c r="D1" s="114"/>
      <c r="E1" s="114"/>
      <c r="F1" s="114"/>
      <c r="G1" s="114"/>
      <c r="H1" s="114"/>
      <c r="I1" s="114"/>
      <c r="J1" s="114"/>
      <c r="K1" s="114"/>
      <c r="L1" s="114"/>
      <c r="M1" s="114"/>
      <c r="N1" s="114"/>
      <c r="O1" s="114"/>
      <c r="P1" s="114"/>
    </row>
    <row r="2" spans="1:19">
      <c r="A2" s="10" t="s">
        <v>9</v>
      </c>
      <c r="B2" s="114"/>
      <c r="C2" s="114"/>
      <c r="D2" s="114"/>
      <c r="E2" s="114"/>
      <c r="F2" s="114"/>
      <c r="G2" s="114"/>
      <c r="H2" s="114"/>
      <c r="I2" s="114"/>
      <c r="J2" s="114"/>
      <c r="K2" s="114"/>
      <c r="L2" s="114"/>
      <c r="M2" s="114"/>
      <c r="N2" s="114"/>
      <c r="O2" s="114"/>
      <c r="P2" s="114"/>
    </row>
    <row r="3" spans="1:19">
      <c r="A3" s="11" t="s">
        <v>117</v>
      </c>
      <c r="B3" s="114"/>
      <c r="C3" s="114"/>
      <c r="D3" s="114"/>
      <c r="E3" s="114"/>
      <c r="F3" s="114"/>
      <c r="G3" s="114"/>
      <c r="H3" s="114"/>
      <c r="I3" s="114"/>
      <c r="J3" s="114"/>
      <c r="K3" s="114"/>
      <c r="L3" s="114"/>
      <c r="M3" s="114"/>
      <c r="N3" s="114"/>
      <c r="O3" s="114"/>
      <c r="P3" s="114"/>
    </row>
    <row r="4" spans="1:19">
      <c r="A4" s="12" t="s">
        <v>92</v>
      </c>
      <c r="B4" s="114"/>
      <c r="C4" s="114"/>
      <c r="D4" s="114"/>
      <c r="E4" s="114"/>
      <c r="F4" s="114"/>
      <c r="G4" s="114"/>
      <c r="H4" s="114"/>
      <c r="I4" s="114"/>
      <c r="J4" s="114"/>
      <c r="K4" s="114"/>
      <c r="L4" s="114"/>
      <c r="M4" s="114"/>
      <c r="N4" s="114"/>
      <c r="O4" s="114"/>
      <c r="P4" s="114"/>
    </row>
    <row r="9" spans="1:19">
      <c r="F9" s="116" t="s">
        <v>152</v>
      </c>
      <c r="G9" s="117"/>
      <c r="H9" s="117"/>
      <c r="I9" s="117"/>
      <c r="J9" s="116" t="s">
        <v>152</v>
      </c>
      <c r="S9" s="116" t="s">
        <v>152</v>
      </c>
    </row>
    <row r="10" spans="1:19">
      <c r="N10" s="562" t="s">
        <v>36</v>
      </c>
      <c r="O10" s="562"/>
      <c r="P10" s="562"/>
      <c r="Q10" s="562"/>
      <c r="S10" s="118"/>
    </row>
    <row r="11" spans="1:19">
      <c r="B11" s="119" t="s">
        <v>118</v>
      </c>
      <c r="D11" s="120">
        <v>2014</v>
      </c>
      <c r="E11" s="121"/>
      <c r="F11" s="120">
        <v>2014</v>
      </c>
      <c r="G11" s="121"/>
      <c r="H11" s="120">
        <v>2015</v>
      </c>
      <c r="I11" s="121"/>
      <c r="J11" s="120">
        <v>2015</v>
      </c>
      <c r="L11" s="122" t="s">
        <v>153</v>
      </c>
      <c r="N11" s="563" t="e">
        <f>'25432'!N11:O11</f>
        <v>#VALUE!</v>
      </c>
      <c r="O11" s="563"/>
      <c r="P11" s="563" t="str">
        <f>'25432'!P11:Q11</f>
        <v>Cause 2016</v>
      </c>
      <c r="Q11" s="563"/>
      <c r="S11" s="123" t="s">
        <v>155</v>
      </c>
    </row>
    <row r="12" spans="1:19">
      <c r="D12" s="124" t="s">
        <v>27</v>
      </c>
      <c r="E12" s="121"/>
      <c r="F12" s="124" t="s">
        <v>28</v>
      </c>
      <c r="G12" s="121"/>
      <c r="H12" s="124" t="s">
        <v>94</v>
      </c>
      <c r="I12" s="121"/>
      <c r="J12" s="124" t="s">
        <v>28</v>
      </c>
      <c r="L12" s="125">
        <v>2016</v>
      </c>
      <c r="M12" s="125"/>
      <c r="N12" s="563" t="e">
        <f>'25432'!N12:O12</f>
        <v>#VALUE!</v>
      </c>
      <c r="O12" s="563"/>
      <c r="P12" s="563" t="str">
        <f>'25432'!P12:Q12</f>
        <v>vs Cause 2005</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200</v>
      </c>
      <c r="O14" s="130">
        <v>5</v>
      </c>
      <c r="P14" s="130" t="s">
        <v>158</v>
      </c>
      <c r="Q14" s="130">
        <v>7</v>
      </c>
      <c r="R14" s="131"/>
      <c r="S14" s="132">
        <v>8</v>
      </c>
    </row>
    <row r="15" spans="1:19">
      <c r="A15" s="117"/>
      <c r="S15" s="118"/>
    </row>
    <row r="16" spans="1:19" ht="16.5" thickBot="1">
      <c r="A16" s="117">
        <v>1</v>
      </c>
      <c r="B16" s="119" t="s">
        <v>0</v>
      </c>
      <c r="D16" s="133">
        <f>[30]INPUT!C66/1000</f>
        <v>76.728759999999994</v>
      </c>
      <c r="E16" s="134"/>
      <c r="F16" s="133">
        <f>'[30]Budget 2014'!O65/1000</f>
        <v>78.453000000000003</v>
      </c>
      <c r="G16" s="134"/>
      <c r="H16" s="133">
        <f>[30]INPUT!E66/1000</f>
        <v>78.948999999999998</v>
      </c>
      <c r="I16" s="134"/>
      <c r="J16" s="133">
        <f>[30]INPUT!D66/1000</f>
        <v>80.102999999999994</v>
      </c>
      <c r="K16" s="134"/>
      <c r="L16" s="133">
        <f>[30]INPUT!F66/1000</f>
        <v>82.194999999999993</v>
      </c>
      <c r="M16" s="135"/>
      <c r="N16" s="133">
        <f>H16-D16</f>
        <v>2.220240000000004</v>
      </c>
      <c r="O16" s="136">
        <f>N16/D16</f>
        <v>2.893621635485839E-2</v>
      </c>
      <c r="P16" s="113">
        <f>L16-H16</f>
        <v>3.2459999999999951</v>
      </c>
      <c r="Q16" s="136">
        <f>P16/H16</f>
        <v>4.1115150286894012E-2</v>
      </c>
      <c r="S16" s="137">
        <f>L16</f>
        <v>82.194999999999993</v>
      </c>
    </row>
    <row r="17" spans="1:19" ht="16.5" thickTop="1">
      <c r="A17" s="117"/>
      <c r="B17" s="119"/>
      <c r="D17" s="138"/>
      <c r="E17" s="134"/>
      <c r="F17" s="138"/>
      <c r="G17" s="134"/>
      <c r="H17" s="138"/>
      <c r="I17" s="134"/>
      <c r="J17" s="138"/>
      <c r="K17" s="134"/>
      <c r="L17" s="138"/>
      <c r="M17" s="139"/>
      <c r="N17" s="138"/>
      <c r="O17" s="139"/>
      <c r="P17" s="139"/>
      <c r="S17" s="140"/>
    </row>
    <row r="18" spans="1:19">
      <c r="A18" s="117"/>
      <c r="D18" s="134"/>
      <c r="E18" s="134"/>
      <c r="F18" s="134"/>
      <c r="G18" s="134"/>
      <c r="H18" s="134"/>
      <c r="I18" s="134"/>
      <c r="J18" s="134"/>
      <c r="K18" s="134"/>
      <c r="L18" s="134"/>
      <c r="N18" s="134"/>
      <c r="S18" s="140"/>
    </row>
    <row r="19" spans="1:19">
      <c r="A19" s="117"/>
      <c r="B19" s="13" t="s">
        <v>3</v>
      </c>
      <c r="D19" s="134"/>
      <c r="E19" s="134"/>
      <c r="F19" s="134"/>
      <c r="G19" s="134"/>
      <c r="H19" s="134"/>
      <c r="I19" s="134"/>
      <c r="J19" s="134"/>
      <c r="K19" s="134"/>
      <c r="L19" s="134"/>
      <c r="N19" s="134"/>
      <c r="S19" s="140"/>
    </row>
    <row r="20" spans="1:19">
      <c r="A20" s="117"/>
      <c r="D20" s="134"/>
      <c r="E20" s="134"/>
      <c r="F20" s="134"/>
      <c r="G20" s="134"/>
      <c r="H20" s="134"/>
      <c r="I20" s="134"/>
      <c r="J20" s="134"/>
      <c r="K20" s="134"/>
      <c r="L20" s="134"/>
      <c r="N20" s="134"/>
      <c r="S20" s="140"/>
    </row>
    <row r="21" spans="1:19">
      <c r="A21" s="117">
        <v>2</v>
      </c>
      <c r="B21" s="115" t="s">
        <v>95</v>
      </c>
      <c r="D21" s="134">
        <f>([30]INPUT!C359-[30]INPUT!C66)/1000-12</f>
        <v>33.698960000000007</v>
      </c>
      <c r="E21" s="134"/>
      <c r="F21" s="134">
        <f>('[30]Budget 2014'!O358-'[30]Budget 2014'!O65)/1000</f>
        <v>36.351999999999997</v>
      </c>
      <c r="G21" s="134"/>
      <c r="H21" s="134">
        <f>([30]INPUT!E359-[30]INPUT!E66)/1000</f>
        <v>22.57</v>
      </c>
      <c r="I21" s="134"/>
      <c r="J21" s="134">
        <f>([30]INPUT!D359-[30]INPUT!D66)/1000</f>
        <v>21.475999999999999</v>
      </c>
      <c r="K21" s="134"/>
      <c r="L21" s="134">
        <f>([30]INPUT!F359-[30]INPUT!F66)/1000</f>
        <v>36.881</v>
      </c>
      <c r="M21" s="139"/>
      <c r="N21" s="134">
        <f>H21-D21</f>
        <v>-11.128960000000006</v>
      </c>
      <c r="O21" s="136">
        <f>N21/D21</f>
        <v>-0.33024639336050737</v>
      </c>
      <c r="P21" s="134">
        <f>L21-H21</f>
        <v>14.311</v>
      </c>
      <c r="Q21" s="136">
        <f>P21/H21</f>
        <v>0.63407177669472747</v>
      </c>
      <c r="S21" s="140">
        <f>L21</f>
        <v>36.881</v>
      </c>
    </row>
    <row r="22" spans="1:19">
      <c r="A22" s="117"/>
      <c r="D22" s="141"/>
      <c r="E22" s="134"/>
      <c r="F22" s="141"/>
      <c r="G22" s="134"/>
      <c r="H22" s="141"/>
      <c r="I22" s="134"/>
      <c r="J22" s="141"/>
      <c r="K22" s="134"/>
      <c r="L22" s="141"/>
      <c r="N22" s="141"/>
      <c r="O22" s="136"/>
      <c r="P22" s="141"/>
      <c r="Q22" s="136"/>
      <c r="S22" s="142"/>
    </row>
    <row r="23" spans="1:19">
      <c r="A23" s="117"/>
      <c r="D23" s="134"/>
      <c r="E23" s="134"/>
      <c r="F23" s="134"/>
      <c r="G23" s="134"/>
      <c r="H23" s="134"/>
      <c r="I23" s="134"/>
      <c r="J23" s="134"/>
      <c r="K23" s="134"/>
      <c r="L23" s="134"/>
      <c r="N23" s="134"/>
      <c r="O23" s="136"/>
      <c r="P23" s="134"/>
      <c r="Q23" s="136"/>
      <c r="S23" s="140"/>
    </row>
    <row r="24" spans="1:19" ht="16.5" thickBot="1">
      <c r="A24" s="117">
        <v>11</v>
      </c>
      <c r="B24" s="13" t="s">
        <v>12</v>
      </c>
      <c r="D24" s="133">
        <f>SUM(D21:D23)</f>
        <v>33.698960000000007</v>
      </c>
      <c r="E24" s="134"/>
      <c r="F24" s="133">
        <f>SUM(F21:F23)</f>
        <v>36.351999999999997</v>
      </c>
      <c r="G24" s="134"/>
      <c r="H24" s="133">
        <f>SUM(H21:H23)</f>
        <v>22.57</v>
      </c>
      <c r="I24" s="134"/>
      <c r="J24" s="133">
        <f>SUM(J21:J23)</f>
        <v>21.475999999999999</v>
      </c>
      <c r="K24" s="134"/>
      <c r="L24" s="133">
        <f>SUM(L21:L23)</f>
        <v>36.881</v>
      </c>
      <c r="M24" s="135"/>
      <c r="N24" s="133">
        <f>SUM(N21:N23)</f>
        <v>-11.128960000000006</v>
      </c>
      <c r="O24" s="136">
        <f>N24/D24</f>
        <v>-0.33024639336050737</v>
      </c>
      <c r="P24" s="133">
        <f>SUM(P21:P23)</f>
        <v>14.311</v>
      </c>
      <c r="Q24" s="136">
        <f>P24/H24</f>
        <v>0.63407177669472747</v>
      </c>
      <c r="S24" s="137">
        <f>SUM(S21:S23)</f>
        <v>36.881</v>
      </c>
    </row>
    <row r="25" spans="1:19" ht="16.5" thickTop="1">
      <c r="A25" s="117"/>
      <c r="D25" s="134"/>
      <c r="E25" s="134"/>
      <c r="F25" s="134"/>
      <c r="G25" s="143"/>
      <c r="H25" s="134"/>
      <c r="I25" s="134"/>
      <c r="J25" s="134"/>
      <c r="K25" s="143"/>
      <c r="L25" s="134"/>
      <c r="M25" s="139"/>
      <c r="N25" s="144"/>
      <c r="O25" s="145"/>
      <c r="P25" s="144"/>
      <c r="Q25" s="145"/>
      <c r="R25" s="121"/>
      <c r="S25" s="144"/>
    </row>
    <row r="26" spans="1:19">
      <c r="A26" s="117"/>
      <c r="D26" s="134"/>
      <c r="E26" s="134"/>
      <c r="F26" s="134"/>
      <c r="G26" s="143"/>
      <c r="H26" s="134"/>
      <c r="I26" s="134"/>
      <c r="J26" s="134"/>
      <c r="K26" s="143"/>
      <c r="L26" s="134"/>
      <c r="M26" s="139"/>
      <c r="N26" s="134"/>
      <c r="O26" s="139"/>
      <c r="P26" s="139"/>
    </row>
    <row r="27" spans="1:19">
      <c r="A27" s="117"/>
      <c r="D27" s="134"/>
      <c r="E27" s="134"/>
      <c r="F27" s="134"/>
      <c r="G27" s="143"/>
      <c r="H27" s="134"/>
      <c r="I27" s="134"/>
      <c r="J27" s="134"/>
      <c r="K27" s="143"/>
      <c r="L27" s="134"/>
      <c r="M27" s="139"/>
      <c r="N27" s="134"/>
      <c r="O27" s="139"/>
      <c r="P27" s="139"/>
    </row>
    <row r="28" spans="1:19">
      <c r="A28" s="115" t="s">
        <v>49</v>
      </c>
      <c r="B28" s="115" t="s">
        <v>71</v>
      </c>
      <c r="D28" s="134"/>
      <c r="E28" s="134"/>
      <c r="F28" s="134"/>
      <c r="G28" s="143"/>
      <c r="H28" s="134"/>
      <c r="I28" s="134"/>
      <c r="J28" s="134"/>
      <c r="K28" s="143"/>
      <c r="L28" s="134"/>
      <c r="M28" s="139"/>
      <c r="N28" s="134"/>
      <c r="O28" s="139"/>
      <c r="P28" s="139"/>
    </row>
    <row r="29" spans="1:19">
      <c r="B29" s="115" t="s">
        <v>72</v>
      </c>
      <c r="D29" s="134"/>
      <c r="E29" s="134"/>
      <c r="F29" s="134"/>
      <c r="G29" s="143"/>
      <c r="H29" s="134"/>
      <c r="I29" s="134"/>
      <c r="J29" s="134"/>
      <c r="K29" s="143"/>
      <c r="L29" s="134"/>
      <c r="M29" s="139"/>
      <c r="N29" s="134"/>
      <c r="O29" s="139"/>
      <c r="P29" s="139"/>
    </row>
    <row r="30" spans="1:19">
      <c r="A30" s="117"/>
      <c r="D30" s="134"/>
      <c r="E30" s="134"/>
      <c r="F30" s="134"/>
      <c r="G30" s="143"/>
      <c r="H30" s="134"/>
      <c r="I30" s="134"/>
      <c r="J30" s="134"/>
      <c r="K30" s="143"/>
      <c r="L30" s="134"/>
      <c r="M30" s="139"/>
      <c r="N30" s="134"/>
      <c r="O30" s="139"/>
      <c r="P30" s="139"/>
    </row>
    <row r="31" spans="1:19">
      <c r="A31" s="117"/>
      <c r="D31" s="134"/>
      <c r="E31" s="134"/>
      <c r="F31" s="134"/>
      <c r="H31" s="134"/>
      <c r="I31" s="134"/>
      <c r="J31" s="134"/>
      <c r="L31" s="134"/>
      <c r="N31" s="134"/>
      <c r="O31" s="139"/>
      <c r="P31" s="139"/>
    </row>
    <row r="35" spans="4:11">
      <c r="D35" s="134"/>
      <c r="E35" s="134"/>
      <c r="F35" s="134"/>
      <c r="G35" s="134"/>
      <c r="H35" s="134"/>
      <c r="I35" s="134"/>
      <c r="J35" s="134"/>
      <c r="K35" s="134"/>
    </row>
    <row r="36" spans="4:11">
      <c r="D36" s="134"/>
      <c r="E36" s="134"/>
      <c r="F36" s="134"/>
      <c r="G36" s="134"/>
    </row>
    <row r="37" spans="4:11">
      <c r="D37" s="134"/>
      <c r="E37" s="134"/>
      <c r="F37" s="134"/>
      <c r="G37" s="134"/>
    </row>
    <row r="38" spans="4:11">
      <c r="D38" s="134"/>
      <c r="E38" s="134"/>
      <c r="F38" s="134"/>
      <c r="G38" s="134"/>
    </row>
    <row r="39" spans="4:11">
      <c r="D39" s="134"/>
      <c r="E39" s="134"/>
      <c r="F39" s="134"/>
      <c r="G39" s="134"/>
    </row>
    <row r="40" spans="4:11">
      <c r="D40" s="134"/>
      <c r="E40" s="134"/>
      <c r="F40" s="134"/>
      <c r="G40" s="134"/>
    </row>
    <row r="54" spans="1:16">
      <c r="H54" s="149"/>
      <c r="I54" s="149"/>
      <c r="J54" s="149"/>
      <c r="K54" s="149"/>
      <c r="L54" s="149"/>
      <c r="M54" s="149"/>
      <c r="N54" s="149"/>
      <c r="O54" s="149"/>
      <c r="P54" s="149" t="s">
        <v>96</v>
      </c>
    </row>
    <row r="55" spans="1:16">
      <c r="H55" s="149"/>
      <c r="I55" s="149"/>
      <c r="J55" s="149"/>
      <c r="K55" s="149"/>
      <c r="L55" s="149"/>
      <c r="M55" s="149"/>
      <c r="N55" s="149"/>
      <c r="O55" s="149"/>
      <c r="P55" s="149" t="s">
        <v>97</v>
      </c>
    </row>
    <row r="56" spans="1:16">
      <c r="H56" s="149"/>
      <c r="I56" s="149"/>
      <c r="J56" s="149"/>
      <c r="K56" s="149"/>
      <c r="L56" s="149"/>
      <c r="M56" s="149"/>
      <c r="N56" s="149"/>
      <c r="O56" s="149"/>
      <c r="P56" s="149" t="s">
        <v>51</v>
      </c>
    </row>
    <row r="57" spans="1:16">
      <c r="A57" s="115" t="s">
        <v>98</v>
      </c>
      <c r="H57" s="149"/>
      <c r="I57" s="149"/>
      <c r="J57" s="149"/>
      <c r="K57" s="149"/>
      <c r="L57" s="149"/>
      <c r="M57" s="149"/>
      <c r="N57" s="149"/>
      <c r="O57" s="149"/>
      <c r="P57" s="149" t="s">
        <v>99</v>
      </c>
    </row>
    <row r="59" spans="1:16">
      <c r="C59" s="150" t="s">
        <v>100</v>
      </c>
      <c r="D59" s="151">
        <f>D16+D24-([30]INPUT!C359)/1000</f>
        <v>-12.000000000000014</v>
      </c>
      <c r="E59" s="152"/>
      <c r="F59" s="151">
        <f>F16+F24-('[30]Budget 2014'!O358)/1000</f>
        <v>0</v>
      </c>
      <c r="G59" s="152"/>
      <c r="H59" s="151">
        <f>H16+H24-([30]INPUT!E359)/1000</f>
        <v>0</v>
      </c>
      <c r="I59" s="152"/>
      <c r="J59" s="151">
        <f>J16+J24-([30]INPUT!D359)/1000</f>
        <v>0</v>
      </c>
      <c r="K59" s="152"/>
      <c r="L59" s="151">
        <f>L16+L24-([30]INPUT!F359)/1000</f>
        <v>0</v>
      </c>
    </row>
  </sheetData>
  <mergeCells count="5">
    <mergeCell ref="N10:Q10"/>
    <mergeCell ref="N11:O11"/>
    <mergeCell ref="P11:Q11"/>
    <mergeCell ref="N12:O12"/>
    <mergeCell ref="P12:Q12"/>
  </mergeCells>
  <pageMargins left="0.7" right="0.7" top="0.75" bottom="0.75" header="0.3" footer="0.3"/>
  <pageSetup scale="55" orientation="landscape" verticalDpi="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tabColor rgb="FFFFC000"/>
    <pageSetUpPr fitToPage="1"/>
  </sheetPr>
  <dimension ref="A1:S59"/>
  <sheetViews>
    <sheetView zoomScaleNormal="100" workbookViewId="0">
      <selection activeCell="B34" sqref="B34"/>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6" style="115" bestFit="1" customWidth="1"/>
    <col min="16" max="16" width="12.42578125" style="115" bestFit="1" customWidth="1"/>
    <col min="17" max="17" width="6.28515625" style="115" customWidth="1"/>
    <col min="18" max="18" width="4.7109375" style="115" customWidth="1"/>
    <col min="19" max="19" width="19.85546875" style="115" customWidth="1"/>
    <col min="20" max="16384" width="9.140625" style="115"/>
  </cols>
  <sheetData>
    <row r="1" spans="1:19">
      <c r="A1" s="9" t="s">
        <v>8</v>
      </c>
      <c r="B1" s="114"/>
      <c r="C1" s="114"/>
      <c r="D1" s="114"/>
      <c r="E1" s="114"/>
      <c r="F1" s="114"/>
      <c r="G1" s="114"/>
      <c r="H1" s="114"/>
      <c r="I1" s="114"/>
      <c r="J1" s="114"/>
      <c r="K1" s="114"/>
      <c r="L1" s="114"/>
      <c r="M1" s="114"/>
      <c r="N1" s="114"/>
      <c r="O1" s="114"/>
      <c r="P1" s="114"/>
    </row>
    <row r="2" spans="1:19">
      <c r="A2" s="10" t="s">
        <v>9</v>
      </c>
      <c r="B2" s="114"/>
      <c r="C2" s="114"/>
      <c r="D2" s="114"/>
      <c r="E2" s="114"/>
      <c r="F2" s="114"/>
      <c r="G2" s="114"/>
      <c r="H2" s="114"/>
      <c r="I2" s="114"/>
      <c r="J2" s="114"/>
      <c r="K2" s="114"/>
      <c r="L2" s="114"/>
      <c r="M2" s="114"/>
      <c r="N2" s="114"/>
      <c r="O2" s="114"/>
      <c r="P2" s="114"/>
    </row>
    <row r="3" spans="1:19">
      <c r="A3" s="11" t="s">
        <v>119</v>
      </c>
      <c r="B3" s="114"/>
      <c r="C3" s="114"/>
      <c r="D3" s="114"/>
      <c r="E3" s="114"/>
      <c r="F3" s="114"/>
      <c r="G3" s="114"/>
      <c r="H3" s="114"/>
      <c r="I3" s="114"/>
      <c r="J3" s="114"/>
      <c r="K3" s="114"/>
      <c r="L3" s="114"/>
      <c r="M3" s="114"/>
      <c r="N3" s="114"/>
      <c r="O3" s="114"/>
      <c r="P3" s="114"/>
    </row>
    <row r="4" spans="1:19">
      <c r="A4" s="12" t="s">
        <v>92</v>
      </c>
      <c r="B4" s="114"/>
      <c r="C4" s="114"/>
      <c r="D4" s="114"/>
      <c r="E4" s="114"/>
      <c r="F4" s="114"/>
      <c r="G4" s="114"/>
      <c r="H4" s="114"/>
      <c r="I4" s="114"/>
      <c r="J4" s="114"/>
      <c r="K4" s="114"/>
      <c r="L4" s="114"/>
      <c r="M4" s="114"/>
      <c r="N4" s="114"/>
      <c r="O4" s="114"/>
      <c r="P4" s="114"/>
    </row>
    <row r="9" spans="1:19">
      <c r="F9" s="116" t="s">
        <v>152</v>
      </c>
      <c r="G9" s="117"/>
      <c r="H9" s="117"/>
      <c r="I9" s="117"/>
      <c r="J9" s="116" t="s">
        <v>152</v>
      </c>
      <c r="S9" s="116" t="s">
        <v>152</v>
      </c>
    </row>
    <row r="10" spans="1:19">
      <c r="N10" s="562" t="s">
        <v>36</v>
      </c>
      <c r="O10" s="562"/>
      <c r="P10" s="562"/>
      <c r="Q10" s="562"/>
      <c r="S10" s="118"/>
    </row>
    <row r="11" spans="1:19">
      <c r="B11" s="119" t="s">
        <v>120</v>
      </c>
      <c r="D11" s="120">
        <v>2014</v>
      </c>
      <c r="E11" s="121"/>
      <c r="F11" s="120">
        <v>2014</v>
      </c>
      <c r="G11" s="121"/>
      <c r="H11" s="120">
        <v>2015</v>
      </c>
      <c r="I11" s="121"/>
      <c r="J11" s="120">
        <v>2015</v>
      </c>
      <c r="L11" s="122" t="s">
        <v>153</v>
      </c>
      <c r="N11" s="563" t="e">
        <f>'25434'!N11:O11</f>
        <v>#VALUE!</v>
      </c>
      <c r="O11" s="563"/>
      <c r="P11" s="563" t="str">
        <f>'25434'!P11:Q11</f>
        <v>Cause 2016</v>
      </c>
      <c r="Q11" s="563"/>
      <c r="S11" s="123" t="s">
        <v>155</v>
      </c>
    </row>
    <row r="12" spans="1:19">
      <c r="D12" s="124" t="s">
        <v>27</v>
      </c>
      <c r="E12" s="121"/>
      <c r="F12" s="124" t="s">
        <v>28</v>
      </c>
      <c r="G12" s="121"/>
      <c r="H12" s="124" t="s">
        <v>94</v>
      </c>
      <c r="I12" s="121"/>
      <c r="J12" s="124" t="s">
        <v>28</v>
      </c>
      <c r="L12" s="125">
        <v>2016</v>
      </c>
      <c r="M12" s="125"/>
      <c r="N12" s="563" t="e">
        <f>'25434'!N12:O12</f>
        <v>#VALUE!</v>
      </c>
      <c r="O12" s="563"/>
      <c r="P12" s="563" t="str">
        <f>'25434'!P12:Q12</f>
        <v>vs Cause 2005</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199</v>
      </c>
      <c r="O14" s="130">
        <v>5</v>
      </c>
      <c r="P14" s="130" t="s">
        <v>158</v>
      </c>
      <c r="Q14" s="130">
        <v>7</v>
      </c>
      <c r="R14" s="131"/>
      <c r="S14" s="132">
        <v>8</v>
      </c>
    </row>
    <row r="15" spans="1:19">
      <c r="A15" s="117"/>
      <c r="S15" s="118"/>
    </row>
    <row r="16" spans="1:19" ht="16.5" thickBot="1">
      <c r="A16" s="117">
        <v>1</v>
      </c>
      <c r="B16" s="119" t="s">
        <v>0</v>
      </c>
      <c r="D16" s="133">
        <v>0</v>
      </c>
      <c r="E16" s="134"/>
      <c r="F16" s="133">
        <v>0</v>
      </c>
      <c r="G16" s="134"/>
      <c r="H16" s="133">
        <v>0</v>
      </c>
      <c r="I16" s="134"/>
      <c r="J16" s="133">
        <v>0</v>
      </c>
      <c r="K16" s="134"/>
      <c r="L16" s="133">
        <v>0</v>
      </c>
      <c r="M16" s="135"/>
      <c r="N16" s="133">
        <f>H16-D16</f>
        <v>0</v>
      </c>
      <c r="O16" s="136">
        <f>IF(D16&gt;0,N16/D16*100,0)</f>
        <v>0</v>
      </c>
      <c r="P16" s="113">
        <f>L16-H16</f>
        <v>0</v>
      </c>
      <c r="Q16" s="136">
        <f>IF(H16&gt;0,P16/H16*100,0)</f>
        <v>0</v>
      </c>
      <c r="S16" s="137">
        <f>L16</f>
        <v>0</v>
      </c>
    </row>
    <row r="17" spans="1:19" ht="16.5" thickTop="1">
      <c r="A17" s="117"/>
      <c r="B17" s="119"/>
      <c r="D17" s="138"/>
      <c r="E17" s="134"/>
      <c r="F17" s="138"/>
      <c r="G17" s="134"/>
      <c r="H17" s="138"/>
      <c r="I17" s="134"/>
      <c r="J17" s="138"/>
      <c r="K17" s="134"/>
      <c r="L17" s="138"/>
      <c r="M17" s="139"/>
      <c r="N17" s="138"/>
      <c r="O17" s="139"/>
      <c r="P17" s="139"/>
      <c r="S17" s="140"/>
    </row>
    <row r="18" spans="1:19">
      <c r="A18" s="117"/>
      <c r="D18" s="134"/>
      <c r="E18" s="134"/>
      <c r="F18" s="134"/>
      <c r="G18" s="134"/>
      <c r="H18" s="134"/>
      <c r="I18" s="134"/>
      <c r="J18" s="134"/>
      <c r="K18" s="134"/>
      <c r="L18" s="134"/>
      <c r="N18" s="134"/>
      <c r="S18" s="140"/>
    </row>
    <row r="19" spans="1:19">
      <c r="A19" s="117"/>
      <c r="B19" s="13" t="s">
        <v>3</v>
      </c>
      <c r="D19" s="134"/>
      <c r="E19" s="134"/>
      <c r="F19" s="134"/>
      <c r="G19" s="134"/>
      <c r="H19" s="134"/>
      <c r="I19" s="134"/>
      <c r="J19" s="134"/>
      <c r="K19" s="134"/>
      <c r="L19" s="134"/>
      <c r="N19" s="134"/>
      <c r="S19" s="140"/>
    </row>
    <row r="20" spans="1:19">
      <c r="A20" s="117"/>
      <c r="D20" s="134"/>
      <c r="E20" s="134"/>
      <c r="F20" s="134"/>
      <c r="G20" s="134"/>
      <c r="H20" s="134"/>
      <c r="I20" s="134"/>
      <c r="J20" s="134"/>
      <c r="K20" s="134"/>
      <c r="L20" s="134"/>
      <c r="N20" s="134"/>
      <c r="S20" s="140"/>
    </row>
    <row r="21" spans="1:19">
      <c r="A21" s="117">
        <v>2</v>
      </c>
      <c r="B21" s="115" t="s">
        <v>95</v>
      </c>
      <c r="D21" s="134">
        <f>[31]INPUT!C359/1000+12</f>
        <v>18.550339999999998</v>
      </c>
      <c r="E21" s="134"/>
      <c r="F21" s="134">
        <f>'[31]Budget 2014'!O358/1000</f>
        <v>15.347</v>
      </c>
      <c r="G21" s="134"/>
      <c r="H21" s="134">
        <f>[31]INPUT!E359/1000</f>
        <v>15.445</v>
      </c>
      <c r="I21" s="134"/>
      <c r="J21" s="134">
        <f>[31]INPUT!D359/1000</f>
        <v>15.445</v>
      </c>
      <c r="K21" s="134"/>
      <c r="L21" s="134">
        <f>[31]INPUT!F359/1000</f>
        <v>20</v>
      </c>
      <c r="M21" s="139"/>
      <c r="N21" s="134">
        <f>H21-D21</f>
        <v>-3.1053399999999982</v>
      </c>
      <c r="O21" s="136">
        <f>N21/D21</f>
        <v>-0.16740070532399937</v>
      </c>
      <c r="P21" s="134">
        <f>L21-H21</f>
        <v>4.5549999999999997</v>
      </c>
      <c r="Q21" s="136">
        <f>P21/H21</f>
        <v>0.2949174490126254</v>
      </c>
      <c r="S21" s="140">
        <f>L21</f>
        <v>20</v>
      </c>
    </row>
    <row r="22" spans="1:19">
      <c r="A22" s="117"/>
      <c r="D22" s="141"/>
      <c r="E22" s="134"/>
      <c r="F22" s="141"/>
      <c r="G22" s="134"/>
      <c r="H22" s="141"/>
      <c r="I22" s="134"/>
      <c r="J22" s="141"/>
      <c r="K22" s="134"/>
      <c r="L22" s="141"/>
      <c r="N22" s="141"/>
      <c r="O22" s="136"/>
      <c r="P22" s="141"/>
      <c r="Q22" s="136"/>
      <c r="S22" s="142"/>
    </row>
    <row r="23" spans="1:19">
      <c r="A23" s="117"/>
      <c r="D23" s="134"/>
      <c r="E23" s="134"/>
      <c r="F23" s="134"/>
      <c r="G23" s="134"/>
      <c r="H23" s="134"/>
      <c r="I23" s="134"/>
      <c r="J23" s="134"/>
      <c r="K23" s="134"/>
      <c r="L23" s="134"/>
      <c r="N23" s="134"/>
      <c r="O23" s="136"/>
      <c r="P23" s="134"/>
      <c r="Q23" s="136"/>
      <c r="S23" s="140"/>
    </row>
    <row r="24" spans="1:19" ht="16.5" thickBot="1">
      <c r="A24" s="117">
        <v>11</v>
      </c>
      <c r="B24" s="13" t="s">
        <v>12</v>
      </c>
      <c r="D24" s="133">
        <f>SUM(D21:D23)</f>
        <v>18.550339999999998</v>
      </c>
      <c r="E24" s="134"/>
      <c r="F24" s="133">
        <f>SUM(F21:F23)</f>
        <v>15.347</v>
      </c>
      <c r="G24" s="134"/>
      <c r="H24" s="133">
        <f>SUM(H21:H23)</f>
        <v>15.445</v>
      </c>
      <c r="I24" s="134"/>
      <c r="J24" s="133">
        <f>SUM(J21:J23)</f>
        <v>15.445</v>
      </c>
      <c r="K24" s="134"/>
      <c r="L24" s="133">
        <f>SUM(L21:L23)</f>
        <v>20</v>
      </c>
      <c r="M24" s="135"/>
      <c r="N24" s="133">
        <f>SUM(N21:N23)</f>
        <v>-3.1053399999999982</v>
      </c>
      <c r="O24" s="136">
        <f>N24/D24</f>
        <v>-0.16740070532399937</v>
      </c>
      <c r="P24" s="133">
        <f>SUM(P21:P23)</f>
        <v>4.5549999999999997</v>
      </c>
      <c r="Q24" s="136">
        <f>P24/H24</f>
        <v>0.2949174490126254</v>
      </c>
      <c r="S24" s="137">
        <f>SUM(S21:S23)</f>
        <v>20</v>
      </c>
    </row>
    <row r="25" spans="1:19" ht="16.5" thickTop="1">
      <c r="A25" s="117"/>
      <c r="D25" s="134"/>
      <c r="E25" s="134"/>
      <c r="F25" s="134"/>
      <c r="G25" s="143"/>
      <c r="H25" s="134"/>
      <c r="I25" s="134"/>
      <c r="J25" s="134"/>
      <c r="K25" s="143"/>
      <c r="L25" s="134"/>
      <c r="M25" s="139"/>
      <c r="N25" s="144"/>
      <c r="O25" s="145"/>
      <c r="P25" s="144"/>
      <c r="Q25" s="145"/>
      <c r="R25" s="121"/>
      <c r="S25" s="144"/>
    </row>
    <row r="26" spans="1:19">
      <c r="A26" s="117"/>
      <c r="D26" s="134"/>
      <c r="E26" s="134"/>
      <c r="F26" s="134"/>
      <c r="G26" s="143"/>
      <c r="H26" s="134"/>
      <c r="I26" s="134"/>
      <c r="J26" s="134"/>
      <c r="K26" s="143"/>
      <c r="L26" s="134"/>
      <c r="M26" s="139"/>
      <c r="N26" s="134"/>
      <c r="O26" s="139"/>
      <c r="P26" s="139"/>
    </row>
    <row r="27" spans="1:19">
      <c r="A27" s="117"/>
      <c r="D27" s="134"/>
      <c r="E27" s="134"/>
      <c r="F27" s="134"/>
      <c r="G27" s="143"/>
      <c r="H27" s="134"/>
      <c r="I27" s="134"/>
      <c r="J27" s="134"/>
      <c r="K27" s="143"/>
      <c r="L27" s="134"/>
      <c r="M27" s="139"/>
      <c r="N27" s="134"/>
      <c r="O27" s="139"/>
      <c r="P27" s="139"/>
    </row>
    <row r="28" spans="1:19">
      <c r="A28" s="115" t="s">
        <v>49</v>
      </c>
      <c r="B28" s="115" t="s">
        <v>71</v>
      </c>
      <c r="D28" s="134"/>
      <c r="E28" s="134"/>
      <c r="F28" s="134"/>
      <c r="G28" s="143"/>
      <c r="H28" s="134"/>
      <c r="I28" s="134"/>
      <c r="J28" s="134"/>
      <c r="K28" s="143"/>
      <c r="L28" s="134"/>
      <c r="M28" s="139"/>
      <c r="N28" s="134"/>
      <c r="O28" s="139"/>
      <c r="P28" s="139"/>
    </row>
    <row r="29" spans="1:19">
      <c r="B29" s="115" t="s">
        <v>72</v>
      </c>
      <c r="D29" s="134"/>
      <c r="E29" s="134"/>
      <c r="F29" s="134"/>
      <c r="G29" s="143"/>
      <c r="H29" s="134"/>
      <c r="I29" s="134"/>
      <c r="J29" s="134"/>
      <c r="K29" s="143"/>
      <c r="L29" s="134"/>
      <c r="M29" s="139"/>
      <c r="N29" s="134"/>
      <c r="O29" s="139"/>
      <c r="P29" s="139"/>
    </row>
    <row r="30" spans="1:19">
      <c r="A30" s="117"/>
      <c r="D30" s="134"/>
      <c r="E30" s="134"/>
      <c r="F30" s="134"/>
      <c r="G30" s="143"/>
      <c r="H30" s="134"/>
      <c r="I30" s="134"/>
      <c r="J30" s="134"/>
      <c r="K30" s="143"/>
      <c r="L30" s="134"/>
      <c r="M30" s="139"/>
      <c r="N30" s="134"/>
      <c r="O30" s="139"/>
      <c r="P30" s="139"/>
    </row>
    <row r="31" spans="1:19">
      <c r="A31" s="117"/>
      <c r="D31" s="134"/>
      <c r="E31" s="134"/>
      <c r="F31" s="134"/>
      <c r="H31" s="134"/>
      <c r="I31" s="134"/>
      <c r="J31" s="134"/>
      <c r="L31" s="134"/>
      <c r="N31" s="134"/>
      <c r="O31" s="139"/>
      <c r="P31" s="139"/>
    </row>
    <row r="35" spans="4:11">
      <c r="D35" s="134"/>
      <c r="E35" s="134"/>
      <c r="F35" s="134"/>
      <c r="G35" s="134"/>
      <c r="H35" s="134"/>
      <c r="I35" s="134"/>
      <c r="J35" s="134"/>
      <c r="K35" s="134"/>
    </row>
    <row r="36" spans="4:11">
      <c r="D36" s="134"/>
      <c r="E36" s="134"/>
      <c r="F36" s="134"/>
      <c r="G36" s="134"/>
    </row>
    <row r="37" spans="4:11">
      <c r="D37" s="134"/>
      <c r="E37" s="134"/>
      <c r="F37" s="134"/>
      <c r="G37" s="134"/>
    </row>
    <row r="38" spans="4:11">
      <c r="D38" s="134"/>
      <c r="E38" s="134"/>
      <c r="F38" s="134"/>
      <c r="G38" s="134"/>
    </row>
    <row r="39" spans="4:11">
      <c r="D39" s="134"/>
      <c r="E39" s="134"/>
      <c r="F39" s="134"/>
      <c r="G39" s="134"/>
    </row>
    <row r="40" spans="4:11">
      <c r="D40" s="134"/>
      <c r="E40" s="134"/>
      <c r="F40" s="134"/>
      <c r="G40" s="134"/>
    </row>
    <row r="54" spans="1:16">
      <c r="H54" s="149"/>
      <c r="I54" s="149"/>
      <c r="J54" s="149"/>
      <c r="K54" s="149"/>
      <c r="L54" s="149"/>
      <c r="M54" s="149"/>
      <c r="N54" s="149"/>
      <c r="O54" s="149"/>
      <c r="P54" s="149" t="s">
        <v>96</v>
      </c>
    </row>
    <row r="55" spans="1:16">
      <c r="H55" s="149"/>
      <c r="I55" s="149"/>
      <c r="J55" s="149"/>
      <c r="K55" s="149"/>
      <c r="L55" s="149"/>
      <c r="M55" s="149"/>
      <c r="N55" s="149"/>
      <c r="O55" s="149"/>
      <c r="P55" s="149" t="s">
        <v>97</v>
      </c>
    </row>
    <row r="56" spans="1:16">
      <c r="H56" s="149"/>
      <c r="I56" s="149"/>
      <c r="J56" s="149"/>
      <c r="K56" s="149"/>
      <c r="L56" s="149"/>
      <c r="M56" s="149"/>
      <c r="N56" s="149"/>
      <c r="O56" s="149"/>
      <c r="P56" s="149" t="s">
        <v>51</v>
      </c>
    </row>
    <row r="57" spans="1:16">
      <c r="A57" s="115" t="s">
        <v>98</v>
      </c>
      <c r="H57" s="149"/>
      <c r="I57" s="149"/>
      <c r="J57" s="149"/>
      <c r="K57" s="149"/>
      <c r="L57" s="149"/>
      <c r="M57" s="149"/>
      <c r="N57" s="149"/>
      <c r="O57" s="149"/>
      <c r="P57" s="149" t="s">
        <v>99</v>
      </c>
    </row>
    <row r="59" spans="1:16">
      <c r="C59" s="150" t="s">
        <v>100</v>
      </c>
      <c r="D59" s="151">
        <f>D16+D24-([31]INPUT!C359)/1000</f>
        <v>11.999999999999998</v>
      </c>
      <c r="E59" s="152"/>
      <c r="F59" s="151">
        <f>F16+F24-('[31]Budget 2014'!O358)/1000</f>
        <v>0</v>
      </c>
      <c r="G59" s="152"/>
      <c r="H59" s="151">
        <f>H16+H24-([31]INPUT!E359)/1000</f>
        <v>0</v>
      </c>
      <c r="I59" s="152"/>
      <c r="J59" s="151">
        <f>J16+J24-([31]INPUT!D359)/1000</f>
        <v>0</v>
      </c>
      <c r="K59" s="152"/>
      <c r="L59" s="151">
        <f>L16+L24-([31]INPUT!F359)/1000</f>
        <v>0</v>
      </c>
    </row>
  </sheetData>
  <mergeCells count="5">
    <mergeCell ref="N10:Q10"/>
    <mergeCell ref="N11:O11"/>
    <mergeCell ref="P11:Q11"/>
    <mergeCell ref="N12:O12"/>
    <mergeCell ref="P12:Q12"/>
  </mergeCells>
  <pageMargins left="0.7" right="0.7" top="0.75" bottom="0.75" header="0.3" footer="0.3"/>
  <pageSetup scale="55" orientation="landscape" verticalDpi="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6">
    <tabColor rgb="FFFFC000"/>
    <pageSetUpPr fitToPage="1"/>
  </sheetPr>
  <dimension ref="A1:S61"/>
  <sheetViews>
    <sheetView zoomScaleNormal="100" workbookViewId="0">
      <selection activeCell="B34" sqref="B34"/>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6.42578125" style="115" bestFit="1" customWidth="1"/>
    <col min="16" max="16" width="12.42578125" style="115" bestFit="1" customWidth="1"/>
    <col min="17" max="17" width="9.140625" style="115"/>
    <col min="18" max="18" width="3.85546875" style="115" customWidth="1"/>
    <col min="19" max="19" width="19.7109375" style="115" customWidth="1"/>
    <col min="20" max="16384" width="9.140625" style="115"/>
  </cols>
  <sheetData>
    <row r="1" spans="1:19">
      <c r="A1" s="9" t="s">
        <v>8</v>
      </c>
      <c r="B1" s="114"/>
      <c r="C1" s="114"/>
      <c r="D1" s="114"/>
      <c r="E1" s="114"/>
      <c r="F1" s="114"/>
      <c r="G1" s="114"/>
      <c r="H1" s="114"/>
      <c r="I1" s="114"/>
      <c r="J1" s="114"/>
      <c r="K1" s="114"/>
      <c r="L1" s="114"/>
      <c r="M1" s="114"/>
      <c r="N1" s="114"/>
      <c r="O1" s="114"/>
      <c r="P1" s="114"/>
    </row>
    <row r="2" spans="1:19">
      <c r="A2" s="10" t="s">
        <v>9</v>
      </c>
      <c r="B2" s="114"/>
      <c r="C2" s="114"/>
      <c r="D2" s="114"/>
      <c r="E2" s="114"/>
      <c r="F2" s="114"/>
      <c r="G2" s="114"/>
      <c r="H2" s="114"/>
      <c r="I2" s="114"/>
      <c r="J2" s="114"/>
      <c r="K2" s="114"/>
      <c r="L2" s="114"/>
      <c r="M2" s="114"/>
      <c r="N2" s="114"/>
      <c r="O2" s="114"/>
      <c r="P2" s="114"/>
    </row>
    <row r="3" spans="1:19">
      <c r="A3" s="11" t="s">
        <v>121</v>
      </c>
      <c r="B3" s="114"/>
      <c r="C3" s="114"/>
      <c r="D3" s="114"/>
      <c r="E3" s="114"/>
      <c r="F3" s="114"/>
      <c r="G3" s="114"/>
      <c r="H3" s="114"/>
      <c r="I3" s="114"/>
      <c r="J3" s="114"/>
      <c r="K3" s="114"/>
      <c r="L3" s="114"/>
      <c r="M3" s="114"/>
      <c r="N3" s="114"/>
      <c r="O3" s="114"/>
      <c r="P3" s="114"/>
    </row>
    <row r="4" spans="1:19">
      <c r="A4" s="12" t="s">
        <v>92</v>
      </c>
      <c r="B4" s="114"/>
      <c r="C4" s="114"/>
      <c r="D4" s="114"/>
      <c r="E4" s="114"/>
      <c r="F4" s="114"/>
      <c r="G4" s="114"/>
      <c r="H4" s="114"/>
      <c r="I4" s="114"/>
      <c r="J4" s="114"/>
      <c r="K4" s="114"/>
      <c r="L4" s="114"/>
      <c r="M4" s="114"/>
      <c r="N4" s="114"/>
      <c r="O4" s="114"/>
      <c r="P4" s="114"/>
    </row>
    <row r="9" spans="1:19">
      <c r="D9" s="131"/>
      <c r="E9" s="131"/>
      <c r="F9" s="116" t="s">
        <v>152</v>
      </c>
      <c r="G9" s="116"/>
      <c r="H9" s="116"/>
      <c r="I9" s="116"/>
      <c r="J9" s="116" t="s">
        <v>152</v>
      </c>
      <c r="K9" s="131"/>
      <c r="L9" s="131"/>
      <c r="M9" s="131"/>
      <c r="N9" s="131"/>
      <c r="O9" s="131"/>
      <c r="P9" s="131"/>
      <c r="Q9" s="131"/>
      <c r="R9" s="131"/>
      <c r="S9" s="116" t="s">
        <v>152</v>
      </c>
    </row>
    <row r="10" spans="1:19">
      <c r="D10" s="131"/>
      <c r="E10" s="131"/>
      <c r="F10" s="131"/>
      <c r="G10" s="131"/>
      <c r="H10" s="131"/>
      <c r="I10" s="131"/>
      <c r="J10" s="131"/>
      <c r="K10" s="131"/>
      <c r="L10" s="131"/>
      <c r="M10" s="131"/>
      <c r="N10" s="562" t="s">
        <v>36</v>
      </c>
      <c r="O10" s="562"/>
      <c r="P10" s="562"/>
      <c r="Q10" s="562"/>
      <c r="R10" s="131"/>
      <c r="S10" s="118"/>
    </row>
    <row r="11" spans="1:19">
      <c r="B11" s="119" t="s">
        <v>122</v>
      </c>
      <c r="D11" s="124" t="s">
        <v>27</v>
      </c>
      <c r="E11" s="121"/>
      <c r="F11" s="124" t="s">
        <v>28</v>
      </c>
      <c r="G11" s="121"/>
      <c r="H11" s="120">
        <v>2015</v>
      </c>
      <c r="I11" s="121"/>
      <c r="J11" s="124" t="s">
        <v>28</v>
      </c>
      <c r="K11" s="131"/>
      <c r="L11" s="122" t="s">
        <v>153</v>
      </c>
      <c r="M11" s="131"/>
      <c r="N11" s="563" t="e">
        <f>'25436'!N11:O11</f>
        <v>#VALUE!</v>
      </c>
      <c r="O11" s="563"/>
      <c r="P11" s="563" t="str">
        <f>'25436'!P11:Q11</f>
        <v>Cause 2016</v>
      </c>
      <c r="Q11" s="563"/>
      <c r="R11" s="131"/>
      <c r="S11" s="123" t="s">
        <v>155</v>
      </c>
    </row>
    <row r="12" spans="1:19">
      <c r="D12" s="124">
        <v>2014</v>
      </c>
      <c r="E12" s="121"/>
      <c r="F12" s="124">
        <v>2014</v>
      </c>
      <c r="G12" s="121"/>
      <c r="H12" s="124" t="s">
        <v>94</v>
      </c>
      <c r="I12" s="121"/>
      <c r="J12" s="124">
        <v>2015</v>
      </c>
      <c r="K12" s="131"/>
      <c r="L12" s="125">
        <v>2016</v>
      </c>
      <c r="M12" s="125"/>
      <c r="N12" s="563" t="e">
        <f>'25436'!N12:O12</f>
        <v>#VALUE!</v>
      </c>
      <c r="O12" s="563"/>
      <c r="P12" s="563" t="str">
        <f>'25436'!P12:Q12</f>
        <v>vs Cause 2005</v>
      </c>
      <c r="Q12" s="563"/>
      <c r="R12" s="131"/>
      <c r="S12" s="123" t="s">
        <v>156</v>
      </c>
    </row>
    <row r="13" spans="1:19" ht="16.5" thickBot="1">
      <c r="D13" s="126" t="s">
        <v>31</v>
      </c>
      <c r="E13" s="121"/>
      <c r="F13" s="126" t="s">
        <v>31</v>
      </c>
      <c r="G13" s="121"/>
      <c r="H13" s="126" t="s">
        <v>31</v>
      </c>
      <c r="I13" s="121"/>
      <c r="J13" s="126" t="s">
        <v>31</v>
      </c>
      <c r="K13" s="131"/>
      <c r="L13" s="127" t="s">
        <v>31</v>
      </c>
      <c r="M13" s="128"/>
      <c r="N13" s="129" t="s">
        <v>31</v>
      </c>
      <c r="O13" s="129" t="s">
        <v>52</v>
      </c>
      <c r="P13" s="129" t="s">
        <v>31</v>
      </c>
      <c r="Q13" s="129" t="s">
        <v>52</v>
      </c>
      <c r="R13" s="131"/>
      <c r="S13" s="129" t="s">
        <v>31</v>
      </c>
    </row>
    <row r="14" spans="1:19">
      <c r="D14" s="117">
        <v>1</v>
      </c>
      <c r="E14" s="117"/>
      <c r="F14" s="117"/>
      <c r="G14" s="117"/>
      <c r="H14" s="117">
        <v>2</v>
      </c>
      <c r="I14" s="117"/>
      <c r="J14" s="117"/>
      <c r="K14" s="117"/>
      <c r="L14" s="117">
        <v>3</v>
      </c>
      <c r="M14" s="130"/>
      <c r="N14" s="130" t="s">
        <v>199</v>
      </c>
      <c r="O14" s="130">
        <v>5</v>
      </c>
      <c r="P14" s="130" t="s">
        <v>158</v>
      </c>
      <c r="Q14" s="130">
        <v>7</v>
      </c>
      <c r="R14" s="131"/>
      <c r="S14" s="132">
        <v>8</v>
      </c>
    </row>
    <row r="15" spans="1:19">
      <c r="A15" s="117"/>
      <c r="S15" s="118"/>
    </row>
    <row r="16" spans="1:19" ht="16.5" thickBot="1">
      <c r="A16" s="117">
        <v>1</v>
      </c>
      <c r="B16" s="119" t="s">
        <v>0</v>
      </c>
      <c r="D16" s="133">
        <f>[32]INPUT!C66/1000</f>
        <v>101.40349999999999</v>
      </c>
      <c r="E16" s="134"/>
      <c r="F16" s="133">
        <f>'[32]Budget 2014'!O65/1000</f>
        <v>102.001</v>
      </c>
      <c r="G16" s="134"/>
      <c r="H16" s="133">
        <f>[32]INPUT!E66/1000</f>
        <v>103.714</v>
      </c>
      <c r="I16" s="134"/>
      <c r="J16" s="133">
        <f>[32]INPUT!D66/1000</f>
        <v>103.72499999999999</v>
      </c>
      <c r="K16" s="134"/>
      <c r="L16" s="133">
        <f>[32]INPUT!F66/1000</f>
        <v>165.727</v>
      </c>
      <c r="M16" s="135"/>
      <c r="N16" s="133">
        <f>H16-D16</f>
        <v>2.3105000000000047</v>
      </c>
      <c r="O16" s="136">
        <f>IF(D16&gt;0,N16/D16,0)</f>
        <v>2.2785209583495687E-2</v>
      </c>
      <c r="P16" s="133">
        <f>L16-H16</f>
        <v>62.013000000000005</v>
      </c>
      <c r="Q16" s="136">
        <f>IF(H16&gt;0,P16/H16,0)</f>
        <v>0.59792313477447601</v>
      </c>
      <c r="S16" s="137">
        <f>L16</f>
        <v>165.727</v>
      </c>
    </row>
    <row r="17" spans="1:19" ht="16.5" thickTop="1">
      <c r="A17" s="117"/>
      <c r="B17" s="119"/>
      <c r="D17" s="138"/>
      <c r="E17" s="134"/>
      <c r="F17" s="138"/>
      <c r="G17" s="134"/>
      <c r="H17" s="138"/>
      <c r="I17" s="134"/>
      <c r="J17" s="138"/>
      <c r="K17" s="134"/>
      <c r="L17" s="138"/>
      <c r="M17" s="139"/>
      <c r="N17" s="138"/>
      <c r="O17" s="136"/>
      <c r="P17" s="139"/>
      <c r="Q17" s="168"/>
      <c r="S17" s="118"/>
    </row>
    <row r="18" spans="1:19">
      <c r="A18" s="117"/>
      <c r="D18" s="134"/>
      <c r="E18" s="134"/>
      <c r="F18" s="134"/>
      <c r="G18" s="134"/>
      <c r="H18" s="134"/>
      <c r="I18" s="134"/>
      <c r="J18" s="134"/>
      <c r="K18" s="134"/>
      <c r="L18" s="134"/>
      <c r="N18" s="134"/>
      <c r="O18" s="136"/>
      <c r="Q18" s="168"/>
      <c r="S18" s="118"/>
    </row>
    <row r="19" spans="1:19">
      <c r="A19" s="117"/>
      <c r="B19" s="13" t="s">
        <v>3</v>
      </c>
      <c r="D19" s="134"/>
      <c r="E19" s="134"/>
      <c r="F19" s="134"/>
      <c r="G19" s="134"/>
      <c r="H19" s="134"/>
      <c r="I19" s="134"/>
      <c r="J19" s="134"/>
      <c r="K19" s="134"/>
      <c r="L19" s="134"/>
      <c r="N19" s="134"/>
      <c r="O19" s="136"/>
      <c r="Q19" s="168"/>
      <c r="S19" s="118"/>
    </row>
    <row r="20" spans="1:19">
      <c r="A20" s="117"/>
      <c r="D20" s="134"/>
      <c r="E20" s="134"/>
      <c r="F20" s="134"/>
      <c r="G20" s="134"/>
      <c r="H20" s="134"/>
      <c r="I20" s="134"/>
      <c r="J20" s="134"/>
      <c r="K20" s="134"/>
      <c r="L20" s="134"/>
      <c r="N20" s="134"/>
      <c r="O20" s="136"/>
      <c r="Q20" s="168"/>
      <c r="S20" s="118"/>
    </row>
    <row r="21" spans="1:19">
      <c r="A21" s="117">
        <v>2</v>
      </c>
      <c r="B21" s="115" t="s">
        <v>123</v>
      </c>
      <c r="D21" s="134">
        <f>([32]INPUT!C359-[32]INPUT!C66)/1000</f>
        <v>225.49544</v>
      </c>
      <c r="E21" s="134"/>
      <c r="F21" s="134">
        <f>('[32]Budget 2014'!O358-'[32]Budget 2014'!O65)/1000</f>
        <v>301.226</v>
      </c>
      <c r="G21" s="134"/>
      <c r="H21" s="134">
        <f>([32]INPUT!E359-[32]INPUT!E66)/1000</f>
        <v>291.69600000000003</v>
      </c>
      <c r="I21" s="134"/>
      <c r="J21" s="134">
        <f>([32]INPUT!D359-[32]INPUT!D66)/1000</f>
        <v>291.69499999999999</v>
      </c>
      <c r="K21" s="134"/>
      <c r="L21" s="134">
        <f>([32]INPUT!F359-[32]INPUT!F66)/1000</f>
        <v>353.87900000000002</v>
      </c>
      <c r="M21" s="139"/>
      <c r="N21" s="134">
        <f>H21-D21</f>
        <v>66.200560000000024</v>
      </c>
      <c r="O21" s="136">
        <f t="shared" ref="O21:O26" si="0">N21/D21</f>
        <v>0.29357826481990068</v>
      </c>
      <c r="P21" s="134">
        <f>L21-H21</f>
        <v>62.182999999999993</v>
      </c>
      <c r="Q21" s="136">
        <f t="shared" ref="Q21:Q26" si="1">P21/H21</f>
        <v>0.21317741758543135</v>
      </c>
      <c r="S21" s="140">
        <f>L21</f>
        <v>353.87900000000002</v>
      </c>
    </row>
    <row r="22" spans="1:19">
      <c r="A22" s="117"/>
      <c r="D22" s="134"/>
      <c r="E22" s="134"/>
      <c r="F22" s="134"/>
      <c r="G22" s="134"/>
      <c r="H22" s="134"/>
      <c r="I22" s="134"/>
      <c r="J22" s="134"/>
      <c r="K22" s="134"/>
      <c r="L22" s="134"/>
      <c r="M22" s="139"/>
      <c r="N22" s="134"/>
      <c r="O22" s="136"/>
      <c r="P22" s="134"/>
      <c r="Q22" s="168"/>
      <c r="S22" s="118"/>
    </row>
    <row r="23" spans="1:19">
      <c r="A23" s="117">
        <v>3</v>
      </c>
      <c r="B23" s="115" t="s">
        <v>160</v>
      </c>
      <c r="D23" s="134">
        <v>0</v>
      </c>
      <c r="E23" s="134"/>
      <c r="F23" s="134">
        <v>0</v>
      </c>
      <c r="G23" s="134"/>
      <c r="H23" s="134">
        <v>0</v>
      </c>
      <c r="I23" s="134"/>
      <c r="J23" s="134">
        <v>0</v>
      </c>
      <c r="K23" s="134"/>
      <c r="L23" s="134">
        <v>0</v>
      </c>
      <c r="M23" s="139"/>
      <c r="N23" s="134">
        <f>H23-D23</f>
        <v>0</v>
      </c>
      <c r="O23" s="136">
        <f>IF(D23&gt;0,N23/D23,0)</f>
        <v>0</v>
      </c>
      <c r="P23" s="134">
        <f>L23-H23</f>
        <v>0</v>
      </c>
      <c r="Q23" s="136">
        <f>IF(H23&gt;0,P23/H23,0)</f>
        <v>0</v>
      </c>
      <c r="S23" s="140">
        <f>-[32]INPUT!K359/1000</f>
        <v>-31.176360000000045</v>
      </c>
    </row>
    <row r="24" spans="1:19">
      <c r="A24" s="117"/>
      <c r="D24" s="141"/>
      <c r="E24" s="134"/>
      <c r="F24" s="141"/>
      <c r="G24" s="134"/>
      <c r="H24" s="141"/>
      <c r="I24" s="134"/>
      <c r="J24" s="141"/>
      <c r="K24" s="134"/>
      <c r="L24" s="141"/>
      <c r="N24" s="141"/>
      <c r="O24" s="136"/>
      <c r="P24" s="141"/>
      <c r="Q24" s="168"/>
      <c r="S24" s="169"/>
    </row>
    <row r="25" spans="1:19">
      <c r="A25" s="117"/>
      <c r="D25" s="134"/>
      <c r="E25" s="134"/>
      <c r="F25" s="134"/>
      <c r="G25" s="134"/>
      <c r="H25" s="134"/>
      <c r="I25" s="134"/>
      <c r="J25" s="134"/>
      <c r="K25" s="134"/>
      <c r="L25" s="134"/>
      <c r="N25" s="134"/>
      <c r="O25" s="136"/>
      <c r="P25" s="134"/>
      <c r="Q25" s="168"/>
      <c r="S25" s="118"/>
    </row>
    <row r="26" spans="1:19" ht="16.5" thickBot="1">
      <c r="A26" s="117">
        <v>4</v>
      </c>
      <c r="B26" s="13" t="s">
        <v>12</v>
      </c>
      <c r="D26" s="133">
        <f>SUM(D21:D25)</f>
        <v>225.49544</v>
      </c>
      <c r="E26" s="134"/>
      <c r="F26" s="133">
        <f>SUM(F21:F25)</f>
        <v>301.226</v>
      </c>
      <c r="G26" s="134"/>
      <c r="H26" s="133">
        <f>SUM(H21:H25)</f>
        <v>291.69600000000003</v>
      </c>
      <c r="I26" s="134"/>
      <c r="J26" s="133">
        <f>SUM(J21:J25)</f>
        <v>291.69499999999999</v>
      </c>
      <c r="K26" s="134"/>
      <c r="L26" s="133">
        <f>SUM(L21:L25)</f>
        <v>353.87900000000002</v>
      </c>
      <c r="M26" s="135"/>
      <c r="N26" s="133">
        <f>SUM(N21:N23)</f>
        <v>66.200560000000024</v>
      </c>
      <c r="O26" s="136">
        <f t="shared" si="0"/>
        <v>0.29357826481990068</v>
      </c>
      <c r="P26" s="133">
        <f>SUM(P21:P23)</f>
        <v>62.182999999999993</v>
      </c>
      <c r="Q26" s="136">
        <f t="shared" si="1"/>
        <v>0.21317741758543135</v>
      </c>
      <c r="S26" s="137">
        <f>SUM(S21:S25)</f>
        <v>322.70263999999997</v>
      </c>
    </row>
    <row r="27" spans="1:19" ht="16.5" thickTop="1">
      <c r="A27" s="117"/>
      <c r="D27" s="134"/>
      <c r="E27" s="134"/>
      <c r="F27" s="134"/>
      <c r="G27" s="143"/>
      <c r="H27" s="134"/>
      <c r="I27" s="134"/>
      <c r="J27" s="134"/>
      <c r="K27" s="143"/>
      <c r="L27" s="134"/>
      <c r="M27" s="139"/>
      <c r="N27" s="134"/>
      <c r="O27" s="139"/>
      <c r="P27" s="139"/>
    </row>
    <row r="28" spans="1:19">
      <c r="A28" s="117"/>
      <c r="D28" s="134"/>
      <c r="E28" s="134"/>
      <c r="F28" s="134"/>
      <c r="G28" s="143"/>
      <c r="H28" s="134"/>
      <c r="I28" s="134"/>
      <c r="J28" s="134"/>
      <c r="K28" s="143"/>
      <c r="L28" s="134"/>
      <c r="M28" s="139"/>
      <c r="N28" s="134"/>
      <c r="O28" s="139"/>
      <c r="P28" s="139"/>
    </row>
    <row r="29" spans="1:19">
      <c r="A29" s="115" t="s">
        <v>49</v>
      </c>
      <c r="B29" s="115" t="s">
        <v>71</v>
      </c>
      <c r="D29" s="134"/>
      <c r="E29" s="134"/>
      <c r="F29" s="134"/>
      <c r="G29" s="143"/>
      <c r="H29" s="134"/>
      <c r="I29" s="134"/>
      <c r="J29" s="134"/>
      <c r="K29" s="143"/>
      <c r="L29" s="134"/>
      <c r="M29" s="139"/>
      <c r="N29" s="134"/>
      <c r="O29" s="139"/>
      <c r="P29" s="139"/>
    </row>
    <row r="30" spans="1:19">
      <c r="B30" s="143" t="s">
        <v>39</v>
      </c>
      <c r="D30" s="134"/>
      <c r="E30" s="134"/>
      <c r="F30" s="134"/>
      <c r="G30" s="143"/>
      <c r="H30" s="134"/>
      <c r="I30" s="134"/>
      <c r="J30" s="134"/>
      <c r="K30" s="143"/>
      <c r="L30" s="134"/>
      <c r="M30" s="139"/>
      <c r="N30" s="134"/>
      <c r="O30" s="139"/>
      <c r="P30" s="139"/>
    </row>
    <row r="31" spans="1:19">
      <c r="A31" s="117"/>
      <c r="D31" s="134"/>
      <c r="E31" s="134"/>
      <c r="F31" s="134"/>
      <c r="G31" s="143"/>
      <c r="H31" s="134"/>
      <c r="I31" s="134"/>
      <c r="J31" s="134"/>
      <c r="K31" s="143"/>
      <c r="L31" s="134"/>
      <c r="M31" s="139"/>
      <c r="N31" s="134"/>
      <c r="O31" s="139"/>
      <c r="P31" s="139"/>
    </row>
    <row r="32" spans="1:19">
      <c r="A32" s="117"/>
      <c r="D32" s="134"/>
      <c r="E32" s="134"/>
      <c r="F32" s="134"/>
      <c r="G32" s="143"/>
      <c r="H32" s="134"/>
      <c r="I32" s="134"/>
      <c r="J32" s="134"/>
      <c r="K32" s="143"/>
      <c r="L32" s="134"/>
      <c r="M32" s="139"/>
      <c r="N32" s="134"/>
      <c r="O32" s="139"/>
      <c r="P32" s="139"/>
    </row>
    <row r="33" spans="1:16">
      <c r="A33" s="117"/>
      <c r="D33" s="134"/>
      <c r="E33" s="134"/>
      <c r="F33" s="134"/>
      <c r="H33" s="134"/>
      <c r="I33" s="134"/>
      <c r="J33" s="134"/>
      <c r="L33" s="134"/>
      <c r="N33" s="134"/>
      <c r="O33" s="139"/>
      <c r="P33" s="139"/>
    </row>
    <row r="35" spans="1:16">
      <c r="F35" s="406">
        <v>40878</v>
      </c>
      <c r="H35" s="406">
        <f>F35+366</f>
        <v>41244</v>
      </c>
      <c r="J35" s="406">
        <f>H35+365</f>
        <v>41609</v>
      </c>
      <c r="L35" s="406">
        <f>J35+365</f>
        <v>41974</v>
      </c>
      <c r="N35" s="406">
        <f>L35+365</f>
        <v>42339</v>
      </c>
      <c r="P35" s="406">
        <f>N35+366</f>
        <v>42705</v>
      </c>
    </row>
    <row r="36" spans="1:16">
      <c r="E36" s="149" t="s">
        <v>338</v>
      </c>
      <c r="F36" s="407">
        <v>105127</v>
      </c>
      <c r="G36" s="407"/>
      <c r="H36" s="407">
        <v>140945</v>
      </c>
      <c r="I36" s="407"/>
      <c r="J36" s="407">
        <v>116795</v>
      </c>
      <c r="K36" s="407"/>
      <c r="L36" s="407">
        <v>102220</v>
      </c>
      <c r="N36" s="115">
        <v>126000</v>
      </c>
      <c r="P36" s="115">
        <v>150000</v>
      </c>
    </row>
    <row r="37" spans="1:16">
      <c r="D37" s="134"/>
      <c r="E37" s="408" t="s">
        <v>339</v>
      </c>
      <c r="F37" s="407">
        <v>101284</v>
      </c>
      <c r="G37" s="407"/>
      <c r="H37" s="407">
        <v>100917</v>
      </c>
      <c r="I37" s="407"/>
      <c r="J37" s="407">
        <v>97935</v>
      </c>
      <c r="K37" s="407"/>
      <c r="L37" s="407">
        <v>65270</v>
      </c>
      <c r="N37" s="115">
        <v>76097</v>
      </c>
      <c r="P37" s="115">
        <v>109000</v>
      </c>
    </row>
    <row r="38" spans="1:16" ht="3.75" customHeight="1">
      <c r="D38" s="134"/>
      <c r="E38" s="134"/>
      <c r="F38" s="407"/>
      <c r="G38" s="407"/>
      <c r="H38" s="407"/>
      <c r="I38" s="407"/>
      <c r="J38" s="407"/>
      <c r="K38" s="407"/>
      <c r="L38" s="407"/>
    </row>
    <row r="39" spans="1:16">
      <c r="D39" s="134"/>
      <c r="E39" s="134"/>
      <c r="F39" s="407">
        <f>F36+F37</f>
        <v>206411</v>
      </c>
      <c r="G39" s="407"/>
      <c r="H39" s="407">
        <f>H36+H37</f>
        <v>241862</v>
      </c>
      <c r="I39" s="407"/>
      <c r="J39" s="407">
        <f>J36+J37</f>
        <v>214730</v>
      </c>
      <c r="K39" s="407"/>
      <c r="L39" s="407">
        <f>L36+L37</f>
        <v>167490</v>
      </c>
      <c r="N39" s="407">
        <f>N36+N37</f>
        <v>202097</v>
      </c>
      <c r="P39" s="407">
        <f>P36+P37</f>
        <v>259000</v>
      </c>
    </row>
    <row r="40" spans="1:16">
      <c r="D40" s="134"/>
      <c r="E40" s="134"/>
      <c r="F40" s="134"/>
      <c r="G40" s="134"/>
      <c r="H40" s="407">
        <f>H39-F39</f>
        <v>35451</v>
      </c>
      <c r="J40" s="407">
        <f>J39-H39</f>
        <v>-27132</v>
      </c>
      <c r="L40" s="407">
        <f>L39-J39</f>
        <v>-47240</v>
      </c>
      <c r="N40" s="407">
        <f>N39-L39</f>
        <v>34607</v>
      </c>
      <c r="P40" s="407">
        <f>P39-N39</f>
        <v>56903</v>
      </c>
    </row>
    <row r="41" spans="1:16">
      <c r="D41" s="134"/>
      <c r="E41" s="134"/>
      <c r="F41" s="134"/>
      <c r="G41" s="134"/>
      <c r="L41" s="407">
        <f>L39-H39</f>
        <v>-74372</v>
      </c>
    </row>
    <row r="42" spans="1:16">
      <c r="D42" s="134"/>
      <c r="E42" s="134"/>
      <c r="F42" s="134"/>
      <c r="G42" s="134"/>
    </row>
    <row r="43" spans="1:16">
      <c r="H43" s="407">
        <f>H39</f>
        <v>241862</v>
      </c>
      <c r="J43" s="115">
        <f>H45</f>
        <v>246699.24</v>
      </c>
      <c r="L43" s="115">
        <f>J45</f>
        <v>251633.2248</v>
      </c>
      <c r="N43" s="115">
        <f>L45</f>
        <v>256665.88929600001</v>
      </c>
    </row>
    <row r="44" spans="1:16">
      <c r="H44" s="409">
        <v>0.02</v>
      </c>
      <c r="J44" s="409">
        <f>H44</f>
        <v>0.02</v>
      </c>
      <c r="L44" s="409">
        <f>J44</f>
        <v>0.02</v>
      </c>
      <c r="N44" s="409">
        <f>L44</f>
        <v>0.02</v>
      </c>
    </row>
    <row r="45" spans="1:16">
      <c r="H45" s="115">
        <f>H43*1.02</f>
        <v>246699.24</v>
      </c>
      <c r="J45" s="115">
        <f>J43*1.02</f>
        <v>251633.2248</v>
      </c>
      <c r="L45" s="115">
        <f>L43*1.02</f>
        <v>256665.88929600001</v>
      </c>
      <c r="N45" s="115">
        <f>N43*1.02</f>
        <v>261799.20708192</v>
      </c>
    </row>
    <row r="56" spans="1:19">
      <c r="H56" s="149"/>
      <c r="I56" s="149"/>
      <c r="J56" s="149"/>
      <c r="K56" s="149"/>
      <c r="L56" s="149"/>
      <c r="M56" s="149"/>
      <c r="N56" s="149"/>
      <c r="O56" s="149"/>
      <c r="S56" s="149" t="s">
        <v>96</v>
      </c>
    </row>
    <row r="57" spans="1:19">
      <c r="H57" s="149"/>
      <c r="I57" s="149"/>
      <c r="J57" s="149"/>
      <c r="K57" s="149"/>
      <c r="L57" s="149"/>
      <c r="M57" s="149"/>
      <c r="N57" s="149"/>
      <c r="O57" s="149"/>
      <c r="S57" s="149" t="s">
        <v>97</v>
      </c>
    </row>
    <row r="58" spans="1:19">
      <c r="H58" s="149"/>
      <c r="I58" s="149"/>
      <c r="J58" s="149"/>
      <c r="K58" s="149"/>
      <c r="L58" s="149"/>
      <c r="M58" s="149"/>
      <c r="N58" s="149"/>
      <c r="O58" s="149"/>
      <c r="S58" s="149" t="s">
        <v>51</v>
      </c>
    </row>
    <row r="59" spans="1:19">
      <c r="A59" s="115" t="s">
        <v>98</v>
      </c>
      <c r="H59" s="149"/>
      <c r="I59" s="149"/>
      <c r="J59" s="149"/>
      <c r="K59" s="149"/>
      <c r="L59" s="149"/>
      <c r="M59" s="149"/>
      <c r="N59" s="149"/>
      <c r="O59" s="149"/>
      <c r="S59" s="149" t="s">
        <v>99</v>
      </c>
    </row>
    <row r="61" spans="1:19">
      <c r="C61" s="150" t="s">
        <v>100</v>
      </c>
      <c r="D61" s="151">
        <f>D16+D26-([32]INPUT!C359)/1000</f>
        <v>0</v>
      </c>
      <c r="E61" s="152"/>
      <c r="F61" s="151">
        <f>F16+F26-('[32]Budget 2014'!O358)/1000</f>
        <v>0</v>
      </c>
      <c r="G61" s="152"/>
      <c r="H61" s="151">
        <f>H16+H26-([32]INPUT!E359)/1000</f>
        <v>0</v>
      </c>
      <c r="I61" s="152"/>
      <c r="J61" s="151">
        <f>J16+J26-([32]INPUT!D359)/1000</f>
        <v>0</v>
      </c>
      <c r="K61" s="152"/>
      <c r="L61" s="151">
        <f>L16+L26-([32]INPUT!F359)/1000</f>
        <v>0</v>
      </c>
    </row>
  </sheetData>
  <mergeCells count="5">
    <mergeCell ref="N10:Q10"/>
    <mergeCell ref="N11:O11"/>
    <mergeCell ref="P11:Q11"/>
    <mergeCell ref="N12:O12"/>
    <mergeCell ref="P12:Q12"/>
  </mergeCells>
  <pageMargins left="0.7" right="0.7" top="0.75" bottom="0.75" header="0.3" footer="0.3"/>
  <pageSetup scale="54" orientation="landscape" verticalDpi="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U51"/>
  <sheetViews>
    <sheetView zoomScaleNormal="100" workbookViewId="0">
      <selection activeCell="B5" sqref="B5"/>
    </sheetView>
  </sheetViews>
  <sheetFormatPr baseColWidth="10" defaultColWidth="9.140625" defaultRowHeight="15.75" outlineLevelCol="1"/>
  <cols>
    <col min="1" max="1" width="7.7109375" style="17" bestFit="1" customWidth="1"/>
    <col min="2" max="2" width="31.140625" style="17" bestFit="1" customWidth="1"/>
    <col min="3" max="3" width="14.28515625" style="17" hidden="1" customWidth="1" outlineLevel="1"/>
    <col min="4" max="4" width="0" style="17" hidden="1" customWidth="1" collapsed="1"/>
    <col min="5" max="5" width="3.85546875" style="17" hidden="1" customWidth="1"/>
    <col min="6" max="6" width="0" style="17" hidden="1" customWidth="1"/>
    <col min="7" max="7" width="3.85546875" style="17" hidden="1" customWidth="1"/>
    <col min="8" max="8" width="9.7109375" style="17" hidden="1" customWidth="1"/>
    <col min="9" max="9" width="9.7109375" style="17" customWidth="1"/>
    <col min="10" max="10" width="3.85546875" style="17" customWidth="1"/>
    <col min="11" max="11" width="0" style="17" hidden="1" customWidth="1"/>
    <col min="12" max="12" width="3.85546875" style="17" hidden="1" customWidth="1"/>
    <col min="13" max="13" width="9.140625" style="17"/>
    <col min="14" max="14" width="3.85546875" style="17" customWidth="1"/>
    <col min="15" max="15" width="0" style="17" hidden="1" customWidth="1"/>
    <col min="16" max="16" width="3.7109375" style="17" hidden="1" customWidth="1"/>
    <col min="17" max="17" width="6.5703125" style="17" hidden="1" customWidth="1"/>
    <col min="18" max="18" width="9.140625" style="17"/>
    <col min="19" max="19" width="7.28515625" style="17" customWidth="1"/>
    <col min="20" max="20" width="7" style="17" customWidth="1"/>
    <col min="21" max="21" width="20.42578125" style="17" hidden="1" customWidth="1"/>
    <col min="22" max="16384" width="9.140625" style="17"/>
  </cols>
  <sheetData>
    <row r="1" spans="1:21">
      <c r="A1" s="558" t="s">
        <v>8</v>
      </c>
      <c r="B1" s="558"/>
      <c r="C1" s="558"/>
      <c r="D1" s="558"/>
      <c r="E1" s="558"/>
      <c r="F1" s="558"/>
      <c r="G1" s="558"/>
      <c r="H1" s="558"/>
      <c r="I1" s="558"/>
      <c r="J1" s="558"/>
      <c r="K1" s="558"/>
      <c r="L1" s="558"/>
      <c r="M1" s="558"/>
      <c r="N1" s="558"/>
      <c r="O1" s="558"/>
      <c r="P1" s="558"/>
      <c r="Q1" s="558"/>
      <c r="R1" s="558"/>
      <c r="S1" s="558"/>
    </row>
    <row r="2" spans="1:21">
      <c r="A2" s="559" t="s">
        <v>487</v>
      </c>
      <c r="B2" s="559"/>
      <c r="C2" s="559"/>
      <c r="D2" s="559"/>
      <c r="E2" s="559"/>
      <c r="F2" s="559"/>
      <c r="G2" s="559"/>
      <c r="H2" s="559"/>
      <c r="I2" s="559"/>
      <c r="J2" s="559"/>
      <c r="K2" s="559"/>
      <c r="L2" s="559"/>
      <c r="M2" s="559"/>
      <c r="N2" s="559"/>
      <c r="O2" s="559"/>
      <c r="P2" s="559"/>
      <c r="Q2" s="559"/>
      <c r="R2" s="559"/>
      <c r="S2" s="559"/>
      <c r="T2" s="559"/>
    </row>
    <row r="3" spans="1:21">
      <c r="A3" s="560" t="s">
        <v>91</v>
      </c>
      <c r="B3" s="560"/>
      <c r="C3" s="560"/>
      <c r="D3" s="560"/>
      <c r="E3" s="560"/>
      <c r="F3" s="560"/>
      <c r="G3" s="560"/>
      <c r="H3" s="560"/>
      <c r="I3" s="560"/>
      <c r="J3" s="560"/>
      <c r="K3" s="560"/>
      <c r="L3" s="560"/>
      <c r="M3" s="560"/>
      <c r="N3" s="560"/>
      <c r="O3" s="560"/>
      <c r="P3" s="560"/>
      <c r="Q3" s="560"/>
      <c r="R3" s="560"/>
      <c r="S3" s="560"/>
      <c r="T3" s="560"/>
    </row>
    <row r="4" spans="1:21">
      <c r="A4" s="561" t="s">
        <v>92</v>
      </c>
      <c r="B4" s="561"/>
      <c r="C4" s="561"/>
      <c r="D4" s="561"/>
      <c r="E4" s="561"/>
      <c r="F4" s="561"/>
      <c r="G4" s="561"/>
      <c r="H4" s="561"/>
      <c r="I4" s="561"/>
      <c r="J4" s="561"/>
      <c r="K4" s="561"/>
      <c r="L4" s="561"/>
      <c r="M4" s="561"/>
      <c r="N4" s="561"/>
      <c r="O4" s="561"/>
      <c r="P4" s="561"/>
      <c r="Q4" s="561"/>
      <c r="R4" s="561"/>
      <c r="S4" s="561"/>
      <c r="T4" s="561"/>
    </row>
    <row r="5" spans="1:21">
      <c r="A5" s="16"/>
      <c r="B5" s="16"/>
      <c r="C5" s="16"/>
      <c r="D5" s="16"/>
      <c r="E5" s="16"/>
      <c r="F5" s="16"/>
      <c r="G5" s="16"/>
      <c r="H5" s="16"/>
      <c r="I5" s="16"/>
    </row>
    <row r="6" spans="1:21">
      <c r="F6" s="155" t="s">
        <v>152</v>
      </c>
      <c r="G6" s="32"/>
      <c r="H6" s="32"/>
      <c r="I6" s="32"/>
      <c r="J6" s="32"/>
      <c r="K6" s="155" t="s">
        <v>152</v>
      </c>
      <c r="U6" s="155" t="s">
        <v>152</v>
      </c>
    </row>
    <row r="7" spans="1:21">
      <c r="O7" s="565" t="s">
        <v>36</v>
      </c>
      <c r="P7" s="565"/>
      <c r="Q7" s="565"/>
      <c r="R7" s="565"/>
      <c r="S7" s="565"/>
      <c r="U7" s="156"/>
    </row>
    <row r="8" spans="1:21">
      <c r="D8" s="157" t="str">
        <f>'GI-28 Doc 3.2'!D7</f>
        <v>Réel</v>
      </c>
      <c r="E8" s="158"/>
      <c r="F8" s="157">
        <v>2014</v>
      </c>
      <c r="G8" s="158"/>
      <c r="H8" s="157" t="str">
        <f>'GI-28 Doc 3.2'!H7</f>
        <v>(4+8)</v>
      </c>
      <c r="I8" s="83" t="s">
        <v>153</v>
      </c>
      <c r="J8" s="158"/>
      <c r="K8" s="157">
        <v>2015</v>
      </c>
      <c r="M8" s="78" t="s">
        <v>153</v>
      </c>
      <c r="O8" s="564" t="str">
        <f>'GI-28 Doc 2.2'!O7:Q7</f>
        <v>2015 (4+8)</v>
      </c>
      <c r="P8" s="564"/>
      <c r="Q8" s="564"/>
      <c r="R8" s="564" t="str">
        <f>'GI-28 Doc 2.2'!R7:S7</f>
        <v>Cause 2016</v>
      </c>
      <c r="S8" s="564"/>
      <c r="U8" s="159" t="s">
        <v>155</v>
      </c>
    </row>
    <row r="9" spans="1:21">
      <c r="D9" s="157">
        <f>'GI-28 Doc 3.2'!D8</f>
        <v>2014</v>
      </c>
      <c r="E9" s="158"/>
      <c r="F9" s="160" t="s">
        <v>28</v>
      </c>
      <c r="G9" s="158"/>
      <c r="H9" s="157">
        <f>'GI-28 Doc 3.2'!H8</f>
        <v>2015</v>
      </c>
      <c r="I9" s="85">
        <v>2005</v>
      </c>
      <c r="J9" s="158"/>
      <c r="K9" s="160" t="s">
        <v>28</v>
      </c>
      <c r="M9" s="161">
        <v>2016</v>
      </c>
      <c r="N9" s="161"/>
      <c r="O9" s="564" t="str">
        <f>'GI-28 Doc 2.2'!O8:Q8</f>
        <v>vs Réel 2014</v>
      </c>
      <c r="P9" s="564"/>
      <c r="Q9" s="564"/>
      <c r="R9" s="564" t="str">
        <f>'GI-28 Doc 2.2'!R8:S8</f>
        <v>vs Cause 2005</v>
      </c>
      <c r="S9" s="564"/>
      <c r="U9" s="159" t="s">
        <v>156</v>
      </c>
    </row>
    <row r="10" spans="1:21" ht="16.5" thickBot="1">
      <c r="D10" s="162" t="s">
        <v>31</v>
      </c>
      <c r="E10" s="158"/>
      <c r="F10" s="162" t="s">
        <v>31</v>
      </c>
      <c r="G10" s="158"/>
      <c r="H10" s="162" t="s">
        <v>31</v>
      </c>
      <c r="I10" s="87" t="s">
        <v>31</v>
      </c>
      <c r="J10" s="158"/>
      <c r="K10" s="162" t="s">
        <v>31</v>
      </c>
      <c r="M10" s="163" t="s">
        <v>31</v>
      </c>
      <c r="N10" s="164"/>
      <c r="O10" s="165" t="s">
        <v>31</v>
      </c>
      <c r="P10" s="165"/>
      <c r="Q10" s="165" t="s">
        <v>52</v>
      </c>
      <c r="R10" s="165" t="s">
        <v>31</v>
      </c>
      <c r="S10" s="165" t="s">
        <v>52</v>
      </c>
      <c r="U10" s="165" t="s">
        <v>31</v>
      </c>
    </row>
    <row r="11" spans="1:21">
      <c r="D11" s="32">
        <v>1</v>
      </c>
      <c r="E11" s="32"/>
      <c r="F11" s="32"/>
      <c r="G11" s="32"/>
      <c r="H11" s="32">
        <v>2</v>
      </c>
      <c r="I11" s="105">
        <v>1</v>
      </c>
      <c r="J11" s="32"/>
      <c r="K11" s="32"/>
      <c r="L11" s="32"/>
      <c r="M11" s="32">
        <v>2</v>
      </c>
      <c r="N11" s="166"/>
      <c r="O11" s="166" t="s">
        <v>199</v>
      </c>
      <c r="P11" s="166"/>
      <c r="Q11" s="166">
        <v>5</v>
      </c>
      <c r="R11" s="166" t="s">
        <v>488</v>
      </c>
      <c r="S11" s="166">
        <v>4</v>
      </c>
      <c r="T11"/>
      <c r="U11" s="167">
        <v>8</v>
      </c>
    </row>
    <row r="12" spans="1:21">
      <c r="A12" s="29"/>
      <c r="B12" s="19"/>
      <c r="C12" s="19"/>
      <c r="D12" s="20"/>
      <c r="E12" s="20"/>
      <c r="F12" s="20"/>
    </row>
    <row r="13" spans="1:21" ht="16.5" thickBot="1">
      <c r="A13" s="22">
        <v>1</v>
      </c>
      <c r="B13" s="23" t="s">
        <v>0</v>
      </c>
      <c r="C13" s="26"/>
      <c r="D13" s="24">
        <f>'25442'!D16+'25444'!D16+'25446'!D16+'25448'!D16+'25449'!D16</f>
        <v>1162.36841</v>
      </c>
      <c r="E13" s="20"/>
      <c r="F13" s="24">
        <f>'25442'!F16+'25444'!F16+'25446'!F16+'25448'!F16+'25449'!F16</f>
        <v>1244.049</v>
      </c>
      <c r="H13" s="24">
        <f>'25442'!H16+'25444'!H16+'25446'!H16+'25448'!H16+'25449'!H16</f>
        <v>1170.27316</v>
      </c>
      <c r="I13" s="24">
        <v>598.9</v>
      </c>
      <c r="J13" s="459" t="s">
        <v>38</v>
      </c>
      <c r="K13" s="24">
        <f>'25442'!J16+'25444'!J16+'25446'!J16+'25448'!J16+'25449'!J16</f>
        <v>1176.103000000001</v>
      </c>
      <c r="M13" s="24">
        <f>'25442'!L16+'25444'!L16+'25446'!L16+'25448'!L16+'25449'!L16</f>
        <v>1233.085</v>
      </c>
      <c r="N13" s="459" t="s">
        <v>40</v>
      </c>
      <c r="O13" s="24">
        <f>H13-D13</f>
        <v>7.9047499999999218</v>
      </c>
      <c r="P13" s="459" t="s">
        <v>38</v>
      </c>
      <c r="Q13" s="108">
        <f>IF(D13&gt;0,O13/D13,0)</f>
        <v>6.8005547397833373E-3</v>
      </c>
      <c r="R13" s="24">
        <f>M13-I13</f>
        <v>634.18500000000006</v>
      </c>
      <c r="S13" s="108">
        <f>IF(I13&gt;0,R13/I13,0)</f>
        <v>1.0589163466354985</v>
      </c>
    </row>
    <row r="14" spans="1:21" ht="16.5" thickTop="1">
      <c r="A14" s="29"/>
      <c r="B14" s="19"/>
      <c r="C14" s="19"/>
      <c r="D14" s="354"/>
      <c r="E14" s="354"/>
      <c r="F14" s="354"/>
      <c r="G14" s="158"/>
      <c r="H14" s="158"/>
      <c r="I14" s="158"/>
      <c r="K14" s="158"/>
      <c r="L14" s="158"/>
      <c r="M14" s="158"/>
      <c r="O14" s="158"/>
      <c r="P14" s="158"/>
      <c r="Q14" s="158"/>
      <c r="R14" s="158"/>
      <c r="S14" s="158"/>
    </row>
    <row r="15" spans="1:21">
      <c r="A15" s="29"/>
      <c r="B15" s="19"/>
      <c r="C15" s="19"/>
      <c r="D15" s="20"/>
      <c r="E15" s="20"/>
      <c r="F15" s="20"/>
    </row>
    <row r="16" spans="1:21">
      <c r="A16" s="29"/>
      <c r="B16" s="23" t="s">
        <v>3</v>
      </c>
      <c r="C16" s="19"/>
      <c r="D16" s="20"/>
      <c r="E16" s="20"/>
      <c r="F16" s="20"/>
    </row>
    <row r="17" spans="1:19">
      <c r="A17" s="29"/>
      <c r="B17" s="19"/>
      <c r="C17" s="19"/>
      <c r="D17" s="20"/>
      <c r="E17" s="20"/>
      <c r="F17" s="20"/>
    </row>
    <row r="18" spans="1:19">
      <c r="A18" s="22">
        <v>2</v>
      </c>
      <c r="B18" s="27" t="s">
        <v>277</v>
      </c>
      <c r="C18" s="173" t="s">
        <v>163</v>
      </c>
      <c r="D18" s="20">
        <f>'25442'!D24+'25449'!D24</f>
        <v>8.9174199999999253</v>
      </c>
      <c r="E18" s="20"/>
      <c r="F18" s="20">
        <f>'25442'!F24+'25449'!F24</f>
        <v>10.616000000000001</v>
      </c>
      <c r="H18" s="20">
        <f>'25442'!H24+'25449'!H24</f>
        <v>16.079000000000001</v>
      </c>
      <c r="I18" s="20">
        <v>15.2</v>
      </c>
      <c r="K18" s="20">
        <f>'25442'!J24+'25449'!J24</f>
        <v>14.846</v>
      </c>
      <c r="M18" s="20">
        <f>'25442'!L24+'25449'!L24</f>
        <v>14.690999999999999</v>
      </c>
      <c r="O18" s="20">
        <f t="shared" ref="O18:O24" si="0">H18-D18</f>
        <v>7.1615800000000753</v>
      </c>
      <c r="P18" s="232"/>
      <c r="Q18" s="108">
        <f t="shared" ref="Q18" si="1">IF(D18&gt;0,O18/D18,0)</f>
        <v>0.8030999997757351</v>
      </c>
      <c r="R18" s="20">
        <f>M18-I18</f>
        <v>-0.50900000000000034</v>
      </c>
      <c r="S18" s="108">
        <f>IF(I18&gt;0,R18/I18,0)</f>
        <v>-3.3486842105263183E-2</v>
      </c>
    </row>
    <row r="19" spans="1:19">
      <c r="A19" s="29"/>
      <c r="B19" s="19"/>
      <c r="C19" s="19"/>
      <c r="D19" s="20"/>
      <c r="E19" s="20"/>
      <c r="F19" s="20"/>
      <c r="O19" s="20"/>
      <c r="P19" s="20"/>
      <c r="Q19" s="108"/>
      <c r="R19" s="20"/>
      <c r="S19" s="108"/>
    </row>
    <row r="20" spans="1:19">
      <c r="A20" s="22">
        <v>3</v>
      </c>
      <c r="B20" s="27" t="s">
        <v>17</v>
      </c>
      <c r="C20" s="19">
        <v>25444</v>
      </c>
      <c r="D20" s="20">
        <f>'25444'!D24</f>
        <v>271.58204000000001</v>
      </c>
      <c r="E20" s="20"/>
      <c r="F20" s="20">
        <f>'25444'!F24</f>
        <v>270</v>
      </c>
      <c r="H20" s="20">
        <f>'25444'!H24</f>
        <v>274.24968000000001</v>
      </c>
      <c r="I20" s="20">
        <v>112.8</v>
      </c>
      <c r="K20" s="20">
        <f>'25444'!J24</f>
        <v>274.25</v>
      </c>
      <c r="M20" s="20">
        <f>'25444'!L24</f>
        <v>280.8</v>
      </c>
      <c r="O20" s="20">
        <f t="shared" si="0"/>
        <v>2.6676400000000058</v>
      </c>
      <c r="P20" s="232"/>
      <c r="Q20" s="108">
        <f t="shared" ref="Q20:Q22" si="2">IF(D20&gt;0,O20/D20,0)</f>
        <v>9.8225935706205223E-3</v>
      </c>
      <c r="R20" s="20">
        <f>M20-I20</f>
        <v>168</v>
      </c>
      <c r="S20" s="108">
        <f>IF(I20&gt;0,R20/I20,0)</f>
        <v>1.4893617021276595</v>
      </c>
    </row>
    <row r="21" spans="1:19">
      <c r="A21" s="29"/>
      <c r="B21" s="19"/>
      <c r="C21" s="19"/>
      <c r="D21" s="20"/>
      <c r="E21" s="20"/>
      <c r="F21" s="20"/>
      <c r="O21" s="20"/>
      <c r="P21" s="20"/>
      <c r="Q21" s="108"/>
      <c r="R21" s="20"/>
      <c r="S21" s="108"/>
    </row>
    <row r="22" spans="1:19">
      <c r="A22" s="22">
        <v>4</v>
      </c>
      <c r="B22" s="27" t="s">
        <v>18</v>
      </c>
      <c r="C22" s="19">
        <v>25446</v>
      </c>
      <c r="D22" s="20">
        <f>'25446'!D23</f>
        <v>340.01783999999986</v>
      </c>
      <c r="E22" s="20"/>
      <c r="F22" s="20" t="e">
        <f>'25446'!#REF!</f>
        <v>#REF!</v>
      </c>
      <c r="H22" s="20">
        <f>'25446'!H23</f>
        <v>359.42</v>
      </c>
      <c r="I22" s="20">
        <v>245.1</v>
      </c>
      <c r="J22" s="232"/>
      <c r="K22" s="20" t="e">
        <f>'25446'!#REF!</f>
        <v>#REF!</v>
      </c>
      <c r="M22" s="20">
        <f>'25446'!L23</f>
        <v>382.74299999999999</v>
      </c>
      <c r="N22" s="232"/>
      <c r="O22" s="20">
        <f t="shared" si="0"/>
        <v>19.402160000000151</v>
      </c>
      <c r="P22" s="232"/>
      <c r="Q22" s="108">
        <f t="shared" si="2"/>
        <v>5.7062182384313008E-2</v>
      </c>
      <c r="R22" s="20">
        <f>M22-I22</f>
        <v>137.643</v>
      </c>
      <c r="S22" s="108">
        <f>IF(I22&gt;0,R22/I22,0)</f>
        <v>0.56157894736842107</v>
      </c>
    </row>
    <row r="23" spans="1:19">
      <c r="B23" s="19"/>
      <c r="C23" s="19"/>
      <c r="D23" s="20"/>
      <c r="E23" s="20"/>
      <c r="F23" s="20"/>
      <c r="O23" s="20"/>
      <c r="P23" s="40"/>
      <c r="Q23" s="108"/>
      <c r="R23" s="20"/>
      <c r="S23" s="108"/>
    </row>
    <row r="24" spans="1:19">
      <c r="A24" s="22">
        <v>5</v>
      </c>
      <c r="B24" s="27" t="s">
        <v>16</v>
      </c>
      <c r="C24" s="19">
        <v>25448</v>
      </c>
      <c r="D24" s="30">
        <f>'25448'!D24</f>
        <v>-95.395090000000053</v>
      </c>
      <c r="E24" s="20"/>
      <c r="F24" s="30">
        <f>'25448'!F24</f>
        <v>-73.524000000000001</v>
      </c>
      <c r="H24" s="30">
        <f>'25448'!H24</f>
        <v>-83.787999999999997</v>
      </c>
      <c r="I24" s="30">
        <v>-33</v>
      </c>
      <c r="K24" s="30">
        <f>'25448'!J24</f>
        <v>-83.787999999999997</v>
      </c>
      <c r="M24" s="30">
        <f>'25448'!L24</f>
        <v>-78.930999999999997</v>
      </c>
      <c r="O24" s="20">
        <f t="shared" si="0"/>
        <v>11.607090000000056</v>
      </c>
      <c r="P24" s="20"/>
      <c r="Q24" s="108">
        <f t="shared" ref="Q24" si="3">IF(D24&gt;0,O24/D24,0)</f>
        <v>0</v>
      </c>
      <c r="R24" s="20">
        <f>M24-I24</f>
        <v>-45.930999999999997</v>
      </c>
      <c r="S24" s="108">
        <f>R24/I24</f>
        <v>1.3918484848484847</v>
      </c>
    </row>
    <row r="25" spans="1:19">
      <c r="D25" s="20"/>
      <c r="E25" s="20"/>
      <c r="F25" s="20"/>
      <c r="O25" s="42"/>
      <c r="P25" s="40"/>
      <c r="R25" s="42"/>
    </row>
    <row r="26" spans="1:19" ht="16.5" thickBot="1">
      <c r="A26" s="22">
        <v>6</v>
      </c>
      <c r="B26" s="23" t="s">
        <v>12</v>
      </c>
      <c r="C26" s="19"/>
      <c r="D26" s="24">
        <f>SUM(D18:D24)</f>
        <v>525.12220999999965</v>
      </c>
      <c r="E26" s="20"/>
      <c r="F26" s="24" t="e">
        <f>SUM(F18:F24)</f>
        <v>#REF!</v>
      </c>
      <c r="H26" s="24">
        <f>SUM(H18:H24)</f>
        <v>565.96068000000002</v>
      </c>
      <c r="I26" s="24">
        <f>SUM(I18:I24)</f>
        <v>340.1</v>
      </c>
      <c r="J26" s="459" t="s">
        <v>39</v>
      </c>
      <c r="K26" s="24" t="e">
        <f>SUM(K18:K24)</f>
        <v>#REF!</v>
      </c>
      <c r="M26" s="24">
        <f>SUM(M18:M24)</f>
        <v>599.30299999999988</v>
      </c>
      <c r="N26" s="459" t="s">
        <v>41</v>
      </c>
      <c r="O26" s="24">
        <f>SUM(O18:O24)</f>
        <v>40.838470000000285</v>
      </c>
      <c r="P26" s="459" t="s">
        <v>39</v>
      </c>
      <c r="Q26" s="108">
        <f>IF(D26&gt;0,O26/D26,0)</f>
        <v>7.7769458656110374E-2</v>
      </c>
      <c r="R26" s="24">
        <f>SUM(R18:R24)</f>
        <v>259.20300000000003</v>
      </c>
      <c r="S26" s="108">
        <f>IF(I26&gt;0,R26/I26,0)</f>
        <v>0.76213760658629814</v>
      </c>
    </row>
    <row r="27" spans="1:19" ht="16.5" thickTop="1">
      <c r="D27" s="20"/>
      <c r="E27" s="20"/>
      <c r="F27" s="20"/>
    </row>
    <row r="28" spans="1:19" hidden="1">
      <c r="B28" s="34" t="s">
        <v>19</v>
      </c>
      <c r="C28" s="19"/>
      <c r="D28" s="20"/>
      <c r="E28" s="20"/>
      <c r="F28" s="20"/>
    </row>
    <row r="29" spans="1:19" ht="16.5" hidden="1" thickBot="1">
      <c r="A29" s="22">
        <v>10</v>
      </c>
      <c r="B29" s="34" t="s">
        <v>20</v>
      </c>
      <c r="C29" s="19"/>
      <c r="D29" s="24">
        <f>D13+D26</f>
        <v>1687.4906199999996</v>
      </c>
      <c r="E29" s="20"/>
      <c r="F29" s="24" t="e">
        <f>F13+F26</f>
        <v>#REF!</v>
      </c>
    </row>
    <row r="30" spans="1:19">
      <c r="D30" s="354"/>
      <c r="E30" s="158"/>
      <c r="F30" s="158"/>
      <c r="G30" s="158"/>
      <c r="H30" s="158"/>
      <c r="I30" s="158"/>
      <c r="J30" s="158"/>
      <c r="K30" s="158"/>
      <c r="L30" s="158"/>
      <c r="M30" s="158"/>
      <c r="N30" s="158"/>
      <c r="O30" s="158"/>
      <c r="P30" s="158"/>
      <c r="Q30" s="158"/>
      <c r="R30" s="354"/>
      <c r="S30" s="158"/>
    </row>
    <row r="34" spans="1:19">
      <c r="A34" s="548" t="s">
        <v>73</v>
      </c>
      <c r="B34" s="548" t="s">
        <v>546</v>
      </c>
    </row>
    <row r="35" spans="1:19">
      <c r="A35" s="548"/>
      <c r="B35" s="549" t="s">
        <v>541</v>
      </c>
    </row>
    <row r="36" spans="1:19">
      <c r="A36" s="548"/>
      <c r="B36" s="548" t="s">
        <v>547</v>
      </c>
    </row>
    <row r="37" spans="1:19">
      <c r="A37" s="548"/>
      <c r="B37" s="549" t="s">
        <v>541</v>
      </c>
    </row>
    <row r="38" spans="1:19">
      <c r="A38" s="548"/>
      <c r="B38" s="548" t="s">
        <v>501</v>
      </c>
    </row>
    <row r="39" spans="1:19">
      <c r="A39" s="548"/>
      <c r="B39" s="548" t="s">
        <v>502</v>
      </c>
    </row>
    <row r="48" spans="1:19">
      <c r="S48" s="70" t="str">
        <f>'GI-28 Doc 1.1'!R65</f>
        <v>GI-28</v>
      </c>
    </row>
    <row r="49" spans="1:19">
      <c r="S49" s="70" t="s">
        <v>500</v>
      </c>
    </row>
    <row r="50" spans="1:19">
      <c r="S50" s="70" t="s">
        <v>51</v>
      </c>
    </row>
    <row r="51" spans="1:19">
      <c r="A51" s="17" t="str">
        <f>'GI-28 Doc 1.1'!A68</f>
        <v>Original: 2015-09-09</v>
      </c>
      <c r="S51" s="70" t="str">
        <f>'GI-28 Doc 1.1'!R68</f>
        <v>Requête 3924-2015</v>
      </c>
    </row>
  </sheetData>
  <mergeCells count="9">
    <mergeCell ref="O8:Q8"/>
    <mergeCell ref="R8:S8"/>
    <mergeCell ref="O9:Q9"/>
    <mergeCell ref="R9:S9"/>
    <mergeCell ref="A1:S1"/>
    <mergeCell ref="O7:S7"/>
    <mergeCell ref="A2:T2"/>
    <mergeCell ref="A3:T3"/>
    <mergeCell ref="A4:T4"/>
  </mergeCells>
  <printOptions horizontalCentered="1"/>
  <pageMargins left="0.44" right="0.38" top="0.984251969" bottom="0.56999999999999995" header="0.45" footer="0.34"/>
  <pageSetup scale="9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R72"/>
  <sheetViews>
    <sheetView workbookViewId="0">
      <selection activeCell="N26" sqref="N26"/>
    </sheetView>
  </sheetViews>
  <sheetFormatPr baseColWidth="10" defaultColWidth="9.140625" defaultRowHeight="15"/>
  <cols>
    <col min="1" max="1" width="3.7109375" style="273" customWidth="1"/>
    <col min="2" max="2" width="12.140625" style="273" customWidth="1"/>
    <col min="3" max="3" width="9.140625" style="273"/>
    <col min="4" max="4" width="4.85546875" style="273" customWidth="1"/>
    <col min="5" max="5" width="9.140625" style="273"/>
    <col min="6" max="6" width="5.140625" style="273" customWidth="1"/>
    <col min="7" max="7" width="8.140625" style="273" customWidth="1"/>
    <col min="8" max="8" width="9.140625" style="273"/>
    <col min="9" max="9" width="14.42578125" style="273" customWidth="1"/>
    <col min="10" max="10" width="1.85546875" style="273" customWidth="1"/>
    <col min="11" max="11" width="31.85546875" style="273" customWidth="1"/>
    <col min="12" max="12" width="9.140625" style="273"/>
    <col min="13" max="13" width="3.85546875" style="273" customWidth="1"/>
    <col min="14" max="14" width="11.5703125" style="273" customWidth="1"/>
    <col min="15" max="15" width="3.85546875" style="273" customWidth="1"/>
    <col min="16" max="16" width="7.140625" style="273" customWidth="1"/>
    <col min="17" max="17" width="3.7109375" style="273" customWidth="1"/>
    <col min="18" max="18" width="9.85546875" style="273" customWidth="1"/>
    <col min="19" max="16384" width="9.140625" style="273"/>
  </cols>
  <sheetData>
    <row r="1" spans="1:18" ht="15.75">
      <c r="B1" s="1" t="s">
        <v>8</v>
      </c>
      <c r="C1" s="274"/>
      <c r="D1" s="274"/>
      <c r="E1" s="274"/>
      <c r="F1" s="274"/>
      <c r="G1" s="274"/>
      <c r="H1" s="274"/>
      <c r="I1" s="274"/>
      <c r="J1" s="274"/>
      <c r="K1" s="274"/>
      <c r="L1" s="274"/>
      <c r="M1" s="274"/>
      <c r="N1" s="274"/>
      <c r="O1" s="274"/>
      <c r="P1" s="274"/>
      <c r="Q1" s="274"/>
      <c r="R1" s="274"/>
    </row>
    <row r="2" spans="1:18" ht="15.75">
      <c r="B2" s="2" t="s">
        <v>9</v>
      </c>
      <c r="C2" s="274"/>
      <c r="D2" s="274"/>
      <c r="E2" s="274"/>
      <c r="F2" s="274"/>
      <c r="G2" s="274"/>
      <c r="H2" s="274"/>
      <c r="I2" s="274"/>
      <c r="J2" s="274"/>
      <c r="K2" s="274"/>
      <c r="L2" s="274"/>
      <c r="M2" s="274"/>
      <c r="N2" s="274"/>
      <c r="O2" s="274"/>
      <c r="P2" s="274"/>
      <c r="Q2" s="274"/>
      <c r="R2" s="274"/>
    </row>
    <row r="3" spans="1:18" ht="15.75">
      <c r="B3" s="3" t="s">
        <v>214</v>
      </c>
      <c r="C3" s="274"/>
      <c r="D3" s="368"/>
      <c r="E3" s="368"/>
      <c r="F3" s="368"/>
      <c r="G3" s="368"/>
      <c r="H3" s="368"/>
      <c r="I3" s="368"/>
      <c r="J3" s="368"/>
      <c r="K3" s="368"/>
      <c r="L3" s="274"/>
      <c r="M3" s="274"/>
      <c r="N3" s="274"/>
      <c r="O3" s="274"/>
      <c r="P3" s="274"/>
      <c r="Q3" s="274"/>
      <c r="R3" s="274"/>
    </row>
    <row r="4" spans="1:18" ht="15.75">
      <c r="B4" s="4" t="s">
        <v>92</v>
      </c>
      <c r="C4" s="274"/>
      <c r="D4" s="368"/>
      <c r="E4" s="368"/>
      <c r="F4" s="368"/>
      <c r="G4" s="368"/>
      <c r="H4" s="368"/>
      <c r="I4" s="368"/>
      <c r="J4" s="368"/>
      <c r="K4" s="368"/>
      <c r="L4" s="275"/>
      <c r="M4" s="275"/>
      <c r="N4" s="275"/>
      <c r="O4" s="275"/>
      <c r="P4" s="275"/>
      <c r="Q4" s="275"/>
      <c r="R4" s="274"/>
    </row>
    <row r="9" spans="1:18" ht="15.75">
      <c r="B9" s="276" t="s">
        <v>201</v>
      </c>
    </row>
    <row r="11" spans="1:18" ht="15.75">
      <c r="A11" s="277">
        <v>1</v>
      </c>
      <c r="B11" s="278" t="s">
        <v>0</v>
      </c>
      <c r="C11" s="279"/>
      <c r="D11" s="279"/>
      <c r="E11" s="279"/>
      <c r="F11" s="279"/>
      <c r="G11" s="279"/>
      <c r="H11" s="279"/>
      <c r="I11" s="279"/>
      <c r="J11" s="279"/>
      <c r="K11" s="279"/>
      <c r="L11" s="279"/>
      <c r="M11" s="279"/>
      <c r="N11" s="279"/>
      <c r="O11" s="279"/>
      <c r="P11" s="279"/>
      <c r="Q11" s="279"/>
      <c r="R11" s="279"/>
    </row>
    <row r="12" spans="1:18" ht="15.75">
      <c r="A12" s="277"/>
      <c r="B12" s="279"/>
      <c r="C12" s="279"/>
      <c r="D12" s="279"/>
      <c r="E12" s="279"/>
      <c r="F12" s="279"/>
      <c r="G12" s="279"/>
      <c r="H12" s="279"/>
      <c r="I12" s="279"/>
      <c r="J12" s="279"/>
      <c r="K12" s="279"/>
      <c r="L12" s="279"/>
      <c r="M12" s="279"/>
      <c r="N12" s="279"/>
      <c r="O12" s="279"/>
      <c r="P12" s="279"/>
      <c r="Q12" s="279"/>
      <c r="R12" s="279"/>
    </row>
    <row r="13" spans="1:18" ht="15.75">
      <c r="A13" s="570"/>
      <c r="B13" s="569" t="s">
        <v>208</v>
      </c>
      <c r="C13" s="569"/>
      <c r="D13" s="569"/>
      <c r="E13" s="569"/>
      <c r="F13" s="569"/>
      <c r="G13" s="569"/>
      <c r="H13" s="569"/>
      <c r="I13" s="569"/>
      <c r="J13" s="569"/>
      <c r="K13" s="569"/>
      <c r="L13" s="279"/>
      <c r="M13" s="279"/>
      <c r="N13" s="279"/>
      <c r="O13" s="279"/>
      <c r="P13" s="279"/>
      <c r="Q13" s="279"/>
      <c r="R13" s="280"/>
    </row>
    <row r="14" spans="1:18" ht="15.75">
      <c r="A14" s="570"/>
      <c r="B14" s="569"/>
      <c r="C14" s="569"/>
      <c r="D14" s="569"/>
      <c r="E14" s="569"/>
      <c r="F14" s="569"/>
      <c r="G14" s="569"/>
      <c r="H14" s="569"/>
      <c r="I14" s="569"/>
      <c r="J14" s="569"/>
      <c r="K14" s="569"/>
      <c r="L14" s="279"/>
      <c r="M14" s="279"/>
      <c r="N14" s="279"/>
      <c r="O14" s="279"/>
      <c r="P14" s="279"/>
      <c r="Q14" s="279"/>
      <c r="R14" s="280"/>
    </row>
    <row r="15" spans="1:18" ht="15.75">
      <c r="A15" s="570"/>
      <c r="B15" s="569"/>
      <c r="C15" s="569"/>
      <c r="D15" s="569"/>
      <c r="E15" s="569"/>
      <c r="F15" s="569"/>
      <c r="G15" s="569"/>
      <c r="H15" s="569"/>
      <c r="I15" s="569"/>
      <c r="J15" s="569"/>
      <c r="K15" s="569"/>
      <c r="L15" s="279"/>
      <c r="M15" s="279"/>
      <c r="N15" s="279"/>
      <c r="O15" s="279"/>
      <c r="P15" s="279"/>
      <c r="Q15" s="279"/>
      <c r="R15" s="280"/>
    </row>
    <row r="16" spans="1:18" ht="18" customHeight="1" thickBot="1">
      <c r="A16" s="570"/>
      <c r="B16" s="569"/>
      <c r="C16" s="569"/>
      <c r="D16" s="569"/>
      <c r="E16" s="569"/>
      <c r="F16" s="569"/>
      <c r="G16" s="569"/>
      <c r="H16" s="569"/>
      <c r="I16" s="569"/>
      <c r="J16" s="569"/>
      <c r="K16" s="569"/>
      <c r="L16" s="279"/>
      <c r="M16" s="279"/>
      <c r="N16" s="279"/>
      <c r="O16" s="279"/>
      <c r="P16" s="279"/>
      <c r="Q16" s="279"/>
      <c r="R16" s="281">
        <v>7.9</v>
      </c>
    </row>
    <row r="17" spans="1:18" ht="16.5" thickTop="1">
      <c r="A17" s="277"/>
      <c r="B17" s="279"/>
      <c r="C17" s="279"/>
      <c r="D17" s="279"/>
      <c r="E17" s="279"/>
      <c r="F17" s="279"/>
      <c r="G17" s="279"/>
      <c r="H17" s="279"/>
      <c r="I17" s="279"/>
      <c r="J17" s="279"/>
      <c r="K17" s="279"/>
      <c r="L17" s="279"/>
      <c r="M17" s="279"/>
      <c r="N17" s="279"/>
      <c r="O17" s="279"/>
      <c r="P17" s="279"/>
      <c r="Q17" s="279"/>
      <c r="R17" s="280"/>
    </row>
    <row r="18" spans="1:18" ht="15.75">
      <c r="A18" s="277"/>
      <c r="B18" s="279"/>
      <c r="C18" s="279"/>
      <c r="D18" s="279"/>
      <c r="E18" s="279"/>
      <c r="F18" s="279"/>
      <c r="G18" s="279"/>
      <c r="H18" s="279"/>
      <c r="I18" s="279"/>
      <c r="J18" s="279"/>
      <c r="K18" s="279"/>
      <c r="L18" s="279"/>
      <c r="M18" s="279"/>
      <c r="N18" s="279"/>
      <c r="O18" s="279"/>
      <c r="P18" s="279"/>
      <c r="Q18" s="279"/>
      <c r="R18" s="280"/>
    </row>
    <row r="19" spans="1:18" ht="15.75">
      <c r="A19" s="277"/>
      <c r="B19" s="279"/>
      <c r="C19" s="279"/>
      <c r="D19" s="279"/>
      <c r="E19" s="279"/>
      <c r="F19" s="279"/>
      <c r="G19" s="279"/>
      <c r="H19" s="279"/>
      <c r="I19" s="279"/>
      <c r="J19" s="279"/>
      <c r="K19" s="279"/>
      <c r="L19" s="280"/>
      <c r="M19" s="280"/>
      <c r="N19" s="568" t="s">
        <v>307</v>
      </c>
      <c r="O19" s="280"/>
      <c r="P19" s="280"/>
      <c r="Q19" s="280"/>
      <c r="R19" s="279"/>
    </row>
    <row r="20" spans="1:18" ht="30.75" customHeight="1">
      <c r="A20" s="277">
        <v>2</v>
      </c>
      <c r="B20" s="278" t="s">
        <v>3</v>
      </c>
      <c r="C20" s="279"/>
      <c r="D20" s="279"/>
      <c r="E20" s="279"/>
      <c r="F20" s="279"/>
      <c r="G20" s="279"/>
      <c r="H20" s="279"/>
      <c r="I20" s="279"/>
      <c r="J20" s="279"/>
      <c r="K20" s="279"/>
      <c r="L20" s="280" t="s">
        <v>228</v>
      </c>
      <c r="M20" s="280"/>
      <c r="N20" s="568"/>
      <c r="O20" s="280"/>
      <c r="P20" s="280"/>
      <c r="Q20" s="280"/>
      <c r="R20" s="279"/>
    </row>
    <row r="21" spans="1:18" ht="15.75">
      <c r="A21" s="277"/>
      <c r="B21" s="278"/>
      <c r="C21" s="279"/>
      <c r="D21" s="279"/>
      <c r="E21" s="279"/>
      <c r="F21" s="279"/>
      <c r="G21" s="279"/>
      <c r="H21" s="279"/>
      <c r="I21" s="279"/>
      <c r="J21" s="279"/>
      <c r="K21" s="279"/>
      <c r="L21" s="280"/>
      <c r="M21" s="280"/>
      <c r="N21" s="280"/>
      <c r="O21" s="280"/>
      <c r="P21" s="280"/>
      <c r="Q21" s="280"/>
      <c r="R21" s="279"/>
    </row>
    <row r="22" spans="1:18" ht="6.75" customHeight="1">
      <c r="A22" s="277"/>
      <c r="B22" s="569" t="s">
        <v>306</v>
      </c>
      <c r="C22" s="569"/>
      <c r="D22" s="569"/>
      <c r="E22" s="569"/>
      <c r="F22" s="569"/>
      <c r="G22" s="569"/>
      <c r="H22" s="569"/>
      <c r="I22" s="569"/>
      <c r="J22" s="569"/>
      <c r="K22" s="569"/>
      <c r="L22" s="280"/>
      <c r="M22" s="280"/>
      <c r="N22" s="280"/>
      <c r="O22" s="280"/>
      <c r="P22" s="280"/>
      <c r="Q22" s="280"/>
      <c r="R22" s="279"/>
    </row>
    <row r="23" spans="1:18" ht="7.5" customHeight="1">
      <c r="A23" s="277"/>
      <c r="B23" s="569"/>
      <c r="C23" s="569"/>
      <c r="D23" s="569"/>
      <c r="E23" s="569"/>
      <c r="F23" s="569"/>
      <c r="G23" s="569"/>
      <c r="H23" s="569"/>
      <c r="I23" s="569"/>
      <c r="J23" s="569"/>
      <c r="K23" s="569"/>
      <c r="L23" s="280"/>
      <c r="M23" s="280"/>
      <c r="N23" s="280"/>
      <c r="O23" s="280"/>
      <c r="P23" s="280"/>
      <c r="Q23" s="280"/>
      <c r="R23" s="279"/>
    </row>
    <row r="24" spans="1:18" ht="15.75">
      <c r="A24" s="277"/>
      <c r="B24" s="569"/>
      <c r="C24" s="569"/>
      <c r="D24" s="569"/>
      <c r="E24" s="569"/>
      <c r="F24" s="569"/>
      <c r="G24" s="569"/>
      <c r="H24" s="569"/>
      <c r="I24" s="569"/>
      <c r="J24" s="569"/>
      <c r="K24" s="569"/>
      <c r="L24" s="280"/>
      <c r="M24" s="280"/>
      <c r="N24" s="280"/>
      <c r="O24" s="280"/>
      <c r="P24" s="280"/>
      <c r="Q24" s="280"/>
      <c r="R24" s="279"/>
    </row>
    <row r="25" spans="1:18" ht="15.75">
      <c r="A25" s="277"/>
      <c r="B25" s="569"/>
      <c r="C25" s="569"/>
      <c r="D25" s="569"/>
      <c r="E25" s="569"/>
      <c r="F25" s="569"/>
      <c r="G25" s="569"/>
      <c r="H25" s="569"/>
      <c r="I25" s="569"/>
      <c r="J25" s="569"/>
      <c r="K25" s="569"/>
      <c r="L25" s="280">
        <f>332.5+101.9</f>
        <v>434.4</v>
      </c>
      <c r="M25" s="280"/>
      <c r="N25" s="28">
        <v>4.4999999999999998E-2</v>
      </c>
      <c r="O25" s="280"/>
      <c r="P25" s="364">
        <f>L25*N25</f>
        <v>19.547999999999998</v>
      </c>
      <c r="Q25" s="364"/>
      <c r="R25" s="523"/>
    </row>
    <row r="26" spans="1:18" ht="15.75">
      <c r="A26" s="277"/>
      <c r="B26" s="278"/>
      <c r="C26" s="279"/>
      <c r="D26" s="279"/>
      <c r="E26" s="279"/>
      <c r="F26" s="279"/>
      <c r="G26" s="279"/>
      <c r="H26" s="279"/>
      <c r="I26" s="279"/>
      <c r="J26" s="279"/>
      <c r="K26" s="279"/>
      <c r="L26" s="280"/>
      <c r="M26" s="280"/>
      <c r="N26" s="280"/>
      <c r="O26" s="280"/>
      <c r="P26" s="279"/>
      <c r="Q26" s="279"/>
    </row>
    <row r="27" spans="1:18" ht="15.75">
      <c r="A27" s="277"/>
      <c r="B27" s="279" t="s">
        <v>383</v>
      </c>
      <c r="C27" s="279"/>
      <c r="D27" s="279"/>
      <c r="E27" s="279"/>
      <c r="F27" s="279"/>
      <c r="G27" s="279"/>
      <c r="H27" s="279"/>
      <c r="I27" s="279"/>
      <c r="J27" s="279"/>
      <c r="K27" s="279"/>
      <c r="L27" s="280"/>
      <c r="M27" s="280"/>
      <c r="N27" s="280"/>
      <c r="O27" s="280"/>
      <c r="P27" s="279">
        <v>9</v>
      </c>
      <c r="Q27" s="279"/>
    </row>
    <row r="28" spans="1:18" ht="15.75">
      <c r="A28" s="277"/>
      <c r="B28" s="279"/>
      <c r="C28" s="279"/>
      <c r="D28" s="279"/>
      <c r="E28" s="279"/>
      <c r="F28" s="279"/>
      <c r="G28" s="279"/>
      <c r="H28" s="279"/>
      <c r="I28" s="279"/>
      <c r="J28" s="279"/>
      <c r="K28" s="279"/>
      <c r="L28" s="280"/>
      <c r="M28" s="280"/>
      <c r="N28" s="280"/>
      <c r="O28" s="280"/>
      <c r="P28" s="279"/>
      <c r="Q28" s="279"/>
    </row>
    <row r="29" spans="1:18" ht="15.75">
      <c r="A29" s="277"/>
      <c r="B29" s="569" t="s">
        <v>473</v>
      </c>
      <c r="C29" s="569"/>
      <c r="D29" s="569"/>
      <c r="E29" s="569"/>
      <c r="F29" s="569"/>
      <c r="G29" s="569"/>
      <c r="H29" s="569"/>
      <c r="I29" s="569"/>
      <c r="J29" s="569"/>
      <c r="K29" s="569"/>
      <c r="L29" s="280"/>
      <c r="M29" s="280"/>
      <c r="N29" s="280"/>
      <c r="O29" s="280"/>
      <c r="P29" s="279"/>
      <c r="Q29" s="279"/>
    </row>
    <row r="30" spans="1:18" ht="49.5" customHeight="1">
      <c r="A30" s="277"/>
      <c r="B30" s="569"/>
      <c r="C30" s="569"/>
      <c r="D30" s="569"/>
      <c r="E30" s="569"/>
      <c r="F30" s="569"/>
      <c r="G30" s="569"/>
      <c r="H30" s="569"/>
      <c r="I30" s="569"/>
      <c r="J30" s="569"/>
      <c r="K30" s="569"/>
      <c r="L30" s="280"/>
      <c r="M30" s="280"/>
      <c r="N30" s="280"/>
      <c r="O30" s="280"/>
    </row>
    <row r="31" spans="1:18" ht="16.5" thickBot="1">
      <c r="A31" s="277"/>
      <c r="B31" s="569"/>
      <c r="C31" s="569"/>
      <c r="D31" s="569"/>
      <c r="E31" s="569"/>
      <c r="F31" s="569"/>
      <c r="G31" s="569"/>
      <c r="H31" s="569"/>
      <c r="I31" s="569"/>
      <c r="J31" s="569"/>
      <c r="K31" s="569"/>
      <c r="L31" s="280"/>
      <c r="M31" s="280"/>
      <c r="N31" s="280"/>
      <c r="O31" s="280"/>
      <c r="P31" s="365">
        <f>40.8-P25-P27</f>
        <v>12.251999999999999</v>
      </c>
      <c r="Q31" s="366"/>
      <c r="R31" s="281">
        <f>SUM(P25:P31)</f>
        <v>40.799999999999997</v>
      </c>
    </row>
    <row r="32" spans="1:18" ht="16.5" thickTop="1">
      <c r="A32" s="277"/>
      <c r="B32" s="278"/>
      <c r="C32" s="279"/>
      <c r="D32" s="279"/>
      <c r="E32" s="279"/>
      <c r="F32" s="279"/>
      <c r="G32" s="279"/>
      <c r="H32" s="279"/>
      <c r="I32" s="279"/>
      <c r="J32" s="279"/>
      <c r="K32" s="279"/>
      <c r="L32" s="280"/>
      <c r="M32" s="280"/>
      <c r="N32" s="280"/>
      <c r="O32" s="280"/>
      <c r="P32" s="280"/>
      <c r="Q32" s="280"/>
      <c r="R32" s="279"/>
    </row>
    <row r="33" spans="1:18" ht="15.75">
      <c r="A33" s="277"/>
      <c r="B33" s="278"/>
      <c r="C33" s="279"/>
      <c r="D33" s="279"/>
      <c r="E33" s="279"/>
      <c r="F33" s="279"/>
      <c r="G33" s="279"/>
      <c r="H33" s="279"/>
      <c r="I33" s="279"/>
      <c r="J33" s="279"/>
      <c r="K33" s="279"/>
      <c r="L33" s="280"/>
      <c r="M33" s="280"/>
      <c r="N33" s="280"/>
      <c r="O33" s="280"/>
      <c r="P33" s="280"/>
      <c r="Q33" s="280"/>
      <c r="R33" s="279"/>
    </row>
    <row r="34" spans="1:18" ht="15.75">
      <c r="A34" s="277"/>
      <c r="B34" s="278"/>
      <c r="C34" s="279"/>
      <c r="D34" s="279"/>
      <c r="E34" s="279"/>
      <c r="F34" s="279"/>
      <c r="G34" s="279"/>
      <c r="H34" s="279"/>
      <c r="I34" s="279"/>
      <c r="J34" s="279"/>
      <c r="K34" s="279"/>
      <c r="L34" s="280"/>
      <c r="M34" s="280"/>
      <c r="N34" s="280"/>
      <c r="O34" s="280"/>
      <c r="P34" s="280"/>
      <c r="Q34" s="280"/>
      <c r="R34" s="279"/>
    </row>
    <row r="35" spans="1:18" ht="15.75">
      <c r="B35" s="276" t="s">
        <v>202</v>
      </c>
      <c r="C35" s="279"/>
      <c r="D35" s="279"/>
      <c r="E35" s="279"/>
      <c r="F35" s="279"/>
      <c r="G35" s="279"/>
      <c r="H35" s="279"/>
      <c r="I35" s="279"/>
      <c r="J35" s="279"/>
      <c r="K35" s="279"/>
      <c r="L35" s="280"/>
      <c r="M35" s="280"/>
      <c r="N35" s="280"/>
      <c r="O35" s="280"/>
      <c r="P35" s="280"/>
      <c r="Q35" s="280"/>
      <c r="R35" s="279"/>
    </row>
    <row r="36" spans="1:18" ht="15.75">
      <c r="C36" s="279"/>
      <c r="D36" s="279"/>
      <c r="E36" s="279"/>
      <c r="F36" s="279"/>
      <c r="G36" s="279"/>
      <c r="H36" s="279"/>
      <c r="I36" s="279"/>
      <c r="J36" s="279"/>
      <c r="K36" s="279"/>
      <c r="L36" s="280"/>
      <c r="M36" s="280"/>
      <c r="N36" s="280"/>
      <c r="O36" s="280"/>
      <c r="P36" s="280"/>
      <c r="Q36" s="280"/>
      <c r="R36" s="279"/>
    </row>
    <row r="37" spans="1:18" ht="15.75">
      <c r="A37" s="277">
        <v>3</v>
      </c>
      <c r="B37" s="278" t="s">
        <v>0</v>
      </c>
      <c r="C37" s="279"/>
      <c r="D37" s="279"/>
      <c r="E37" s="279"/>
      <c r="F37" s="279"/>
      <c r="G37" s="279"/>
      <c r="H37" s="279"/>
      <c r="I37" s="279"/>
      <c r="J37" s="279"/>
      <c r="K37" s="279"/>
      <c r="L37" s="280"/>
      <c r="M37" s="280"/>
      <c r="N37" s="280"/>
      <c r="O37" s="280"/>
      <c r="P37" s="280"/>
      <c r="Q37" s="280"/>
      <c r="R37" s="279"/>
    </row>
    <row r="38" spans="1:18" ht="15.75">
      <c r="A38" s="277"/>
      <c r="B38" s="278"/>
      <c r="C38" s="279"/>
      <c r="D38" s="279"/>
      <c r="E38" s="279"/>
      <c r="F38" s="279"/>
      <c r="G38" s="279"/>
      <c r="H38" s="279"/>
      <c r="I38" s="279"/>
      <c r="J38" s="279"/>
      <c r="K38" s="279"/>
      <c r="L38" s="280"/>
      <c r="M38" s="280"/>
      <c r="N38" s="280"/>
      <c r="O38" s="280"/>
      <c r="P38" s="280"/>
      <c r="Q38" s="280"/>
      <c r="R38" s="279"/>
    </row>
    <row r="39" spans="1:18" ht="15.75">
      <c r="A39" s="570"/>
      <c r="B39" s="569" t="s">
        <v>439</v>
      </c>
      <c r="C39" s="569"/>
      <c r="D39" s="569"/>
      <c r="E39" s="569"/>
      <c r="F39" s="569"/>
      <c r="G39" s="569"/>
      <c r="H39" s="569"/>
      <c r="I39" s="569"/>
      <c r="J39" s="569"/>
      <c r="K39" s="569"/>
      <c r="L39" s="279"/>
      <c r="M39" s="279"/>
      <c r="N39" s="279"/>
      <c r="O39" s="279"/>
      <c r="P39" s="279"/>
      <c r="Q39" s="279"/>
      <c r="R39" s="280"/>
    </row>
    <row r="40" spans="1:18" ht="15.75">
      <c r="A40" s="570"/>
      <c r="B40" s="569"/>
      <c r="C40" s="569"/>
      <c r="D40" s="569"/>
      <c r="E40" s="569"/>
      <c r="F40" s="569"/>
      <c r="G40" s="569"/>
      <c r="H40" s="569"/>
      <c r="I40" s="569"/>
      <c r="J40" s="569"/>
      <c r="K40" s="569"/>
      <c r="L40" s="279"/>
      <c r="M40" s="279"/>
      <c r="N40" s="279"/>
      <c r="O40" s="279"/>
      <c r="P40" s="279"/>
      <c r="Q40" s="279"/>
      <c r="R40" s="280"/>
    </row>
    <row r="41" spans="1:18" ht="32.25" customHeight="1">
      <c r="A41" s="570"/>
      <c r="B41" s="569"/>
      <c r="C41" s="569"/>
      <c r="D41" s="569"/>
      <c r="E41" s="569"/>
      <c r="F41" s="569"/>
      <c r="G41" s="569"/>
      <c r="H41" s="569"/>
      <c r="I41" s="569"/>
      <c r="J41" s="569"/>
      <c r="K41" s="569"/>
      <c r="L41" s="279"/>
      <c r="M41" s="279"/>
      <c r="N41" s="279"/>
      <c r="O41" s="279"/>
      <c r="P41" s="279"/>
      <c r="Q41" s="279"/>
      <c r="R41" s="280"/>
    </row>
    <row r="42" spans="1:18" ht="16.5" thickBot="1">
      <c r="A42" s="570"/>
      <c r="B42" s="569"/>
      <c r="C42" s="569"/>
      <c r="D42" s="569"/>
      <c r="E42" s="569"/>
      <c r="F42" s="569"/>
      <c r="G42" s="569"/>
      <c r="H42" s="569"/>
      <c r="I42" s="569"/>
      <c r="J42" s="569"/>
      <c r="K42" s="569"/>
      <c r="L42" s="279"/>
      <c r="M42" s="279"/>
      <c r="N42" s="279"/>
      <c r="O42" s="279"/>
      <c r="P42" s="279"/>
      <c r="Q42" s="279"/>
      <c r="R42" s="281">
        <v>62.8</v>
      </c>
    </row>
    <row r="43" spans="1:18" ht="16.5" thickTop="1">
      <c r="A43" s="277"/>
      <c r="B43" s="367"/>
      <c r="C43" s="367"/>
      <c r="D43" s="367"/>
      <c r="E43" s="367"/>
      <c r="F43" s="367"/>
      <c r="G43" s="367"/>
      <c r="H43" s="367"/>
      <c r="I43" s="367"/>
      <c r="J43" s="367"/>
      <c r="K43" s="367"/>
      <c r="L43" s="282"/>
      <c r="M43" s="280"/>
      <c r="N43" s="280"/>
      <c r="O43" s="280"/>
      <c r="P43" s="280"/>
      <c r="Q43" s="280"/>
      <c r="R43" s="279"/>
    </row>
    <row r="44" spans="1:18" ht="15.75">
      <c r="A44" s="277"/>
      <c r="B44" s="367"/>
      <c r="C44" s="367"/>
      <c r="D44" s="367"/>
      <c r="E44" s="367"/>
      <c r="F44" s="367"/>
      <c r="G44" s="367"/>
      <c r="H44" s="367"/>
      <c r="I44" s="367"/>
      <c r="J44" s="367"/>
      <c r="K44" s="367"/>
      <c r="L44" s="282"/>
      <c r="M44" s="280"/>
      <c r="N44" s="280"/>
      <c r="O44" s="280"/>
      <c r="P44" s="280"/>
      <c r="Q44" s="280"/>
      <c r="R44" s="279"/>
    </row>
    <row r="45" spans="1:18" ht="31.5" customHeight="1">
      <c r="A45" s="277"/>
      <c r="B45" s="279"/>
      <c r="C45" s="279"/>
      <c r="D45" s="279"/>
      <c r="E45" s="279"/>
      <c r="F45" s="279"/>
      <c r="G45" s="279"/>
      <c r="H45" s="279"/>
      <c r="I45" s="279"/>
      <c r="J45" s="279"/>
      <c r="K45" s="279"/>
      <c r="L45" s="280"/>
      <c r="M45" s="280"/>
      <c r="N45" s="568" t="s">
        <v>307</v>
      </c>
      <c r="O45" s="280"/>
      <c r="P45" s="280"/>
      <c r="Q45" s="280"/>
      <c r="R45" s="279"/>
    </row>
    <row r="46" spans="1:18" ht="15.75">
      <c r="A46" s="277">
        <v>4</v>
      </c>
      <c r="B46" s="278" t="s">
        <v>3</v>
      </c>
      <c r="C46" s="279"/>
      <c r="D46" s="279"/>
      <c r="E46" s="279"/>
      <c r="F46" s="279"/>
      <c r="G46" s="279"/>
      <c r="H46" s="279"/>
      <c r="I46" s="279"/>
      <c r="J46" s="279"/>
      <c r="K46" s="279"/>
      <c r="L46" s="280" t="s">
        <v>438</v>
      </c>
      <c r="M46" s="280"/>
      <c r="N46" s="568"/>
      <c r="O46" s="280"/>
      <c r="P46" s="280"/>
      <c r="Q46" s="280"/>
      <c r="R46" s="279"/>
    </row>
    <row r="47" spans="1:18" ht="15.75">
      <c r="A47" s="277"/>
      <c r="B47" s="278"/>
      <c r="C47" s="279"/>
      <c r="D47" s="279"/>
      <c r="E47" s="279"/>
      <c r="F47" s="279"/>
      <c r="G47" s="279"/>
      <c r="H47" s="279"/>
      <c r="I47" s="279"/>
      <c r="J47" s="279"/>
      <c r="K47" s="279"/>
      <c r="L47" s="280"/>
      <c r="M47" s="280"/>
      <c r="N47" s="280"/>
      <c r="O47" s="280"/>
      <c r="P47" s="280"/>
      <c r="Q47" s="280"/>
      <c r="R47" s="279"/>
    </row>
    <row r="48" spans="1:18" ht="15.75">
      <c r="A48" s="277"/>
      <c r="B48" s="569" t="s">
        <v>306</v>
      </c>
      <c r="C48" s="569"/>
      <c r="D48" s="569"/>
      <c r="E48" s="569"/>
      <c r="F48" s="569"/>
      <c r="G48" s="569"/>
      <c r="H48" s="569"/>
      <c r="I48" s="569"/>
      <c r="J48" s="569"/>
      <c r="K48" s="569"/>
      <c r="L48" s="280"/>
      <c r="M48" s="280"/>
      <c r="N48" s="280"/>
      <c r="O48" s="280"/>
      <c r="P48" s="280"/>
      <c r="Q48" s="280"/>
      <c r="R48" s="279"/>
    </row>
    <row r="49" spans="1:18" ht="15.75">
      <c r="A49" s="277"/>
      <c r="B49" s="569"/>
      <c r="C49" s="569"/>
      <c r="D49" s="569"/>
      <c r="E49" s="569"/>
      <c r="F49" s="569"/>
      <c r="G49" s="569"/>
      <c r="H49" s="569"/>
      <c r="I49" s="569"/>
      <c r="J49" s="569"/>
      <c r="K49" s="569"/>
      <c r="L49" s="280"/>
      <c r="M49" s="280"/>
      <c r="N49" s="280"/>
      <c r="O49" s="280"/>
      <c r="P49" s="280"/>
      <c r="Q49" s="280"/>
      <c r="R49" s="279"/>
    </row>
    <row r="50" spans="1:18" ht="15.75">
      <c r="A50" s="277"/>
      <c r="B50" s="569"/>
      <c r="C50" s="569"/>
      <c r="D50" s="569"/>
      <c r="E50" s="569"/>
      <c r="F50" s="569"/>
      <c r="G50" s="569"/>
      <c r="H50" s="569"/>
      <c r="I50" s="569"/>
      <c r="J50" s="569"/>
      <c r="K50" s="569"/>
      <c r="L50" s="280">
        <f>L25+P25</f>
        <v>453.94799999999998</v>
      </c>
      <c r="M50" s="280"/>
      <c r="N50" s="28">
        <v>4.5999999999999999E-2</v>
      </c>
      <c r="O50" s="280"/>
      <c r="P50" s="364">
        <f>L50*N50</f>
        <v>20.881608</v>
      </c>
      <c r="Q50" s="364"/>
    </row>
    <row r="51" spans="1:18" ht="15.75">
      <c r="A51" s="277"/>
      <c r="B51" s="278"/>
      <c r="C51" s="279"/>
      <c r="D51" s="279"/>
      <c r="E51" s="279"/>
      <c r="F51" s="279"/>
      <c r="G51" s="279"/>
      <c r="H51" s="279"/>
      <c r="I51" s="279"/>
      <c r="J51" s="279"/>
      <c r="K51" s="279"/>
      <c r="L51" s="280"/>
      <c r="M51" s="280"/>
      <c r="N51" s="280"/>
      <c r="O51" s="280"/>
      <c r="P51" s="279"/>
      <c r="Q51" s="279"/>
    </row>
    <row r="52" spans="1:18" ht="15.75">
      <c r="A52" s="277"/>
      <c r="B52" s="279" t="s">
        <v>308</v>
      </c>
      <c r="C52" s="279"/>
      <c r="D52" s="279"/>
      <c r="E52" s="279"/>
      <c r="F52" s="279"/>
      <c r="G52" s="279"/>
      <c r="H52" s="279"/>
      <c r="I52" s="279"/>
      <c r="J52" s="279"/>
      <c r="K52" s="279"/>
      <c r="L52" s="280"/>
      <c r="M52" s="280"/>
      <c r="N52" s="280"/>
      <c r="O52" s="280"/>
      <c r="P52" s="279">
        <v>18</v>
      </c>
      <c r="Q52" s="279"/>
    </row>
    <row r="53" spans="1:18" ht="15.75">
      <c r="A53" s="277"/>
      <c r="B53" s="279"/>
      <c r="C53" s="279"/>
      <c r="D53" s="279"/>
      <c r="E53" s="279"/>
      <c r="F53" s="279"/>
      <c r="G53" s="279"/>
      <c r="H53" s="279"/>
      <c r="I53" s="279"/>
      <c r="J53" s="279"/>
      <c r="K53" s="279"/>
      <c r="L53" s="280"/>
      <c r="M53" s="280"/>
      <c r="N53" s="280"/>
      <c r="O53" s="280"/>
      <c r="P53" s="279"/>
      <c r="Q53" s="279"/>
    </row>
    <row r="54" spans="1:18" ht="15.75">
      <c r="A54" s="277"/>
      <c r="B54" s="569" t="s">
        <v>310</v>
      </c>
      <c r="C54" s="569"/>
      <c r="D54" s="569"/>
      <c r="E54" s="569"/>
      <c r="F54" s="569"/>
      <c r="G54" s="569"/>
      <c r="H54" s="569"/>
      <c r="I54" s="569"/>
      <c r="J54" s="569"/>
      <c r="K54" s="569"/>
      <c r="L54" s="280"/>
      <c r="M54" s="280"/>
      <c r="N54" s="280"/>
      <c r="O54" s="280"/>
      <c r="P54" s="279"/>
      <c r="Q54" s="279"/>
    </row>
    <row r="55" spans="1:18" ht="17.25" customHeight="1">
      <c r="A55" s="277"/>
      <c r="B55" s="569"/>
      <c r="C55" s="569"/>
      <c r="D55" s="569"/>
      <c r="E55" s="569"/>
      <c r="F55" s="569"/>
      <c r="G55" s="569"/>
      <c r="H55" s="569"/>
      <c r="I55" s="569"/>
      <c r="J55" s="569"/>
      <c r="K55" s="569"/>
      <c r="L55" s="280"/>
      <c r="M55" s="280"/>
      <c r="N55" s="280"/>
      <c r="O55" s="280"/>
    </row>
    <row r="56" spans="1:18" ht="16.5" thickBot="1">
      <c r="A56" s="277"/>
      <c r="B56" s="569"/>
      <c r="C56" s="569"/>
      <c r="D56" s="569"/>
      <c r="E56" s="569"/>
      <c r="F56" s="569"/>
      <c r="G56" s="569"/>
      <c r="H56" s="569"/>
      <c r="I56" s="569"/>
      <c r="J56" s="569"/>
      <c r="K56" s="569"/>
      <c r="L56" s="280"/>
      <c r="M56" s="280"/>
      <c r="N56" s="280"/>
      <c r="O56" s="280"/>
      <c r="P56" s="365">
        <f>33.3-P50-P52</f>
        <v>-5.5816080000000028</v>
      </c>
      <c r="Q56" s="366"/>
      <c r="R56" s="281">
        <f>SUM(P50:P56)</f>
        <v>33.299999999999997</v>
      </c>
    </row>
    <row r="57" spans="1:18" ht="16.5" thickTop="1">
      <c r="A57" s="277"/>
      <c r="B57" s="367"/>
      <c r="C57" s="367"/>
      <c r="D57" s="367"/>
      <c r="E57" s="367"/>
      <c r="F57" s="367"/>
      <c r="G57" s="367"/>
      <c r="H57" s="367"/>
      <c r="I57" s="367"/>
      <c r="J57" s="367"/>
      <c r="K57" s="367"/>
      <c r="L57" s="282"/>
      <c r="M57" s="280"/>
      <c r="N57" s="280"/>
      <c r="O57" s="280"/>
      <c r="P57" s="280"/>
      <c r="Q57" s="280"/>
      <c r="R57" s="282"/>
    </row>
    <row r="58" spans="1:18" ht="15.75">
      <c r="A58" s="277"/>
      <c r="B58" s="279"/>
      <c r="C58" s="279"/>
      <c r="D58" s="279"/>
      <c r="E58" s="279"/>
      <c r="F58" s="279"/>
      <c r="G58" s="279"/>
      <c r="H58" s="279"/>
      <c r="I58" s="279"/>
      <c r="J58" s="279"/>
      <c r="K58" s="279"/>
      <c r="L58" s="282"/>
      <c r="M58" s="280"/>
      <c r="N58" s="280"/>
      <c r="O58" s="280"/>
      <c r="P58" s="280"/>
      <c r="Q58" s="280"/>
      <c r="R58" s="279"/>
    </row>
    <row r="59" spans="1:18" ht="7.5" customHeight="1">
      <c r="B59" s="428"/>
      <c r="C59" s="429"/>
      <c r="D59" s="429"/>
      <c r="E59" s="429"/>
      <c r="F59" s="429"/>
      <c r="G59" s="429"/>
      <c r="H59" s="429"/>
      <c r="I59" s="429"/>
      <c r="J59" s="430"/>
    </row>
    <row r="60" spans="1:18" ht="15.75">
      <c r="B60" s="431" t="s">
        <v>264</v>
      </c>
      <c r="C60" s="432"/>
      <c r="D60" s="432"/>
      <c r="E60" s="432"/>
      <c r="F60" s="433"/>
      <c r="G60" s="434"/>
      <c r="H60" s="432"/>
      <c r="I60" s="567" t="s">
        <v>362</v>
      </c>
      <c r="J60" s="435"/>
      <c r="K60"/>
      <c r="M60"/>
    </row>
    <row r="61" spans="1:18" ht="15.75">
      <c r="B61" s="431"/>
      <c r="C61" s="432" t="s">
        <v>267</v>
      </c>
      <c r="D61" s="436" t="s">
        <v>309</v>
      </c>
      <c r="E61" s="432" t="s">
        <v>269</v>
      </c>
      <c r="F61" s="433"/>
      <c r="G61" s="432" t="s">
        <v>265</v>
      </c>
      <c r="H61" s="437"/>
      <c r="I61" s="567"/>
      <c r="J61" s="435"/>
      <c r="K61" s="285"/>
      <c r="M61"/>
    </row>
    <row r="62" spans="1:18" ht="15.75">
      <c r="B62" s="431" t="s">
        <v>228</v>
      </c>
      <c r="C62" s="438">
        <v>39917</v>
      </c>
      <c r="D62" s="436"/>
      <c r="E62" s="432"/>
      <c r="F62" s="433"/>
      <c r="G62" s="432"/>
      <c r="H62" s="437"/>
      <c r="I62" s="433"/>
      <c r="J62" s="435"/>
      <c r="K62" s="285"/>
      <c r="M62"/>
    </row>
    <row r="63" spans="1:18" ht="15.75">
      <c r="B63" s="431" t="s">
        <v>438</v>
      </c>
      <c r="C63" s="438">
        <f>490321/12</f>
        <v>40860.083333333336</v>
      </c>
      <c r="D63" s="439">
        <f>C63-C62</f>
        <v>943.08333333333576</v>
      </c>
      <c r="E63" s="440">
        <f>D63/C62</f>
        <v>2.3626107506409193E-2</v>
      </c>
      <c r="F63" s="433"/>
      <c r="G63" s="440">
        <v>2.1000000000000001E-2</v>
      </c>
      <c r="H63" s="437"/>
      <c r="I63" s="441">
        <f>E63+G63</f>
        <v>4.4626107506409191E-2</v>
      </c>
      <c r="J63" s="435"/>
      <c r="K63" s="285"/>
      <c r="M63"/>
    </row>
    <row r="64" spans="1:18" ht="15.75">
      <c r="B64" s="431" t="s">
        <v>156</v>
      </c>
      <c r="C64" s="438">
        <f>502207/12</f>
        <v>41850.583333333336</v>
      </c>
      <c r="D64" s="439">
        <f>C64-C63</f>
        <v>990.5</v>
      </c>
      <c r="E64" s="440">
        <f>D64/C63</f>
        <v>2.4241262356701015E-2</v>
      </c>
      <c r="F64" s="433"/>
      <c r="G64" s="440">
        <v>2.1999999999999999E-2</v>
      </c>
      <c r="H64" s="437"/>
      <c r="I64" s="441">
        <f>E64+G64</f>
        <v>4.6241262356701014E-2</v>
      </c>
      <c r="J64" s="435"/>
      <c r="K64" s="285"/>
      <c r="M64"/>
    </row>
    <row r="65" spans="2:18" ht="9" customHeight="1">
      <c r="B65" s="442"/>
      <c r="C65" s="443"/>
      <c r="D65" s="443"/>
      <c r="E65" s="443"/>
      <c r="F65" s="443"/>
      <c r="G65" s="443"/>
      <c r="H65" s="443"/>
      <c r="I65" s="443"/>
      <c r="J65" s="444"/>
    </row>
    <row r="68" spans="2:18" ht="15.75">
      <c r="B68" s="279"/>
      <c r="C68" s="279"/>
      <c r="D68" s="279"/>
      <c r="E68" s="279"/>
      <c r="F68" s="279"/>
      <c r="G68" s="279"/>
      <c r="H68" s="279"/>
      <c r="I68" s="279"/>
      <c r="J68" s="279"/>
      <c r="K68" s="279"/>
      <c r="L68" s="279"/>
      <c r="M68" s="279"/>
      <c r="N68" s="279"/>
      <c r="O68" s="279"/>
      <c r="P68" s="279"/>
      <c r="Q68" s="279"/>
      <c r="R68" s="445" t="str">
        <f>'[33]GI-28 Doc 1'!Q65</f>
        <v>GI-28</v>
      </c>
    </row>
    <row r="69" spans="2:18" ht="15.75">
      <c r="B69" s="279"/>
      <c r="C69" s="279"/>
      <c r="D69" s="279"/>
      <c r="E69" s="279"/>
      <c r="F69" s="279"/>
      <c r="G69" s="279"/>
      <c r="H69" s="279"/>
      <c r="I69" s="279"/>
      <c r="J69" s="279"/>
      <c r="K69" s="279"/>
      <c r="L69" s="279"/>
      <c r="M69" s="279"/>
      <c r="N69" s="279"/>
      <c r="O69" s="279"/>
      <c r="P69" s="279"/>
      <c r="Q69" s="279"/>
      <c r="R69" s="445" t="s">
        <v>64</v>
      </c>
    </row>
    <row r="70" spans="2:18" ht="15.75">
      <c r="B70" s="279"/>
      <c r="C70" s="279"/>
      <c r="D70" s="279"/>
      <c r="E70" s="279"/>
      <c r="F70" s="279"/>
      <c r="G70" s="279"/>
      <c r="H70" s="279"/>
      <c r="I70" s="279"/>
      <c r="J70" s="279"/>
      <c r="K70" s="279"/>
      <c r="L70" s="279"/>
      <c r="M70" s="279"/>
      <c r="N70" s="279"/>
      <c r="O70" s="279"/>
      <c r="P70" s="279"/>
      <c r="Q70" s="279"/>
      <c r="R70" s="445" t="s">
        <v>51</v>
      </c>
    </row>
    <row r="71" spans="2:18" ht="15.75">
      <c r="B71" s="279" t="str">
        <f>'[33]GI-28 Doc 1'!A68</f>
        <v>Original: 2015-08-28</v>
      </c>
      <c r="C71" s="279"/>
      <c r="D71" s="279"/>
      <c r="E71" s="279"/>
      <c r="F71" s="279"/>
      <c r="G71" s="279"/>
      <c r="H71" s="279"/>
      <c r="I71" s="279"/>
      <c r="J71" s="279"/>
      <c r="K71" s="279"/>
      <c r="L71" s="279"/>
      <c r="M71" s="279"/>
      <c r="N71" s="279"/>
      <c r="O71" s="279"/>
      <c r="P71" s="279"/>
      <c r="Q71" s="279"/>
      <c r="R71" s="445" t="str">
        <f>'[33]GI-28 Doc 1'!Q68</f>
        <v>Requête 3924-2015</v>
      </c>
    </row>
    <row r="72" spans="2:18">
      <c r="R72" s="283"/>
    </row>
  </sheetData>
  <mergeCells count="11">
    <mergeCell ref="I60:I61"/>
    <mergeCell ref="N45:N46"/>
    <mergeCell ref="B48:K50"/>
    <mergeCell ref="B54:K56"/>
    <mergeCell ref="A13:A16"/>
    <mergeCell ref="B13:K16"/>
    <mergeCell ref="B22:K25"/>
    <mergeCell ref="N19:N20"/>
    <mergeCell ref="B29:K31"/>
    <mergeCell ref="A39:A42"/>
    <mergeCell ref="B39:K42"/>
  </mergeCells>
  <printOptions horizontalCentered="1"/>
  <pageMargins left="0.25" right="0.25" top="0.75" bottom="0.75" header="0.3" footer="0.3"/>
  <pageSetup scale="6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9">
    <tabColor rgb="FFFF33CC"/>
  </sheetPr>
  <dimension ref="A1:T79"/>
  <sheetViews>
    <sheetView zoomScaleNormal="100" workbookViewId="0">
      <selection activeCell="N26" sqref="N26"/>
    </sheetView>
  </sheetViews>
  <sheetFormatPr baseColWidth="10" defaultRowHeight="12.75" outlineLevelCol="1"/>
  <cols>
    <col min="1" max="1" width="28.28515625" customWidth="1"/>
    <col min="2" max="2" width="17.85546875" customWidth="1"/>
    <col min="4" max="4" width="3" customWidth="1"/>
    <col min="5" max="5" width="11.42578125" hidden="1" customWidth="1" outlineLevel="1"/>
    <col min="6" max="6" width="3" hidden="1" customWidth="1" outlineLevel="1"/>
    <col min="7" max="7" width="11.42578125" collapsed="1"/>
    <col min="8" max="8" width="3" customWidth="1"/>
    <col min="9" max="9" width="11.42578125" hidden="1" customWidth="1" outlineLevel="1"/>
    <col min="10" max="10" width="3" hidden="1" customWidth="1" outlineLevel="1"/>
    <col min="11" max="11" width="11.42578125" collapsed="1"/>
    <col min="12" max="12" width="3" customWidth="1"/>
    <col min="14" max="14" width="3" customWidth="1"/>
    <col min="15" max="15" width="7.28515625" customWidth="1"/>
    <col min="16" max="16" width="2.28515625" customWidth="1"/>
    <col min="18" max="18" width="2.85546875" customWidth="1"/>
    <col min="19" max="19" width="6.7109375" customWidth="1"/>
    <col min="20" max="20" width="2.42578125" customWidth="1"/>
  </cols>
  <sheetData>
    <row r="1" spans="1:20" ht="15.75">
      <c r="C1" s="17"/>
      <c r="D1" s="17"/>
      <c r="E1" s="17"/>
      <c r="F1" s="17"/>
      <c r="G1" s="17"/>
      <c r="H1" s="17"/>
      <c r="I1" s="17"/>
      <c r="J1" s="17"/>
      <c r="K1" s="17"/>
      <c r="L1" s="17"/>
      <c r="M1" s="565" t="s">
        <v>36</v>
      </c>
      <c r="N1" s="565"/>
      <c r="O1" s="565"/>
      <c r="P1" s="565"/>
      <c r="Q1" s="565"/>
      <c r="R1" s="565"/>
      <c r="S1" s="565"/>
    </row>
    <row r="2" spans="1:20" ht="15.75">
      <c r="C2" s="351" t="s">
        <v>27</v>
      </c>
      <c r="D2" s="317"/>
      <c r="E2" s="352">
        <v>2014</v>
      </c>
      <c r="F2" s="317"/>
      <c r="G2" s="351" t="s">
        <v>94</v>
      </c>
      <c r="H2" s="158"/>
      <c r="I2" s="157">
        <v>2015</v>
      </c>
      <c r="J2" s="17"/>
      <c r="K2" s="247" t="s">
        <v>153</v>
      </c>
      <c r="L2" s="17"/>
      <c r="M2" s="564" t="s">
        <v>154</v>
      </c>
      <c r="N2" s="564"/>
      <c r="O2" s="564"/>
      <c r="P2" s="249"/>
      <c r="Q2" s="564" t="s">
        <v>156</v>
      </c>
      <c r="R2" s="564"/>
      <c r="S2" s="356"/>
      <c r="T2" s="17"/>
    </row>
    <row r="3" spans="1:20" ht="15.75">
      <c r="C3" s="352">
        <v>2014</v>
      </c>
      <c r="D3" s="317"/>
      <c r="E3" s="351" t="s">
        <v>28</v>
      </c>
      <c r="F3" s="317"/>
      <c r="G3" s="352">
        <v>2015</v>
      </c>
      <c r="H3" s="158"/>
      <c r="I3" s="160" t="s">
        <v>28</v>
      </c>
      <c r="J3" s="17"/>
      <c r="K3" s="161">
        <v>2016</v>
      </c>
      <c r="L3" s="161"/>
      <c r="M3" s="564" t="s">
        <v>197</v>
      </c>
      <c r="N3" s="564"/>
      <c r="O3" s="564"/>
      <c r="P3" s="249"/>
      <c r="Q3" s="564" t="s">
        <v>198</v>
      </c>
      <c r="R3" s="564"/>
      <c r="S3" s="356"/>
      <c r="T3" s="17"/>
    </row>
    <row r="4" spans="1:20" ht="16.5" thickBot="1">
      <c r="C4" s="162" t="s">
        <v>31</v>
      </c>
      <c r="D4" s="158"/>
      <c r="E4" s="162" t="s">
        <v>31</v>
      </c>
      <c r="F4" s="158"/>
      <c r="G4" s="162" t="s">
        <v>31</v>
      </c>
      <c r="H4" s="158"/>
      <c r="I4" s="162" t="s">
        <v>31</v>
      </c>
      <c r="J4" s="17"/>
      <c r="K4" s="163" t="s">
        <v>31</v>
      </c>
      <c r="L4" s="164"/>
      <c r="M4" s="165" t="s">
        <v>31</v>
      </c>
      <c r="N4" s="165"/>
      <c r="O4" s="165" t="s">
        <v>52</v>
      </c>
      <c r="P4" s="165"/>
      <c r="Q4" s="165" t="s">
        <v>31</v>
      </c>
      <c r="R4" s="165"/>
      <c r="S4" s="165" t="s">
        <v>52</v>
      </c>
    </row>
    <row r="6" spans="1:20" ht="15.75">
      <c r="A6" s="353" t="s">
        <v>277</v>
      </c>
      <c r="B6" s="173" t="s">
        <v>163</v>
      </c>
      <c r="C6" s="20">
        <f>'25442'!D21+'25449'!D21</f>
        <v>8.9174199999999253</v>
      </c>
      <c r="D6" s="20"/>
      <c r="E6" s="20"/>
      <c r="F6" s="20"/>
      <c r="G6" s="20">
        <f>'25442'!H21+'25449'!H21</f>
        <v>16.079000000000001</v>
      </c>
      <c r="H6" s="20"/>
      <c r="I6" s="20"/>
      <c r="J6" s="20"/>
      <c r="K6" s="20">
        <f>'25442'!L21+'25449'!L21</f>
        <v>14.690999999999999</v>
      </c>
      <c r="M6" s="357">
        <f>G6-C6</f>
        <v>7.1615800000000753</v>
      </c>
      <c r="N6" s="361" t="s">
        <v>38</v>
      </c>
      <c r="O6" s="238">
        <f>M6/C6</f>
        <v>0.8030999997757351</v>
      </c>
      <c r="Q6" s="357">
        <f>K6-G6</f>
        <v>-1.3880000000000017</v>
      </c>
      <c r="R6" s="361" t="s">
        <v>42</v>
      </c>
      <c r="S6" s="238">
        <f>Q6/G6</f>
        <v>-8.6323776354250981E-2</v>
      </c>
    </row>
    <row r="7" spans="1:20" ht="15.75">
      <c r="A7" s="19"/>
      <c r="B7" s="19"/>
      <c r="C7" s="20"/>
      <c r="D7" s="20"/>
      <c r="E7" s="20"/>
      <c r="F7" s="20"/>
      <c r="G7" s="20"/>
      <c r="H7" s="20"/>
      <c r="I7" s="20"/>
      <c r="J7" s="20"/>
      <c r="K7" s="20"/>
      <c r="O7" s="358"/>
      <c r="S7" s="358"/>
    </row>
    <row r="8" spans="1:20" ht="15.75">
      <c r="A8" s="27" t="s">
        <v>17</v>
      </c>
      <c r="B8" s="19">
        <v>25444</v>
      </c>
      <c r="C8" s="20">
        <f>'25444'!D21</f>
        <v>271.58204000000001</v>
      </c>
      <c r="D8" s="20"/>
      <c r="E8" s="20"/>
      <c r="F8" s="20"/>
      <c r="G8" s="20">
        <f>'25444'!H21</f>
        <v>274.24968000000001</v>
      </c>
      <c r="H8" s="20"/>
      <c r="I8" s="20"/>
      <c r="J8" s="20"/>
      <c r="K8" s="20">
        <f>'25444'!L21</f>
        <v>280.8</v>
      </c>
      <c r="M8" s="357">
        <f>G8-C8</f>
        <v>2.6676400000000058</v>
      </c>
      <c r="N8" s="361" t="s">
        <v>39</v>
      </c>
      <c r="O8" s="238">
        <f>M8/C8</f>
        <v>9.8225935706205223E-3</v>
      </c>
      <c r="Q8" s="357">
        <f>K8-G8</f>
        <v>6.5503199999999993</v>
      </c>
      <c r="R8" s="361" t="s">
        <v>43</v>
      </c>
      <c r="S8" s="238">
        <f>Q8/G8</f>
        <v>2.3884512827872757E-2</v>
      </c>
    </row>
    <row r="9" spans="1:20" ht="15.75">
      <c r="A9" s="19"/>
      <c r="B9" s="19"/>
      <c r="C9" s="20"/>
      <c r="D9" s="20"/>
      <c r="E9" s="20"/>
      <c r="F9" s="20"/>
      <c r="G9" s="20"/>
      <c r="H9" s="20"/>
      <c r="I9" s="20"/>
      <c r="J9" s="20"/>
      <c r="K9" s="20"/>
      <c r="O9" s="358"/>
      <c r="S9" s="358"/>
    </row>
    <row r="10" spans="1:20" ht="15.75">
      <c r="A10" s="27" t="s">
        <v>18</v>
      </c>
      <c r="B10" s="19">
        <v>25446</v>
      </c>
      <c r="C10" s="20">
        <f>'25446'!D23</f>
        <v>340.01783999999986</v>
      </c>
      <c r="D10" s="20"/>
      <c r="E10" s="20"/>
      <c r="F10" s="20"/>
      <c r="G10" s="20">
        <f>'25446'!H23</f>
        <v>359.42</v>
      </c>
      <c r="H10" s="20"/>
      <c r="I10" s="20"/>
      <c r="J10" s="20"/>
      <c r="K10" s="20">
        <f>'25446'!L23</f>
        <v>382.74299999999999</v>
      </c>
      <c r="M10" s="357">
        <f>G10-C10</f>
        <v>19.402160000000151</v>
      </c>
      <c r="N10" s="361" t="s">
        <v>40</v>
      </c>
      <c r="O10" s="238">
        <f>M10/C10</f>
        <v>5.7062182384313008E-2</v>
      </c>
      <c r="Q10" s="357">
        <f>K10-G10</f>
        <v>23.322999999999979</v>
      </c>
      <c r="R10" s="361" t="s">
        <v>44</v>
      </c>
      <c r="S10" s="238">
        <f>Q10/G10</f>
        <v>6.489065716988475E-2</v>
      </c>
    </row>
    <row r="11" spans="1:20" ht="15.75">
      <c r="A11" s="19"/>
      <c r="B11" s="19"/>
      <c r="C11" s="20"/>
      <c r="D11" s="20"/>
      <c r="E11" s="20"/>
      <c r="F11" s="20"/>
      <c r="G11" s="20"/>
      <c r="H11" s="20"/>
      <c r="I11" s="20"/>
      <c r="J11" s="20"/>
      <c r="K11" s="20"/>
      <c r="O11" s="358"/>
      <c r="S11" s="358"/>
    </row>
    <row r="12" spans="1:20" ht="15.75">
      <c r="A12" s="27" t="s">
        <v>16</v>
      </c>
      <c r="B12" s="19">
        <v>25448</v>
      </c>
      <c r="C12" s="20">
        <f>'25448'!D21</f>
        <v>-95.395090000000053</v>
      </c>
      <c r="D12" s="20"/>
      <c r="E12" s="20"/>
      <c r="F12" s="20"/>
      <c r="G12" s="20">
        <f>'25448'!H21</f>
        <v>-83.787999999999997</v>
      </c>
      <c r="H12" s="20"/>
      <c r="I12" s="20"/>
      <c r="J12" s="20"/>
      <c r="K12" s="20">
        <f>'25448'!L21</f>
        <v>-78.930999999999997</v>
      </c>
      <c r="M12" s="357">
        <f>G12-C12</f>
        <v>11.607090000000056</v>
      </c>
      <c r="N12" s="361" t="s">
        <v>41</v>
      </c>
      <c r="O12" s="238">
        <f>M12/C12</f>
        <v>-0.1216738723135546</v>
      </c>
      <c r="Q12" s="357">
        <f>K12-G12</f>
        <v>4.8569999999999993</v>
      </c>
      <c r="R12" s="361" t="s">
        <v>45</v>
      </c>
      <c r="S12" s="238">
        <f>Q12/G12</f>
        <v>-5.7967728075619417E-2</v>
      </c>
    </row>
    <row r="13" spans="1:20" ht="15.75">
      <c r="C13" s="20"/>
      <c r="D13" s="20"/>
      <c r="E13" s="20"/>
      <c r="F13" s="20"/>
      <c r="G13" s="20"/>
      <c r="H13" s="20"/>
      <c r="I13" s="20"/>
      <c r="J13" s="20"/>
      <c r="K13" s="20"/>
      <c r="O13" s="358"/>
      <c r="S13" s="358"/>
    </row>
    <row r="14" spans="1:20" ht="15.75">
      <c r="C14" s="355">
        <f>SUM(C6:C12)</f>
        <v>525.12220999999965</v>
      </c>
      <c r="D14" s="20"/>
      <c r="E14" s="20"/>
      <c r="F14" s="20"/>
      <c r="G14" s="355">
        <f>SUM(G6:G12)</f>
        <v>565.96068000000002</v>
      </c>
      <c r="H14" s="20"/>
      <c r="I14" s="20"/>
      <c r="J14" s="20"/>
      <c r="K14" s="355">
        <f>SUM(K6:K12)</f>
        <v>599.30299999999988</v>
      </c>
      <c r="M14" s="359">
        <f>G14-C14</f>
        <v>40.83847000000037</v>
      </c>
      <c r="O14" s="239">
        <f>M14/C14</f>
        <v>7.7769458656110541E-2</v>
      </c>
      <c r="Q14" s="359">
        <f>K14-G14</f>
        <v>33.342319999999859</v>
      </c>
      <c r="S14" s="239">
        <f>Q14/G14</f>
        <v>5.8912785248614548E-2</v>
      </c>
    </row>
    <row r="15" spans="1:20" ht="15.75">
      <c r="C15" s="20"/>
      <c r="D15" s="20"/>
      <c r="E15" s="20"/>
      <c r="F15" s="20"/>
      <c r="G15" s="20"/>
      <c r="H15" s="20"/>
      <c r="I15" s="20"/>
      <c r="J15" s="20"/>
      <c r="K15" s="20"/>
    </row>
    <row r="16" spans="1:20" ht="15.75">
      <c r="C16" s="20"/>
      <c r="D16" s="20"/>
      <c r="E16" s="20"/>
      <c r="F16" s="20"/>
      <c r="G16" s="20"/>
      <c r="H16" s="20"/>
      <c r="I16" s="20"/>
      <c r="J16" s="20"/>
      <c r="K16" s="20"/>
    </row>
    <row r="17" spans="1:19" ht="15.75">
      <c r="A17" s="360" t="s">
        <v>278</v>
      </c>
      <c r="C17" s="20"/>
      <c r="D17" s="20"/>
      <c r="E17" s="20"/>
      <c r="F17" s="20"/>
      <c r="G17" s="20"/>
      <c r="H17" s="20"/>
      <c r="I17" s="20"/>
      <c r="J17" s="20"/>
      <c r="K17" s="20"/>
    </row>
    <row r="18" spans="1:19">
      <c r="A18" s="362" t="s">
        <v>284</v>
      </c>
      <c r="B18" s="241" t="s">
        <v>279</v>
      </c>
    </row>
    <row r="19" spans="1:19" ht="26.25" customHeight="1">
      <c r="A19" s="362" t="s">
        <v>285</v>
      </c>
      <c r="B19" s="571" t="s">
        <v>224</v>
      </c>
      <c r="C19" s="571"/>
      <c r="D19" s="571"/>
      <c r="E19" s="571"/>
      <c r="F19" s="571"/>
      <c r="G19" s="571"/>
      <c r="H19" s="571"/>
      <c r="I19" s="571"/>
      <c r="J19" s="571"/>
      <c r="K19" s="571"/>
      <c r="L19" s="571"/>
      <c r="M19" s="571"/>
      <c r="N19" s="571"/>
      <c r="O19" s="571"/>
      <c r="P19" s="571"/>
      <c r="Q19" s="571"/>
      <c r="R19" s="571"/>
      <c r="S19" s="571"/>
    </row>
    <row r="20" spans="1:19">
      <c r="A20" s="185"/>
    </row>
    <row r="21" spans="1:19">
      <c r="A21" s="362" t="s">
        <v>286</v>
      </c>
      <c r="B21" s="241" t="s">
        <v>280</v>
      </c>
    </row>
    <row r="22" spans="1:19">
      <c r="A22" s="185"/>
    </row>
    <row r="23" spans="1:19">
      <c r="A23" s="362" t="s">
        <v>287</v>
      </c>
      <c r="B23" s="571" t="s">
        <v>215</v>
      </c>
      <c r="C23" s="572"/>
      <c r="D23" s="572"/>
      <c r="E23" s="572"/>
      <c r="F23" s="572"/>
      <c r="G23" s="572"/>
      <c r="H23" s="572"/>
      <c r="I23" s="572"/>
      <c r="J23" s="572"/>
      <c r="K23" s="572"/>
      <c r="L23" s="572"/>
      <c r="M23" s="572"/>
      <c r="N23" s="572"/>
      <c r="O23" s="572"/>
      <c r="P23" s="572"/>
      <c r="Q23" s="572"/>
      <c r="R23" s="572"/>
      <c r="S23" s="572"/>
    </row>
    <row r="24" spans="1:19" ht="32.25" customHeight="1">
      <c r="A24" s="185"/>
      <c r="B24" s="572"/>
      <c r="C24" s="572"/>
      <c r="D24" s="572"/>
      <c r="E24" s="572"/>
      <c r="F24" s="572"/>
      <c r="G24" s="572"/>
      <c r="H24" s="572"/>
      <c r="I24" s="572"/>
      <c r="J24" s="572"/>
      <c r="K24" s="572"/>
      <c r="L24" s="572"/>
      <c r="M24" s="572"/>
      <c r="N24" s="572"/>
      <c r="O24" s="572"/>
      <c r="P24" s="572"/>
      <c r="Q24" s="572"/>
      <c r="R24" s="572"/>
      <c r="S24" s="572"/>
    </row>
    <row r="25" spans="1:19">
      <c r="A25" s="185"/>
      <c r="B25" s="572"/>
      <c r="C25" s="572"/>
      <c r="D25" s="572"/>
      <c r="E25" s="572"/>
      <c r="F25" s="572"/>
      <c r="G25" s="572"/>
      <c r="H25" s="572"/>
      <c r="I25" s="572"/>
      <c r="J25" s="572"/>
      <c r="K25" s="572"/>
      <c r="L25" s="572"/>
      <c r="M25" s="572"/>
      <c r="N25" s="572"/>
      <c r="O25" s="572"/>
      <c r="P25" s="572"/>
      <c r="Q25" s="572"/>
      <c r="R25" s="572"/>
      <c r="S25" s="572"/>
    </row>
    <row r="26" spans="1:19">
      <c r="A26" s="185"/>
      <c r="B26" s="572"/>
      <c r="C26" s="572"/>
      <c r="D26" s="572"/>
      <c r="E26" s="572"/>
      <c r="F26" s="572"/>
      <c r="G26" s="572"/>
      <c r="H26" s="572"/>
      <c r="I26" s="572"/>
      <c r="J26" s="572"/>
      <c r="K26" s="572"/>
      <c r="L26" s="572"/>
      <c r="M26" s="572"/>
      <c r="N26" s="572"/>
      <c r="O26" s="572"/>
      <c r="P26" s="572"/>
      <c r="Q26" s="572"/>
      <c r="R26" s="572"/>
      <c r="S26" s="572"/>
    </row>
    <row r="27" spans="1:19">
      <c r="A27" s="185"/>
    </row>
    <row r="28" spans="1:19">
      <c r="A28" s="362" t="s">
        <v>288</v>
      </c>
      <c r="B28" s="571" t="s">
        <v>281</v>
      </c>
      <c r="C28" s="572"/>
      <c r="D28" s="572"/>
      <c r="E28" s="572"/>
      <c r="F28" s="572"/>
      <c r="G28" s="572"/>
      <c r="H28" s="572"/>
      <c r="I28" s="572"/>
      <c r="J28" s="572"/>
      <c r="K28" s="572"/>
      <c r="L28" s="572"/>
      <c r="M28" s="572"/>
      <c r="N28" s="572"/>
      <c r="O28" s="572"/>
      <c r="P28" s="572"/>
      <c r="Q28" s="572"/>
      <c r="R28" s="572"/>
      <c r="S28" s="572"/>
    </row>
    <row r="29" spans="1:19">
      <c r="B29" s="572"/>
      <c r="C29" s="572"/>
      <c r="D29" s="572"/>
      <c r="E29" s="572"/>
      <c r="F29" s="572"/>
      <c r="G29" s="572"/>
      <c r="H29" s="572"/>
      <c r="I29" s="572"/>
      <c r="J29" s="572"/>
      <c r="K29" s="572"/>
      <c r="L29" s="572"/>
      <c r="M29" s="572"/>
      <c r="N29" s="572"/>
      <c r="O29" s="572"/>
      <c r="P29" s="572"/>
      <c r="Q29" s="572"/>
      <c r="R29" s="572"/>
      <c r="S29" s="572"/>
    </row>
    <row r="30" spans="1:19">
      <c r="B30" s="572"/>
      <c r="C30" s="572"/>
      <c r="D30" s="572"/>
      <c r="E30" s="572"/>
      <c r="F30" s="572"/>
      <c r="G30" s="572"/>
      <c r="H30" s="572"/>
      <c r="I30" s="572"/>
      <c r="J30" s="572"/>
      <c r="K30" s="572"/>
      <c r="L30" s="572"/>
      <c r="M30" s="572"/>
      <c r="N30" s="572"/>
      <c r="O30" s="572"/>
      <c r="P30" s="572"/>
      <c r="Q30" s="572"/>
      <c r="R30" s="572"/>
      <c r="S30" s="572"/>
    </row>
    <row r="31" spans="1:19" ht="30.75" customHeight="1">
      <c r="B31" s="572"/>
      <c r="C31" s="572"/>
      <c r="D31" s="572"/>
      <c r="E31" s="572"/>
      <c r="F31" s="572"/>
      <c r="G31" s="572"/>
      <c r="H31" s="572"/>
      <c r="I31" s="572"/>
      <c r="J31" s="572"/>
      <c r="K31" s="572"/>
      <c r="L31" s="572"/>
      <c r="M31" s="572"/>
      <c r="N31" s="572"/>
      <c r="O31" s="572"/>
      <c r="P31" s="572"/>
      <c r="Q31" s="572"/>
      <c r="R31" s="572"/>
      <c r="S31" s="572"/>
    </row>
    <row r="32" spans="1:19">
      <c r="B32" s="572"/>
      <c r="C32" s="572"/>
      <c r="D32" s="572"/>
      <c r="E32" s="572"/>
      <c r="F32" s="572"/>
      <c r="G32" s="572"/>
      <c r="H32" s="572"/>
      <c r="I32" s="572"/>
      <c r="J32" s="572"/>
      <c r="K32" s="572"/>
      <c r="L32" s="572"/>
      <c r="M32" s="572"/>
      <c r="N32" s="572"/>
      <c r="O32" s="572"/>
      <c r="P32" s="572"/>
      <c r="Q32" s="572"/>
      <c r="R32" s="572"/>
      <c r="S32" s="572"/>
    </row>
    <row r="33" spans="1:19">
      <c r="B33" s="572"/>
      <c r="C33" s="572"/>
      <c r="D33" s="572"/>
      <c r="E33" s="572"/>
      <c r="F33" s="572"/>
      <c r="G33" s="572"/>
      <c r="H33" s="572"/>
      <c r="I33" s="572"/>
      <c r="J33" s="572"/>
      <c r="K33" s="572"/>
      <c r="L33" s="572"/>
      <c r="M33" s="572"/>
      <c r="N33" s="572"/>
      <c r="O33" s="572"/>
      <c r="P33" s="572"/>
      <c r="Q33" s="572"/>
      <c r="R33" s="572"/>
      <c r="S33" s="572"/>
    </row>
    <row r="37" spans="1:19">
      <c r="A37" s="360" t="s">
        <v>282</v>
      </c>
    </row>
    <row r="38" spans="1:19">
      <c r="A38" s="362" t="s">
        <v>289</v>
      </c>
      <c r="B38" s="241" t="s">
        <v>279</v>
      </c>
    </row>
    <row r="39" spans="1:19" ht="25.5" customHeight="1">
      <c r="A39" s="362" t="s">
        <v>290</v>
      </c>
      <c r="B39" s="571" t="s">
        <v>283</v>
      </c>
      <c r="C39" s="572"/>
      <c r="D39" s="572"/>
      <c r="E39" s="572"/>
      <c r="F39" s="572"/>
      <c r="G39" s="572"/>
      <c r="H39" s="572"/>
      <c r="I39" s="572"/>
      <c r="J39" s="572"/>
      <c r="K39" s="572"/>
      <c r="L39" s="572"/>
      <c r="M39" s="572"/>
      <c r="N39" s="572"/>
      <c r="O39" s="572"/>
      <c r="P39" s="572"/>
      <c r="Q39" s="572"/>
      <c r="R39" s="572"/>
      <c r="S39" s="572"/>
    </row>
    <row r="40" spans="1:19">
      <c r="A40" s="185"/>
    </row>
    <row r="41" spans="1:19">
      <c r="A41" s="362" t="s">
        <v>291</v>
      </c>
      <c r="B41" s="241" t="s">
        <v>280</v>
      </c>
    </row>
    <row r="42" spans="1:19">
      <c r="A42" s="185"/>
    </row>
    <row r="43" spans="1:19">
      <c r="A43" s="362" t="s">
        <v>292</v>
      </c>
      <c r="B43" s="571" t="s">
        <v>237</v>
      </c>
      <c r="C43" s="572"/>
      <c r="D43" s="572"/>
      <c r="E43" s="572"/>
      <c r="F43" s="572"/>
      <c r="G43" s="572"/>
      <c r="H43" s="572"/>
      <c r="I43" s="572"/>
      <c r="J43" s="572"/>
      <c r="K43" s="572"/>
      <c r="L43" s="572"/>
      <c r="M43" s="572"/>
      <c r="N43" s="572"/>
      <c r="O43" s="572"/>
      <c r="P43" s="572"/>
      <c r="Q43" s="572"/>
      <c r="R43" s="572"/>
      <c r="S43" s="572"/>
    </row>
    <row r="44" spans="1:19">
      <c r="A44" s="185"/>
      <c r="B44" s="572"/>
      <c r="C44" s="572"/>
      <c r="D44" s="572"/>
      <c r="E44" s="572"/>
      <c r="F44" s="572"/>
      <c r="G44" s="572"/>
      <c r="H44" s="572"/>
      <c r="I44" s="572"/>
      <c r="J44" s="572"/>
      <c r="K44" s="572"/>
      <c r="L44" s="572"/>
      <c r="M44" s="572"/>
      <c r="N44" s="572"/>
      <c r="O44" s="572"/>
      <c r="P44" s="572"/>
      <c r="Q44" s="572"/>
      <c r="R44" s="572"/>
      <c r="S44" s="572"/>
    </row>
    <row r="45" spans="1:19" ht="59.25" customHeight="1">
      <c r="A45" s="185"/>
      <c r="B45" s="572"/>
      <c r="C45" s="572"/>
      <c r="D45" s="572"/>
      <c r="E45" s="572"/>
      <c r="F45" s="572"/>
      <c r="G45" s="572"/>
      <c r="H45" s="572"/>
      <c r="I45" s="572"/>
      <c r="J45" s="572"/>
      <c r="K45" s="572"/>
      <c r="L45" s="572"/>
      <c r="M45" s="572"/>
      <c r="N45" s="572"/>
      <c r="O45" s="572"/>
      <c r="P45" s="572"/>
      <c r="Q45" s="572"/>
      <c r="R45" s="572"/>
      <c r="S45" s="572"/>
    </row>
    <row r="46" spans="1:19">
      <c r="A46" s="185"/>
      <c r="B46" s="572"/>
      <c r="C46" s="572"/>
      <c r="D46" s="572"/>
      <c r="E46" s="572"/>
      <c r="F46" s="572"/>
      <c r="G46" s="572"/>
      <c r="H46" s="572"/>
      <c r="I46" s="572"/>
      <c r="J46" s="572"/>
      <c r="K46" s="572"/>
      <c r="L46" s="572"/>
      <c r="M46" s="572"/>
      <c r="N46" s="572"/>
      <c r="O46" s="572"/>
      <c r="P46" s="572"/>
      <c r="Q46" s="572"/>
      <c r="R46" s="572"/>
      <c r="S46" s="572"/>
    </row>
    <row r="47" spans="1:19">
      <c r="A47" s="185"/>
    </row>
    <row r="48" spans="1:19">
      <c r="A48" s="362" t="s">
        <v>293</v>
      </c>
      <c r="B48" s="571" t="s">
        <v>257</v>
      </c>
      <c r="C48" s="572"/>
      <c r="D48" s="572"/>
      <c r="E48" s="572"/>
      <c r="F48" s="572"/>
      <c r="G48" s="572"/>
      <c r="H48" s="572"/>
      <c r="I48" s="572"/>
      <c r="J48" s="572"/>
      <c r="K48" s="572"/>
      <c r="L48" s="572"/>
      <c r="M48" s="572"/>
      <c r="N48" s="572"/>
      <c r="O48" s="572"/>
      <c r="P48" s="572"/>
      <c r="Q48" s="572"/>
      <c r="R48" s="572"/>
      <c r="S48" s="572"/>
    </row>
    <row r="49" spans="1:19" ht="8.25" customHeight="1">
      <c r="B49" s="572"/>
      <c r="C49" s="572"/>
      <c r="D49" s="572"/>
      <c r="E49" s="572"/>
      <c r="F49" s="572"/>
      <c r="G49" s="572"/>
      <c r="H49" s="572"/>
      <c r="I49" s="572"/>
      <c r="J49" s="572"/>
      <c r="K49" s="572"/>
      <c r="L49" s="572"/>
      <c r="M49" s="572"/>
      <c r="N49" s="572"/>
      <c r="O49" s="572"/>
      <c r="P49" s="572"/>
      <c r="Q49" s="572"/>
      <c r="R49" s="572"/>
      <c r="S49" s="572"/>
    </row>
    <row r="50" spans="1:19">
      <c r="B50" s="572"/>
      <c r="C50" s="572"/>
      <c r="D50" s="572"/>
      <c r="E50" s="572"/>
      <c r="F50" s="572"/>
      <c r="G50" s="572"/>
      <c r="H50" s="572"/>
      <c r="I50" s="572"/>
      <c r="J50" s="572"/>
      <c r="K50" s="572"/>
      <c r="L50" s="572"/>
      <c r="M50" s="572"/>
      <c r="N50" s="572"/>
      <c r="O50" s="572"/>
      <c r="P50" s="572"/>
      <c r="Q50" s="572"/>
      <c r="R50" s="572"/>
      <c r="S50" s="572"/>
    </row>
    <row r="51" spans="1:19">
      <c r="B51" s="572"/>
      <c r="C51" s="572"/>
      <c r="D51" s="572"/>
      <c r="E51" s="572"/>
      <c r="F51" s="572"/>
      <c r="G51" s="572"/>
      <c r="H51" s="572"/>
      <c r="I51" s="572"/>
      <c r="J51" s="572"/>
      <c r="K51" s="572"/>
      <c r="L51" s="572"/>
      <c r="M51" s="572"/>
      <c r="N51" s="572"/>
      <c r="O51" s="572"/>
      <c r="P51" s="572"/>
      <c r="Q51" s="572"/>
      <c r="R51" s="572"/>
      <c r="S51" s="572"/>
    </row>
    <row r="54" spans="1:19">
      <c r="A54" s="360" t="s">
        <v>294</v>
      </c>
    </row>
    <row r="56" spans="1:19">
      <c r="K56" s="241" t="s">
        <v>304</v>
      </c>
      <c r="O56" s="241" t="s">
        <v>305</v>
      </c>
    </row>
    <row r="57" spans="1:19">
      <c r="B57" s="241" t="s">
        <v>296</v>
      </c>
      <c r="G57" s="241" t="s">
        <v>228</v>
      </c>
    </row>
    <row r="58" spans="1:19">
      <c r="A58" s="241" t="s">
        <v>295</v>
      </c>
    </row>
    <row r="59" spans="1:19">
      <c r="B59" s="241" t="s">
        <v>297</v>
      </c>
      <c r="G59" s="8">
        <v>28829</v>
      </c>
    </row>
    <row r="60" spans="1:19">
      <c r="B60" s="241" t="s">
        <v>298</v>
      </c>
      <c r="G60" s="8">
        <v>7108</v>
      </c>
    </row>
    <row r="61" spans="1:19">
      <c r="B61" s="241" t="s">
        <v>299</v>
      </c>
      <c r="G61" s="8">
        <v>291999</v>
      </c>
    </row>
    <row r="62" spans="1:19">
      <c r="B62" s="241" t="s">
        <v>300</v>
      </c>
      <c r="G62" s="8">
        <v>4519</v>
      </c>
    </row>
    <row r="63" spans="1:19">
      <c r="G63" s="363">
        <f>SUM(G59:G62)</f>
        <v>332455</v>
      </c>
      <c r="K63" s="358">
        <f>M78</f>
        <v>4.4626107506409191E-2</v>
      </c>
      <c r="M63" s="8">
        <f>G63*K63</f>
        <v>14836.172571043267</v>
      </c>
      <c r="O63" s="358">
        <f>M79</f>
        <v>4.6241262356701014E-2</v>
      </c>
      <c r="Q63" s="8">
        <f>(G63+M63)*O63</f>
        <v>16059.182225023938</v>
      </c>
    </row>
    <row r="64" spans="1:19">
      <c r="G64" s="8"/>
      <c r="M64" s="8"/>
    </row>
    <row r="65" spans="1:17">
      <c r="A65" s="241" t="s">
        <v>301</v>
      </c>
      <c r="G65" s="8"/>
      <c r="M65" s="8"/>
    </row>
    <row r="66" spans="1:17">
      <c r="B66" s="241" t="s">
        <v>297</v>
      </c>
      <c r="G66" s="8">
        <v>2489</v>
      </c>
      <c r="M66" s="8"/>
    </row>
    <row r="67" spans="1:17">
      <c r="B67" s="241" t="s">
        <v>298</v>
      </c>
      <c r="G67" s="8">
        <v>30367</v>
      </c>
      <c r="M67" s="8"/>
    </row>
    <row r="68" spans="1:17">
      <c r="B68" s="241" t="s">
        <v>299</v>
      </c>
      <c r="G68" s="8">
        <v>33634</v>
      </c>
      <c r="M68" s="8"/>
    </row>
    <row r="69" spans="1:17">
      <c r="B69" s="241" t="s">
        <v>302</v>
      </c>
      <c r="G69" s="8">
        <v>33808</v>
      </c>
      <c r="M69" s="8"/>
    </row>
    <row r="70" spans="1:17">
      <c r="B70" s="241" t="s">
        <v>303</v>
      </c>
      <c r="G70" s="8">
        <v>1634</v>
      </c>
      <c r="M70" s="8"/>
    </row>
    <row r="71" spans="1:17">
      <c r="G71" s="363">
        <f>SUM(G66:G70)</f>
        <v>101932</v>
      </c>
      <c r="K71" s="358">
        <f>M78</f>
        <v>4.4626107506409191E-2</v>
      </c>
      <c r="M71" s="8">
        <f>G71*K71</f>
        <v>4548.8283903433012</v>
      </c>
      <c r="O71" s="358">
        <f>M79</f>
        <v>4.6241262356701014E-2</v>
      </c>
      <c r="Q71" s="8">
        <f>(G71+M71)*O71</f>
        <v>4923.8079215567222</v>
      </c>
    </row>
    <row r="72" spans="1:17">
      <c r="G72" s="363">
        <f>G63+G71</f>
        <v>434387</v>
      </c>
      <c r="M72" s="363">
        <f>SUM(M63:M71)</f>
        <v>19385.00096138657</v>
      </c>
      <c r="Q72" s="363">
        <f>SUM(Q63:Q71)</f>
        <v>20982.990146580662</v>
      </c>
    </row>
    <row r="75" spans="1:17" ht="15.75">
      <c r="A75" s="285" t="s">
        <v>264</v>
      </c>
      <c r="B75" s="285"/>
      <c r="C75" s="285"/>
      <c r="D75" s="285"/>
      <c r="G75" s="285"/>
      <c r="K75" s="285" t="s">
        <v>265</v>
      </c>
      <c r="M75" s="285" t="s">
        <v>266</v>
      </c>
    </row>
    <row r="76" spans="1:17" ht="15.75">
      <c r="A76" s="285"/>
      <c r="B76" s="285" t="s">
        <v>267</v>
      </c>
      <c r="C76" s="285" t="s">
        <v>268</v>
      </c>
      <c r="G76" s="285" t="s">
        <v>269</v>
      </c>
      <c r="J76" s="285"/>
      <c r="K76" s="285"/>
    </row>
    <row r="77" spans="1:17" ht="15.75">
      <c r="A77" s="285" t="s">
        <v>181</v>
      </c>
      <c r="B77" s="285">
        <v>39917</v>
      </c>
      <c r="C77" s="285"/>
      <c r="G77" s="285"/>
      <c r="J77" s="285"/>
      <c r="K77" s="285"/>
    </row>
    <row r="78" spans="1:17" ht="15.75">
      <c r="A78" s="285" t="s">
        <v>182</v>
      </c>
      <c r="B78" s="285">
        <f>490321/12</f>
        <v>40860.083333333336</v>
      </c>
      <c r="C78" s="285">
        <f>B78-B77</f>
        <v>943.08333333333576</v>
      </c>
      <c r="G78" s="28">
        <f>C78/B77</f>
        <v>2.3626107506409193E-2</v>
      </c>
      <c r="J78" s="285"/>
      <c r="K78" s="28">
        <v>2.1000000000000001E-2</v>
      </c>
      <c r="M78" s="342">
        <f>G78+K78</f>
        <v>4.4626107506409191E-2</v>
      </c>
    </row>
    <row r="79" spans="1:17" ht="15.75">
      <c r="A79" s="285" t="s">
        <v>270</v>
      </c>
      <c r="B79" s="285">
        <f>502207/12</f>
        <v>41850.583333333336</v>
      </c>
      <c r="C79" s="285">
        <f>B79-B78</f>
        <v>990.5</v>
      </c>
      <c r="G79" s="28">
        <f>C79/B78</f>
        <v>2.4241262356701015E-2</v>
      </c>
      <c r="J79" s="285"/>
      <c r="K79" s="28">
        <v>2.1999999999999999E-2</v>
      </c>
      <c r="M79" s="342">
        <f>G79+K79</f>
        <v>4.6241262356701014E-2</v>
      </c>
    </row>
  </sheetData>
  <mergeCells count="11">
    <mergeCell ref="B48:S51"/>
    <mergeCell ref="M1:S1"/>
    <mergeCell ref="M2:O2"/>
    <mergeCell ref="M3:O3"/>
    <mergeCell ref="Q2:R2"/>
    <mergeCell ref="Q3:R3"/>
    <mergeCell ref="B23:S26"/>
    <mergeCell ref="B28:S33"/>
    <mergeCell ref="B19:S19"/>
    <mergeCell ref="B39:S39"/>
    <mergeCell ref="B43:S46"/>
  </mergeCells>
  <pageMargins left="0.25" right="0.25" top="0.75" bottom="0.75" header="0.3" footer="0.3"/>
  <pageSetup scale="76" fitToHeight="2" orientation="portrait" r:id="rId1"/>
  <rowBreaks count="1" manualBreakCount="1">
    <brk id="52" max="1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W88"/>
  <sheetViews>
    <sheetView zoomScaleNormal="100" workbookViewId="0">
      <selection activeCell="B6" sqref="B6"/>
    </sheetView>
  </sheetViews>
  <sheetFormatPr baseColWidth="10" defaultColWidth="9.140625" defaultRowHeight="15.75" outlineLevelCol="1"/>
  <cols>
    <col min="1" max="1" width="7.7109375" style="17" bestFit="1" customWidth="1"/>
    <col min="2" max="2" width="34" style="17" bestFit="1" customWidth="1"/>
    <col min="3" max="3" width="9.140625" style="17" hidden="1" customWidth="1" outlineLevel="1"/>
    <col min="4" max="4" width="0" style="17" hidden="1" customWidth="1" collapsed="1"/>
    <col min="5" max="5" width="3.85546875" style="17" hidden="1" customWidth="1"/>
    <col min="6" max="6" width="9.5703125" style="17" hidden="1" customWidth="1"/>
    <col min="7" max="7" width="3.85546875" style="17" hidden="1" customWidth="1"/>
    <col min="8" max="8" width="10.28515625" style="17" hidden="1" customWidth="1"/>
    <col min="9" max="9" width="10.28515625" style="17" customWidth="1"/>
    <col min="10" max="10" width="3.85546875" style="17" customWidth="1"/>
    <col min="11" max="11" width="0" style="17" hidden="1" customWidth="1"/>
    <col min="12" max="12" width="3.85546875" style="17" hidden="1" customWidth="1"/>
    <col min="13" max="13" width="9.140625" style="17"/>
    <col min="14" max="14" width="3.85546875" style="17" customWidth="1"/>
    <col min="15" max="15" width="12.140625" style="17" hidden="1" customWidth="1"/>
    <col min="16" max="16" width="3.85546875" style="17" hidden="1" customWidth="1"/>
    <col min="17" max="17" width="6.42578125" style="17" hidden="1" customWidth="1"/>
    <col min="18" max="18" width="12.28515625" style="17" customWidth="1"/>
    <col min="19" max="19" width="5.7109375" style="17" customWidth="1"/>
    <col min="20" max="20" width="7.7109375" style="17" customWidth="1"/>
    <col min="21" max="21" width="21.5703125" style="17" hidden="1" customWidth="1"/>
    <col min="22" max="16384" width="9.140625" style="17"/>
  </cols>
  <sheetData>
    <row r="1" spans="1:21">
      <c r="A1" s="558" t="s">
        <v>8</v>
      </c>
      <c r="B1" s="558"/>
      <c r="C1" s="558"/>
      <c r="D1" s="558"/>
      <c r="E1" s="558"/>
      <c r="F1" s="558"/>
      <c r="G1" s="558"/>
      <c r="H1" s="558"/>
      <c r="I1" s="558"/>
      <c r="J1" s="558"/>
      <c r="K1" s="558"/>
      <c r="L1" s="558"/>
      <c r="M1" s="558"/>
      <c r="N1" s="558"/>
      <c r="O1" s="558"/>
      <c r="P1" s="558"/>
      <c r="Q1" s="558"/>
      <c r="R1" s="558"/>
      <c r="S1" s="558"/>
    </row>
    <row r="2" spans="1:21">
      <c r="A2" s="559" t="s">
        <v>487</v>
      </c>
      <c r="B2" s="559"/>
      <c r="C2" s="559"/>
      <c r="D2" s="559"/>
      <c r="E2" s="559"/>
      <c r="F2" s="559"/>
      <c r="G2" s="559"/>
      <c r="H2" s="559"/>
      <c r="I2" s="559"/>
      <c r="J2" s="559"/>
      <c r="K2" s="559"/>
      <c r="L2" s="559"/>
      <c r="M2" s="559"/>
      <c r="N2" s="559"/>
      <c r="O2" s="559"/>
      <c r="P2" s="559"/>
      <c r="Q2" s="559"/>
      <c r="R2" s="559"/>
      <c r="S2" s="559"/>
    </row>
    <row r="3" spans="1:21">
      <c r="A3" s="560" t="s">
        <v>30</v>
      </c>
      <c r="B3" s="560"/>
      <c r="C3" s="560"/>
      <c r="D3" s="560"/>
      <c r="E3" s="560"/>
      <c r="F3" s="560"/>
      <c r="G3" s="560"/>
      <c r="H3" s="560"/>
      <c r="I3" s="560"/>
      <c r="J3" s="560"/>
      <c r="K3" s="560"/>
      <c r="L3" s="560"/>
      <c r="M3" s="560"/>
      <c r="N3" s="560"/>
      <c r="O3" s="560"/>
      <c r="P3" s="560"/>
      <c r="Q3" s="560"/>
      <c r="R3" s="560"/>
      <c r="S3" s="560"/>
    </row>
    <row r="4" spans="1:21">
      <c r="A4" s="561" t="s">
        <v>92</v>
      </c>
      <c r="B4" s="561"/>
      <c r="C4" s="561"/>
      <c r="D4" s="561"/>
      <c r="E4" s="561"/>
      <c r="F4" s="561"/>
      <c r="G4" s="561"/>
      <c r="H4" s="561"/>
      <c r="I4" s="561"/>
      <c r="J4" s="561"/>
      <c r="K4" s="561"/>
      <c r="L4" s="561"/>
      <c r="M4" s="561"/>
      <c r="N4" s="561"/>
      <c r="O4" s="561"/>
      <c r="P4" s="561"/>
      <c r="Q4" s="561"/>
      <c r="R4" s="561"/>
      <c r="S4" s="561"/>
    </row>
    <row r="5" spans="1:21">
      <c r="A5" s="97"/>
      <c r="B5" s="97"/>
      <c r="C5" s="97"/>
      <c r="D5" s="98"/>
      <c r="E5" s="98"/>
      <c r="F5" s="110" t="s">
        <v>152</v>
      </c>
      <c r="G5" s="105"/>
      <c r="H5" s="105"/>
      <c r="I5" s="105"/>
      <c r="J5" s="105"/>
      <c r="K5" s="110" t="s">
        <v>152</v>
      </c>
      <c r="L5" s="98"/>
      <c r="M5" s="98"/>
      <c r="N5" s="98"/>
      <c r="O5" s="98"/>
      <c r="P5" s="98"/>
      <c r="Q5" s="98"/>
      <c r="R5" s="98"/>
      <c r="S5" s="98"/>
      <c r="T5" s="98"/>
      <c r="U5" s="110" t="s">
        <v>152</v>
      </c>
    </row>
    <row r="6" spans="1:21">
      <c r="A6" s="18"/>
      <c r="B6" s="18"/>
      <c r="C6" s="19"/>
      <c r="D6" s="98"/>
      <c r="E6" s="98"/>
      <c r="F6" s="98"/>
      <c r="G6" s="98"/>
      <c r="H6" s="98"/>
      <c r="I6" s="98"/>
      <c r="J6" s="98"/>
      <c r="K6" s="98"/>
      <c r="L6" s="98"/>
      <c r="M6" s="98"/>
      <c r="N6" s="98"/>
      <c r="O6" s="557" t="s">
        <v>36</v>
      </c>
      <c r="P6" s="557"/>
      <c r="Q6" s="557"/>
      <c r="R6" s="557"/>
      <c r="S6" s="557"/>
      <c r="T6" s="98"/>
      <c r="U6" s="111"/>
    </row>
    <row r="7" spans="1:21">
      <c r="A7" s="19"/>
      <c r="B7" s="19"/>
      <c r="C7" s="21"/>
      <c r="D7" s="84" t="s">
        <v>27</v>
      </c>
      <c r="E7" s="100"/>
      <c r="F7" s="99">
        <v>2014</v>
      </c>
      <c r="G7" s="100"/>
      <c r="H7" s="84" t="str">
        <f>'GI-28 Doc 1.1'!H7</f>
        <v>(4+8)</v>
      </c>
      <c r="I7" s="83" t="s">
        <v>153</v>
      </c>
      <c r="J7" s="100"/>
      <c r="K7" s="99">
        <v>2015</v>
      </c>
      <c r="L7" s="98"/>
      <c r="M7" s="83" t="s">
        <v>153</v>
      </c>
      <c r="N7" s="98"/>
      <c r="O7" s="554" t="str">
        <f>'GI-28 Doc 1.1'!O7:P7</f>
        <v>2015 (4+8)</v>
      </c>
      <c r="P7" s="554"/>
      <c r="Q7" s="554"/>
      <c r="R7" s="554" t="s">
        <v>156</v>
      </c>
      <c r="S7" s="554"/>
      <c r="T7" s="98"/>
      <c r="U7" s="109" t="s">
        <v>155</v>
      </c>
    </row>
    <row r="8" spans="1:21">
      <c r="A8" s="19"/>
      <c r="B8" s="19"/>
      <c r="C8" s="19"/>
      <c r="D8" s="84">
        <v>2014</v>
      </c>
      <c r="E8" s="100"/>
      <c r="F8" s="101" t="s">
        <v>28</v>
      </c>
      <c r="G8" s="100"/>
      <c r="H8" s="84">
        <v>2015</v>
      </c>
      <c r="I8" s="85">
        <v>2005</v>
      </c>
      <c r="J8" s="100"/>
      <c r="K8" s="101" t="s">
        <v>28</v>
      </c>
      <c r="L8" s="98"/>
      <c r="M8" s="85">
        <v>2016</v>
      </c>
      <c r="N8" s="102"/>
      <c r="O8" s="554" t="s">
        <v>197</v>
      </c>
      <c r="P8" s="554"/>
      <c r="Q8" s="554"/>
      <c r="R8" s="554" t="s">
        <v>489</v>
      </c>
      <c r="S8" s="554"/>
      <c r="T8" s="98"/>
      <c r="U8" s="109" t="s">
        <v>156</v>
      </c>
    </row>
    <row r="9" spans="1:21" ht="16.5" thickBot="1">
      <c r="A9" s="19"/>
      <c r="B9" s="19"/>
      <c r="C9" s="19"/>
      <c r="D9" s="86" t="s">
        <v>31</v>
      </c>
      <c r="E9" s="100"/>
      <c r="F9" s="103" t="s">
        <v>31</v>
      </c>
      <c r="G9" s="100"/>
      <c r="H9" s="86" t="s">
        <v>31</v>
      </c>
      <c r="I9" s="87" t="s">
        <v>31</v>
      </c>
      <c r="J9" s="100"/>
      <c r="K9" s="103" t="s">
        <v>31</v>
      </c>
      <c r="L9" s="98"/>
      <c r="M9" s="87" t="s">
        <v>31</v>
      </c>
      <c r="N9" s="104"/>
      <c r="O9" s="107" t="s">
        <v>31</v>
      </c>
      <c r="P9" s="107"/>
      <c r="Q9" s="107" t="s">
        <v>52</v>
      </c>
      <c r="R9" s="107" t="s">
        <v>31</v>
      </c>
      <c r="S9" s="107" t="s">
        <v>52</v>
      </c>
      <c r="T9" s="98"/>
      <c r="U9" s="107" t="s">
        <v>31</v>
      </c>
    </row>
    <row r="10" spans="1:21">
      <c r="A10" s="19"/>
      <c r="B10" s="19"/>
      <c r="C10" s="19"/>
      <c r="D10" s="105">
        <v>1</v>
      </c>
      <c r="E10" s="105"/>
      <c r="F10" s="105"/>
      <c r="G10" s="105"/>
      <c r="H10" s="105">
        <v>2</v>
      </c>
      <c r="I10" s="105">
        <v>1</v>
      </c>
      <c r="J10" s="105"/>
      <c r="K10" s="105"/>
      <c r="L10" s="105"/>
      <c r="M10" s="105">
        <v>2</v>
      </c>
      <c r="N10" s="106"/>
      <c r="O10" s="106" t="s">
        <v>199</v>
      </c>
      <c r="P10" s="106"/>
      <c r="Q10" s="106">
        <v>5</v>
      </c>
      <c r="R10" s="106" t="s">
        <v>488</v>
      </c>
      <c r="S10" s="106">
        <v>4</v>
      </c>
      <c r="T10" s="98"/>
      <c r="U10" s="112">
        <v>8</v>
      </c>
    </row>
    <row r="12" spans="1:21" ht="16.5" thickBot="1">
      <c r="A12" s="22">
        <v>1</v>
      </c>
      <c r="B12" s="23" t="s">
        <v>0</v>
      </c>
      <c r="D12" s="24">
        <f>'25401'!D16+'25404'!D16+'25406'!D16+'25408'!D16+'25411'!D16+'25413'!D16</f>
        <v>981.55255000000011</v>
      </c>
      <c r="F12" s="24">
        <f>'25401'!F16+'25404'!F16+'25406'!F16+'25408'!F16+'25411'!F16+'25413'!F16</f>
        <v>1059.4340800000002</v>
      </c>
      <c r="H12" s="24">
        <f>'25401'!H16+'25404'!H16+'25406'!H16+'25408'!H16+'25411'!H16+'25413'!H16</f>
        <v>1054.7779376999999</v>
      </c>
      <c r="I12" s="24">
        <v>570.1</v>
      </c>
      <c r="J12" s="454" t="s">
        <v>38</v>
      </c>
      <c r="K12" s="24">
        <f>'25401'!J16+'25404'!J16+'25406'!J16+'25408'!J16+'25411'!J16+'25413'!J16</f>
        <v>1098.2763799999998</v>
      </c>
      <c r="M12" s="24">
        <f>'25401'!L16+'25404'!L16+'25406'!L16+'25408'!L16+'25411'!L16+'25413'!L16</f>
        <v>1169.4509021057788</v>
      </c>
      <c r="N12" s="454" t="s">
        <v>40</v>
      </c>
      <c r="O12" s="24">
        <f>H12-D12</f>
        <v>73.225387699999828</v>
      </c>
      <c r="P12" s="458" t="s">
        <v>38</v>
      </c>
      <c r="Q12" s="108">
        <f>IF(D12&gt;0,O12/D12,0)</f>
        <v>7.4601596929272734E-2</v>
      </c>
      <c r="R12" s="24">
        <f>M12-I12</f>
        <v>599.3509021057788</v>
      </c>
      <c r="S12" s="108">
        <f>IF(I12&gt;0,R12/I12,0)</f>
        <v>1.0513083706468669</v>
      </c>
    </row>
    <row r="13" spans="1:21" ht="16.5" thickTop="1"/>
    <row r="14" spans="1:21">
      <c r="B14" s="26" t="s">
        <v>3</v>
      </c>
      <c r="C14" s="19"/>
      <c r="D14" s="20"/>
      <c r="E14" s="20"/>
      <c r="F14" s="20"/>
      <c r="G14" s="20"/>
    </row>
    <row r="15" spans="1:21">
      <c r="C15" s="19"/>
      <c r="D15" s="20"/>
      <c r="E15" s="20"/>
      <c r="F15" s="20"/>
      <c r="G15" s="20"/>
    </row>
    <row r="16" spans="1:21">
      <c r="B16" s="23" t="s">
        <v>70</v>
      </c>
      <c r="C16" s="19"/>
      <c r="D16" s="20"/>
      <c r="E16" s="20"/>
      <c r="F16" s="20"/>
      <c r="G16" s="20"/>
    </row>
    <row r="17" spans="1:23">
      <c r="A17" s="22">
        <v>2</v>
      </c>
      <c r="B17" s="27" t="s">
        <v>5</v>
      </c>
      <c r="C17" s="19">
        <v>25401</v>
      </c>
      <c r="D17" s="354">
        <f>'25401'!D21-62.652</f>
        <v>426.05956999999989</v>
      </c>
      <c r="E17" s="354"/>
      <c r="F17" s="354">
        <f>'25401'!F21</f>
        <v>556.18937999999991</v>
      </c>
      <c r="G17" s="354"/>
      <c r="H17" s="354">
        <f>'25401'!H21-45.486-0.3+1</f>
        <v>683.82302000000016</v>
      </c>
      <c r="I17" s="354">
        <v>315.10000000000002</v>
      </c>
      <c r="J17" s="158"/>
      <c r="K17" s="354">
        <f>'25401'!J21</f>
        <v>627.20517000000018</v>
      </c>
      <c r="L17" s="158"/>
      <c r="M17" s="354">
        <f>'25401'!L21-48.559-0.1</f>
        <v>736.40294523999978</v>
      </c>
      <c r="O17" s="20">
        <f>H17-D17</f>
        <v>257.76345000000026</v>
      </c>
      <c r="P17" s="183"/>
      <c r="Q17" s="108">
        <f>IF(D17&gt;0,O17/D17,0)</f>
        <v>0.60499392138991348</v>
      </c>
      <c r="R17" s="20">
        <f>M17-I17</f>
        <v>421.30294523999976</v>
      </c>
      <c r="S17" s="108">
        <f>IF(I17&gt;0,R17/I17,0)</f>
        <v>1.3370452086321793</v>
      </c>
    </row>
    <row r="18" spans="1:23">
      <c r="A18" s="22"/>
      <c r="B18" s="27"/>
      <c r="C18" s="19"/>
      <c r="D18" s="20"/>
      <c r="E18" s="20"/>
      <c r="F18" s="20"/>
      <c r="G18" s="20"/>
      <c r="O18" s="20"/>
      <c r="P18" s="20"/>
      <c r="Q18" s="108"/>
      <c r="R18" s="20"/>
      <c r="S18" s="108"/>
    </row>
    <row r="19" spans="1:23">
      <c r="A19" s="22">
        <v>3</v>
      </c>
      <c r="B19" s="27" t="s">
        <v>6</v>
      </c>
      <c r="C19" s="19">
        <v>25404</v>
      </c>
      <c r="D19" s="20">
        <f>'25404'!D21</f>
        <v>364.40787999999998</v>
      </c>
      <c r="E19" s="20"/>
      <c r="F19" s="20">
        <f>'25404'!F21</f>
        <v>383.14</v>
      </c>
      <c r="G19" s="20"/>
      <c r="H19" s="20">
        <f>'25404'!H21</f>
        <v>463.48601199999996</v>
      </c>
      <c r="I19" s="20">
        <v>180.3</v>
      </c>
      <c r="K19" s="20">
        <f>'25404'!J21</f>
        <v>402.94185099999999</v>
      </c>
      <c r="M19" s="20">
        <f>'25404'!L21</f>
        <v>445.70229370000004</v>
      </c>
      <c r="O19" s="20">
        <f>H19-D19</f>
        <v>99.078131999999982</v>
      </c>
      <c r="P19" s="183"/>
      <c r="Q19" s="108">
        <f>IF(D19&gt;0,O19/D19,0)</f>
        <v>0.27188800637351745</v>
      </c>
      <c r="R19" s="20">
        <f>M19-I19</f>
        <v>265.40229370000003</v>
      </c>
      <c r="S19" s="108">
        <f>IF(I19&gt;0,R19/I19,0)</f>
        <v>1.4720038474764283</v>
      </c>
    </row>
    <row r="20" spans="1:23">
      <c r="A20" s="29"/>
      <c r="B20" s="27"/>
      <c r="C20" s="19"/>
      <c r="D20" s="20"/>
      <c r="E20" s="20"/>
      <c r="F20" s="20"/>
      <c r="G20" s="20"/>
      <c r="O20" s="20"/>
      <c r="P20" s="20"/>
      <c r="Q20" s="108"/>
      <c r="R20" s="20"/>
      <c r="S20" s="108"/>
    </row>
    <row r="21" spans="1:23">
      <c r="A21" s="22">
        <v>4</v>
      </c>
      <c r="B21" s="27" t="s">
        <v>10</v>
      </c>
      <c r="C21" s="19">
        <v>25406</v>
      </c>
      <c r="D21" s="20">
        <f>'25406'!D21</f>
        <v>33.134089999999993</v>
      </c>
      <c r="E21" s="20"/>
      <c r="F21" s="20">
        <f>'25406'!F21</f>
        <v>33.152999999999999</v>
      </c>
      <c r="G21" s="20"/>
      <c r="H21" s="20">
        <f>'25406'!H21</f>
        <v>34.000279999999997</v>
      </c>
      <c r="I21" s="20">
        <v>30</v>
      </c>
      <c r="K21" s="20">
        <f>'25406'!J21</f>
        <v>33.23903</v>
      </c>
      <c r="M21" s="20">
        <f>'25406'!L21</f>
        <v>35.239108600000009</v>
      </c>
      <c r="O21" s="20">
        <f>H21-D21</f>
        <v>0.86619000000000312</v>
      </c>
      <c r="P21" s="20"/>
      <c r="Q21" s="108">
        <f>IF(D21&gt;0,O21/D21,0)</f>
        <v>2.6141958327511133E-2</v>
      </c>
      <c r="R21" s="20">
        <f>M21-I21</f>
        <v>5.2391086000000087</v>
      </c>
      <c r="S21" s="108">
        <f>IF(I21&gt;0,R21/I21,0)</f>
        <v>0.17463695333333362</v>
      </c>
    </row>
    <row r="22" spans="1:23">
      <c r="A22" s="29"/>
      <c r="B22" s="19"/>
      <c r="C22" s="19"/>
      <c r="D22" s="20"/>
      <c r="E22" s="20"/>
      <c r="F22" s="20"/>
      <c r="G22" s="20"/>
      <c r="O22" s="20"/>
      <c r="P22" s="20"/>
      <c r="Q22" s="108"/>
      <c r="R22" s="20"/>
      <c r="S22" s="108"/>
      <c r="W22" s="20"/>
    </row>
    <row r="23" spans="1:23">
      <c r="A23" s="22">
        <v>5</v>
      </c>
      <c r="B23" s="27" t="s">
        <v>11</v>
      </c>
      <c r="C23" s="19">
        <v>25408</v>
      </c>
      <c r="D23" s="30">
        <f>'25408'!D21</f>
        <v>4.2859999999999996</v>
      </c>
      <c r="E23" s="20"/>
      <c r="F23" s="30">
        <f>'25408'!F21</f>
        <v>14.081</v>
      </c>
      <c r="G23" s="20"/>
      <c r="H23" s="30">
        <f>'25408'!H21</f>
        <v>9.0616099999999999</v>
      </c>
      <c r="I23" s="30">
        <v>2.1</v>
      </c>
      <c r="K23" s="30">
        <f>'25408'!J21</f>
        <v>9.508280000000001</v>
      </c>
      <c r="M23" s="30">
        <f>'25408'!L21</f>
        <v>9.7174600000000009</v>
      </c>
      <c r="O23" s="20">
        <f>H23-D23</f>
        <v>4.7756100000000004</v>
      </c>
      <c r="P23" s="20"/>
      <c r="Q23" s="108">
        <f>IF(D23&gt;0,O23/D23,0)</f>
        <v>1.1142347176854879</v>
      </c>
      <c r="R23" s="20">
        <f>M23-I23</f>
        <v>7.6174600000000012</v>
      </c>
      <c r="S23" s="108">
        <f>IF(I23&gt;0,R23/I23,0)</f>
        <v>3.627361904761905</v>
      </c>
    </row>
    <row r="24" spans="1:23">
      <c r="A24" s="29"/>
      <c r="B24" s="19"/>
      <c r="C24" s="19"/>
      <c r="D24" s="20"/>
      <c r="E24" s="20"/>
      <c r="F24" s="20"/>
      <c r="G24" s="20"/>
      <c r="O24" s="42"/>
      <c r="P24" s="40"/>
      <c r="R24" s="42"/>
    </row>
    <row r="25" spans="1:23" ht="16.5" thickBot="1">
      <c r="A25" s="29">
        <v>6</v>
      </c>
      <c r="B25" s="23" t="s">
        <v>7</v>
      </c>
      <c r="C25" s="26"/>
      <c r="D25" s="31">
        <f>SUM(D17:D23)</f>
        <v>827.88753999999983</v>
      </c>
      <c r="E25" s="20"/>
      <c r="F25" s="31">
        <f>SUM(F17:F23)</f>
        <v>986.56337999999994</v>
      </c>
      <c r="G25" s="20"/>
      <c r="H25" s="31">
        <f>SUM(H17:H23)</f>
        <v>1190.3709220000001</v>
      </c>
      <c r="I25" s="31">
        <f>SUM(I17:I23)</f>
        <v>527.50000000000011</v>
      </c>
      <c r="K25" s="31">
        <f>SUM(K17:K23)</f>
        <v>1072.8943310000002</v>
      </c>
      <c r="M25" s="31">
        <f>SUM(M17:M23)</f>
        <v>1227.0618075399998</v>
      </c>
      <c r="O25" s="31">
        <f>SUM(O17:O23)</f>
        <v>362.48338200000023</v>
      </c>
      <c r="Q25" s="108">
        <f>IF(D25&gt;0,O25/D25,0)</f>
        <v>0.43784133047829216</v>
      </c>
      <c r="R25" s="31">
        <f>SUM(R17:R23)</f>
        <v>699.5618075399999</v>
      </c>
      <c r="S25" s="108">
        <f>IF(I25&gt;0,R25/I25,0)</f>
        <v>1.3261835214028432</v>
      </c>
    </row>
    <row r="26" spans="1:23">
      <c r="A26" s="29"/>
      <c r="B26" s="19"/>
      <c r="C26" s="19"/>
      <c r="D26" s="20"/>
      <c r="E26" s="20"/>
      <c r="F26" s="20"/>
      <c r="G26" s="20"/>
    </row>
    <row r="27" spans="1:23">
      <c r="A27" s="29"/>
      <c r="B27" s="23" t="s">
        <v>29</v>
      </c>
      <c r="C27" s="19"/>
      <c r="D27" s="20"/>
      <c r="E27" s="20"/>
      <c r="F27" s="20"/>
      <c r="G27" s="20"/>
    </row>
    <row r="28" spans="1:23">
      <c r="A28" s="22">
        <v>7</v>
      </c>
      <c r="B28" s="27" t="s">
        <v>6</v>
      </c>
      <c r="C28" s="19">
        <v>25411</v>
      </c>
      <c r="D28" s="20">
        <f>'25411'!D21</f>
        <v>366.52188000000007</v>
      </c>
      <c r="E28" s="20"/>
      <c r="F28" s="20">
        <f>'25411'!F21</f>
        <v>258.0859999999999</v>
      </c>
      <c r="G28" s="20"/>
      <c r="H28" s="20">
        <f>'25411'!H21</f>
        <v>450.01475910000011</v>
      </c>
      <c r="I28" s="20">
        <v>82.3</v>
      </c>
      <c r="K28" s="20">
        <f>'25411'!J21</f>
        <v>356.71819999999997</v>
      </c>
      <c r="M28" s="20">
        <f>'25411'!L21</f>
        <v>466.68809912000035</v>
      </c>
      <c r="O28" s="20">
        <f t="shared" ref="O28:O30" si="0">H28-D28</f>
        <v>83.492879100000039</v>
      </c>
      <c r="P28" s="20"/>
      <c r="Q28" s="108">
        <f>IF(D28&gt;0,O28/D28,0)</f>
        <v>0.22779780323073762</v>
      </c>
      <c r="R28" s="20">
        <f>M28-I28</f>
        <v>384.38809912000033</v>
      </c>
      <c r="S28" s="108">
        <f>IF(I28&gt;0,R28/I28,0)</f>
        <v>4.670572285783722</v>
      </c>
    </row>
    <row r="29" spans="1:23">
      <c r="A29" s="32"/>
      <c r="B29" s="19"/>
      <c r="C29" s="19"/>
      <c r="D29" s="20"/>
      <c r="E29" s="20"/>
      <c r="F29" s="20"/>
      <c r="G29" s="20"/>
      <c r="O29" s="20"/>
      <c r="P29" s="20"/>
      <c r="Q29" s="108"/>
      <c r="R29" s="20"/>
      <c r="S29" s="108"/>
    </row>
    <row r="30" spans="1:23">
      <c r="A30" s="32">
        <v>8</v>
      </c>
      <c r="B30" s="27" t="s">
        <v>10</v>
      </c>
      <c r="C30" s="19">
        <v>25413</v>
      </c>
      <c r="D30" s="518">
        <f>'25413'!D21-76</f>
        <v>1.638069999999999</v>
      </c>
      <c r="E30" s="354"/>
      <c r="F30" s="473">
        <f>'25413'!F21</f>
        <v>90.805000000000007</v>
      </c>
      <c r="G30" s="471"/>
      <c r="H30" s="518">
        <f>'25413'!H21-85</f>
        <v>6.5384500000000116</v>
      </c>
      <c r="I30" s="518">
        <v>12</v>
      </c>
      <c r="J30" s="158"/>
      <c r="K30" s="518">
        <f>'25413'!J21</f>
        <v>98.370329999999996</v>
      </c>
      <c r="L30" s="158"/>
      <c r="M30" s="518">
        <f>'25413'!L21-87</f>
        <v>8.6455615999999793</v>
      </c>
      <c r="O30" s="20">
        <f t="shared" si="0"/>
        <v>4.9003800000000126</v>
      </c>
      <c r="P30" s="20"/>
      <c r="Q30" s="108">
        <f>IF(D30&gt;0,O30/D30,0)</f>
        <v>2.9915571373628818</v>
      </c>
      <c r="R30" s="20">
        <f>M30-I30</f>
        <v>-3.3544384000000207</v>
      </c>
      <c r="S30" s="108">
        <f>IF(I30&gt;0,R30/I30,0)</f>
        <v>-0.27953653333333506</v>
      </c>
    </row>
    <row r="31" spans="1:23">
      <c r="A31" s="22"/>
      <c r="D31" s="20"/>
      <c r="E31" s="20"/>
      <c r="F31" s="20"/>
      <c r="G31" s="20"/>
      <c r="O31" s="42"/>
      <c r="P31" s="40"/>
      <c r="R31" s="42"/>
    </row>
    <row r="32" spans="1:23" ht="16.5" thickBot="1">
      <c r="A32" s="33">
        <v>9</v>
      </c>
      <c r="B32" s="34" t="s">
        <v>7</v>
      </c>
      <c r="C32" s="19"/>
      <c r="D32" s="31">
        <f>SUM(D28:D30)</f>
        <v>368.15995000000009</v>
      </c>
      <c r="E32" s="20"/>
      <c r="F32" s="31">
        <f>SUM(F28:F30)</f>
        <v>348.89099999999991</v>
      </c>
      <c r="G32" s="20"/>
      <c r="H32" s="31">
        <f>SUM(H28:H30)</f>
        <v>456.55320910000012</v>
      </c>
      <c r="I32" s="31">
        <f>SUM(I28:I30)</f>
        <v>94.3</v>
      </c>
      <c r="K32" s="31">
        <f>SUM(K28:K30)</f>
        <v>455.08852999999999</v>
      </c>
      <c r="M32" s="31">
        <f>SUM(M28:M30)</f>
        <v>475.33366072000035</v>
      </c>
      <c r="O32" s="31">
        <f>SUM(O28:O30)</f>
        <v>88.393259100000051</v>
      </c>
      <c r="P32" s="39"/>
      <c r="Q32" s="108">
        <f>IF(D32&gt;0,O32/D32,0)</f>
        <v>0.24009471725536694</v>
      </c>
      <c r="R32" s="31">
        <f>SUM(R28:R30)</f>
        <v>381.03366072000028</v>
      </c>
      <c r="S32" s="108">
        <f>IF(I32&gt;0,R32/I32,0)</f>
        <v>4.0406538782608727</v>
      </c>
    </row>
    <row r="33" spans="1:19">
      <c r="A33" s="35"/>
      <c r="B33" s="19"/>
      <c r="C33" s="19"/>
      <c r="D33" s="20"/>
      <c r="E33" s="20"/>
      <c r="F33" s="20"/>
      <c r="G33" s="20"/>
      <c r="Q33" s="108"/>
      <c r="S33" s="108"/>
    </row>
    <row r="34" spans="1:19" ht="16.5" thickBot="1">
      <c r="A34" s="36">
        <v>10</v>
      </c>
      <c r="B34" s="34" t="s">
        <v>12</v>
      </c>
      <c r="C34" s="37"/>
      <c r="D34" s="24">
        <f>D25+D32</f>
        <v>1196.0474899999999</v>
      </c>
      <c r="E34" s="20"/>
      <c r="F34" s="24">
        <f>F25+F32</f>
        <v>1335.4543799999999</v>
      </c>
      <c r="G34" s="20"/>
      <c r="H34" s="24">
        <f>H25+H32</f>
        <v>1646.9241311000001</v>
      </c>
      <c r="I34" s="24">
        <f>I25+I32</f>
        <v>621.80000000000007</v>
      </c>
      <c r="J34" s="454" t="s">
        <v>39</v>
      </c>
      <c r="K34" s="24">
        <f>K25+K32</f>
        <v>1527.9828610000002</v>
      </c>
      <c r="M34" s="24">
        <f>M25+M32</f>
        <v>1702.3954682600001</v>
      </c>
      <c r="N34" s="454" t="s">
        <v>41</v>
      </c>
      <c r="O34" s="24">
        <f>O25+O32</f>
        <v>450.87664110000026</v>
      </c>
      <c r="P34" s="458" t="s">
        <v>39</v>
      </c>
      <c r="Q34" s="108">
        <f>IF(D34&gt;0,O34/D34,0)</f>
        <v>0.37697218954073497</v>
      </c>
      <c r="R34" s="24">
        <f>R25+R32</f>
        <v>1080.5954682600002</v>
      </c>
      <c r="S34" s="108">
        <f>IF(I34&gt;0,R34/I34,0)</f>
        <v>1.7378505440012868</v>
      </c>
    </row>
    <row r="35" spans="1:19" ht="16.5" thickTop="1">
      <c r="A35" s="32"/>
      <c r="B35" s="38"/>
      <c r="C35" s="37"/>
      <c r="D35" s="39"/>
      <c r="E35" s="39"/>
      <c r="F35" s="39"/>
      <c r="G35" s="39"/>
      <c r="H35" s="40"/>
      <c r="I35" s="40"/>
    </row>
    <row r="36" spans="1:19">
      <c r="A36" s="32"/>
      <c r="B36" s="34"/>
      <c r="C36" s="37"/>
      <c r="D36" s="39"/>
      <c r="E36" s="39"/>
      <c r="F36" s="39"/>
      <c r="G36" s="39"/>
      <c r="H36" s="41"/>
      <c r="I36" s="41"/>
      <c r="O36" s="20"/>
      <c r="R36" s="20"/>
    </row>
    <row r="38" spans="1:19">
      <c r="A38" s="548" t="s">
        <v>73</v>
      </c>
      <c r="B38" s="548" t="s">
        <v>542</v>
      </c>
    </row>
    <row r="39" spans="1:19">
      <c r="A39" s="548"/>
      <c r="B39" s="549" t="s">
        <v>541</v>
      </c>
    </row>
    <row r="40" spans="1:19">
      <c r="A40" s="548"/>
      <c r="B40" s="548" t="s">
        <v>543</v>
      </c>
    </row>
    <row r="41" spans="1:19">
      <c r="A41" s="548"/>
      <c r="B41" s="549" t="s">
        <v>541</v>
      </c>
    </row>
    <row r="42" spans="1:19">
      <c r="A42" s="548"/>
      <c r="B42" s="548" t="s">
        <v>495</v>
      </c>
    </row>
    <row r="43" spans="1:19">
      <c r="A43" s="548"/>
      <c r="B43" s="548" t="s">
        <v>496</v>
      </c>
    </row>
    <row r="46" spans="1:19">
      <c r="S46" s="14" t="str">
        <f>'GI-28 Doc 1.1'!R65</f>
        <v>GI-28</v>
      </c>
    </row>
    <row r="47" spans="1:19">
      <c r="S47" s="15" t="s">
        <v>490</v>
      </c>
    </row>
    <row r="48" spans="1:19">
      <c r="S48" s="15" t="s">
        <v>51</v>
      </c>
    </row>
    <row r="49" spans="1:19">
      <c r="A49" s="17" t="str">
        <f>'GI-28 Doc 1.1'!A68</f>
        <v>Original: 2015-09-09</v>
      </c>
      <c r="S49" s="15" t="s">
        <v>99</v>
      </c>
    </row>
    <row r="88" hidden="1"/>
  </sheetData>
  <mergeCells count="9">
    <mergeCell ref="O8:Q8"/>
    <mergeCell ref="R8:S8"/>
    <mergeCell ref="O6:S6"/>
    <mergeCell ref="A1:S1"/>
    <mergeCell ref="A2:S2"/>
    <mergeCell ref="A3:S3"/>
    <mergeCell ref="A4:S4"/>
    <mergeCell ref="O7:Q7"/>
    <mergeCell ref="R7:S7"/>
  </mergeCells>
  <printOptions horizontalCentered="1"/>
  <pageMargins left="0.25" right="0.3" top="0.984251969" bottom="0.48" header="0.3" footer="0.28000000000000003"/>
  <pageSetup scale="9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tabColor rgb="FFFF33CC"/>
    <pageSetUpPr fitToPage="1"/>
  </sheetPr>
  <dimension ref="A1:Z36"/>
  <sheetViews>
    <sheetView workbookViewId="0">
      <selection activeCell="N26" sqref="N26"/>
    </sheetView>
  </sheetViews>
  <sheetFormatPr baseColWidth="10" defaultRowHeight="12.75"/>
  <cols>
    <col min="1" max="4" width="11.42578125" style="252"/>
    <col min="5" max="5" width="2.85546875" style="252" customWidth="1"/>
    <col min="6" max="6" width="11.85546875" style="252" customWidth="1"/>
    <col min="7" max="7" width="1.42578125" style="252" customWidth="1"/>
    <col min="8" max="8" width="11.42578125" style="252"/>
    <col min="9" max="9" width="3.42578125" style="252" customWidth="1"/>
    <col min="10" max="10" width="11.42578125" style="252"/>
    <col min="11" max="11" width="1.42578125" style="252" customWidth="1"/>
    <col min="12" max="13" width="11.42578125" style="252"/>
    <col min="14" max="14" width="24.28515625" style="252" customWidth="1"/>
    <col min="15" max="16384" width="11.42578125" style="252"/>
  </cols>
  <sheetData>
    <row r="1" spans="1:26">
      <c r="F1" s="252" t="s">
        <v>203</v>
      </c>
      <c r="H1" s="252" t="s">
        <v>203</v>
      </c>
      <c r="J1" s="252" t="s">
        <v>180</v>
      </c>
      <c r="L1" s="252" t="s">
        <v>180</v>
      </c>
    </row>
    <row r="2" spans="1:26">
      <c r="B2" s="252" t="s">
        <v>181</v>
      </c>
      <c r="C2" s="252" t="s">
        <v>182</v>
      </c>
      <c r="D2" s="252" t="s">
        <v>183</v>
      </c>
      <c r="F2" s="252" t="s">
        <v>184</v>
      </c>
      <c r="H2" s="252" t="s">
        <v>185</v>
      </c>
      <c r="J2" s="252" t="s">
        <v>186</v>
      </c>
      <c r="L2" s="252" t="s">
        <v>187</v>
      </c>
    </row>
    <row r="4" spans="1:26">
      <c r="A4" s="252">
        <v>25442</v>
      </c>
      <c r="B4" s="253">
        <f>'[33]25442'!D16</f>
        <v>151.15659000000002</v>
      </c>
      <c r="C4" s="253">
        <f>'[33]25442'!H16</f>
        <v>161.13200000000001</v>
      </c>
      <c r="D4" s="253">
        <f>'[33]25442'!L16</f>
        <v>186.84200000000001</v>
      </c>
      <c r="F4" s="253">
        <f>C4-B4</f>
        <v>9.9754099999999823</v>
      </c>
      <c r="H4" s="238">
        <f>F4/B4</f>
        <v>6.5993880915148864E-2</v>
      </c>
      <c r="J4" s="253">
        <f>D4-C4</f>
        <v>25.710000000000008</v>
      </c>
      <c r="L4" s="238">
        <f>J4/C4</f>
        <v>0.15955862274408564</v>
      </c>
    </row>
    <row r="5" spans="1:26">
      <c r="A5" s="252">
        <v>25444</v>
      </c>
      <c r="B5" s="253">
        <f>'[33]25444'!D16</f>
        <v>0</v>
      </c>
      <c r="C5" s="253">
        <f>'[33]25444'!H16</f>
        <v>0</v>
      </c>
      <c r="D5" s="253">
        <f>'[33]25444'!L16</f>
        <v>0</v>
      </c>
      <c r="F5" s="253">
        <f t="shared" ref="F5:F8" si="0">C5-B5</f>
        <v>0</v>
      </c>
      <c r="H5" s="238">
        <v>0</v>
      </c>
      <c r="J5" s="253">
        <f t="shared" ref="J5:J8" si="1">D5-C5</f>
        <v>0</v>
      </c>
      <c r="L5" s="238">
        <v>0</v>
      </c>
    </row>
    <row r="6" spans="1:26">
      <c r="A6" s="252">
        <v>25446</v>
      </c>
      <c r="B6" s="253">
        <f>'[33]25446'!D16</f>
        <v>566.16538000000003</v>
      </c>
      <c r="C6" s="253">
        <f>'[33]25446'!H16</f>
        <v>558.85816</v>
      </c>
      <c r="D6" s="253">
        <f>'[33]25446'!L16</f>
        <v>582.62599999999998</v>
      </c>
      <c r="F6" s="253">
        <f t="shared" si="0"/>
        <v>-7.3072200000000294</v>
      </c>
      <c r="H6" s="238">
        <f t="shared" ref="H6:H9" si="2">F6/B6</f>
        <v>-1.2906511521421584E-2</v>
      </c>
      <c r="J6" s="253">
        <f t="shared" si="1"/>
        <v>23.767839999999978</v>
      </c>
      <c r="L6" s="238">
        <f t="shared" ref="L6:L9" si="3">J6/C6</f>
        <v>4.2529288648124913E-2</v>
      </c>
    </row>
    <row r="7" spans="1:26">
      <c r="A7" s="252">
        <v>25448</v>
      </c>
      <c r="B7" s="253">
        <f>'[33]25448'!D16</f>
        <v>240.29703000000001</v>
      </c>
      <c r="C7" s="253">
        <f>'[33]25448'!H16</f>
        <v>245.86099999999999</v>
      </c>
      <c r="D7" s="253">
        <f>'[33]25448'!L16</f>
        <v>250.28100000000001</v>
      </c>
      <c r="F7" s="253">
        <f t="shared" si="0"/>
        <v>5.5639699999999834</v>
      </c>
      <c r="H7" s="238">
        <f t="shared" si="2"/>
        <v>2.3154551681308685E-2</v>
      </c>
      <c r="J7" s="253">
        <f t="shared" si="1"/>
        <v>4.4200000000000159</v>
      </c>
      <c r="L7" s="238">
        <f t="shared" si="3"/>
        <v>1.7977637770935674E-2</v>
      </c>
    </row>
    <row r="8" spans="1:26">
      <c r="A8" s="252">
        <v>25449</v>
      </c>
      <c r="B8" s="253">
        <f>'[33]25449'!D16</f>
        <v>204.74941000000001</v>
      </c>
      <c r="C8" s="253">
        <f>'[33]25449'!H16</f>
        <v>204.422</v>
      </c>
      <c r="D8" s="253">
        <f>'[33]25449'!L16</f>
        <v>213.33600000000001</v>
      </c>
      <c r="F8" s="253">
        <f t="shared" si="0"/>
        <v>-0.32741000000001463</v>
      </c>
      <c r="H8" s="238">
        <f t="shared" si="2"/>
        <v>-1.599076646912021E-3</v>
      </c>
      <c r="J8" s="253">
        <f t="shared" si="1"/>
        <v>8.9140000000000157</v>
      </c>
      <c r="L8" s="238">
        <f t="shared" si="3"/>
        <v>4.360587412313751E-2</v>
      </c>
    </row>
    <row r="9" spans="1:26">
      <c r="B9" s="254">
        <f>SUM(B4:B8)</f>
        <v>1162.36841</v>
      </c>
      <c r="C9" s="254">
        <f>SUM(C4:C8)</f>
        <v>1170.27316</v>
      </c>
      <c r="D9" s="254">
        <f>SUM(D4:D8)</f>
        <v>1233.085</v>
      </c>
      <c r="E9" s="255"/>
      <c r="F9" s="254">
        <f>SUM(F4:F8)</f>
        <v>7.9047499999999218</v>
      </c>
      <c r="G9" s="255"/>
      <c r="H9" s="239">
        <f t="shared" si="2"/>
        <v>6.8005547397833373E-3</v>
      </c>
      <c r="I9" s="255"/>
      <c r="J9" s="254">
        <f>SUM(J4:J8)</f>
        <v>62.811840000000018</v>
      </c>
      <c r="K9" s="255"/>
      <c r="L9" s="239">
        <f t="shared" si="3"/>
        <v>5.3672802339583707E-2</v>
      </c>
    </row>
    <row r="10" spans="1:26">
      <c r="F10" s="256" t="s">
        <v>38</v>
      </c>
      <c r="J10" s="256" t="s">
        <v>39</v>
      </c>
    </row>
    <row r="11" spans="1:26" ht="12.75" customHeight="1">
      <c r="B11" s="257"/>
      <c r="C11" s="257"/>
      <c r="N11" s="586" t="s">
        <v>204</v>
      </c>
      <c r="O11" s="588" t="s">
        <v>205</v>
      </c>
      <c r="P11" s="588"/>
      <c r="Q11" s="588"/>
      <c r="R11" s="588"/>
      <c r="S11" s="588"/>
      <c r="T11" s="588"/>
      <c r="U11" s="588"/>
      <c r="V11" s="588"/>
      <c r="W11" s="588"/>
      <c r="X11" s="588"/>
      <c r="Y11" s="588"/>
      <c r="Z11" s="589"/>
    </row>
    <row r="12" spans="1:26">
      <c r="B12" s="258"/>
      <c r="C12" s="258"/>
      <c r="N12" s="587"/>
      <c r="O12" s="590"/>
      <c r="P12" s="590"/>
      <c r="Q12" s="590"/>
      <c r="R12" s="590"/>
      <c r="S12" s="590"/>
      <c r="T12" s="590"/>
      <c r="U12" s="590"/>
      <c r="V12" s="590"/>
      <c r="W12" s="590"/>
      <c r="X12" s="590"/>
      <c r="Y12" s="590"/>
      <c r="Z12" s="591"/>
    </row>
    <row r="13" spans="1:26">
      <c r="C13" s="258"/>
      <c r="D13" s="240"/>
      <c r="N13" s="259"/>
      <c r="O13" s="260"/>
      <c r="P13" s="260"/>
      <c r="Q13" s="260"/>
      <c r="R13" s="260"/>
      <c r="S13" s="260"/>
      <c r="T13" s="260"/>
      <c r="U13" s="260"/>
      <c r="V13" s="260"/>
      <c r="W13" s="260"/>
      <c r="X13" s="260"/>
      <c r="Y13" s="260"/>
      <c r="Z13" s="261"/>
    </row>
    <row r="14" spans="1:26" ht="26.25" customHeight="1">
      <c r="N14" s="587" t="s">
        <v>206</v>
      </c>
      <c r="O14" s="590" t="s">
        <v>207</v>
      </c>
      <c r="P14" s="590"/>
      <c r="Q14" s="590"/>
      <c r="R14" s="590"/>
      <c r="S14" s="590"/>
      <c r="T14" s="590"/>
      <c r="U14" s="590"/>
      <c r="V14" s="590"/>
      <c r="W14" s="590"/>
      <c r="X14" s="590"/>
      <c r="Y14" s="590"/>
      <c r="Z14" s="591"/>
    </row>
    <row r="15" spans="1:26" ht="12.75" customHeight="1">
      <c r="A15" s="262" t="s">
        <v>188</v>
      </c>
      <c r="N15" s="587"/>
      <c r="O15" s="590"/>
      <c r="P15" s="590"/>
      <c r="Q15" s="590"/>
      <c r="R15" s="590"/>
      <c r="S15" s="590"/>
      <c r="T15" s="590"/>
      <c r="U15" s="590"/>
      <c r="V15" s="590"/>
      <c r="W15" s="590"/>
      <c r="X15" s="590"/>
      <c r="Y15" s="590"/>
      <c r="Z15" s="591"/>
    </row>
    <row r="16" spans="1:26" ht="12.75" customHeight="1">
      <c r="A16" s="256" t="s">
        <v>38</v>
      </c>
      <c r="B16" s="592" t="s">
        <v>208</v>
      </c>
      <c r="C16" s="592"/>
      <c r="D16" s="592"/>
      <c r="E16" s="592"/>
      <c r="F16" s="592"/>
      <c r="G16" s="592"/>
      <c r="H16" s="592"/>
      <c r="I16" s="592"/>
      <c r="J16" s="592"/>
      <c r="K16" s="592"/>
      <c r="L16" s="592"/>
      <c r="N16" s="259"/>
      <c r="O16" s="260"/>
      <c r="P16" s="260"/>
      <c r="Q16" s="260"/>
      <c r="R16" s="260"/>
      <c r="S16" s="260"/>
      <c r="T16" s="260"/>
      <c r="U16" s="260"/>
      <c r="V16" s="260"/>
      <c r="W16" s="260"/>
      <c r="X16" s="260"/>
      <c r="Y16" s="260"/>
      <c r="Z16" s="261"/>
    </row>
    <row r="17" spans="1:26" ht="12.75" customHeight="1">
      <c r="B17" s="592"/>
      <c r="C17" s="592"/>
      <c r="D17" s="592"/>
      <c r="E17" s="592"/>
      <c r="F17" s="592"/>
      <c r="G17" s="592"/>
      <c r="H17" s="592"/>
      <c r="I17" s="592"/>
      <c r="J17" s="592"/>
      <c r="K17" s="592"/>
      <c r="L17" s="592"/>
      <c r="N17" s="587" t="s">
        <v>209</v>
      </c>
      <c r="O17" s="590" t="s">
        <v>189</v>
      </c>
      <c r="P17" s="590"/>
      <c r="Q17" s="590"/>
      <c r="R17" s="590"/>
      <c r="S17" s="590"/>
      <c r="T17" s="590"/>
      <c r="U17" s="590"/>
      <c r="V17" s="590"/>
      <c r="W17" s="590"/>
      <c r="X17" s="590"/>
      <c r="Y17" s="590"/>
      <c r="Z17" s="591"/>
    </row>
    <row r="18" spans="1:26">
      <c r="B18" s="592"/>
      <c r="C18" s="592"/>
      <c r="D18" s="592"/>
      <c r="E18" s="592"/>
      <c r="F18" s="592"/>
      <c r="G18" s="592"/>
      <c r="H18" s="592"/>
      <c r="I18" s="592"/>
      <c r="J18" s="592"/>
      <c r="K18" s="592"/>
      <c r="L18" s="592"/>
      <c r="N18" s="587"/>
      <c r="O18" s="590"/>
      <c r="P18" s="590"/>
      <c r="Q18" s="590"/>
      <c r="R18" s="590"/>
      <c r="S18" s="590"/>
      <c r="T18" s="590"/>
      <c r="U18" s="590"/>
      <c r="V18" s="590"/>
      <c r="W18" s="590"/>
      <c r="X18" s="590"/>
      <c r="Y18" s="590"/>
      <c r="Z18" s="591"/>
    </row>
    <row r="19" spans="1:26">
      <c r="B19" s="592"/>
      <c r="C19" s="592"/>
      <c r="D19" s="592"/>
      <c r="E19" s="592"/>
      <c r="F19" s="592"/>
      <c r="G19" s="592"/>
      <c r="H19" s="592"/>
      <c r="I19" s="592"/>
      <c r="J19" s="592"/>
      <c r="K19" s="592"/>
      <c r="L19" s="592"/>
      <c r="N19" s="259"/>
      <c r="O19" s="260"/>
      <c r="P19" s="260"/>
      <c r="Q19" s="260"/>
      <c r="R19" s="260"/>
      <c r="S19" s="260"/>
      <c r="T19" s="260"/>
      <c r="U19" s="260"/>
      <c r="V19" s="260"/>
      <c r="W19" s="260"/>
      <c r="X19" s="260"/>
      <c r="Y19" s="260"/>
      <c r="Z19" s="261"/>
    </row>
    <row r="20" spans="1:26" ht="13.5" customHeight="1">
      <c r="B20" s="592"/>
      <c r="C20" s="592"/>
      <c r="D20" s="592"/>
      <c r="E20" s="592"/>
      <c r="F20" s="592"/>
      <c r="G20" s="592"/>
      <c r="H20" s="592"/>
      <c r="I20" s="592"/>
      <c r="J20" s="592"/>
      <c r="K20" s="592"/>
      <c r="L20" s="592"/>
      <c r="N20" s="587" t="s">
        <v>210</v>
      </c>
      <c r="O20" s="590" t="s">
        <v>211</v>
      </c>
      <c r="P20" s="590"/>
      <c r="Q20" s="590"/>
      <c r="R20" s="590"/>
      <c r="S20" s="590"/>
      <c r="T20" s="590"/>
      <c r="U20" s="590"/>
      <c r="V20" s="590"/>
      <c r="W20" s="590"/>
      <c r="X20" s="590"/>
      <c r="Y20" s="590"/>
      <c r="Z20" s="591"/>
    </row>
    <row r="21" spans="1:26" ht="12.75" customHeight="1">
      <c r="B21" s="263"/>
      <c r="C21" s="263"/>
      <c r="D21" s="263"/>
      <c r="E21" s="263"/>
      <c r="F21" s="263"/>
      <c r="G21" s="263"/>
      <c r="H21" s="263"/>
      <c r="I21" s="263"/>
      <c r="J21" s="263"/>
      <c r="K21" s="263"/>
      <c r="L21" s="263"/>
      <c r="N21" s="587"/>
      <c r="O21" s="590"/>
      <c r="P21" s="590"/>
      <c r="Q21" s="590"/>
      <c r="R21" s="590"/>
      <c r="S21" s="590"/>
      <c r="T21" s="590"/>
      <c r="U21" s="590"/>
      <c r="V21" s="590"/>
      <c r="W21" s="590"/>
      <c r="X21" s="590"/>
      <c r="Y21" s="590"/>
      <c r="Z21" s="591"/>
    </row>
    <row r="22" spans="1:26">
      <c r="B22" s="263"/>
      <c r="C22" s="263"/>
      <c r="D22" s="263"/>
      <c r="E22" s="263"/>
      <c r="F22" s="263"/>
      <c r="G22" s="263"/>
      <c r="H22" s="263"/>
      <c r="I22" s="263"/>
      <c r="J22" s="263"/>
      <c r="K22" s="263"/>
      <c r="L22" s="263"/>
      <c r="N22" s="259"/>
      <c r="O22" s="260"/>
      <c r="P22" s="260"/>
      <c r="Q22" s="260"/>
      <c r="R22" s="260"/>
      <c r="S22" s="260"/>
      <c r="T22" s="260"/>
      <c r="U22" s="260"/>
      <c r="V22" s="260"/>
      <c r="W22" s="260"/>
      <c r="X22" s="260"/>
      <c r="Y22" s="260"/>
      <c r="Z22" s="261"/>
    </row>
    <row r="23" spans="1:26">
      <c r="B23" s="263"/>
      <c r="C23" s="263"/>
      <c r="D23" s="263"/>
      <c r="E23" s="263"/>
      <c r="F23" s="263"/>
      <c r="G23" s="263"/>
      <c r="H23" s="263"/>
      <c r="I23" s="263"/>
      <c r="J23" s="263"/>
      <c r="K23" s="263"/>
      <c r="L23" s="263"/>
      <c r="N23" s="264"/>
      <c r="O23" s="265"/>
      <c r="P23" s="266"/>
      <c r="Q23" s="266"/>
      <c r="R23" s="266"/>
      <c r="S23" s="266"/>
      <c r="T23" s="266"/>
      <c r="U23" s="266"/>
      <c r="V23" s="266"/>
      <c r="W23" s="266"/>
      <c r="X23" s="266"/>
      <c r="Y23" s="266"/>
      <c r="Z23" s="267"/>
    </row>
    <row r="26" spans="1:26" ht="12.75" customHeight="1">
      <c r="N26" s="577" t="s">
        <v>190</v>
      </c>
      <c r="O26" s="578" t="s">
        <v>191</v>
      </c>
      <c r="P26" s="578"/>
      <c r="Q26" s="578"/>
      <c r="R26" s="578"/>
      <c r="S26" s="578"/>
      <c r="T26" s="578"/>
      <c r="U26" s="578"/>
      <c r="V26" s="578"/>
      <c r="W26" s="578"/>
      <c r="X26" s="578"/>
      <c r="Y26" s="578"/>
      <c r="Z26" s="579"/>
    </row>
    <row r="27" spans="1:26" ht="12.75" customHeight="1">
      <c r="N27" s="573"/>
      <c r="O27" s="575"/>
      <c r="P27" s="575"/>
      <c r="Q27" s="575"/>
      <c r="R27" s="575"/>
      <c r="S27" s="575"/>
      <c r="T27" s="575"/>
      <c r="U27" s="575"/>
      <c r="V27" s="575"/>
      <c r="W27" s="575"/>
      <c r="X27" s="575"/>
      <c r="Y27" s="575"/>
      <c r="Z27" s="580"/>
    </row>
    <row r="28" spans="1:26">
      <c r="N28" s="268"/>
      <c r="O28" s="269"/>
      <c r="P28" s="269"/>
      <c r="Q28" s="269"/>
      <c r="R28" s="269"/>
      <c r="S28" s="269"/>
      <c r="T28" s="269"/>
      <c r="U28" s="269"/>
      <c r="V28" s="269"/>
      <c r="W28" s="269"/>
      <c r="X28" s="269"/>
      <c r="Y28" s="269"/>
      <c r="Z28" s="270"/>
    </row>
    <row r="29" spans="1:26" ht="12.75" customHeight="1">
      <c r="N29" s="573" t="s">
        <v>192</v>
      </c>
      <c r="O29" s="575" t="s">
        <v>193</v>
      </c>
      <c r="P29" s="575"/>
      <c r="Q29" s="575"/>
      <c r="R29" s="575"/>
      <c r="S29" s="575"/>
      <c r="T29" s="575"/>
      <c r="U29" s="575"/>
      <c r="V29" s="575"/>
      <c r="W29" s="575"/>
      <c r="X29" s="575"/>
      <c r="Y29" s="575"/>
      <c r="Z29" s="580"/>
    </row>
    <row r="30" spans="1:26" ht="20.25" customHeight="1">
      <c r="A30" s="256" t="s">
        <v>39</v>
      </c>
      <c r="B30" s="581" t="s">
        <v>212</v>
      </c>
      <c r="C30" s="582"/>
      <c r="D30" s="582"/>
      <c r="E30" s="582"/>
      <c r="F30" s="582"/>
      <c r="G30" s="582"/>
      <c r="H30" s="582"/>
      <c r="I30" s="582"/>
      <c r="J30" s="582"/>
      <c r="K30" s="582"/>
      <c r="L30" s="582"/>
      <c r="N30" s="573"/>
      <c r="O30" s="575"/>
      <c r="P30" s="575"/>
      <c r="Q30" s="575"/>
      <c r="R30" s="575"/>
      <c r="S30" s="575"/>
      <c r="T30" s="575"/>
      <c r="U30" s="575"/>
      <c r="V30" s="575"/>
      <c r="W30" s="575"/>
      <c r="X30" s="575"/>
      <c r="Y30" s="575"/>
      <c r="Z30" s="580"/>
    </row>
    <row r="31" spans="1:26">
      <c r="B31" s="582"/>
      <c r="C31" s="582"/>
      <c r="D31" s="582"/>
      <c r="E31" s="582"/>
      <c r="F31" s="582"/>
      <c r="G31" s="582"/>
      <c r="H31" s="582"/>
      <c r="I31" s="582"/>
      <c r="J31" s="582"/>
      <c r="K31" s="582"/>
      <c r="L31" s="582"/>
      <c r="N31" s="268"/>
      <c r="O31" s="269"/>
      <c r="P31" s="269"/>
      <c r="Q31" s="269"/>
      <c r="R31" s="269"/>
      <c r="S31" s="269"/>
      <c r="T31" s="269"/>
      <c r="U31" s="269"/>
      <c r="V31" s="269"/>
      <c r="W31" s="269"/>
      <c r="X31" s="269"/>
      <c r="Y31" s="269"/>
      <c r="Z31" s="270"/>
    </row>
    <row r="32" spans="1:26">
      <c r="B32" s="582"/>
      <c r="C32" s="582"/>
      <c r="D32" s="582"/>
      <c r="E32" s="582"/>
      <c r="F32" s="582"/>
      <c r="G32" s="582"/>
      <c r="H32" s="582"/>
      <c r="I32" s="582"/>
      <c r="J32" s="582"/>
      <c r="K32" s="582"/>
      <c r="L32" s="582"/>
      <c r="N32" s="573" t="s">
        <v>194</v>
      </c>
      <c r="O32" s="583" t="s">
        <v>195</v>
      </c>
      <c r="P32" s="584"/>
      <c r="Q32" s="584"/>
      <c r="R32" s="584"/>
      <c r="S32" s="584"/>
      <c r="T32" s="584"/>
      <c r="U32" s="584"/>
      <c r="V32" s="584"/>
      <c r="W32" s="584"/>
      <c r="X32" s="584"/>
      <c r="Y32" s="584"/>
      <c r="Z32" s="585"/>
    </row>
    <row r="33" spans="2:26">
      <c r="B33" s="582"/>
      <c r="C33" s="582"/>
      <c r="D33" s="582"/>
      <c r="E33" s="582"/>
      <c r="F33" s="582"/>
      <c r="G33" s="582"/>
      <c r="H33" s="582"/>
      <c r="I33" s="582"/>
      <c r="J33" s="582"/>
      <c r="K33" s="582"/>
      <c r="L33" s="582"/>
      <c r="N33" s="573"/>
      <c r="O33" s="584"/>
      <c r="P33" s="584"/>
      <c r="Q33" s="584"/>
      <c r="R33" s="584"/>
      <c r="S33" s="584"/>
      <c r="T33" s="584"/>
      <c r="U33" s="584"/>
      <c r="V33" s="584"/>
      <c r="W33" s="584"/>
      <c r="X33" s="584"/>
      <c r="Y33" s="584"/>
      <c r="Z33" s="585"/>
    </row>
    <row r="34" spans="2:26">
      <c r="B34" s="582"/>
      <c r="C34" s="582"/>
      <c r="D34" s="582"/>
      <c r="E34" s="582"/>
      <c r="F34" s="582"/>
      <c r="G34" s="582"/>
      <c r="H34" s="582"/>
      <c r="I34" s="582"/>
      <c r="J34" s="582"/>
      <c r="K34" s="582"/>
      <c r="L34" s="582"/>
      <c r="N34" s="268"/>
      <c r="O34" s="269"/>
      <c r="P34" s="269"/>
      <c r="Q34" s="269"/>
      <c r="R34" s="269"/>
      <c r="S34" s="269"/>
      <c r="T34" s="269"/>
      <c r="U34" s="269"/>
      <c r="V34" s="269"/>
      <c r="W34" s="269"/>
      <c r="X34" s="269"/>
      <c r="Y34" s="269"/>
      <c r="Z34" s="270"/>
    </row>
    <row r="35" spans="2:26" ht="12.75" customHeight="1">
      <c r="N35" s="573" t="s">
        <v>196</v>
      </c>
      <c r="O35" s="575" t="s">
        <v>213</v>
      </c>
      <c r="P35" s="575"/>
      <c r="Q35" s="575"/>
      <c r="R35" s="575"/>
      <c r="S35" s="575"/>
      <c r="T35" s="575"/>
      <c r="U35" s="575"/>
      <c r="V35" s="575"/>
      <c r="W35" s="575"/>
      <c r="X35" s="575"/>
      <c r="Y35" s="269"/>
      <c r="Z35" s="270"/>
    </row>
    <row r="36" spans="2:26" ht="12.75" customHeight="1">
      <c r="N36" s="574"/>
      <c r="O36" s="576"/>
      <c r="P36" s="576"/>
      <c r="Q36" s="576"/>
      <c r="R36" s="576"/>
      <c r="S36" s="576"/>
      <c r="T36" s="576"/>
      <c r="U36" s="576"/>
      <c r="V36" s="576"/>
      <c r="W36" s="576"/>
      <c r="X36" s="576"/>
      <c r="Y36" s="271"/>
      <c r="Z36" s="272"/>
    </row>
  </sheetData>
  <mergeCells count="18">
    <mergeCell ref="B30:L34"/>
    <mergeCell ref="N32:N33"/>
    <mergeCell ref="O32:Z33"/>
    <mergeCell ref="N11:N12"/>
    <mergeCell ref="O11:Z12"/>
    <mergeCell ref="N14:N15"/>
    <mergeCell ref="O14:Z15"/>
    <mergeCell ref="B16:L20"/>
    <mergeCell ref="N17:N18"/>
    <mergeCell ref="O17:Z18"/>
    <mergeCell ref="N20:N21"/>
    <mergeCell ref="O20:Z21"/>
    <mergeCell ref="N35:N36"/>
    <mergeCell ref="O35:X36"/>
    <mergeCell ref="N26:N27"/>
    <mergeCell ref="O26:Z27"/>
    <mergeCell ref="N29:N30"/>
    <mergeCell ref="O29:Z30"/>
  </mergeCells>
  <pageMargins left="0.25" right="0.25" top="0.75" bottom="0.75" header="0.3" footer="0.3"/>
  <pageSetup paperSize="5" scale="64"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5">
    <tabColor rgb="FFFFFF00"/>
    <pageSetUpPr fitToPage="1"/>
  </sheetPr>
  <dimension ref="A1:AD59"/>
  <sheetViews>
    <sheetView zoomScaleNormal="100" workbookViewId="0">
      <selection activeCell="N26" sqref="N26"/>
    </sheetView>
  </sheetViews>
  <sheetFormatPr baseColWidth="10" defaultColWidth="9.140625" defaultRowHeight="15.75" outlineLevelCol="1"/>
  <cols>
    <col min="1" max="1" width="9.42578125" style="285" bestFit="1" customWidth="1"/>
    <col min="2" max="2" width="32" style="285" customWidth="1"/>
    <col min="3" max="3" width="3" style="285" customWidth="1"/>
    <col min="4" max="4" width="12.28515625" style="285" bestFit="1" customWidth="1"/>
    <col min="5" max="5" width="3.85546875" style="285" customWidth="1"/>
    <col min="6" max="6" width="13.5703125" style="285" hidden="1" customWidth="1" outlineLevel="1"/>
    <col min="7" max="7" width="3.85546875" style="285" hidden="1" customWidth="1" outlineLevel="1"/>
    <col min="8" max="8" width="10" style="285" bestFit="1" customWidth="1" collapsed="1"/>
    <col min="9" max="9" width="3.85546875" style="285" customWidth="1"/>
    <col min="10" max="10" width="13.28515625" style="285" hidden="1" customWidth="1" outlineLevel="1"/>
    <col min="11" max="11" width="3.85546875" style="285" hidden="1" customWidth="1" outlineLevel="1"/>
    <col min="12" max="12" width="9.42578125" style="285" bestFit="1" customWidth="1" collapsed="1"/>
    <col min="13" max="13" width="3.85546875" style="285" customWidth="1"/>
    <col min="14" max="14" width="14" style="285" bestFit="1" customWidth="1"/>
    <col min="15" max="15" width="6" style="285" bestFit="1" customWidth="1"/>
    <col min="16" max="16" width="12.42578125" style="285" bestFit="1" customWidth="1"/>
    <col min="17" max="17" width="9.140625" style="285"/>
    <col min="18" max="18" width="3.42578125" style="285" customWidth="1"/>
    <col min="19" max="19" width="20.5703125" style="285" hidden="1" customWidth="1" outlineLevel="1"/>
    <col min="20" max="20" width="35" style="285" customWidth="1" collapsed="1"/>
    <col min="21" max="16384" width="9.140625" style="285"/>
  </cols>
  <sheetData>
    <row r="1" spans="1:30">
      <c r="A1" s="9" t="s">
        <v>8</v>
      </c>
      <c r="B1" s="284"/>
      <c r="C1" s="284"/>
      <c r="D1" s="284"/>
      <c r="E1" s="284"/>
      <c r="F1" s="284"/>
      <c r="G1" s="284"/>
      <c r="H1" s="284"/>
      <c r="I1" s="284"/>
      <c r="J1" s="284"/>
      <c r="K1" s="284"/>
      <c r="L1" s="284"/>
      <c r="M1" s="284"/>
      <c r="N1" s="284"/>
      <c r="O1" s="284"/>
      <c r="P1" s="284"/>
    </row>
    <row r="2" spans="1:30">
      <c r="A2" s="10" t="s">
        <v>9</v>
      </c>
      <c r="B2" s="284"/>
      <c r="C2" s="284"/>
      <c r="D2" s="284"/>
      <c r="E2" s="284"/>
      <c r="F2" s="284"/>
      <c r="G2" s="284"/>
      <c r="H2" s="284"/>
      <c r="I2" s="284"/>
      <c r="J2" s="284"/>
      <c r="K2" s="284"/>
      <c r="L2" s="284"/>
      <c r="M2" s="284"/>
      <c r="N2" s="284"/>
      <c r="O2" s="284"/>
      <c r="P2" s="284"/>
    </row>
    <row r="3" spans="1:30">
      <c r="A3" s="11" t="s">
        <v>131</v>
      </c>
      <c r="B3" s="284"/>
      <c r="C3" s="284"/>
      <c r="D3" s="284"/>
      <c r="E3" s="284"/>
      <c r="F3" s="284"/>
      <c r="G3" s="284"/>
      <c r="H3" s="284"/>
      <c r="I3" s="284"/>
      <c r="J3" s="284"/>
      <c r="K3" s="284"/>
      <c r="L3" s="284"/>
      <c r="M3" s="284"/>
      <c r="N3" s="284"/>
      <c r="O3" s="284"/>
      <c r="P3" s="284"/>
    </row>
    <row r="4" spans="1:30">
      <c r="A4" s="12" t="s">
        <v>92</v>
      </c>
      <c r="B4" s="284"/>
      <c r="C4" s="284"/>
      <c r="D4" s="284"/>
      <c r="E4" s="284"/>
      <c r="F4" s="284"/>
      <c r="G4" s="284"/>
      <c r="H4" s="284"/>
      <c r="I4" s="284"/>
      <c r="J4" s="284"/>
      <c r="K4" s="284"/>
      <c r="L4" s="284"/>
      <c r="M4" s="284"/>
      <c r="N4" s="284"/>
      <c r="O4" s="284"/>
      <c r="P4" s="284"/>
    </row>
    <row r="9" spans="1:30">
      <c r="F9" s="286" t="s">
        <v>152</v>
      </c>
      <c r="G9" s="287"/>
      <c r="H9" s="287"/>
      <c r="I9" s="287"/>
      <c r="J9" s="286" t="s">
        <v>152</v>
      </c>
      <c r="S9" s="286" t="s">
        <v>152</v>
      </c>
    </row>
    <row r="10" spans="1:30">
      <c r="N10" s="597" t="s">
        <v>36</v>
      </c>
      <c r="O10" s="597"/>
      <c r="P10" s="597"/>
      <c r="Q10" s="597"/>
      <c r="S10" s="288"/>
      <c r="T10" s="285" t="s">
        <v>216</v>
      </c>
    </row>
    <row r="11" spans="1:30">
      <c r="B11" s="289" t="s">
        <v>132</v>
      </c>
      <c r="D11" s="290">
        <v>2014</v>
      </c>
      <c r="E11" s="291"/>
      <c r="F11" s="290">
        <v>2014</v>
      </c>
      <c r="G11" s="291"/>
      <c r="H11" s="290">
        <v>2015</v>
      </c>
      <c r="I11" s="291"/>
      <c r="J11" s="290">
        <v>2015</v>
      </c>
      <c r="L11" s="292" t="s">
        <v>153</v>
      </c>
      <c r="N11" s="598" t="str">
        <f>'[33]25451'!N11:O11</f>
        <v>2015 (3+9)</v>
      </c>
      <c r="O11" s="598"/>
      <c r="P11" s="598" t="str">
        <f>'[33]25451'!P11:Q11</f>
        <v>Cause 2016</v>
      </c>
      <c r="Q11" s="598"/>
      <c r="S11" s="293" t="s">
        <v>155</v>
      </c>
    </row>
    <row r="12" spans="1:30">
      <c r="D12" s="294" t="s">
        <v>27</v>
      </c>
      <c r="E12" s="291"/>
      <c r="F12" s="294" t="s">
        <v>28</v>
      </c>
      <c r="G12" s="291"/>
      <c r="H12" s="294" t="s">
        <v>94</v>
      </c>
      <c r="I12" s="291"/>
      <c r="J12" s="294" t="s">
        <v>28</v>
      </c>
      <c r="L12" s="295">
        <v>2016</v>
      </c>
      <c r="M12" s="295"/>
      <c r="N12" s="598" t="str">
        <f>'[33]25451'!N12:O12</f>
        <v>vs Réel 2014</v>
      </c>
      <c r="O12" s="598"/>
      <c r="P12" s="598" t="str">
        <f>'[33]25451'!P12:Q12</f>
        <v>vs 2015 (3+9)</v>
      </c>
      <c r="Q12" s="598"/>
      <c r="S12" s="293" t="s">
        <v>156</v>
      </c>
    </row>
    <row r="13" spans="1:30" ht="16.5" thickBot="1">
      <c r="D13" s="296" t="s">
        <v>31</v>
      </c>
      <c r="E13" s="291"/>
      <c r="F13" s="296" t="s">
        <v>31</v>
      </c>
      <c r="G13" s="291"/>
      <c r="H13" s="296" t="s">
        <v>31</v>
      </c>
      <c r="I13" s="291"/>
      <c r="J13" s="296" t="s">
        <v>31</v>
      </c>
      <c r="L13" s="297" t="s">
        <v>31</v>
      </c>
      <c r="M13" s="298"/>
      <c r="N13" s="299" t="s">
        <v>31</v>
      </c>
      <c r="O13" s="299" t="s">
        <v>52</v>
      </c>
      <c r="P13" s="299" t="s">
        <v>31</v>
      </c>
      <c r="Q13" s="299" t="s">
        <v>52</v>
      </c>
      <c r="S13" s="299" t="s">
        <v>31</v>
      </c>
      <c r="T13" s="593" t="s">
        <v>204</v>
      </c>
      <c r="U13" s="594" t="s">
        <v>205</v>
      </c>
      <c r="V13" s="594"/>
      <c r="W13" s="594"/>
      <c r="X13" s="594"/>
      <c r="Y13" s="594"/>
      <c r="Z13" s="594"/>
      <c r="AA13" s="594"/>
      <c r="AB13" s="594"/>
      <c r="AC13" s="594"/>
      <c r="AD13" s="594"/>
    </row>
    <row r="14" spans="1:30" ht="15.75" customHeight="1">
      <c r="D14" s="287">
        <v>1</v>
      </c>
      <c r="E14" s="287"/>
      <c r="F14" s="287"/>
      <c r="G14" s="287"/>
      <c r="H14" s="287">
        <v>2</v>
      </c>
      <c r="I14" s="287"/>
      <c r="J14" s="287"/>
      <c r="K14" s="287"/>
      <c r="L14" s="287">
        <v>3</v>
      </c>
      <c r="M14" s="300"/>
      <c r="N14" s="300" t="s">
        <v>199</v>
      </c>
      <c r="O14" s="300">
        <v>5</v>
      </c>
      <c r="P14" s="300" t="s">
        <v>158</v>
      </c>
      <c r="Q14" s="300">
        <v>7</v>
      </c>
      <c r="R14" s="301"/>
      <c r="S14" s="302">
        <v>8</v>
      </c>
      <c r="T14" s="593"/>
      <c r="U14" s="594"/>
      <c r="V14" s="594"/>
      <c r="W14" s="594"/>
      <c r="X14" s="594"/>
      <c r="Y14" s="594"/>
      <c r="Z14" s="594"/>
      <c r="AA14" s="594"/>
      <c r="AB14" s="594"/>
      <c r="AC14" s="594"/>
      <c r="AD14" s="594"/>
    </row>
    <row r="15" spans="1:30">
      <c r="A15" s="287"/>
      <c r="S15" s="288"/>
      <c r="U15" s="594"/>
      <c r="V15" s="594"/>
      <c r="W15" s="594"/>
      <c r="X15" s="594"/>
      <c r="Y15" s="594"/>
      <c r="Z15" s="594"/>
      <c r="AA15" s="594"/>
      <c r="AB15" s="594"/>
      <c r="AC15" s="594"/>
      <c r="AD15" s="594"/>
    </row>
    <row r="16" spans="1:30" ht="16.5" thickBot="1">
      <c r="A16" s="287">
        <v>1</v>
      </c>
      <c r="B16" s="289" t="s">
        <v>0</v>
      </c>
      <c r="D16" s="303">
        <f>([34]INPUT!C66+[34]INPUT!C345+[34]INPUT!C358)/1000</f>
        <v>151.15659000000002</v>
      </c>
      <c r="E16" s="304"/>
      <c r="F16" s="303">
        <f>('[34]Budget 2014'!O65)/1000</f>
        <v>157.28800000000001</v>
      </c>
      <c r="G16" s="304"/>
      <c r="H16" s="303">
        <f>([34]INPUT!E66+[34]INPUT!E345+[34]INPUT!E358)/1000</f>
        <v>161.13200000000001</v>
      </c>
      <c r="I16" s="304"/>
      <c r="J16" s="303">
        <f>([34]INPUT!D66+[34]INPUT!D345+[34]INPUT!D358)/1000</f>
        <v>158.6635</v>
      </c>
      <c r="K16" s="304"/>
      <c r="L16" s="303">
        <f>([34]INPUT!F66+[34]INPUT!F345+[34]INPUT!F358)/1000</f>
        <v>186.84200000000001</v>
      </c>
      <c r="M16" s="135"/>
      <c r="N16" s="303">
        <f>H16-D16</f>
        <v>9.9754099999999823</v>
      </c>
      <c r="O16" s="136">
        <f>N16/D16</f>
        <v>6.5993880915148864E-2</v>
      </c>
      <c r="P16" s="305">
        <f>L16-H16</f>
        <v>25.710000000000008</v>
      </c>
      <c r="Q16" s="136">
        <f>P16/H16</f>
        <v>0.15955862274408564</v>
      </c>
      <c r="S16" s="306">
        <f>L16</f>
        <v>186.84200000000001</v>
      </c>
    </row>
    <row r="17" spans="1:30" ht="16.5" thickTop="1">
      <c r="A17" s="287"/>
      <c r="B17" s="289"/>
      <c r="D17" s="307"/>
      <c r="E17" s="304"/>
      <c r="F17" s="307"/>
      <c r="G17" s="304"/>
      <c r="H17" s="307"/>
      <c r="I17" s="304"/>
      <c r="J17" s="307"/>
      <c r="K17" s="304"/>
      <c r="L17" s="307"/>
      <c r="M17" s="139"/>
      <c r="N17" s="307"/>
      <c r="O17" s="139"/>
      <c r="P17" s="139"/>
      <c r="S17" s="308"/>
      <c r="T17" s="593" t="s">
        <v>190</v>
      </c>
      <c r="U17" s="595" t="s">
        <v>217</v>
      </c>
      <c r="V17" s="595"/>
      <c r="W17" s="595"/>
      <c r="X17" s="595"/>
      <c r="Y17" s="595"/>
      <c r="Z17" s="595"/>
      <c r="AA17" s="595"/>
      <c r="AB17" s="595"/>
      <c r="AC17" s="595"/>
      <c r="AD17" s="595"/>
    </row>
    <row r="18" spans="1:30" ht="27" customHeight="1">
      <c r="A18" s="287"/>
      <c r="D18" s="304"/>
      <c r="E18" s="304"/>
      <c r="F18" s="304"/>
      <c r="G18" s="304"/>
      <c r="H18" s="304"/>
      <c r="I18" s="304"/>
      <c r="J18" s="304"/>
      <c r="K18" s="304"/>
      <c r="L18" s="304"/>
      <c r="N18" s="304"/>
      <c r="S18" s="308"/>
      <c r="T18" s="593"/>
      <c r="U18" s="595"/>
      <c r="V18" s="595"/>
      <c r="W18" s="595"/>
      <c r="X18" s="595"/>
      <c r="Y18" s="595"/>
      <c r="Z18" s="595"/>
      <c r="AA18" s="595"/>
      <c r="AB18" s="595"/>
      <c r="AC18" s="595"/>
      <c r="AD18" s="595"/>
    </row>
    <row r="19" spans="1:30">
      <c r="A19" s="287"/>
      <c r="B19" s="13" t="s">
        <v>3</v>
      </c>
      <c r="D19" s="304"/>
      <c r="E19" s="304"/>
      <c r="F19" s="304"/>
      <c r="G19" s="304"/>
      <c r="H19" s="304"/>
      <c r="I19" s="304"/>
      <c r="J19" s="304"/>
      <c r="K19" s="304"/>
      <c r="L19" s="304"/>
      <c r="N19" s="304"/>
      <c r="S19" s="308"/>
    </row>
    <row r="20" spans="1:30">
      <c r="A20" s="287"/>
      <c r="D20" s="304"/>
      <c r="E20" s="304"/>
      <c r="F20" s="304"/>
      <c r="G20" s="304"/>
      <c r="H20" s="304"/>
      <c r="I20" s="304"/>
      <c r="J20" s="304"/>
      <c r="K20" s="304"/>
      <c r="L20" s="304"/>
      <c r="N20" s="304"/>
      <c r="S20" s="308"/>
    </row>
    <row r="21" spans="1:30">
      <c r="A21" s="287">
        <v>2</v>
      </c>
      <c r="B21" s="285" t="s">
        <v>95</v>
      </c>
      <c r="D21" s="304">
        <f>([34]INPUT!C359-[34]INPUT!C358-[34]INPUT!C345-[34]INPUT!C66)/1000</f>
        <v>2.3197299999999812</v>
      </c>
      <c r="E21" s="304"/>
      <c r="F21" s="304">
        <f>('[34]Budget 2014'!O358-'[34]Budget 2014'!O65)/1000</f>
        <v>2.14</v>
      </c>
      <c r="G21" s="304"/>
      <c r="H21" s="304">
        <f>([34]INPUT!E359-[34]INPUT!E358-[34]INPUT!E345-[34]INPUT!E66)/1000</f>
        <v>5.2009999999999996</v>
      </c>
      <c r="I21" s="304"/>
      <c r="J21" s="304">
        <f>([34]INPUT!D359-[34]INPUT!D358-[34]INPUT!D345-[34]INPUT!D66)/1000</f>
        <v>5.1429999999999998</v>
      </c>
      <c r="K21" s="304"/>
      <c r="L21" s="304">
        <f>([34]INPUT!F359-[34]INPUT!F358-[34]INPUT!F345-[34]INPUT!F66)/1000</f>
        <v>5.0049999999999999</v>
      </c>
      <c r="M21" s="139"/>
      <c r="N21" s="304">
        <f>H21-D21</f>
        <v>2.8812700000000184</v>
      </c>
      <c r="O21" s="136">
        <f>N21/D21</f>
        <v>1.2420712755363952</v>
      </c>
      <c r="P21" s="304">
        <f>L21-H21</f>
        <v>-0.19599999999999973</v>
      </c>
      <c r="Q21" s="136">
        <f>P21/H21</f>
        <v>-3.768506056527586E-2</v>
      </c>
      <c r="S21" s="308">
        <f>L21</f>
        <v>5.0049999999999999</v>
      </c>
    </row>
    <row r="22" spans="1:30">
      <c r="A22" s="287"/>
      <c r="D22" s="309"/>
      <c r="E22" s="304"/>
      <c r="F22" s="309"/>
      <c r="G22" s="304"/>
      <c r="H22" s="309"/>
      <c r="I22" s="304"/>
      <c r="J22" s="309"/>
      <c r="K22" s="304"/>
      <c r="L22" s="309"/>
      <c r="N22" s="309"/>
      <c r="O22" s="136"/>
      <c r="P22" s="309"/>
      <c r="Q22" s="136"/>
      <c r="S22" s="310"/>
    </row>
    <row r="23" spans="1:30">
      <c r="A23" s="287"/>
      <c r="D23" s="304"/>
      <c r="E23" s="304"/>
      <c r="F23" s="304"/>
      <c r="G23" s="304"/>
      <c r="H23" s="304"/>
      <c r="I23" s="304"/>
      <c r="J23" s="304"/>
      <c r="K23" s="304"/>
      <c r="L23" s="304"/>
      <c r="N23" s="304"/>
      <c r="O23" s="136"/>
      <c r="P23" s="304"/>
      <c r="Q23" s="136"/>
      <c r="S23" s="308"/>
    </row>
    <row r="24" spans="1:30" ht="16.5" thickBot="1">
      <c r="A24" s="287">
        <v>3</v>
      </c>
      <c r="B24" s="13" t="s">
        <v>12</v>
      </c>
      <c r="D24" s="303">
        <f>SUM(D21:D23)</f>
        <v>2.3197299999999812</v>
      </c>
      <c r="E24" s="304"/>
      <c r="F24" s="303">
        <f>SUM(F21:F23)</f>
        <v>2.14</v>
      </c>
      <c r="G24" s="304"/>
      <c r="H24" s="303">
        <f>SUM(H21:H23)</f>
        <v>5.2009999999999996</v>
      </c>
      <c r="I24" s="304"/>
      <c r="J24" s="303">
        <f>SUM(J21:J23)</f>
        <v>5.1429999999999998</v>
      </c>
      <c r="K24" s="304"/>
      <c r="L24" s="303">
        <f>SUM(L21:L23)</f>
        <v>5.0049999999999999</v>
      </c>
      <c r="M24" s="135"/>
      <c r="N24" s="303">
        <f>SUM(N21:N23)</f>
        <v>2.8812700000000184</v>
      </c>
      <c r="O24" s="136">
        <f>N24/D24</f>
        <v>1.2420712755363952</v>
      </c>
      <c r="P24" s="303">
        <f>SUM(P21:P23)</f>
        <v>-0.19599999999999973</v>
      </c>
      <c r="Q24" s="136">
        <f>P24/H24</f>
        <v>-3.768506056527586E-2</v>
      </c>
      <c r="S24" s="306">
        <f>SUM(S21:S23)</f>
        <v>5.0049999999999999</v>
      </c>
      <c r="U24" s="596" t="s">
        <v>218</v>
      </c>
      <c r="V24" s="596"/>
      <c r="W24" s="596"/>
      <c r="X24" s="596"/>
      <c r="Y24" s="596"/>
      <c r="Z24" s="596"/>
      <c r="AA24" s="596"/>
      <c r="AB24" s="596"/>
      <c r="AC24" s="596"/>
      <c r="AD24" s="596"/>
    </row>
    <row r="25" spans="1:30" ht="16.5" thickTop="1">
      <c r="A25" s="287"/>
      <c r="D25" s="304"/>
      <c r="E25" s="304"/>
      <c r="F25" s="304"/>
      <c r="G25" s="311"/>
      <c r="H25" s="304"/>
      <c r="I25" s="304"/>
      <c r="J25" s="304"/>
      <c r="K25" s="311"/>
      <c r="L25" s="304"/>
      <c r="M25" s="139"/>
      <c r="N25" s="304"/>
      <c r="O25" s="139"/>
      <c r="P25" s="139"/>
      <c r="T25" s="285" t="s">
        <v>219</v>
      </c>
      <c r="U25" s="596"/>
      <c r="V25" s="596"/>
      <c r="W25" s="596"/>
      <c r="X25" s="596"/>
      <c r="Y25" s="596"/>
      <c r="Z25" s="596"/>
      <c r="AA25" s="596"/>
      <c r="AB25" s="596"/>
      <c r="AC25" s="596"/>
      <c r="AD25" s="596"/>
    </row>
    <row r="26" spans="1:30">
      <c r="A26" s="287"/>
      <c r="D26" s="304"/>
      <c r="E26" s="304"/>
      <c r="F26" s="304"/>
      <c r="G26" s="311"/>
      <c r="H26" s="304"/>
      <c r="I26" s="304"/>
      <c r="J26" s="304"/>
      <c r="K26" s="311"/>
      <c r="L26" s="304"/>
      <c r="M26" s="139"/>
      <c r="N26" s="304"/>
      <c r="O26" s="139"/>
      <c r="P26" s="139"/>
      <c r="U26" s="596"/>
      <c r="V26" s="596"/>
      <c r="W26" s="596"/>
      <c r="X26" s="596"/>
      <c r="Y26" s="596"/>
      <c r="Z26" s="596"/>
      <c r="AA26" s="596"/>
      <c r="AB26" s="596"/>
      <c r="AC26" s="596"/>
      <c r="AD26" s="596"/>
    </row>
    <row r="27" spans="1:30">
      <c r="A27" s="287"/>
      <c r="D27" s="304"/>
      <c r="E27" s="304"/>
      <c r="F27" s="304"/>
      <c r="G27" s="311"/>
      <c r="H27" s="304"/>
      <c r="I27" s="304"/>
      <c r="J27" s="304"/>
      <c r="K27" s="311"/>
      <c r="L27" s="304"/>
      <c r="M27" s="139"/>
      <c r="N27" s="304"/>
      <c r="O27" s="139"/>
      <c r="P27" s="139"/>
    </row>
    <row r="28" spans="1:30">
      <c r="A28" s="285" t="s">
        <v>49</v>
      </c>
      <c r="B28" s="285" t="s">
        <v>71</v>
      </c>
      <c r="D28" s="304"/>
      <c r="E28" s="304"/>
      <c r="F28" s="304"/>
      <c r="G28" s="311"/>
      <c r="H28" s="304"/>
      <c r="I28" s="304"/>
      <c r="J28" s="304"/>
      <c r="K28" s="311"/>
      <c r="L28" s="304"/>
      <c r="M28" s="139"/>
      <c r="N28" s="304"/>
      <c r="O28" s="139"/>
      <c r="P28" s="139"/>
    </row>
    <row r="29" spans="1:30">
      <c r="B29" s="285" t="s">
        <v>72</v>
      </c>
      <c r="D29" s="304"/>
      <c r="E29" s="304"/>
      <c r="F29" s="304"/>
      <c r="G29" s="311"/>
      <c r="H29" s="304"/>
      <c r="I29" s="304"/>
      <c r="J29" s="304"/>
      <c r="K29" s="311"/>
      <c r="L29" s="304"/>
      <c r="M29" s="139"/>
      <c r="N29" s="304"/>
      <c r="O29" s="139"/>
      <c r="P29" s="139"/>
    </row>
    <row r="30" spans="1:30">
      <c r="A30" s="287"/>
      <c r="D30" s="304"/>
      <c r="E30" s="304"/>
      <c r="F30" s="304"/>
      <c r="G30" s="311"/>
      <c r="H30" s="304"/>
      <c r="I30" s="304"/>
      <c r="J30" s="304"/>
      <c r="K30" s="311"/>
      <c r="L30" s="304"/>
      <c r="M30" s="139"/>
      <c r="N30" s="304"/>
      <c r="O30" s="139"/>
      <c r="P30" s="139"/>
    </row>
    <row r="31" spans="1:30">
      <c r="A31" s="287"/>
      <c r="D31" s="304"/>
      <c r="E31" s="304"/>
      <c r="F31" s="304"/>
      <c r="H31" s="304"/>
      <c r="I31" s="304"/>
      <c r="J31" s="304"/>
      <c r="L31" s="304"/>
      <c r="N31" s="304"/>
      <c r="O31" s="139"/>
      <c r="P31" s="139"/>
    </row>
    <row r="35" spans="4:11">
      <c r="D35" s="304"/>
      <c r="E35" s="304"/>
      <c r="F35" s="304"/>
      <c r="G35" s="304"/>
      <c r="H35" s="304"/>
      <c r="I35" s="304"/>
      <c r="J35" s="304"/>
      <c r="K35" s="304"/>
    </row>
    <row r="36" spans="4:11">
      <c r="D36" s="304"/>
      <c r="E36" s="304"/>
      <c r="F36" s="304"/>
      <c r="G36" s="304"/>
    </row>
    <row r="37" spans="4:11">
      <c r="D37" s="304"/>
      <c r="E37" s="304"/>
      <c r="F37" s="304"/>
      <c r="G37" s="304"/>
    </row>
    <row r="38" spans="4:11">
      <c r="D38" s="304"/>
      <c r="E38" s="304"/>
      <c r="F38" s="304"/>
      <c r="G38" s="304"/>
    </row>
    <row r="39" spans="4:11">
      <c r="D39" s="304"/>
      <c r="E39" s="304"/>
      <c r="F39" s="304"/>
      <c r="G39" s="304"/>
    </row>
    <row r="40" spans="4:11">
      <c r="D40" s="304"/>
      <c r="E40" s="304"/>
      <c r="F40" s="304"/>
      <c r="G40" s="304"/>
    </row>
    <row r="54" spans="1:16">
      <c r="H54" s="312"/>
      <c r="I54" s="312"/>
      <c r="J54" s="312"/>
      <c r="K54" s="312"/>
      <c r="L54" s="312"/>
      <c r="M54" s="312"/>
      <c r="N54" s="312"/>
      <c r="O54" s="312"/>
      <c r="P54" s="312" t="s">
        <v>96</v>
      </c>
    </row>
    <row r="55" spans="1:16">
      <c r="H55" s="312"/>
      <c r="I55" s="312"/>
      <c r="J55" s="312"/>
      <c r="K55" s="312"/>
      <c r="L55" s="312"/>
      <c r="M55" s="312"/>
      <c r="N55" s="312"/>
      <c r="O55" s="312"/>
      <c r="P55" s="312" t="s">
        <v>97</v>
      </c>
    </row>
    <row r="56" spans="1:16">
      <c r="H56" s="312"/>
      <c r="I56" s="312"/>
      <c r="J56" s="312"/>
      <c r="K56" s="312"/>
      <c r="L56" s="312"/>
      <c r="M56" s="312"/>
      <c r="N56" s="312"/>
      <c r="O56" s="312"/>
      <c r="P56" s="312" t="s">
        <v>51</v>
      </c>
    </row>
    <row r="57" spans="1:16">
      <c r="A57" s="285" t="s">
        <v>98</v>
      </c>
      <c r="H57" s="312"/>
      <c r="I57" s="312"/>
      <c r="J57" s="312"/>
      <c r="K57" s="312"/>
      <c r="L57" s="312"/>
      <c r="M57" s="312"/>
      <c r="N57" s="312"/>
      <c r="O57" s="312"/>
      <c r="P57" s="312" t="s">
        <v>99</v>
      </c>
    </row>
    <row r="59" spans="1:16">
      <c r="C59" s="313" t="s">
        <v>100</v>
      </c>
      <c r="D59" s="314">
        <f>D16+D24-([34]INPUT!C359)/1000</f>
        <v>0</v>
      </c>
      <c r="E59" s="315"/>
      <c r="F59" s="314">
        <f>F16+F24-('[34]Budget 2014'!O358)/1000</f>
        <v>0</v>
      </c>
      <c r="G59" s="315"/>
      <c r="H59" s="314">
        <f>H16+H24-([34]INPUT!E359)/1000</f>
        <v>0</v>
      </c>
      <c r="I59" s="315"/>
      <c r="J59" s="314">
        <f>J16+J24-([34]INPUT!D359)/1000</f>
        <v>0</v>
      </c>
      <c r="K59" s="315"/>
      <c r="L59" s="314">
        <f>L16+L24-([34]INPUT!F359)/1000</f>
        <v>0</v>
      </c>
    </row>
  </sheetData>
  <mergeCells count="10">
    <mergeCell ref="N10:Q10"/>
    <mergeCell ref="N11:O11"/>
    <mergeCell ref="P11:Q11"/>
    <mergeCell ref="N12:O12"/>
    <mergeCell ref="P12:Q12"/>
    <mergeCell ref="T13:T14"/>
    <mergeCell ref="U13:AD15"/>
    <mergeCell ref="T17:T18"/>
    <mergeCell ref="U17:AD18"/>
    <mergeCell ref="U24:AD26"/>
  </mergeCells>
  <pageMargins left="0.45" right="0.45" top="0.75" bottom="0.5" header="0.3" footer="0.05"/>
  <pageSetup scale="50"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tabColor rgb="FFFFFF00"/>
    <pageSetUpPr fitToPage="1"/>
  </sheetPr>
  <dimension ref="A1:Z59"/>
  <sheetViews>
    <sheetView zoomScaleNormal="100" workbookViewId="0">
      <selection activeCell="N26" sqref="N26"/>
    </sheetView>
  </sheetViews>
  <sheetFormatPr baseColWidth="10" defaultColWidth="9.140625" defaultRowHeight="15.75" outlineLevelCol="1"/>
  <cols>
    <col min="1" max="1" width="9.42578125" style="115" bestFit="1" customWidth="1"/>
    <col min="2" max="2" width="38.7109375" style="115" customWidth="1"/>
    <col min="3" max="3" width="9.140625" style="115"/>
    <col min="4" max="4" width="12.28515625" style="115" bestFit="1" customWidth="1"/>
    <col min="5" max="5" width="3.85546875" style="115" hidden="1" customWidth="1" outlineLevel="1"/>
    <col min="6" max="6" width="13.5703125" style="115" hidden="1" customWidth="1" outlineLevel="1"/>
    <col min="7" max="7" width="3.85546875" style="115" customWidth="1" collapsed="1"/>
    <col min="8" max="8" width="10" style="115" bestFit="1" customWidth="1"/>
    <col min="9" max="9" width="3.85546875" style="115" hidden="1" customWidth="1" outlineLevel="1"/>
    <col min="10" max="10" width="13.28515625" style="115" hidden="1" customWidth="1" outlineLevel="1"/>
    <col min="11" max="11" width="3.85546875" style="115" customWidth="1" collapsed="1"/>
    <col min="12" max="12" width="9.42578125" style="115" bestFit="1" customWidth="1"/>
    <col min="13" max="13" width="3.85546875" style="115" customWidth="1"/>
    <col min="14" max="14" width="14" style="115" bestFit="1" customWidth="1"/>
    <col min="15" max="15" width="6" style="115" bestFit="1" customWidth="1"/>
    <col min="16" max="16" width="12.42578125" style="115" bestFit="1" customWidth="1"/>
    <col min="17" max="17" width="6" style="115" bestFit="1" customWidth="1"/>
    <col min="18" max="18" width="3.5703125" style="115" customWidth="1"/>
    <col min="19" max="19" width="21" style="115" hidden="1" customWidth="1" outlineLevel="1"/>
    <col min="20" max="20" width="9.140625" style="115" collapsed="1"/>
    <col min="21" max="16384" width="9.140625" style="115"/>
  </cols>
  <sheetData>
    <row r="1" spans="1:26">
      <c r="A1" s="599" t="s">
        <v>8</v>
      </c>
      <c r="B1" s="599"/>
      <c r="C1" s="599"/>
      <c r="D1" s="599"/>
      <c r="E1" s="599"/>
      <c r="F1" s="599"/>
      <c r="G1" s="599"/>
      <c r="H1" s="599"/>
      <c r="I1" s="599"/>
      <c r="J1" s="599"/>
      <c r="K1" s="599"/>
      <c r="L1" s="599"/>
      <c r="M1" s="599"/>
      <c r="N1" s="599"/>
      <c r="O1" s="599"/>
      <c r="P1" s="599"/>
    </row>
    <row r="2" spans="1:26">
      <c r="A2" s="600" t="s">
        <v>9</v>
      </c>
      <c r="B2" s="601"/>
      <c r="C2" s="601"/>
      <c r="D2" s="601"/>
      <c r="E2" s="601"/>
      <c r="F2" s="601"/>
      <c r="G2" s="601"/>
      <c r="H2" s="601"/>
      <c r="I2" s="601"/>
      <c r="J2" s="601"/>
      <c r="K2" s="601"/>
      <c r="L2" s="601"/>
      <c r="M2" s="601"/>
      <c r="N2" s="601"/>
      <c r="O2" s="601"/>
      <c r="P2" s="601"/>
    </row>
    <row r="3" spans="1:26">
      <c r="A3" s="602" t="s">
        <v>133</v>
      </c>
      <c r="B3" s="601"/>
      <c r="C3" s="601"/>
      <c r="D3" s="601"/>
      <c r="E3" s="601"/>
      <c r="F3" s="601"/>
      <c r="G3" s="601"/>
      <c r="H3" s="601"/>
      <c r="I3" s="601"/>
      <c r="J3" s="601"/>
      <c r="K3" s="601"/>
      <c r="L3" s="601"/>
      <c r="M3" s="601"/>
      <c r="N3" s="601"/>
      <c r="O3" s="601"/>
      <c r="P3" s="601"/>
    </row>
    <row r="4" spans="1:26">
      <c r="A4" s="603" t="s">
        <v>92</v>
      </c>
      <c r="B4" s="601"/>
      <c r="C4" s="601"/>
      <c r="D4" s="601"/>
      <c r="E4" s="601"/>
      <c r="F4" s="601"/>
      <c r="G4" s="601"/>
      <c r="H4" s="601"/>
      <c r="I4" s="601"/>
      <c r="J4" s="601"/>
      <c r="K4" s="601"/>
      <c r="L4" s="601"/>
      <c r="M4" s="601"/>
      <c r="N4" s="601"/>
      <c r="O4" s="601"/>
      <c r="P4" s="601"/>
    </row>
    <row r="9" spans="1:26">
      <c r="F9" s="116" t="s">
        <v>152</v>
      </c>
      <c r="G9" s="117"/>
      <c r="H9" s="117"/>
      <c r="I9" s="117"/>
      <c r="J9" s="116" t="s">
        <v>152</v>
      </c>
      <c r="S9" s="116" t="s">
        <v>152</v>
      </c>
      <c r="U9" s="285" t="s">
        <v>227</v>
      </c>
      <c r="V9" s="285"/>
      <c r="W9" s="285"/>
      <c r="X9" s="285"/>
      <c r="Y9" s="285"/>
      <c r="Z9" s="285"/>
    </row>
    <row r="10" spans="1:26">
      <c r="N10" s="562" t="s">
        <v>36</v>
      </c>
      <c r="O10" s="562"/>
      <c r="P10" s="562"/>
      <c r="Q10" s="562"/>
      <c r="S10" s="118"/>
      <c r="U10" s="285"/>
      <c r="V10" s="285"/>
      <c r="W10" s="285"/>
      <c r="X10" s="285"/>
      <c r="Y10" s="285"/>
      <c r="Z10" s="285"/>
    </row>
    <row r="11" spans="1:26">
      <c r="B11" s="119" t="s">
        <v>134</v>
      </c>
      <c r="D11" s="120">
        <v>2014</v>
      </c>
      <c r="E11" s="121"/>
      <c r="F11" s="120">
        <v>2014</v>
      </c>
      <c r="G11" s="121"/>
      <c r="H11" s="120">
        <v>2015</v>
      </c>
      <c r="I11" s="121"/>
      <c r="J11" s="120">
        <v>2015</v>
      </c>
      <c r="L11" s="122" t="s">
        <v>153</v>
      </c>
      <c r="N11" s="563" t="str">
        <f>'25442'!N11:O11</f>
        <v>2015 (3+9)</v>
      </c>
      <c r="O11" s="563"/>
      <c r="P11" s="563" t="str">
        <f>'25442'!P11:Q11</f>
        <v>Cause 2016</v>
      </c>
      <c r="Q11" s="563"/>
      <c r="S11" s="248" t="s">
        <v>155</v>
      </c>
      <c r="U11" s="285"/>
      <c r="V11" s="285"/>
      <c r="W11" s="285"/>
      <c r="X11" s="285"/>
      <c r="Y11" s="285"/>
      <c r="Z11" s="285"/>
    </row>
    <row r="12" spans="1:26">
      <c r="D12" s="124" t="s">
        <v>27</v>
      </c>
      <c r="E12" s="121"/>
      <c r="F12" s="124" t="s">
        <v>28</v>
      </c>
      <c r="G12" s="121"/>
      <c r="H12" s="124" t="s">
        <v>94</v>
      </c>
      <c r="I12" s="121"/>
      <c r="J12" s="124" t="s">
        <v>28</v>
      </c>
      <c r="L12" s="125">
        <v>2016</v>
      </c>
      <c r="M12" s="125"/>
      <c r="N12" s="563" t="str">
        <f>'25442'!N12:O12</f>
        <v>vs Réel 2014</v>
      </c>
      <c r="O12" s="563"/>
      <c r="P12" s="563" t="str">
        <f>'25442'!P12:Q12</f>
        <v>vs 2015 (3+9)</v>
      </c>
      <c r="Q12" s="563"/>
      <c r="S12" s="248" t="s">
        <v>156</v>
      </c>
      <c r="U12" s="285"/>
      <c r="V12" s="285"/>
      <c r="W12" s="285"/>
      <c r="X12" s="285"/>
      <c r="Y12" s="285"/>
      <c r="Z12" s="285"/>
    </row>
    <row r="13" spans="1:26"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c r="U13" s="285"/>
      <c r="V13" s="285"/>
      <c r="W13" s="285"/>
      <c r="X13" s="285"/>
      <c r="Y13" s="285"/>
      <c r="Z13" s="285"/>
    </row>
    <row r="14" spans="1:26">
      <c r="D14" s="117">
        <v>1</v>
      </c>
      <c r="E14" s="117"/>
      <c r="F14" s="117"/>
      <c r="G14" s="117"/>
      <c r="H14" s="117">
        <v>2</v>
      </c>
      <c r="I14" s="117"/>
      <c r="J14" s="117"/>
      <c r="K14" s="117"/>
      <c r="L14" s="117">
        <v>3</v>
      </c>
      <c r="M14" s="130"/>
      <c r="N14" s="130" t="s">
        <v>199</v>
      </c>
      <c r="O14" s="130">
        <v>5</v>
      </c>
      <c r="P14" s="130" t="s">
        <v>158</v>
      </c>
      <c r="Q14" s="130">
        <v>7</v>
      </c>
      <c r="R14" s="131"/>
      <c r="S14" s="132">
        <v>8</v>
      </c>
      <c r="U14" s="285"/>
      <c r="V14" s="285"/>
      <c r="W14" s="285"/>
      <c r="X14" s="285"/>
      <c r="Y14" s="285"/>
      <c r="Z14" s="285"/>
    </row>
    <row r="15" spans="1:26">
      <c r="A15" s="117"/>
      <c r="S15" s="118"/>
      <c r="U15" s="285"/>
      <c r="V15" s="285"/>
      <c r="W15" s="285"/>
      <c r="X15" s="285"/>
      <c r="Y15" s="285"/>
      <c r="Z15" s="285"/>
    </row>
    <row r="16" spans="1:26" ht="16.5" thickBot="1">
      <c r="A16" s="117">
        <v>1</v>
      </c>
      <c r="B16" s="119" t="s">
        <v>0</v>
      </c>
      <c r="D16" s="133">
        <v>0</v>
      </c>
      <c r="E16" s="134"/>
      <c r="F16" s="133">
        <v>0</v>
      </c>
      <c r="G16" s="134"/>
      <c r="H16" s="133">
        <v>0</v>
      </c>
      <c r="I16" s="134"/>
      <c r="J16" s="133">
        <v>0</v>
      </c>
      <c r="K16" s="134"/>
      <c r="L16" s="133">
        <v>0</v>
      </c>
      <c r="M16" s="135"/>
      <c r="N16" s="133">
        <f>H16-D16</f>
        <v>0</v>
      </c>
      <c r="O16" s="136">
        <f>IF(D16&gt;0,N16/D16*100,0)</f>
        <v>0</v>
      </c>
      <c r="P16" s="113">
        <f>L16-H16</f>
        <v>0</v>
      </c>
      <c r="Q16" s="136">
        <f>IF(H16&gt;0,P16/H16*100,0)</f>
        <v>0</v>
      </c>
      <c r="S16" s="137">
        <f>L16</f>
        <v>0</v>
      </c>
      <c r="U16" s="311" t="s">
        <v>195</v>
      </c>
      <c r="V16" s="285"/>
      <c r="W16" s="285"/>
      <c r="X16" s="285"/>
      <c r="Y16" s="285"/>
      <c r="Z16" s="285"/>
    </row>
    <row r="17" spans="1:26" ht="16.5" thickTop="1">
      <c r="A17" s="117"/>
      <c r="B17" s="119"/>
      <c r="D17" s="138"/>
      <c r="E17" s="134"/>
      <c r="F17" s="138"/>
      <c r="G17" s="134"/>
      <c r="H17" s="138"/>
      <c r="I17" s="134"/>
      <c r="J17" s="138"/>
      <c r="K17" s="134"/>
      <c r="L17" s="138"/>
      <c r="M17" s="139"/>
      <c r="N17" s="138"/>
      <c r="O17" s="139"/>
      <c r="P17" s="139"/>
      <c r="S17" s="140"/>
      <c r="U17" s="285"/>
      <c r="V17" s="285"/>
      <c r="W17" s="285"/>
      <c r="X17" s="285"/>
      <c r="Y17" s="285"/>
      <c r="Z17" s="285"/>
    </row>
    <row r="18" spans="1:26">
      <c r="A18" s="117"/>
      <c r="D18" s="134"/>
      <c r="E18" s="134"/>
      <c r="F18" s="134"/>
      <c r="G18" s="134"/>
      <c r="H18" s="134"/>
      <c r="I18" s="134"/>
      <c r="J18" s="134"/>
      <c r="K18" s="134"/>
      <c r="L18" s="134"/>
      <c r="N18" s="134"/>
      <c r="S18" s="140"/>
      <c r="U18" s="285"/>
      <c r="V18" s="285"/>
      <c r="W18" s="285"/>
      <c r="X18" s="285"/>
      <c r="Y18" s="285"/>
      <c r="Z18" s="285"/>
    </row>
    <row r="19" spans="1:26">
      <c r="A19" s="117"/>
      <c r="B19" s="13" t="s">
        <v>3</v>
      </c>
      <c r="D19" s="134"/>
      <c r="E19" s="134"/>
      <c r="F19" s="134"/>
      <c r="G19" s="134"/>
      <c r="H19" s="134"/>
      <c r="I19" s="134"/>
      <c r="J19" s="134"/>
      <c r="K19" s="134"/>
      <c r="L19" s="134"/>
      <c r="N19" s="134"/>
      <c r="S19" s="140"/>
      <c r="U19" s="285"/>
      <c r="V19" s="285"/>
      <c r="W19" s="285"/>
      <c r="X19" s="285"/>
      <c r="Y19" s="285"/>
      <c r="Z19" s="285"/>
    </row>
    <row r="20" spans="1:26">
      <c r="A20" s="117"/>
      <c r="D20" s="134"/>
      <c r="E20" s="134"/>
      <c r="F20" s="134"/>
      <c r="G20" s="134"/>
      <c r="H20" s="134"/>
      <c r="I20" s="134"/>
      <c r="J20" s="134"/>
      <c r="K20" s="134"/>
      <c r="L20" s="134"/>
      <c r="N20" s="134"/>
      <c r="S20" s="140"/>
      <c r="U20" s="285" t="s">
        <v>230</v>
      </c>
      <c r="V20" s="285"/>
      <c r="W20" s="285"/>
      <c r="X20" s="285"/>
      <c r="Y20" s="285"/>
      <c r="Z20" s="285"/>
    </row>
    <row r="21" spans="1:26">
      <c r="A21" s="117">
        <v>2</v>
      </c>
      <c r="B21" s="115" t="s">
        <v>95</v>
      </c>
      <c r="D21" s="134">
        <f>[35]INPUT!C359/1000</f>
        <v>271.58204000000001</v>
      </c>
      <c r="E21" s="134"/>
      <c r="F21" s="134">
        <f>'[35]Budget 2014'!O358/1000</f>
        <v>270</v>
      </c>
      <c r="G21" s="134"/>
      <c r="H21" s="134">
        <f>[35]INPUT!E359/1000</f>
        <v>274.24968000000001</v>
      </c>
      <c r="I21" s="134"/>
      <c r="J21" s="134">
        <f>[35]INPUT!D359/1000</f>
        <v>274.25</v>
      </c>
      <c r="K21" s="134"/>
      <c r="L21" s="134">
        <f>[35]INPUT!F359/1000</f>
        <v>280.8</v>
      </c>
      <c r="M21" s="139"/>
      <c r="N21" s="134">
        <f>H21-D21</f>
        <v>2.6676400000000058</v>
      </c>
      <c r="O21" s="136">
        <f>N21/D21</f>
        <v>9.8225935706205223E-3</v>
      </c>
      <c r="P21" s="134">
        <f>L21-H21</f>
        <v>6.5503199999999993</v>
      </c>
      <c r="Q21" s="136">
        <f>P21/H21</f>
        <v>2.3884512827872757E-2</v>
      </c>
      <c r="S21" s="140">
        <f>L21</f>
        <v>280.8</v>
      </c>
      <c r="U21" s="285" t="s">
        <v>231</v>
      </c>
      <c r="V21" s="285"/>
      <c r="W21" s="285"/>
      <c r="X21" s="285"/>
      <c r="Y21" s="285"/>
      <c r="Z21" s="285"/>
    </row>
    <row r="22" spans="1:26">
      <c r="A22" s="117"/>
      <c r="D22" s="141"/>
      <c r="E22" s="134"/>
      <c r="F22" s="141"/>
      <c r="G22" s="134"/>
      <c r="H22" s="141"/>
      <c r="I22" s="134"/>
      <c r="J22" s="141"/>
      <c r="K22" s="134"/>
      <c r="L22" s="141"/>
      <c r="N22" s="141"/>
      <c r="O22" s="136"/>
      <c r="P22" s="141"/>
      <c r="Q22" s="136"/>
      <c r="S22" s="142"/>
    </row>
    <row r="23" spans="1:26">
      <c r="A23" s="117"/>
      <c r="D23" s="134"/>
      <c r="E23" s="134"/>
      <c r="F23" s="134"/>
      <c r="G23" s="134"/>
      <c r="H23" s="134"/>
      <c r="I23" s="134"/>
      <c r="J23" s="134"/>
      <c r="K23" s="134"/>
      <c r="L23" s="134"/>
      <c r="N23" s="134"/>
      <c r="O23" s="136"/>
      <c r="P23" s="134"/>
      <c r="Q23" s="136"/>
      <c r="S23" s="140"/>
    </row>
    <row r="24" spans="1:26" ht="16.5" thickBot="1">
      <c r="A24" s="117">
        <v>3</v>
      </c>
      <c r="B24" s="13" t="s">
        <v>12</v>
      </c>
      <c r="D24" s="133">
        <f>SUM(D21:D23)</f>
        <v>271.58204000000001</v>
      </c>
      <c r="E24" s="134"/>
      <c r="F24" s="133">
        <f>SUM(F21:F23)</f>
        <v>270</v>
      </c>
      <c r="G24" s="134"/>
      <c r="H24" s="133">
        <f>SUM(H21:H23)</f>
        <v>274.24968000000001</v>
      </c>
      <c r="I24" s="134"/>
      <c r="J24" s="133">
        <f>SUM(J21:J23)</f>
        <v>274.25</v>
      </c>
      <c r="K24" s="134"/>
      <c r="L24" s="133">
        <f>SUM(L21:L23)</f>
        <v>280.8</v>
      </c>
      <c r="M24" s="135"/>
      <c r="N24" s="133">
        <f>SUM(N21:N23)</f>
        <v>2.6676400000000058</v>
      </c>
      <c r="O24" s="136">
        <f>N24/D24</f>
        <v>9.8225935706205223E-3</v>
      </c>
      <c r="P24" s="133">
        <f>SUM(P21:P23)</f>
        <v>6.5503199999999993</v>
      </c>
      <c r="Q24" s="136">
        <f>P24/H24</f>
        <v>2.3884512827872757E-2</v>
      </c>
      <c r="S24" s="137">
        <f>SUM(S21:S23)</f>
        <v>280.8</v>
      </c>
    </row>
    <row r="25" spans="1:26" ht="16.5" thickTop="1">
      <c r="A25" s="117"/>
      <c r="D25" s="134"/>
      <c r="E25" s="134"/>
      <c r="F25" s="134"/>
      <c r="G25" s="143"/>
      <c r="H25" s="134"/>
      <c r="I25" s="134"/>
      <c r="J25" s="134"/>
      <c r="K25" s="143"/>
      <c r="L25" s="134"/>
      <c r="M25" s="139"/>
      <c r="N25" s="134"/>
      <c r="O25" s="139"/>
      <c r="P25" s="139"/>
    </row>
    <row r="26" spans="1:26">
      <c r="A26" s="117"/>
      <c r="D26" s="134"/>
      <c r="E26" s="134"/>
      <c r="F26" s="134"/>
      <c r="G26" s="143"/>
      <c r="H26" s="134"/>
      <c r="I26" s="134"/>
      <c r="J26" s="134"/>
      <c r="K26" s="143"/>
      <c r="L26" s="134"/>
      <c r="M26" s="139"/>
      <c r="N26" s="134"/>
      <c r="O26" s="139"/>
      <c r="P26" s="139"/>
    </row>
    <row r="27" spans="1:26">
      <c r="A27" s="117"/>
      <c r="D27" s="134"/>
      <c r="E27" s="134"/>
      <c r="F27" s="134"/>
      <c r="G27" s="143"/>
      <c r="H27" s="134"/>
      <c r="I27" s="134"/>
      <c r="J27" s="134"/>
      <c r="K27" s="143"/>
      <c r="L27" s="134"/>
      <c r="M27" s="139"/>
      <c r="N27" s="134"/>
      <c r="O27" s="139"/>
      <c r="P27" s="139"/>
    </row>
    <row r="28" spans="1:26">
      <c r="A28" s="115" t="s">
        <v>49</v>
      </c>
      <c r="B28" s="115" t="s">
        <v>71</v>
      </c>
      <c r="D28" s="134"/>
      <c r="E28" s="134"/>
      <c r="F28" s="134"/>
      <c r="G28" s="143"/>
      <c r="H28" s="134"/>
      <c r="I28" s="134"/>
      <c r="J28" s="134"/>
      <c r="K28" s="143"/>
      <c r="L28" s="134"/>
      <c r="M28" s="139"/>
      <c r="N28" s="134"/>
      <c r="O28" s="139"/>
      <c r="P28" s="139"/>
    </row>
    <row r="29" spans="1:26">
      <c r="B29" s="115" t="s">
        <v>72</v>
      </c>
      <c r="D29" s="134"/>
      <c r="E29" s="134"/>
      <c r="F29" s="134"/>
      <c r="G29" s="143"/>
      <c r="H29" s="134"/>
      <c r="I29" s="134"/>
      <c r="J29" s="134"/>
      <c r="K29" s="143"/>
      <c r="L29" s="134"/>
      <c r="M29" s="139"/>
      <c r="N29" s="134"/>
      <c r="O29" s="139"/>
      <c r="P29" s="139"/>
    </row>
    <row r="30" spans="1:26">
      <c r="A30" s="117"/>
      <c r="D30" s="134"/>
      <c r="E30" s="134"/>
      <c r="F30" s="134"/>
      <c r="G30" s="143"/>
      <c r="H30" s="134"/>
      <c r="I30" s="134"/>
      <c r="J30" s="134"/>
      <c r="K30" s="143"/>
      <c r="L30" s="134"/>
      <c r="M30" s="139"/>
      <c r="N30" s="134"/>
      <c r="O30" s="139"/>
      <c r="P30" s="139"/>
    </row>
    <row r="31" spans="1:26">
      <c r="A31" s="117"/>
      <c r="D31" s="134"/>
      <c r="E31" s="134"/>
      <c r="F31" s="134"/>
      <c r="H31" s="134"/>
      <c r="I31" s="134"/>
      <c r="J31" s="134"/>
      <c r="L31" s="134"/>
      <c r="N31" s="134"/>
      <c r="O31" s="139"/>
      <c r="P31" s="139"/>
    </row>
    <row r="35" spans="4:11">
      <c r="D35" s="134"/>
      <c r="E35" s="134"/>
      <c r="F35" s="134"/>
      <c r="G35" s="134"/>
      <c r="H35" s="134"/>
      <c r="I35" s="134"/>
      <c r="J35" s="134"/>
      <c r="K35" s="134"/>
    </row>
    <row r="36" spans="4:11">
      <c r="D36" s="134"/>
      <c r="E36" s="134"/>
      <c r="F36" s="134"/>
      <c r="G36" s="134"/>
    </row>
    <row r="37" spans="4:11">
      <c r="D37" s="134"/>
      <c r="E37" s="134"/>
      <c r="F37" s="134"/>
      <c r="G37" s="134"/>
    </row>
    <row r="38" spans="4:11">
      <c r="D38" s="134"/>
      <c r="E38" s="134"/>
      <c r="F38" s="134"/>
      <c r="G38" s="134"/>
    </row>
    <row r="39" spans="4:11">
      <c r="D39" s="134"/>
      <c r="E39" s="134"/>
      <c r="F39" s="134"/>
      <c r="G39" s="134"/>
    </row>
    <row r="40" spans="4:11">
      <c r="D40" s="134"/>
      <c r="E40" s="134"/>
      <c r="F40" s="134"/>
      <c r="G40" s="134"/>
    </row>
    <row r="54" spans="1:16">
      <c r="H54" s="149"/>
      <c r="I54" s="149"/>
      <c r="J54" s="149"/>
      <c r="K54" s="149"/>
      <c r="L54" s="149"/>
      <c r="M54" s="149"/>
      <c r="N54" s="149"/>
      <c r="O54" s="149"/>
      <c r="P54" s="149" t="s">
        <v>96</v>
      </c>
    </row>
    <row r="55" spans="1:16">
      <c r="H55" s="149"/>
      <c r="I55" s="149"/>
      <c r="J55" s="149"/>
      <c r="K55" s="149"/>
      <c r="L55" s="149"/>
      <c r="M55" s="149"/>
      <c r="N55" s="149"/>
      <c r="O55" s="149"/>
      <c r="P55" s="149" t="s">
        <v>97</v>
      </c>
    </row>
    <row r="56" spans="1:16">
      <c r="H56" s="149"/>
      <c r="I56" s="149"/>
      <c r="J56" s="149"/>
      <c r="K56" s="149"/>
      <c r="L56" s="149"/>
      <c r="M56" s="149"/>
      <c r="N56" s="149"/>
      <c r="O56" s="149"/>
      <c r="P56" s="149" t="s">
        <v>51</v>
      </c>
    </row>
    <row r="57" spans="1:16">
      <c r="A57" s="115" t="s">
        <v>98</v>
      </c>
      <c r="H57" s="149"/>
      <c r="I57" s="149"/>
      <c r="J57" s="149"/>
      <c r="K57" s="149"/>
      <c r="L57" s="149"/>
      <c r="M57" s="149"/>
      <c r="N57" s="149"/>
      <c r="O57" s="149"/>
      <c r="P57" s="149" t="s">
        <v>99</v>
      </c>
    </row>
    <row r="59" spans="1:16">
      <c r="C59" s="150" t="s">
        <v>100</v>
      </c>
      <c r="D59" s="151">
        <f>D16+D24-([35]INPUT!C359)/1000</f>
        <v>0</v>
      </c>
      <c r="E59" s="152"/>
      <c r="F59" s="151">
        <f>F16+F24-('[35]Budget 2014'!O358)/1000</f>
        <v>0</v>
      </c>
      <c r="G59" s="152"/>
      <c r="H59" s="151">
        <f>H16+H24-([35]INPUT!E359)/1000</f>
        <v>0</v>
      </c>
      <c r="I59" s="152"/>
      <c r="J59" s="151">
        <f>J16+J24-([35]INPUT!D359)/1000</f>
        <v>0</v>
      </c>
      <c r="K59" s="152"/>
      <c r="L59" s="151">
        <f>L16+L24-([35]INPUT!F359)/1000</f>
        <v>0</v>
      </c>
    </row>
  </sheetData>
  <mergeCells count="9">
    <mergeCell ref="N11:O11"/>
    <mergeCell ref="P11:Q11"/>
    <mergeCell ref="N12:O12"/>
    <mergeCell ref="P12:Q12"/>
    <mergeCell ref="A1:P1"/>
    <mergeCell ref="A2:P2"/>
    <mergeCell ref="A3:P3"/>
    <mergeCell ref="A4:P4"/>
    <mergeCell ref="N10:Q10"/>
  </mergeCells>
  <pageMargins left="0.45" right="0.45" top="0.75" bottom="0.5" header="0.3" footer="0.05"/>
  <pageSetup scale="1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tabColor rgb="FFFFFF00"/>
    <pageSetUpPr fitToPage="1"/>
  </sheetPr>
  <dimension ref="A1:AD59"/>
  <sheetViews>
    <sheetView zoomScaleNormal="100" workbookViewId="0">
      <selection activeCell="N26" sqref="N26"/>
    </sheetView>
  </sheetViews>
  <sheetFormatPr baseColWidth="10" defaultColWidth="9.140625" defaultRowHeight="15.75" outlineLevelCol="1"/>
  <cols>
    <col min="1" max="1" width="9.42578125" style="115" bestFit="1" customWidth="1"/>
    <col min="2" max="2" width="28" style="115" customWidth="1"/>
    <col min="3" max="3" width="6.42578125" style="115" customWidth="1"/>
    <col min="4" max="4" width="12.28515625" style="115" bestFit="1" customWidth="1"/>
    <col min="5" max="5" width="3.85546875" style="115" hidden="1" customWidth="1" outlineLevel="1"/>
    <col min="6" max="6" width="13.5703125" style="115" hidden="1" customWidth="1" outlineLevel="1"/>
    <col min="7" max="7" width="3.85546875" style="115" customWidth="1" collapsed="1"/>
    <col min="8" max="8" width="10" style="115" bestFit="1" customWidth="1"/>
    <col min="9" max="9" width="3.85546875" style="115" hidden="1" customWidth="1" outlineLevel="1"/>
    <col min="10" max="10" width="13.28515625" style="115" hidden="1" customWidth="1" outlineLevel="1"/>
    <col min="11" max="11" width="3.85546875" style="115" customWidth="1" collapsed="1"/>
    <col min="12" max="12" width="9.42578125" style="115" bestFit="1" customWidth="1"/>
    <col min="13" max="13" width="3.85546875" style="115" customWidth="1"/>
    <col min="14" max="14" width="14" style="115" bestFit="1" customWidth="1"/>
    <col min="15" max="15" width="5.140625" style="115" bestFit="1" customWidth="1"/>
    <col min="16" max="16" width="12.42578125" style="115" bestFit="1" customWidth="1"/>
    <col min="17" max="17" width="5" style="115" customWidth="1"/>
    <col min="18" max="18" width="3.5703125" style="115" customWidth="1"/>
    <col min="19" max="19" width="19.5703125" style="115" hidden="1" customWidth="1" outlineLevel="1"/>
    <col min="20" max="20" width="9.140625" style="115" collapsed="1"/>
    <col min="21" max="16384" width="9.140625" style="115"/>
  </cols>
  <sheetData>
    <row r="1" spans="1:30">
      <c r="A1" s="9" t="s">
        <v>8</v>
      </c>
      <c r="B1" s="284"/>
      <c r="C1" s="284"/>
      <c r="D1" s="284"/>
      <c r="E1" s="284"/>
      <c r="F1" s="284"/>
      <c r="G1" s="284"/>
      <c r="H1" s="284"/>
      <c r="I1" s="284"/>
      <c r="J1" s="284"/>
      <c r="K1" s="284"/>
      <c r="L1" s="284"/>
      <c r="M1" s="284"/>
      <c r="N1" s="284"/>
      <c r="O1" s="284"/>
      <c r="P1" s="284"/>
      <c r="Q1" s="285"/>
      <c r="R1" s="285"/>
      <c r="S1" s="285"/>
      <c r="T1" s="285"/>
      <c r="U1" s="285"/>
      <c r="V1" s="285"/>
      <c r="W1" s="285"/>
      <c r="X1" s="285"/>
      <c r="Y1" s="285"/>
      <c r="Z1" s="285"/>
      <c r="AA1" s="285"/>
      <c r="AB1" s="285"/>
      <c r="AC1" s="285"/>
      <c r="AD1" s="285"/>
    </row>
    <row r="2" spans="1:30">
      <c r="A2" s="10" t="s">
        <v>9</v>
      </c>
      <c r="B2" s="284"/>
      <c r="C2" s="284"/>
      <c r="D2" s="284"/>
      <c r="E2" s="284"/>
      <c r="F2" s="284"/>
      <c r="G2" s="284"/>
      <c r="H2" s="284"/>
      <c r="I2" s="284"/>
      <c r="J2" s="284"/>
      <c r="K2" s="284"/>
      <c r="L2" s="284"/>
      <c r="M2" s="284"/>
      <c r="N2" s="284"/>
      <c r="O2" s="284"/>
      <c r="P2" s="284"/>
      <c r="Q2" s="285"/>
      <c r="R2" s="285"/>
      <c r="S2" s="285"/>
      <c r="T2" s="285"/>
      <c r="U2" s="285"/>
      <c r="V2" s="285"/>
      <c r="W2" s="285"/>
      <c r="X2" s="285"/>
      <c r="Y2" s="285"/>
      <c r="Z2" s="285"/>
      <c r="AA2" s="285"/>
      <c r="AB2" s="285"/>
      <c r="AC2" s="285"/>
      <c r="AD2" s="285"/>
    </row>
    <row r="3" spans="1:30">
      <c r="A3" s="11" t="s">
        <v>135</v>
      </c>
      <c r="B3" s="284"/>
      <c r="C3" s="284"/>
      <c r="D3" s="284"/>
      <c r="E3" s="284"/>
      <c r="F3" s="284"/>
      <c r="G3" s="284"/>
      <c r="H3" s="284"/>
      <c r="I3" s="284"/>
      <c r="J3" s="284"/>
      <c r="K3" s="284"/>
      <c r="L3" s="284"/>
      <c r="M3" s="284"/>
      <c r="N3" s="284"/>
      <c r="O3" s="284"/>
      <c r="P3" s="284"/>
      <c r="Q3" s="285"/>
      <c r="R3" s="285"/>
      <c r="S3" s="285"/>
      <c r="T3" s="285"/>
      <c r="U3" s="285"/>
      <c r="V3" s="285"/>
      <c r="W3" s="285"/>
      <c r="X3" s="285"/>
      <c r="Y3" s="285"/>
      <c r="Z3" s="285"/>
      <c r="AA3" s="285"/>
      <c r="AB3" s="285"/>
      <c r="AC3" s="285"/>
      <c r="AD3" s="285"/>
    </row>
    <row r="4" spans="1:30">
      <c r="A4" s="12" t="s">
        <v>92</v>
      </c>
      <c r="B4" s="284"/>
      <c r="C4" s="284"/>
      <c r="D4" s="284"/>
      <c r="E4" s="284"/>
      <c r="F4" s="284"/>
      <c r="G4" s="284"/>
      <c r="H4" s="284"/>
      <c r="I4" s="284"/>
      <c r="J4" s="284"/>
      <c r="K4" s="284"/>
      <c r="L4" s="284"/>
      <c r="M4" s="284"/>
      <c r="N4" s="284"/>
      <c r="O4" s="284"/>
      <c r="P4" s="284"/>
      <c r="Q4" s="285"/>
      <c r="R4" s="285"/>
      <c r="S4" s="285"/>
      <c r="T4" s="285"/>
      <c r="U4" s="285"/>
      <c r="V4" s="285"/>
      <c r="W4" s="285"/>
      <c r="X4" s="285"/>
      <c r="Y4" s="285"/>
      <c r="Z4" s="285"/>
      <c r="AA4" s="285"/>
      <c r="AB4" s="285"/>
      <c r="AC4" s="285"/>
      <c r="AD4" s="285"/>
    </row>
    <row r="5" spans="1:30">
      <c r="A5" s="285"/>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row>
    <row r="6" spans="1:30">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row>
    <row r="7" spans="1:30">
      <c r="A7" s="285"/>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row>
    <row r="8" spans="1:30">
      <c r="A8" s="285"/>
      <c r="B8" s="285"/>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row>
    <row r="9" spans="1:30">
      <c r="A9" s="285"/>
      <c r="B9" s="285"/>
      <c r="C9" s="285"/>
      <c r="D9" s="285"/>
      <c r="E9" s="285"/>
      <c r="F9" s="286" t="s">
        <v>152</v>
      </c>
      <c r="G9" s="287"/>
      <c r="H9" s="287"/>
      <c r="I9" s="287"/>
      <c r="J9" s="286" t="s">
        <v>152</v>
      </c>
      <c r="K9" s="285"/>
      <c r="L9" s="285"/>
      <c r="M9" s="285"/>
      <c r="N9" s="285"/>
      <c r="O9" s="285"/>
      <c r="P9" s="285"/>
      <c r="Q9" s="285"/>
      <c r="R9" s="285"/>
      <c r="S9" s="286" t="s">
        <v>152</v>
      </c>
      <c r="T9" s="285"/>
      <c r="U9" s="285"/>
      <c r="V9" s="285"/>
      <c r="W9" s="285"/>
      <c r="X9" s="285"/>
      <c r="Y9" s="285"/>
      <c r="Z9" s="285"/>
      <c r="AA9" s="285"/>
      <c r="AB9" s="285"/>
      <c r="AC9" s="285"/>
      <c r="AD9" s="285"/>
    </row>
    <row r="10" spans="1:30">
      <c r="A10" s="285"/>
      <c r="B10" s="285"/>
      <c r="C10" s="285"/>
      <c r="D10" s="285"/>
      <c r="E10" s="285"/>
      <c r="F10" s="285"/>
      <c r="G10" s="285"/>
      <c r="H10" s="285"/>
      <c r="I10" s="285"/>
      <c r="J10" s="285"/>
      <c r="K10" s="285"/>
      <c r="L10" s="285"/>
      <c r="M10" s="285"/>
      <c r="N10" s="597" t="s">
        <v>36</v>
      </c>
      <c r="O10" s="597"/>
      <c r="P10" s="597"/>
      <c r="Q10" s="597"/>
      <c r="R10" s="285"/>
      <c r="S10" s="288"/>
      <c r="T10" s="285"/>
      <c r="U10" s="285"/>
      <c r="V10" s="285"/>
      <c r="W10" s="285"/>
      <c r="X10" s="285"/>
      <c r="Y10" s="285"/>
      <c r="Z10" s="285"/>
      <c r="AA10" s="285"/>
      <c r="AB10" s="285"/>
      <c r="AC10" s="285"/>
      <c r="AD10" s="285"/>
    </row>
    <row r="11" spans="1:30">
      <c r="A11" s="285"/>
      <c r="B11" s="289" t="s">
        <v>136</v>
      </c>
      <c r="C11" s="285"/>
      <c r="D11" s="290">
        <v>2014</v>
      </c>
      <c r="E11" s="291"/>
      <c r="F11" s="290">
        <v>2014</v>
      </c>
      <c r="G11" s="291"/>
      <c r="H11" s="290">
        <v>2015</v>
      </c>
      <c r="I11" s="291"/>
      <c r="J11" s="290">
        <v>2015</v>
      </c>
      <c r="K11" s="285"/>
      <c r="L11" s="292" t="s">
        <v>153</v>
      </c>
      <c r="M11" s="285"/>
      <c r="N11" s="598" t="str">
        <f>'[33]25444'!N11:O11</f>
        <v>2015 (3+9)</v>
      </c>
      <c r="O11" s="598"/>
      <c r="P11" s="598" t="str">
        <f>'[33]25444'!P11:Q11</f>
        <v>Cause 2016</v>
      </c>
      <c r="Q11" s="598"/>
      <c r="R11" s="285"/>
      <c r="S11" s="293" t="s">
        <v>155</v>
      </c>
      <c r="T11" s="285"/>
      <c r="U11" s="285"/>
      <c r="V11" s="285"/>
      <c r="W11" s="285"/>
      <c r="X11" s="285"/>
      <c r="Y11" s="285"/>
      <c r="Z11" s="285"/>
      <c r="AA11" s="285"/>
      <c r="AB11" s="285"/>
      <c r="AC11" s="285"/>
      <c r="AD11" s="285"/>
    </row>
    <row r="12" spans="1:30">
      <c r="A12" s="285"/>
      <c r="B12" s="285"/>
      <c r="C12" s="285"/>
      <c r="D12" s="294" t="s">
        <v>27</v>
      </c>
      <c r="E12" s="291"/>
      <c r="F12" s="294" t="s">
        <v>28</v>
      </c>
      <c r="G12" s="291"/>
      <c r="H12" s="294" t="s">
        <v>94</v>
      </c>
      <c r="I12" s="291"/>
      <c r="J12" s="294" t="s">
        <v>28</v>
      </c>
      <c r="K12" s="285"/>
      <c r="L12" s="295">
        <v>2016</v>
      </c>
      <c r="M12" s="295"/>
      <c r="N12" s="598" t="str">
        <f>'[33]25444'!N12:O12</f>
        <v>vs Réel 2014</v>
      </c>
      <c r="O12" s="598"/>
      <c r="P12" s="598" t="str">
        <f>'[33]25444'!P12:Q12</f>
        <v>vs 2015 (3+9)</v>
      </c>
      <c r="Q12" s="598"/>
      <c r="R12" s="285"/>
      <c r="S12" s="293" t="s">
        <v>156</v>
      </c>
      <c r="T12" s="285"/>
      <c r="U12" s="285" t="s">
        <v>220</v>
      </c>
      <c r="V12" s="285"/>
      <c r="W12" s="285"/>
      <c r="X12" s="285"/>
      <c r="Y12" s="285"/>
      <c r="Z12" s="285"/>
      <c r="AA12" s="285"/>
      <c r="AB12" s="285"/>
      <c r="AC12" s="285"/>
      <c r="AD12" s="285"/>
    </row>
    <row r="13" spans="1:30" ht="16.5" thickBot="1">
      <c r="A13" s="285"/>
      <c r="B13" s="285"/>
      <c r="C13" s="285"/>
      <c r="D13" s="296" t="s">
        <v>31</v>
      </c>
      <c r="E13" s="291"/>
      <c r="F13" s="296" t="s">
        <v>31</v>
      </c>
      <c r="G13" s="291"/>
      <c r="H13" s="296" t="s">
        <v>31</v>
      </c>
      <c r="I13" s="291"/>
      <c r="J13" s="296" t="s">
        <v>31</v>
      </c>
      <c r="K13" s="285"/>
      <c r="L13" s="297" t="s">
        <v>31</v>
      </c>
      <c r="M13" s="298"/>
      <c r="N13" s="299" t="s">
        <v>31</v>
      </c>
      <c r="O13" s="299" t="s">
        <v>52</v>
      </c>
      <c r="P13" s="299" t="s">
        <v>31</v>
      </c>
      <c r="Q13" s="299" t="s">
        <v>52</v>
      </c>
      <c r="R13" s="285"/>
      <c r="S13" s="299" t="s">
        <v>31</v>
      </c>
      <c r="T13" s="593" t="s">
        <v>232</v>
      </c>
      <c r="U13" s="605" t="s">
        <v>207</v>
      </c>
      <c r="V13" s="605"/>
      <c r="W13" s="605"/>
      <c r="X13" s="605"/>
      <c r="Y13" s="605"/>
      <c r="Z13" s="605"/>
      <c r="AA13" s="605"/>
      <c r="AB13" s="605"/>
      <c r="AC13" s="605"/>
      <c r="AD13" s="605"/>
    </row>
    <row r="14" spans="1:30">
      <c r="A14" s="285"/>
      <c r="B14" s="285"/>
      <c r="C14" s="285"/>
      <c r="D14" s="287">
        <v>1</v>
      </c>
      <c r="E14" s="287"/>
      <c r="F14" s="287"/>
      <c r="G14" s="287"/>
      <c r="H14" s="287">
        <v>2</v>
      </c>
      <c r="I14" s="287"/>
      <c r="J14" s="287"/>
      <c r="K14" s="287"/>
      <c r="L14" s="287">
        <v>3</v>
      </c>
      <c r="M14" s="300"/>
      <c r="N14" s="300" t="s">
        <v>199</v>
      </c>
      <c r="O14" s="300">
        <v>5</v>
      </c>
      <c r="P14" s="300" t="s">
        <v>158</v>
      </c>
      <c r="Q14" s="300">
        <v>7</v>
      </c>
      <c r="R14" s="301"/>
      <c r="S14" s="302">
        <v>8</v>
      </c>
      <c r="T14" s="593"/>
      <c r="U14" s="605"/>
      <c r="V14" s="605"/>
      <c r="W14" s="605"/>
      <c r="X14" s="605"/>
      <c r="Y14" s="605"/>
      <c r="Z14" s="605"/>
      <c r="AA14" s="605"/>
      <c r="AB14" s="605"/>
      <c r="AC14" s="605"/>
      <c r="AD14" s="605"/>
    </row>
    <row r="15" spans="1:30">
      <c r="A15" s="287"/>
      <c r="B15" s="285"/>
      <c r="C15" s="285"/>
      <c r="D15" s="285"/>
      <c r="E15" s="285"/>
      <c r="F15" s="285"/>
      <c r="G15" s="285"/>
      <c r="H15" s="285"/>
      <c r="I15" s="285"/>
      <c r="J15" s="285"/>
      <c r="K15" s="285"/>
      <c r="L15" s="285"/>
      <c r="M15" s="285"/>
      <c r="N15" s="285"/>
      <c r="O15" s="285"/>
      <c r="P15" s="285"/>
      <c r="Q15" s="285"/>
      <c r="R15" s="285"/>
      <c r="S15" s="288"/>
      <c r="T15" s="316"/>
      <c r="U15" s="605"/>
      <c r="V15" s="605"/>
      <c r="W15" s="605"/>
      <c r="X15" s="605"/>
      <c r="Y15" s="605"/>
      <c r="Z15" s="605"/>
      <c r="AA15" s="605"/>
      <c r="AB15" s="605"/>
      <c r="AC15" s="605"/>
      <c r="AD15" s="605"/>
    </row>
    <row r="16" spans="1:30" ht="16.5" thickBot="1">
      <c r="A16" s="287">
        <v>1</v>
      </c>
      <c r="B16" s="289" t="s">
        <v>0</v>
      </c>
      <c r="C16" s="285"/>
      <c r="D16" s="303">
        <f>([36]INPUT!C66+[36]INPUT!C338)/1000</f>
        <v>566.16538000000003</v>
      </c>
      <c r="E16" s="304"/>
      <c r="F16" s="303">
        <f>'[36]Budget 2014'!O65/1000</f>
        <v>639.923</v>
      </c>
      <c r="G16" s="304"/>
      <c r="H16" s="303">
        <f>([36]INPUT!E66+[36]INPUT!E338)/1000</f>
        <v>558.85816</v>
      </c>
      <c r="I16" s="304"/>
      <c r="J16" s="303">
        <f>([36]INPUT!D66+[36]INPUT!D338)/1000</f>
        <v>567.76500000000101</v>
      </c>
      <c r="K16" s="304"/>
      <c r="L16" s="303">
        <f>([36]INPUT!F66+[36]INPUT!F338)/1000</f>
        <v>582.62599999999998</v>
      </c>
      <c r="M16" s="135"/>
      <c r="N16" s="303">
        <f>H16-D16</f>
        <v>-7.3072200000000294</v>
      </c>
      <c r="O16" s="136">
        <f>N16/D16</f>
        <v>-1.2906511521421584E-2</v>
      </c>
      <c r="P16" s="305">
        <f>L16-H16</f>
        <v>23.767839999999978</v>
      </c>
      <c r="Q16" s="136">
        <f>P16/H16</f>
        <v>4.2529288648124913E-2</v>
      </c>
      <c r="R16" s="285"/>
      <c r="S16" s="306">
        <f>L16</f>
        <v>582.62599999999998</v>
      </c>
      <c r="T16" s="285"/>
      <c r="U16" s="605"/>
      <c r="V16" s="605"/>
      <c r="W16" s="605"/>
      <c r="X16" s="605"/>
      <c r="Y16" s="605"/>
      <c r="Z16" s="605"/>
      <c r="AA16" s="605"/>
      <c r="AB16" s="605"/>
      <c r="AC16" s="605"/>
      <c r="AD16" s="605"/>
    </row>
    <row r="17" spans="1:30" ht="16.5" thickTop="1">
      <c r="A17" s="287"/>
      <c r="B17" s="289"/>
      <c r="C17" s="285"/>
      <c r="D17" s="307"/>
      <c r="E17" s="304"/>
      <c r="F17" s="307"/>
      <c r="G17" s="304"/>
      <c r="H17" s="307"/>
      <c r="I17" s="304"/>
      <c r="J17" s="307"/>
      <c r="K17" s="304"/>
      <c r="L17" s="307"/>
      <c r="M17" s="139"/>
      <c r="N17" s="307"/>
      <c r="O17" s="139"/>
      <c r="P17" s="139"/>
      <c r="Q17" s="285"/>
      <c r="R17" s="285"/>
      <c r="S17" s="308"/>
      <c r="T17" s="285"/>
      <c r="U17" s="285"/>
      <c r="V17" s="285"/>
      <c r="W17" s="285"/>
      <c r="X17" s="285"/>
      <c r="Y17" s="285"/>
      <c r="Z17" s="285"/>
      <c r="AA17" s="285"/>
      <c r="AB17" s="285"/>
      <c r="AC17" s="285"/>
      <c r="AD17" s="285"/>
    </row>
    <row r="18" spans="1:30">
      <c r="A18" s="287"/>
      <c r="B18" s="289"/>
      <c r="C18" s="285"/>
      <c r="D18" s="307"/>
      <c r="E18" s="304"/>
      <c r="F18" s="307"/>
      <c r="G18" s="304"/>
      <c r="H18" s="307"/>
      <c r="I18" s="304"/>
      <c r="J18" s="307"/>
      <c r="K18" s="304"/>
      <c r="L18" s="304"/>
      <c r="M18" s="285"/>
      <c r="N18" s="304"/>
      <c r="O18" s="285"/>
      <c r="P18" s="285"/>
      <c r="Q18" s="285"/>
      <c r="R18" s="285"/>
      <c r="S18" s="308"/>
      <c r="T18" s="285"/>
      <c r="U18" s="285" t="s">
        <v>220</v>
      </c>
      <c r="V18" s="285"/>
      <c r="W18" s="285"/>
      <c r="X18" s="285"/>
      <c r="Y18" s="285"/>
      <c r="Z18" s="285"/>
      <c r="AA18" s="285"/>
      <c r="AB18" s="285"/>
      <c r="AC18" s="285"/>
      <c r="AD18" s="285"/>
    </row>
    <row r="19" spans="1:30">
      <c r="A19" s="287"/>
      <c r="B19" s="289"/>
      <c r="C19" s="285"/>
      <c r="D19" s="307"/>
      <c r="E19" s="304"/>
      <c r="F19" s="307"/>
      <c r="G19" s="304"/>
      <c r="H19" s="307"/>
      <c r="I19" s="304"/>
      <c r="J19" s="307"/>
      <c r="K19" s="304"/>
      <c r="L19" s="304"/>
      <c r="M19" s="285"/>
      <c r="N19" s="304"/>
      <c r="O19" s="285"/>
      <c r="P19" s="285"/>
      <c r="Q19" s="285"/>
      <c r="R19" s="285"/>
      <c r="S19" s="308"/>
      <c r="T19" s="593" t="s">
        <v>233</v>
      </c>
      <c r="U19" s="606" t="s">
        <v>234</v>
      </c>
      <c r="V19" s="606"/>
      <c r="W19" s="606"/>
      <c r="X19" s="606"/>
      <c r="Y19" s="606"/>
      <c r="Z19" s="606"/>
      <c r="AA19" s="606"/>
      <c r="AB19" s="606"/>
      <c r="AC19" s="606"/>
      <c r="AD19" s="606"/>
    </row>
    <row r="20" spans="1:30">
      <c r="A20" s="287"/>
      <c r="B20" s="289"/>
      <c r="C20" s="285"/>
      <c r="D20" s="307"/>
      <c r="E20" s="304"/>
      <c r="F20" s="307"/>
      <c r="G20" s="304"/>
      <c r="H20" s="307"/>
      <c r="I20" s="304"/>
      <c r="J20" s="307"/>
      <c r="K20" s="304"/>
      <c r="L20" s="304"/>
      <c r="M20" s="285"/>
      <c r="N20" s="304"/>
      <c r="O20" s="285"/>
      <c r="P20" s="285"/>
      <c r="Q20" s="285"/>
      <c r="R20" s="285"/>
      <c r="S20" s="308"/>
      <c r="T20" s="593"/>
      <c r="U20" s="606"/>
      <c r="V20" s="606"/>
      <c r="W20" s="606"/>
      <c r="X20" s="606"/>
      <c r="Y20" s="606"/>
      <c r="Z20" s="606"/>
      <c r="AA20" s="606"/>
      <c r="AB20" s="606"/>
      <c r="AC20" s="606"/>
      <c r="AD20" s="606"/>
    </row>
    <row r="21" spans="1:30">
      <c r="A21" s="287"/>
      <c r="B21" s="13" t="s">
        <v>3</v>
      </c>
      <c r="C21" s="285"/>
      <c r="D21" s="304"/>
      <c r="E21" s="304"/>
      <c r="F21" s="304"/>
      <c r="G21" s="304"/>
      <c r="H21" s="304"/>
      <c r="I21" s="304"/>
      <c r="J21" s="307"/>
      <c r="K21" s="304"/>
      <c r="L21" s="304"/>
      <c r="M21" s="285"/>
      <c r="N21" s="304"/>
      <c r="O21" s="285"/>
      <c r="P21" s="285"/>
      <c r="Q21" s="285"/>
      <c r="R21" s="285"/>
      <c r="S21" s="308"/>
      <c r="T21" s="285"/>
      <c r="U21" s="291"/>
      <c r="V21" s="285"/>
      <c r="W21" s="285"/>
      <c r="X21" s="285"/>
      <c r="Y21" s="285"/>
      <c r="Z21" s="285"/>
      <c r="AA21" s="285"/>
      <c r="AB21" s="285"/>
      <c r="AC21" s="285"/>
      <c r="AD21" s="285"/>
    </row>
    <row r="22" spans="1:30">
      <c r="A22" s="287"/>
      <c r="B22" s="285"/>
      <c r="C22" s="285"/>
      <c r="D22" s="304"/>
      <c r="E22" s="304"/>
      <c r="F22" s="304"/>
      <c r="G22" s="304"/>
      <c r="H22" s="304"/>
      <c r="I22" s="304"/>
      <c r="J22" s="307"/>
      <c r="K22" s="304"/>
      <c r="L22" s="304"/>
      <c r="M22" s="285"/>
      <c r="N22" s="304"/>
      <c r="O22" s="285"/>
      <c r="P22" s="285"/>
      <c r="Q22" s="285"/>
      <c r="R22" s="285"/>
      <c r="S22" s="308"/>
      <c r="T22" s="285"/>
      <c r="U22" s="285"/>
      <c r="V22" s="285"/>
      <c r="W22" s="285"/>
      <c r="X22" s="285"/>
      <c r="Y22" s="285"/>
      <c r="Z22" s="285"/>
      <c r="AA22" s="285"/>
      <c r="AB22" s="285"/>
      <c r="AC22" s="285"/>
      <c r="AD22" s="285"/>
    </row>
    <row r="23" spans="1:30">
      <c r="A23" s="287">
        <v>2</v>
      </c>
      <c r="B23" s="285" t="s">
        <v>95</v>
      </c>
      <c r="C23" s="285"/>
      <c r="D23" s="304">
        <f>([36]INPUT!C359-[36]INPUT!C338-[36]INPUT!C66)/1000</f>
        <v>340.01783999999986</v>
      </c>
      <c r="E23" s="304"/>
      <c r="F23" s="304">
        <f>('[36]Budget 2014'!O358-'[36]Budget 2014'!O65)/1000</f>
        <v>368.20400000000001</v>
      </c>
      <c r="G23" s="304"/>
      <c r="H23" s="304">
        <f>([36]INPUT!E359-[36]INPUT!E338-[36]INPUT!E66)/1000</f>
        <v>359.42</v>
      </c>
      <c r="I23" s="291"/>
      <c r="J23" s="304">
        <f>([36]INPUT!D359-[36]INPUT!D338-[36]INPUT!D66)/1000</f>
        <v>361.04899999999998</v>
      </c>
      <c r="K23" s="291"/>
      <c r="L23" s="304">
        <f>([36]INPUT!F359-[36]INPUT!F338-[36]INPUT!F66)/1000</f>
        <v>382.74299999999999</v>
      </c>
      <c r="M23" s="139"/>
      <c r="N23" s="304">
        <f>H23-D23</f>
        <v>19.402160000000151</v>
      </c>
      <c r="O23" s="136">
        <f>N23/D23</f>
        <v>5.7062182384313008E-2</v>
      </c>
      <c r="P23" s="304">
        <f>L23-H23</f>
        <v>23.322999999999979</v>
      </c>
      <c r="Q23" s="136">
        <f>P23/H23</f>
        <v>6.489065716988475E-2</v>
      </c>
      <c r="R23" s="285"/>
      <c r="S23" s="308">
        <f>L23</f>
        <v>382.74299999999999</v>
      </c>
      <c r="T23" s="285"/>
      <c r="U23" s="285"/>
      <c r="V23" s="285"/>
      <c r="W23" s="285"/>
      <c r="X23" s="285"/>
      <c r="Y23" s="285"/>
      <c r="Z23" s="285"/>
      <c r="AA23" s="285"/>
      <c r="AB23" s="285"/>
      <c r="AC23" s="285"/>
      <c r="AD23" s="285"/>
    </row>
    <row r="24" spans="1:30">
      <c r="A24" s="287"/>
      <c r="B24" s="285"/>
      <c r="C24" s="285"/>
      <c r="D24" s="309"/>
      <c r="E24" s="304"/>
      <c r="F24" s="309"/>
      <c r="G24" s="304"/>
      <c r="H24" s="309"/>
      <c r="I24" s="304"/>
      <c r="J24" s="309"/>
      <c r="K24" s="304"/>
      <c r="L24" s="309"/>
      <c r="M24" s="285"/>
      <c r="N24" s="309"/>
      <c r="O24" s="136"/>
      <c r="P24" s="309"/>
      <c r="Q24" s="136"/>
      <c r="R24" s="285"/>
      <c r="S24" s="310"/>
      <c r="T24" s="593" t="s">
        <v>235</v>
      </c>
      <c r="U24" s="604" t="s">
        <v>215</v>
      </c>
      <c r="V24" s="604"/>
      <c r="W24" s="604"/>
      <c r="X24" s="604"/>
      <c r="Y24" s="604"/>
      <c r="Z24" s="604"/>
      <c r="AA24" s="604"/>
      <c r="AB24" s="604"/>
      <c r="AC24" s="604"/>
      <c r="AD24" s="604"/>
    </row>
    <row r="25" spans="1:30">
      <c r="A25" s="291"/>
      <c r="B25" s="285"/>
      <c r="C25" s="285"/>
      <c r="D25" s="304"/>
      <c r="E25" s="304"/>
      <c r="F25" s="304"/>
      <c r="G25" s="304"/>
      <c r="H25" s="304"/>
      <c r="I25" s="291"/>
      <c r="J25" s="304"/>
      <c r="K25" s="291"/>
      <c r="L25" s="304"/>
      <c r="M25" s="285"/>
      <c r="N25" s="304"/>
      <c r="O25" s="136"/>
      <c r="P25" s="304"/>
      <c r="Q25" s="136"/>
      <c r="R25" s="285"/>
      <c r="S25" s="308"/>
      <c r="T25" s="593"/>
      <c r="U25" s="604"/>
      <c r="V25" s="604"/>
      <c r="W25" s="604"/>
      <c r="X25" s="604"/>
      <c r="Y25" s="604"/>
      <c r="Z25" s="604"/>
      <c r="AA25" s="604"/>
      <c r="AB25" s="604"/>
      <c r="AC25" s="604"/>
      <c r="AD25" s="604"/>
    </row>
    <row r="26" spans="1:30" ht="16.5" thickBot="1">
      <c r="A26" s="287">
        <v>3</v>
      </c>
      <c r="B26" s="13" t="s">
        <v>12</v>
      </c>
      <c r="C26" s="285"/>
      <c r="D26" s="303">
        <f>SUM(D23:D25)</f>
        <v>340.01783999999986</v>
      </c>
      <c r="E26" s="304"/>
      <c r="F26" s="303">
        <f>SUM(F23:F25)</f>
        <v>368.20400000000001</v>
      </c>
      <c r="G26" s="304"/>
      <c r="H26" s="303">
        <f>SUM(H23:H25)</f>
        <v>359.42</v>
      </c>
      <c r="I26" s="304"/>
      <c r="J26" s="303">
        <f>SUM(J23:J25)</f>
        <v>361.04899999999998</v>
      </c>
      <c r="K26" s="304"/>
      <c r="L26" s="303">
        <f>SUM(L23:L25)</f>
        <v>382.74299999999999</v>
      </c>
      <c r="M26" s="135"/>
      <c r="N26" s="303">
        <f>SUM(N23:N25)</f>
        <v>19.402160000000151</v>
      </c>
      <c r="O26" s="136">
        <f>N26/D26</f>
        <v>5.7062182384313008E-2</v>
      </c>
      <c r="P26" s="303">
        <f>SUM(P23:P25)</f>
        <v>23.322999999999979</v>
      </c>
      <c r="Q26" s="136">
        <f>P26/H26</f>
        <v>6.489065716988475E-2</v>
      </c>
      <c r="R26" s="285"/>
      <c r="S26" s="306">
        <f>SUM(S23:S25)</f>
        <v>382.74299999999999</v>
      </c>
      <c r="T26" s="285"/>
      <c r="U26" s="604"/>
      <c r="V26" s="604"/>
      <c r="W26" s="604"/>
      <c r="X26" s="604"/>
      <c r="Y26" s="604"/>
      <c r="Z26" s="604"/>
      <c r="AA26" s="604"/>
      <c r="AB26" s="604"/>
      <c r="AC26" s="604"/>
      <c r="AD26" s="604"/>
    </row>
    <row r="27" spans="1:30" ht="16.5" thickTop="1">
      <c r="A27" s="287"/>
      <c r="I27" s="304"/>
      <c r="J27" s="304"/>
      <c r="K27" s="304"/>
      <c r="L27" s="304"/>
      <c r="M27" s="139"/>
      <c r="N27" s="304"/>
      <c r="O27" s="139"/>
      <c r="P27" s="139"/>
      <c r="Q27" s="285"/>
      <c r="R27" s="285"/>
      <c r="S27" s="285"/>
      <c r="T27" s="285"/>
      <c r="U27" s="285"/>
      <c r="V27" s="285"/>
      <c r="W27" s="285"/>
      <c r="X27" s="285"/>
      <c r="Y27" s="285"/>
      <c r="Z27" s="285"/>
      <c r="AA27" s="285"/>
      <c r="AB27" s="285"/>
      <c r="AC27" s="285"/>
      <c r="AD27" s="285"/>
    </row>
    <row r="28" spans="1:30">
      <c r="A28" s="287"/>
      <c r="I28" s="304"/>
      <c r="J28" s="304"/>
      <c r="K28" s="304"/>
      <c r="L28" s="304"/>
      <c r="M28" s="139"/>
      <c r="N28" s="304"/>
      <c r="O28" s="139"/>
      <c r="P28" s="139"/>
      <c r="Q28" s="285"/>
      <c r="R28" s="285"/>
      <c r="S28" s="285"/>
      <c r="T28" s="285"/>
      <c r="U28" s="285" t="s">
        <v>236</v>
      </c>
      <c r="V28" s="285"/>
      <c r="W28" s="285"/>
      <c r="X28" s="285"/>
      <c r="Y28" s="285"/>
      <c r="Z28" s="285"/>
      <c r="AA28" s="285"/>
      <c r="AB28" s="285"/>
      <c r="AC28" s="285"/>
      <c r="AD28" s="285"/>
    </row>
    <row r="29" spans="1:30">
      <c r="A29" s="287"/>
      <c r="I29" s="304"/>
      <c r="K29" s="304"/>
      <c r="L29" s="304"/>
      <c r="M29" s="139"/>
      <c r="N29" s="304"/>
      <c r="O29" s="139"/>
      <c r="P29" s="139"/>
      <c r="Q29" s="285"/>
      <c r="R29" s="285"/>
      <c r="S29" s="285"/>
      <c r="T29" s="593" t="s">
        <v>192</v>
      </c>
      <c r="U29" s="604" t="s">
        <v>237</v>
      </c>
      <c r="V29" s="604"/>
      <c r="W29" s="604"/>
      <c r="X29" s="604"/>
      <c r="Y29" s="604"/>
      <c r="Z29" s="604"/>
      <c r="AA29" s="604"/>
      <c r="AB29" s="604"/>
      <c r="AC29" s="604"/>
      <c r="AD29" s="604"/>
    </row>
    <row r="30" spans="1:30">
      <c r="A30" s="287"/>
      <c r="I30" s="304"/>
      <c r="K30" s="304"/>
      <c r="L30" s="304"/>
      <c r="M30" s="139"/>
      <c r="N30" s="304"/>
      <c r="O30" s="139"/>
      <c r="P30" s="139"/>
      <c r="Q30" s="285"/>
      <c r="R30" s="285"/>
      <c r="S30" s="285"/>
      <c r="T30" s="593"/>
      <c r="U30" s="604"/>
      <c r="V30" s="604"/>
      <c r="W30" s="604"/>
      <c r="X30" s="604"/>
      <c r="Y30" s="604"/>
      <c r="Z30" s="604"/>
      <c r="AA30" s="604"/>
      <c r="AB30" s="604"/>
      <c r="AC30" s="604"/>
      <c r="AD30" s="604"/>
    </row>
    <row r="31" spans="1:30">
      <c r="A31" s="287"/>
      <c r="I31" s="304"/>
      <c r="K31" s="304"/>
      <c r="L31" s="304"/>
      <c r="M31" s="139"/>
      <c r="N31" s="304"/>
      <c r="O31" s="139"/>
      <c r="P31" s="139"/>
      <c r="Q31" s="285"/>
      <c r="R31" s="285"/>
      <c r="S31" s="285"/>
      <c r="T31" s="285"/>
      <c r="U31" s="604"/>
      <c r="V31" s="604"/>
      <c r="W31" s="604"/>
      <c r="X31" s="604"/>
      <c r="Y31" s="604"/>
      <c r="Z31" s="604"/>
      <c r="AA31" s="604"/>
      <c r="AB31" s="604"/>
      <c r="AC31" s="604"/>
      <c r="AD31" s="604"/>
    </row>
    <row r="32" spans="1:30">
      <c r="A32" s="287"/>
      <c r="I32" s="304"/>
      <c r="K32" s="304"/>
      <c r="L32" s="304"/>
      <c r="M32" s="139"/>
      <c r="N32" s="304"/>
      <c r="O32" s="139"/>
      <c r="P32" s="139"/>
      <c r="Q32" s="285"/>
      <c r="R32" s="285"/>
      <c r="S32" s="285"/>
      <c r="T32" s="285"/>
      <c r="U32" s="604"/>
      <c r="V32" s="604"/>
      <c r="W32" s="604"/>
      <c r="X32" s="604"/>
      <c r="Y32" s="604"/>
      <c r="Z32" s="604"/>
      <c r="AA32" s="604"/>
      <c r="AB32" s="604"/>
      <c r="AC32" s="604"/>
      <c r="AD32" s="604"/>
    </row>
    <row r="33" spans="1:30">
      <c r="A33" s="287"/>
      <c r="B33" s="285"/>
      <c r="C33" s="285"/>
      <c r="D33" s="304"/>
      <c r="E33" s="304"/>
      <c r="F33" s="304"/>
      <c r="G33" s="311"/>
      <c r="H33" s="304"/>
      <c r="I33" s="304"/>
      <c r="J33" s="304"/>
      <c r="K33" s="311"/>
      <c r="L33" s="304"/>
      <c r="M33" s="285"/>
      <c r="N33" s="304"/>
      <c r="O33" s="139"/>
      <c r="P33" s="139"/>
      <c r="Q33" s="285"/>
      <c r="R33" s="285"/>
      <c r="S33" s="285"/>
      <c r="T33" s="285"/>
      <c r="U33" s="285"/>
      <c r="V33" s="285"/>
      <c r="W33" s="285"/>
      <c r="X33" s="285"/>
      <c r="Y33" s="285"/>
      <c r="Z33" s="285"/>
      <c r="AA33" s="285"/>
      <c r="AB33" s="285"/>
      <c r="AC33" s="285"/>
      <c r="AD33" s="285"/>
    </row>
    <row r="34" spans="1:30">
      <c r="A34" s="287"/>
      <c r="B34" s="285"/>
      <c r="C34" s="285"/>
      <c r="D34" s="304"/>
      <c r="E34" s="304"/>
      <c r="F34" s="304"/>
      <c r="G34" s="311"/>
      <c r="H34" s="304"/>
      <c r="I34" s="304"/>
      <c r="J34" s="304"/>
      <c r="K34" s="311"/>
      <c r="L34" s="285"/>
      <c r="M34" s="285"/>
      <c r="N34" s="285"/>
      <c r="O34" s="285"/>
      <c r="P34" s="285"/>
      <c r="Q34" s="285"/>
      <c r="R34" s="285"/>
      <c r="S34" s="285"/>
      <c r="T34" s="285"/>
      <c r="U34" s="285"/>
      <c r="V34" s="285"/>
      <c r="W34" s="285"/>
      <c r="X34" s="285"/>
      <c r="Y34" s="285"/>
      <c r="Z34" s="285"/>
      <c r="AA34" s="285"/>
      <c r="AB34" s="285"/>
      <c r="AC34" s="285"/>
      <c r="AD34" s="285"/>
    </row>
    <row r="35" spans="1:30">
      <c r="A35" s="287"/>
      <c r="B35" s="285"/>
      <c r="C35" s="285"/>
      <c r="D35" s="304"/>
      <c r="E35" s="304"/>
      <c r="F35" s="304"/>
      <c r="G35" s="311"/>
      <c r="H35" s="304"/>
      <c r="I35" s="304"/>
      <c r="J35" s="304"/>
      <c r="K35" s="311"/>
      <c r="L35" s="285"/>
      <c r="M35" s="285"/>
      <c r="N35" s="285"/>
      <c r="O35" s="285"/>
      <c r="P35" s="285"/>
      <c r="Q35" s="285"/>
      <c r="R35" s="285"/>
      <c r="S35" s="285"/>
      <c r="T35" s="285"/>
      <c r="U35" s="285"/>
      <c r="V35" s="285"/>
      <c r="W35" s="285"/>
      <c r="X35" s="285"/>
      <c r="Y35" s="285"/>
      <c r="Z35" s="285"/>
      <c r="AA35" s="285"/>
      <c r="AB35" s="285"/>
      <c r="AC35" s="285"/>
      <c r="AD35" s="285"/>
    </row>
    <row r="36" spans="1:30">
      <c r="A36" s="285" t="s">
        <v>49</v>
      </c>
      <c r="B36" s="285" t="s">
        <v>71</v>
      </c>
      <c r="C36" s="285"/>
      <c r="D36" s="304"/>
      <c r="E36" s="304"/>
      <c r="F36" s="304"/>
      <c r="G36" s="311"/>
      <c r="H36" s="304"/>
      <c r="I36" s="304"/>
      <c r="J36" s="304"/>
      <c r="K36" s="311"/>
      <c r="L36" s="285"/>
      <c r="M36" s="285"/>
      <c r="N36" s="285"/>
      <c r="O36" s="285"/>
      <c r="P36" s="285"/>
      <c r="Q36" s="285"/>
      <c r="R36" s="285"/>
      <c r="S36" s="285"/>
      <c r="T36" s="285"/>
      <c r="U36" s="285"/>
      <c r="V36" s="285"/>
      <c r="W36" s="285"/>
      <c r="X36" s="285"/>
      <c r="Y36" s="285"/>
      <c r="Z36" s="285"/>
      <c r="AA36" s="285"/>
      <c r="AB36" s="285"/>
      <c r="AC36" s="285"/>
      <c r="AD36" s="285"/>
    </row>
    <row r="37" spans="1:30">
      <c r="A37" s="285"/>
      <c r="B37" s="285" t="s">
        <v>72</v>
      </c>
      <c r="C37" s="285"/>
      <c r="D37" s="304"/>
      <c r="E37" s="304"/>
      <c r="F37" s="304"/>
      <c r="G37" s="311"/>
      <c r="H37" s="304"/>
      <c r="I37" s="304"/>
      <c r="J37" s="304"/>
      <c r="K37" s="311"/>
      <c r="L37" s="285"/>
      <c r="M37" s="285"/>
      <c r="N37" s="285"/>
      <c r="O37" s="285"/>
      <c r="P37" s="285"/>
      <c r="Q37" s="285"/>
      <c r="R37" s="285"/>
      <c r="S37" s="285"/>
      <c r="T37" s="285"/>
      <c r="U37" s="285"/>
      <c r="V37" s="285"/>
      <c r="W37" s="285"/>
      <c r="X37" s="285"/>
      <c r="Y37" s="285"/>
      <c r="Z37" s="285"/>
      <c r="AA37" s="285"/>
      <c r="AB37" s="285"/>
      <c r="AC37" s="285"/>
      <c r="AD37" s="285"/>
    </row>
    <row r="38" spans="1:30">
      <c r="D38" s="134"/>
      <c r="E38" s="134"/>
      <c r="F38" s="134"/>
      <c r="G38" s="134"/>
    </row>
    <row r="39" spans="1:30">
      <c r="D39" s="134"/>
      <c r="E39" s="134"/>
      <c r="F39" s="134"/>
      <c r="G39" s="134"/>
    </row>
    <row r="40" spans="1:30">
      <c r="D40" s="134"/>
      <c r="E40" s="134"/>
      <c r="F40" s="134"/>
      <c r="G40" s="134"/>
    </row>
    <row r="54" spans="1:16">
      <c r="H54" s="149"/>
      <c r="I54" s="149"/>
      <c r="J54" s="149"/>
      <c r="K54" s="149"/>
      <c r="L54" s="149"/>
      <c r="M54" s="149"/>
      <c r="N54" s="149"/>
      <c r="O54" s="149"/>
      <c r="P54" s="149" t="s">
        <v>96</v>
      </c>
    </row>
    <row r="55" spans="1:16">
      <c r="H55" s="149"/>
      <c r="I55" s="149"/>
      <c r="J55" s="149"/>
      <c r="K55" s="149"/>
      <c r="L55" s="149"/>
      <c r="M55" s="149"/>
      <c r="N55" s="149"/>
      <c r="O55" s="149"/>
      <c r="P55" s="149" t="s">
        <v>97</v>
      </c>
    </row>
    <row r="56" spans="1:16">
      <c r="H56" s="149"/>
      <c r="I56" s="149"/>
      <c r="J56" s="149"/>
      <c r="K56" s="149"/>
      <c r="L56" s="149"/>
      <c r="M56" s="149"/>
      <c r="N56" s="149"/>
      <c r="O56" s="149"/>
      <c r="P56" s="149" t="s">
        <v>51</v>
      </c>
    </row>
    <row r="57" spans="1:16">
      <c r="A57" s="115" t="s">
        <v>98</v>
      </c>
      <c r="H57" s="149"/>
      <c r="I57" s="149"/>
      <c r="J57" s="149"/>
      <c r="K57" s="149"/>
      <c r="L57" s="149"/>
      <c r="M57" s="149"/>
      <c r="N57" s="149"/>
      <c r="O57" s="149"/>
      <c r="P57" s="149" t="s">
        <v>99</v>
      </c>
    </row>
    <row r="59" spans="1:16">
      <c r="C59" s="150" t="s">
        <v>100</v>
      </c>
      <c r="D59" s="151">
        <f>D16+D23-([36]INPUT!C359)/1000</f>
        <v>0</v>
      </c>
      <c r="E59" s="152"/>
      <c r="F59" s="151">
        <f>F16+F23-('[36]Budget 2014'!O358)/1000</f>
        <v>0</v>
      </c>
      <c r="G59" s="152"/>
      <c r="H59" s="151">
        <f>H16+H23-([36]INPUT!E359)/1000</f>
        <v>0</v>
      </c>
      <c r="I59" s="152"/>
      <c r="J59" s="151">
        <f>J16+J23-([36]INPUT!D359)/1000</f>
        <v>0</v>
      </c>
      <c r="K59" s="152"/>
      <c r="L59" s="151">
        <f>L16+L23-([36]INPUT!F359)/1000</f>
        <v>0</v>
      </c>
    </row>
  </sheetData>
  <mergeCells count="13">
    <mergeCell ref="N10:Q10"/>
    <mergeCell ref="N11:O11"/>
    <mergeCell ref="P11:Q11"/>
    <mergeCell ref="N12:O12"/>
    <mergeCell ref="P12:Q12"/>
    <mergeCell ref="T29:T30"/>
    <mergeCell ref="U29:AD32"/>
    <mergeCell ref="T13:T14"/>
    <mergeCell ref="U13:AD16"/>
    <mergeCell ref="T19:T20"/>
    <mergeCell ref="U19:AD20"/>
    <mergeCell ref="T24:T25"/>
    <mergeCell ref="U24:AD26"/>
  </mergeCells>
  <pageMargins left="0.45" right="0.45" top="0.75" bottom="0.5" header="0.3" footer="0.05"/>
  <pageSetup scale="10" orientation="landscape"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3">
    <tabColor rgb="FFFFFF00"/>
    <pageSetUpPr fitToPage="1"/>
  </sheetPr>
  <dimension ref="A1:AR101"/>
  <sheetViews>
    <sheetView zoomScaleNormal="100" workbookViewId="0">
      <selection activeCell="N26" sqref="N26"/>
    </sheetView>
  </sheetViews>
  <sheetFormatPr baseColWidth="10" defaultColWidth="9.140625" defaultRowHeight="15.75" outlineLevelCol="1"/>
  <cols>
    <col min="1" max="1" width="9.42578125" style="285" bestFit="1" customWidth="1"/>
    <col min="2" max="2" width="27.85546875" style="285" customWidth="1"/>
    <col min="3" max="3" width="3.28515625" style="285" customWidth="1"/>
    <col min="4" max="4" width="12.28515625" style="285" bestFit="1" customWidth="1"/>
    <col min="5" max="5" width="3.85546875" style="285" customWidth="1"/>
    <col min="6" max="6" width="13.5703125" style="285" hidden="1" customWidth="1" outlineLevel="1"/>
    <col min="7" max="7" width="3.85546875" style="285" hidden="1" customWidth="1" outlineLevel="1"/>
    <col min="8" max="8" width="10" style="285" bestFit="1" customWidth="1" collapsed="1"/>
    <col min="9" max="9" width="3.85546875" style="285" customWidth="1"/>
    <col min="10" max="10" width="13.28515625" style="285" hidden="1" customWidth="1" outlineLevel="1"/>
    <col min="11" max="11" width="3.85546875" style="285" hidden="1" customWidth="1" outlineLevel="1"/>
    <col min="12" max="12" width="9.42578125" style="285" bestFit="1" customWidth="1" collapsed="1"/>
    <col min="13" max="13" width="3.85546875" style="285" customWidth="1"/>
    <col min="14" max="14" width="14" style="285" bestFit="1" customWidth="1"/>
    <col min="15" max="15" width="5.5703125" style="285" bestFit="1" customWidth="1"/>
    <col min="16" max="16" width="12.42578125" style="285" bestFit="1" customWidth="1"/>
    <col min="17" max="17" width="6.140625" style="285" customWidth="1"/>
    <col min="18" max="18" width="3.7109375" style="285" customWidth="1"/>
    <col min="19" max="19" width="20" style="285" hidden="1" customWidth="1" outlineLevel="1"/>
    <col min="20" max="20" width="2.85546875" style="285" customWidth="1" collapsed="1"/>
    <col min="21" max="21" width="8.42578125" style="285" customWidth="1"/>
    <col min="22" max="22" width="10.140625" style="285" bestFit="1" customWidth="1"/>
    <col min="23" max="26" width="9.140625" style="285"/>
    <col min="27" max="27" width="5.42578125" style="285" customWidth="1"/>
    <col min="28" max="33" width="9.140625" style="285"/>
    <col min="34" max="34" width="13.28515625" style="285" customWidth="1"/>
    <col min="35" max="16384" width="9.140625" style="285"/>
  </cols>
  <sheetData>
    <row r="1" spans="1:22">
      <c r="A1" s="9" t="s">
        <v>8</v>
      </c>
      <c r="B1" s="284"/>
      <c r="C1" s="284"/>
      <c r="D1" s="284"/>
      <c r="E1" s="284"/>
      <c r="F1" s="284"/>
      <c r="G1" s="284"/>
      <c r="H1" s="284"/>
      <c r="I1" s="284"/>
      <c r="J1" s="284"/>
      <c r="K1" s="284"/>
      <c r="L1" s="284"/>
      <c r="M1" s="284"/>
      <c r="N1" s="284"/>
      <c r="O1" s="284"/>
      <c r="P1" s="284"/>
    </row>
    <row r="2" spans="1:22">
      <c r="A2" s="10" t="s">
        <v>9</v>
      </c>
      <c r="B2" s="284"/>
      <c r="C2" s="284"/>
      <c r="D2" s="284"/>
      <c r="E2" s="284"/>
      <c r="F2" s="284"/>
      <c r="G2" s="284"/>
      <c r="H2" s="284"/>
      <c r="I2" s="284"/>
      <c r="J2" s="284"/>
      <c r="K2" s="284"/>
      <c r="L2" s="284"/>
      <c r="M2" s="284"/>
      <c r="N2" s="284"/>
      <c r="O2" s="284"/>
      <c r="P2" s="284"/>
    </row>
    <row r="3" spans="1:22">
      <c r="A3" s="11" t="s">
        <v>137</v>
      </c>
      <c r="B3" s="284"/>
      <c r="C3" s="284"/>
      <c r="D3" s="284"/>
      <c r="E3" s="284"/>
      <c r="F3" s="284"/>
      <c r="G3" s="284"/>
      <c r="H3" s="284"/>
      <c r="I3" s="284"/>
      <c r="J3" s="284"/>
      <c r="K3" s="284"/>
      <c r="L3" s="284"/>
      <c r="M3" s="284"/>
      <c r="N3" s="284"/>
      <c r="O3" s="284"/>
      <c r="P3" s="284"/>
    </row>
    <row r="4" spans="1:22">
      <c r="A4" s="12" t="s">
        <v>92</v>
      </c>
      <c r="B4" s="284"/>
      <c r="C4" s="284"/>
      <c r="D4" s="284"/>
      <c r="E4" s="284"/>
      <c r="F4" s="284"/>
      <c r="G4" s="284"/>
      <c r="H4" s="284"/>
      <c r="I4" s="284"/>
      <c r="J4" s="284"/>
      <c r="K4" s="284"/>
      <c r="L4" s="284"/>
      <c r="M4" s="284"/>
      <c r="N4" s="284"/>
      <c r="O4" s="284"/>
      <c r="P4" s="284"/>
    </row>
    <row r="9" spans="1:22">
      <c r="F9" s="286" t="s">
        <v>152</v>
      </c>
      <c r="G9" s="287"/>
      <c r="H9" s="287"/>
      <c r="I9" s="287"/>
      <c r="J9" s="286" t="s">
        <v>152</v>
      </c>
      <c r="S9" s="286" t="s">
        <v>152</v>
      </c>
    </row>
    <row r="10" spans="1:22">
      <c r="N10" s="597" t="s">
        <v>36</v>
      </c>
      <c r="O10" s="597"/>
      <c r="P10" s="597"/>
      <c r="Q10" s="597"/>
      <c r="S10" s="288"/>
      <c r="V10" s="285" t="s">
        <v>216</v>
      </c>
    </row>
    <row r="11" spans="1:22">
      <c r="B11" s="289" t="s">
        <v>138</v>
      </c>
      <c r="D11" s="290">
        <v>2014</v>
      </c>
      <c r="E11" s="291"/>
      <c r="F11" s="290">
        <v>2014</v>
      </c>
      <c r="G11" s="291"/>
      <c r="H11" s="290">
        <v>2015</v>
      </c>
      <c r="I11" s="291"/>
      <c r="J11" s="290">
        <v>2015</v>
      </c>
      <c r="L11" s="292" t="s">
        <v>153</v>
      </c>
      <c r="N11" s="598" t="s">
        <v>228</v>
      </c>
      <c r="O11" s="598"/>
      <c r="P11" s="598" t="s">
        <v>154</v>
      </c>
      <c r="Q11" s="598"/>
      <c r="S11" s="293" t="s">
        <v>155</v>
      </c>
    </row>
    <row r="12" spans="1:22">
      <c r="D12" s="294" t="s">
        <v>27</v>
      </c>
      <c r="E12" s="291"/>
      <c r="F12" s="294" t="s">
        <v>28</v>
      </c>
      <c r="G12" s="291"/>
      <c r="H12" s="294" t="s">
        <v>94</v>
      </c>
      <c r="I12" s="291"/>
      <c r="J12" s="294" t="s">
        <v>28</v>
      </c>
      <c r="L12" s="295">
        <v>2016</v>
      </c>
      <c r="M12" s="295"/>
      <c r="N12" s="598" t="s">
        <v>198</v>
      </c>
      <c r="O12" s="598"/>
      <c r="P12" s="598" t="s">
        <v>229</v>
      </c>
      <c r="Q12" s="598"/>
      <c r="S12" s="293" t="s">
        <v>156</v>
      </c>
    </row>
    <row r="13" spans="1:22" ht="16.5" thickBot="1">
      <c r="D13" s="296" t="s">
        <v>31</v>
      </c>
      <c r="E13" s="291"/>
      <c r="F13" s="296" t="s">
        <v>31</v>
      </c>
      <c r="G13" s="291"/>
      <c r="H13" s="296" t="s">
        <v>31</v>
      </c>
      <c r="I13" s="291"/>
      <c r="J13" s="296" t="s">
        <v>31</v>
      </c>
      <c r="L13" s="297" t="s">
        <v>31</v>
      </c>
      <c r="M13" s="298"/>
      <c r="N13" s="299" t="s">
        <v>31</v>
      </c>
      <c r="O13" s="299" t="s">
        <v>52</v>
      </c>
      <c r="P13" s="299" t="s">
        <v>31</v>
      </c>
      <c r="Q13" s="299" t="s">
        <v>52</v>
      </c>
      <c r="S13" s="299" t="s">
        <v>31</v>
      </c>
    </row>
    <row r="14" spans="1:22">
      <c r="D14" s="287">
        <v>1</v>
      </c>
      <c r="E14" s="287"/>
      <c r="F14" s="287"/>
      <c r="G14" s="287"/>
      <c r="H14" s="287">
        <v>2</v>
      </c>
      <c r="I14" s="287"/>
      <c r="J14" s="287"/>
      <c r="K14" s="287"/>
      <c r="L14" s="287">
        <v>3</v>
      </c>
      <c r="M14" s="300"/>
      <c r="N14" s="300" t="s">
        <v>157</v>
      </c>
      <c r="O14" s="300">
        <v>5</v>
      </c>
      <c r="P14" s="300" t="s">
        <v>158</v>
      </c>
      <c r="Q14" s="300">
        <v>7</v>
      </c>
      <c r="R14" s="301"/>
      <c r="S14" s="302">
        <v>8</v>
      </c>
    </row>
    <row r="15" spans="1:22">
      <c r="A15" s="287"/>
      <c r="S15" s="288"/>
    </row>
    <row r="16" spans="1:22" ht="16.5" thickBot="1">
      <c r="A16" s="287">
        <v>1</v>
      </c>
      <c r="B16" s="289" t="s">
        <v>0</v>
      </c>
      <c r="D16" s="303">
        <f>[37]INPUT!C66/1000</f>
        <v>240.29703000000001</v>
      </c>
      <c r="E16" s="304"/>
      <c r="F16" s="303">
        <f>'[37]Budget 2014'!O65/1000</f>
        <v>241.92599999999999</v>
      </c>
      <c r="G16" s="304"/>
      <c r="H16" s="303">
        <f>[37]INPUT!E66/1000</f>
        <v>245.86099999999999</v>
      </c>
      <c r="I16" s="304"/>
      <c r="J16" s="303">
        <f>[37]INPUT!D66/1000</f>
        <v>245.86099999999999</v>
      </c>
      <c r="K16" s="304"/>
      <c r="L16" s="303">
        <f>[37]INPUT!F66/1000</f>
        <v>250.28100000000001</v>
      </c>
      <c r="M16" s="135"/>
      <c r="N16" s="303">
        <f>H16-D16</f>
        <v>5.5639699999999834</v>
      </c>
      <c r="O16" s="136">
        <f>N16/D16</f>
        <v>2.3154551681308685E-2</v>
      </c>
      <c r="P16" s="305">
        <f>L16-H16</f>
        <v>4.4200000000000159</v>
      </c>
      <c r="Q16" s="136">
        <f>P16/H16</f>
        <v>1.7977637770935674E-2</v>
      </c>
      <c r="S16" s="306">
        <f>L16</f>
        <v>250.28100000000001</v>
      </c>
      <c r="V16" s="311" t="s">
        <v>238</v>
      </c>
    </row>
    <row r="17" spans="1:44" ht="16.5" thickTop="1">
      <c r="A17" s="287"/>
      <c r="B17" s="289"/>
      <c r="D17" s="307"/>
      <c r="E17" s="304"/>
      <c r="F17" s="307"/>
      <c r="G17" s="304"/>
      <c r="H17" s="307"/>
      <c r="I17" s="304"/>
      <c r="J17" s="307"/>
      <c r="K17" s="304"/>
      <c r="L17" s="307"/>
      <c r="M17" s="139"/>
      <c r="N17" s="307"/>
      <c r="O17" s="139"/>
      <c r="P17" s="139"/>
      <c r="S17" s="308"/>
    </row>
    <row r="18" spans="1:44">
      <c r="A18" s="287"/>
      <c r="D18" s="304"/>
      <c r="E18" s="304"/>
      <c r="F18" s="304"/>
      <c r="G18" s="304"/>
      <c r="H18" s="304"/>
      <c r="I18" s="304"/>
      <c r="J18" s="304"/>
      <c r="K18" s="304"/>
      <c r="L18" s="304"/>
      <c r="N18" s="304"/>
      <c r="S18" s="308"/>
    </row>
    <row r="19" spans="1:44">
      <c r="A19" s="287"/>
      <c r="B19" s="13" t="s">
        <v>3</v>
      </c>
      <c r="D19" s="304"/>
      <c r="E19" s="304"/>
      <c r="F19" s="304"/>
      <c r="G19" s="304"/>
      <c r="H19" s="304"/>
      <c r="I19" s="304"/>
      <c r="J19" s="304"/>
      <c r="K19" s="304"/>
      <c r="L19" s="304"/>
      <c r="N19" s="304"/>
      <c r="S19" s="308"/>
    </row>
    <row r="20" spans="1:44">
      <c r="A20" s="287"/>
      <c r="D20" s="304"/>
      <c r="E20" s="304"/>
      <c r="F20" s="304"/>
      <c r="G20" s="304"/>
      <c r="H20" s="304"/>
      <c r="I20" s="304"/>
      <c r="J20" s="304"/>
      <c r="K20" s="304"/>
      <c r="L20" s="304"/>
      <c r="N20" s="304"/>
      <c r="S20" s="308"/>
    </row>
    <row r="21" spans="1:44">
      <c r="A21" s="287">
        <v>2</v>
      </c>
      <c r="B21" s="285" t="s">
        <v>95</v>
      </c>
      <c r="D21" s="304">
        <f>([37]INPUT!C359-[37]INPUT!C66)/1000</f>
        <v>-95.395090000000053</v>
      </c>
      <c r="E21" s="304"/>
      <c r="F21" s="304">
        <f>('[37]Budget 2014'!O358-'[37]Budget 2014'!O65)/1000</f>
        <v>-73.524000000000001</v>
      </c>
      <c r="G21" s="304"/>
      <c r="H21" s="304">
        <f>([37]INPUT!E359-[37]INPUT!E66)/1000</f>
        <v>-83.787999999999997</v>
      </c>
      <c r="I21" s="304"/>
      <c r="J21" s="304">
        <f>([37]INPUT!D359-[37]INPUT!D66)/1000</f>
        <v>-83.787999999999997</v>
      </c>
      <c r="K21" s="304"/>
      <c r="L21" s="304">
        <f>([37]INPUT!F359-[37]INPUT!F66)/1000</f>
        <v>-78.930999999999997</v>
      </c>
      <c r="M21" s="139"/>
      <c r="N21" s="304">
        <f>H21-D21</f>
        <v>11.607090000000056</v>
      </c>
      <c r="O21" s="136">
        <f>N21/-D21</f>
        <v>0.1216738723135546</v>
      </c>
      <c r="P21" s="304">
        <f>L21-H21</f>
        <v>4.8569999999999993</v>
      </c>
      <c r="Q21" s="136">
        <f>P21/-H21</f>
        <v>5.7967728075619417E-2</v>
      </c>
      <c r="S21" s="308">
        <f>L21</f>
        <v>-78.930999999999997</v>
      </c>
      <c r="V21" s="318" t="s">
        <v>239</v>
      </c>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row>
    <row r="22" spans="1:44" ht="32.25" customHeight="1">
      <c r="A22" s="287"/>
      <c r="D22" s="309"/>
      <c r="E22" s="304"/>
      <c r="F22" s="309"/>
      <c r="G22" s="304"/>
      <c r="H22" s="309"/>
      <c r="I22" s="304"/>
      <c r="J22" s="309"/>
      <c r="K22" s="304"/>
      <c r="L22" s="309"/>
      <c r="N22" s="309"/>
      <c r="O22" s="136"/>
      <c r="P22" s="309"/>
      <c r="Q22" s="136"/>
      <c r="S22" s="310"/>
      <c r="V22" s="320">
        <v>2168.89</v>
      </c>
      <c r="W22" s="321" t="str">
        <f>'[38]Forecast 2015 vs Réel 2014'!B118</f>
        <v>OFFICE MATERIALS AND SUPPLIES</v>
      </c>
      <c r="X22" s="319"/>
      <c r="Y22" s="319"/>
      <c r="Z22" s="319"/>
      <c r="AA22" s="614"/>
      <c r="AB22" s="614"/>
      <c r="AC22" s="614"/>
      <c r="AD22" s="614"/>
      <c r="AE22" s="614"/>
      <c r="AF22" s="614"/>
      <c r="AG22" s="614"/>
      <c r="AH22" s="614"/>
      <c r="AI22" s="614" t="s">
        <v>281</v>
      </c>
      <c r="AJ22" s="614"/>
      <c r="AK22" s="614"/>
      <c r="AL22" s="614"/>
      <c r="AM22" s="614"/>
      <c r="AN22" s="614"/>
      <c r="AO22" s="614"/>
      <c r="AP22" s="614"/>
      <c r="AQ22" s="614"/>
      <c r="AR22" s="614"/>
    </row>
    <row r="23" spans="1:44" ht="33.75" customHeight="1">
      <c r="A23" s="287"/>
      <c r="D23" s="304"/>
      <c r="E23" s="304"/>
      <c r="F23" s="304"/>
      <c r="G23" s="304"/>
      <c r="H23" s="304"/>
      <c r="I23" s="304"/>
      <c r="J23" s="304"/>
      <c r="K23" s="304"/>
      <c r="L23" s="304"/>
      <c r="N23" s="304"/>
      <c r="O23" s="136"/>
      <c r="P23" s="304"/>
      <c r="Q23" s="136"/>
      <c r="S23" s="308"/>
      <c r="U23" s="322">
        <f>V22+V23+V24</f>
        <v>8584.5199999999968</v>
      </c>
      <c r="V23" s="320">
        <v>2394.0299999999988</v>
      </c>
      <c r="W23" s="321" t="str">
        <f>'[38]Forecast 2015 vs Réel 2014'!B131</f>
        <v>CONTRACT SERVICES AND TEMP LABOUR</v>
      </c>
      <c r="X23" s="319"/>
      <c r="Y23" s="319"/>
      <c r="Z23" s="319"/>
      <c r="AA23" s="614" t="s">
        <v>240</v>
      </c>
      <c r="AB23" s="614"/>
      <c r="AC23" s="614"/>
      <c r="AD23" s="614"/>
      <c r="AE23" s="614"/>
      <c r="AF23" s="614"/>
      <c r="AG23" s="614"/>
      <c r="AH23" s="614"/>
      <c r="AI23" s="614"/>
      <c r="AJ23" s="614"/>
      <c r="AK23" s="614"/>
      <c r="AL23" s="614"/>
      <c r="AM23" s="614"/>
      <c r="AN23" s="614"/>
      <c r="AO23" s="614"/>
      <c r="AP23" s="614"/>
      <c r="AQ23" s="614"/>
      <c r="AR23" s="614"/>
    </row>
    <row r="24" spans="1:44" ht="39.75" customHeight="1" thickBot="1">
      <c r="A24" s="287">
        <v>11</v>
      </c>
      <c r="B24" s="13" t="s">
        <v>12</v>
      </c>
      <c r="D24" s="303">
        <f>SUM(D21:D23)</f>
        <v>-95.395090000000053</v>
      </c>
      <c r="E24" s="304"/>
      <c r="F24" s="303">
        <f>SUM(F21:F23)</f>
        <v>-73.524000000000001</v>
      </c>
      <c r="G24" s="304"/>
      <c r="H24" s="303">
        <f>SUM(H21:H23)</f>
        <v>-83.787999999999997</v>
      </c>
      <c r="I24" s="304"/>
      <c r="J24" s="303">
        <f>SUM(J21:J23)</f>
        <v>-83.787999999999997</v>
      </c>
      <c r="K24" s="304"/>
      <c r="L24" s="303">
        <f>SUM(L21:L23)</f>
        <v>-78.930999999999997</v>
      </c>
      <c r="M24" s="135"/>
      <c r="N24" s="303">
        <f>SUM(N21:N23)</f>
        <v>11.607090000000056</v>
      </c>
      <c r="O24" s="136">
        <f>N24/-D24</f>
        <v>0.1216738723135546</v>
      </c>
      <c r="P24" s="303">
        <f>SUM(P21:P23)</f>
        <v>4.8569999999999993</v>
      </c>
      <c r="Q24" s="136">
        <f>P24/-H24</f>
        <v>5.7967728075619417E-2</v>
      </c>
      <c r="S24" s="306">
        <f>SUM(S21:S23)</f>
        <v>-78.930999999999997</v>
      </c>
      <c r="V24" s="320">
        <v>4021.5999999999985</v>
      </c>
      <c r="W24" s="321" t="str">
        <f>'[38]Forecast 2015 vs Réel 2014'!B155</f>
        <v>POSTAGE COURIER AND MISC FREIGHT</v>
      </c>
      <c r="X24" s="319"/>
      <c r="Y24" s="319"/>
      <c r="Z24" s="319"/>
      <c r="AA24" s="614" t="s">
        <v>241</v>
      </c>
      <c r="AB24" s="614"/>
      <c r="AC24" s="614"/>
      <c r="AD24" s="614"/>
      <c r="AE24" s="614"/>
      <c r="AF24" s="614"/>
      <c r="AG24" s="614"/>
      <c r="AH24" s="614"/>
      <c r="AI24" s="614"/>
      <c r="AJ24" s="614"/>
      <c r="AK24" s="614"/>
      <c r="AL24" s="614"/>
      <c r="AM24" s="614"/>
      <c r="AN24" s="614"/>
      <c r="AO24" s="614"/>
      <c r="AP24" s="614"/>
      <c r="AQ24" s="614"/>
      <c r="AR24" s="614"/>
    </row>
    <row r="25" spans="1:44" ht="16.5" thickTop="1">
      <c r="A25" s="287"/>
      <c r="D25" s="304"/>
      <c r="E25" s="304"/>
      <c r="F25" s="304"/>
      <c r="G25" s="311"/>
      <c r="H25" s="304"/>
      <c r="I25" s="304"/>
      <c r="J25" s="304"/>
      <c r="K25" s="311"/>
      <c r="L25" s="304"/>
      <c r="M25" s="139"/>
      <c r="N25" s="304"/>
      <c r="O25" s="139"/>
      <c r="P25" s="139"/>
      <c r="V25" s="320">
        <v>2374.96</v>
      </c>
      <c r="W25" s="321" t="str">
        <f>'[38]Forecast 2015 vs Réel 2014'!B283</f>
        <v>TRAVEL AND ENTERTAINMENT</v>
      </c>
      <c r="X25" s="319"/>
      <c r="Y25" s="319"/>
      <c r="Z25" s="319"/>
      <c r="AA25" s="614" t="s">
        <v>242</v>
      </c>
      <c r="AB25" s="614"/>
      <c r="AC25" s="614"/>
      <c r="AD25" s="614"/>
      <c r="AE25" s="614"/>
      <c r="AF25" s="614"/>
      <c r="AG25" s="614"/>
      <c r="AH25" s="614"/>
      <c r="AI25" s="614"/>
      <c r="AJ25" s="614"/>
      <c r="AK25" s="614"/>
      <c r="AL25" s="614"/>
      <c r="AM25" s="614"/>
      <c r="AN25" s="614"/>
      <c r="AO25" s="614"/>
      <c r="AP25" s="614"/>
      <c r="AQ25" s="614"/>
      <c r="AR25" s="614"/>
    </row>
    <row r="26" spans="1:44">
      <c r="A26" s="287"/>
      <c r="D26" s="304"/>
      <c r="E26" s="304"/>
      <c r="F26" s="304"/>
      <c r="G26" s="311"/>
      <c r="H26" s="304"/>
      <c r="I26" s="304"/>
      <c r="J26" s="304"/>
      <c r="K26" s="311"/>
      <c r="L26" s="304"/>
      <c r="M26" s="139"/>
      <c r="N26" s="304"/>
      <c r="O26" s="139"/>
      <c r="P26" s="139"/>
      <c r="V26" s="320">
        <v>4500</v>
      </c>
      <c r="W26" s="321" t="s">
        <v>243</v>
      </c>
      <c r="X26" s="319"/>
      <c r="Y26" s="319"/>
      <c r="Z26" s="319"/>
      <c r="AA26" s="323"/>
      <c r="AB26" s="323"/>
      <c r="AC26" s="323"/>
      <c r="AD26" s="323"/>
      <c r="AE26" s="323"/>
      <c r="AF26" s="323"/>
      <c r="AG26" s="323"/>
      <c r="AH26" s="323"/>
      <c r="AI26" s="614"/>
      <c r="AJ26" s="614"/>
      <c r="AK26" s="614"/>
      <c r="AL26" s="614"/>
      <c r="AM26" s="614"/>
      <c r="AN26" s="614"/>
      <c r="AO26" s="614"/>
      <c r="AP26" s="614"/>
      <c r="AQ26" s="614"/>
      <c r="AR26" s="614"/>
    </row>
    <row r="27" spans="1:44">
      <c r="A27" s="287"/>
      <c r="D27" s="304"/>
      <c r="E27" s="304"/>
      <c r="F27" s="304"/>
      <c r="G27" s="311"/>
      <c r="H27" s="304"/>
      <c r="I27" s="304"/>
      <c r="J27" s="304"/>
      <c r="K27" s="311"/>
      <c r="L27" s="304"/>
      <c r="M27" s="139"/>
      <c r="N27" s="304"/>
      <c r="O27" s="139"/>
      <c r="P27" s="139"/>
      <c r="V27" s="320">
        <v>-4900</v>
      </c>
      <c r="W27" s="321" t="s">
        <v>244</v>
      </c>
      <c r="X27" s="319"/>
      <c r="Y27" s="319"/>
      <c r="Z27" s="319"/>
      <c r="AA27" s="323"/>
      <c r="AB27" s="323"/>
      <c r="AC27" s="323"/>
      <c r="AD27" s="323"/>
      <c r="AE27" s="323"/>
      <c r="AF27" s="323"/>
      <c r="AG27" s="323"/>
      <c r="AH27" s="323"/>
      <c r="AI27" s="614"/>
      <c r="AJ27" s="614"/>
      <c r="AK27" s="614"/>
      <c r="AL27" s="614"/>
      <c r="AM27" s="614"/>
      <c r="AN27" s="614"/>
      <c r="AO27" s="614"/>
      <c r="AP27" s="614"/>
      <c r="AQ27" s="614"/>
      <c r="AR27" s="614"/>
    </row>
    <row r="28" spans="1:44" ht="16.5" thickBot="1">
      <c r="A28" s="287"/>
      <c r="D28" s="304"/>
      <c r="E28" s="304"/>
      <c r="F28" s="304"/>
      <c r="G28" s="311"/>
      <c r="H28" s="304"/>
      <c r="I28" s="304"/>
      <c r="J28" s="304"/>
      <c r="K28" s="311"/>
      <c r="L28" s="304"/>
      <c r="M28" s="139"/>
      <c r="N28" s="304"/>
      <c r="O28" s="139"/>
      <c r="P28" s="139"/>
      <c r="V28" s="324">
        <f>SUM(V21:V27)</f>
        <v>10559.479999999996</v>
      </c>
      <c r="W28" s="319" t="s">
        <v>245</v>
      </c>
      <c r="X28" s="319"/>
      <c r="Y28" s="319"/>
      <c r="Z28" s="319"/>
      <c r="AA28" s="319"/>
      <c r="AB28" s="319"/>
      <c r="AC28" s="319"/>
      <c r="AD28" s="319"/>
      <c r="AE28" s="319"/>
      <c r="AF28" s="319"/>
      <c r="AG28" s="319"/>
      <c r="AH28" s="319"/>
      <c r="AI28" s="614"/>
      <c r="AJ28" s="614"/>
      <c r="AK28" s="614"/>
      <c r="AL28" s="614"/>
      <c r="AM28" s="614"/>
      <c r="AN28" s="614"/>
      <c r="AO28" s="614"/>
      <c r="AP28" s="614"/>
      <c r="AQ28" s="614"/>
      <c r="AR28" s="614"/>
    </row>
    <row r="29" spans="1:44">
      <c r="A29" s="287"/>
      <c r="D29" s="304"/>
      <c r="E29" s="304"/>
      <c r="F29" s="304"/>
      <c r="G29" s="311"/>
      <c r="H29" s="304"/>
      <c r="I29" s="304"/>
      <c r="J29" s="304"/>
      <c r="K29" s="311"/>
      <c r="L29" s="304"/>
      <c r="M29" s="139"/>
      <c r="N29" s="304"/>
      <c r="O29" s="139"/>
      <c r="P29" s="139"/>
      <c r="V29" s="325"/>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row>
    <row r="30" spans="1:44">
      <c r="A30" s="287"/>
      <c r="D30" s="304"/>
      <c r="E30" s="304"/>
      <c r="F30" s="304"/>
      <c r="G30" s="311"/>
      <c r="H30" s="304"/>
      <c r="I30" s="304"/>
      <c r="J30" s="304"/>
      <c r="K30" s="311"/>
      <c r="L30" s="304"/>
      <c r="M30" s="139"/>
      <c r="N30" s="304"/>
      <c r="O30" s="139"/>
      <c r="P30" s="139"/>
      <c r="V30" s="325"/>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row>
    <row r="31" spans="1:44">
      <c r="A31" s="287"/>
      <c r="D31" s="304"/>
      <c r="E31" s="304"/>
      <c r="F31" s="304"/>
      <c r="G31" s="311"/>
      <c r="H31" s="304"/>
      <c r="I31" s="304"/>
      <c r="J31" s="304"/>
      <c r="K31" s="311"/>
      <c r="L31" s="304"/>
      <c r="M31" s="139"/>
      <c r="N31" s="304"/>
      <c r="O31" s="139"/>
      <c r="P31" s="139"/>
      <c r="V31" s="325"/>
      <c r="W31" s="319"/>
      <c r="X31" s="319"/>
      <c r="Y31" s="319"/>
      <c r="Z31" s="319"/>
      <c r="AA31" s="326"/>
      <c r="AB31" s="327"/>
      <c r="AC31" s="327">
        <v>8.5</v>
      </c>
      <c r="AD31" s="327" t="s">
        <v>246</v>
      </c>
      <c r="AE31" s="327"/>
      <c r="AF31" s="327"/>
      <c r="AG31" s="327"/>
      <c r="AH31" s="327"/>
      <c r="AI31" s="327"/>
      <c r="AJ31" s="327"/>
      <c r="AK31" s="327"/>
      <c r="AL31" s="327">
        <v>2.1</v>
      </c>
      <c r="AM31" s="327" t="s">
        <v>247</v>
      </c>
      <c r="AN31" s="327"/>
      <c r="AO31" s="327"/>
      <c r="AP31" s="327"/>
      <c r="AQ31" s="327"/>
      <c r="AR31" s="328"/>
    </row>
    <row r="32" spans="1:44">
      <c r="A32" s="287"/>
      <c r="D32" s="304"/>
      <c r="E32" s="304"/>
      <c r="F32" s="304"/>
      <c r="G32" s="311"/>
      <c r="H32" s="304"/>
      <c r="I32" s="304"/>
      <c r="J32" s="304"/>
      <c r="K32" s="311"/>
      <c r="L32" s="304"/>
      <c r="M32" s="139"/>
      <c r="N32" s="304"/>
      <c r="O32" s="139"/>
      <c r="P32" s="139"/>
      <c r="V32" s="325"/>
      <c r="W32" s="319"/>
      <c r="X32" s="319"/>
      <c r="Y32" s="319"/>
      <c r="Z32" s="319"/>
      <c r="AA32" s="329">
        <f>AC31+AC32+AC33+AC34</f>
        <v>7.1</v>
      </c>
      <c r="AB32" s="330"/>
      <c r="AC32" s="330">
        <v>2.4</v>
      </c>
      <c r="AD32" s="330" t="s">
        <v>248</v>
      </c>
      <c r="AE32" s="330"/>
      <c r="AF32" s="330"/>
      <c r="AG32" s="330"/>
      <c r="AH32" s="330"/>
      <c r="AI32" s="330"/>
      <c r="AJ32" s="330"/>
      <c r="AK32" s="330"/>
      <c r="AL32" s="330">
        <v>1.5</v>
      </c>
      <c r="AM32" s="330" t="s">
        <v>249</v>
      </c>
      <c r="AN32" s="330"/>
      <c r="AO32" s="330"/>
      <c r="AP32" s="330"/>
      <c r="AQ32" s="330"/>
      <c r="AR32" s="331"/>
    </row>
    <row r="33" spans="1:44">
      <c r="A33" s="287"/>
      <c r="D33" s="304"/>
      <c r="E33" s="304"/>
      <c r="F33" s="304"/>
      <c r="G33" s="311"/>
      <c r="H33" s="304"/>
      <c r="I33" s="304"/>
      <c r="J33" s="304"/>
      <c r="K33" s="311"/>
      <c r="L33" s="304"/>
      <c r="M33" s="139"/>
      <c r="N33" s="304"/>
      <c r="O33" s="139"/>
      <c r="P33" s="139"/>
      <c r="V33" s="325"/>
      <c r="W33" s="319"/>
      <c r="X33" s="319"/>
      <c r="Y33" s="319"/>
      <c r="Z33" s="319"/>
      <c r="AA33" s="332"/>
      <c r="AB33" s="330"/>
      <c r="AC33" s="330">
        <v>1.1000000000000001</v>
      </c>
      <c r="AD33" s="330" t="s">
        <v>250</v>
      </c>
      <c r="AE33" s="330"/>
      <c r="AF33" s="330"/>
      <c r="AG33" s="330"/>
      <c r="AH33" s="330"/>
      <c r="AI33" s="330"/>
      <c r="AJ33" s="330"/>
      <c r="AK33" s="330"/>
      <c r="AL33" s="333">
        <f>(0.05*88365)/1000</f>
        <v>4.4182499999999996</v>
      </c>
      <c r="AM33" s="330" t="s">
        <v>251</v>
      </c>
      <c r="AN33" s="330"/>
      <c r="AO33" s="330"/>
      <c r="AP33" s="330"/>
      <c r="AQ33" s="330"/>
      <c r="AR33" s="331"/>
    </row>
    <row r="34" spans="1:44">
      <c r="A34" s="287"/>
      <c r="D34" s="304"/>
      <c r="E34" s="304"/>
      <c r="F34" s="304"/>
      <c r="G34" s="311"/>
      <c r="H34" s="304"/>
      <c r="I34" s="304"/>
      <c r="J34" s="304"/>
      <c r="K34" s="311"/>
      <c r="L34" s="304"/>
      <c r="M34" s="139"/>
      <c r="N34" s="304"/>
      <c r="O34" s="139"/>
      <c r="P34" s="139"/>
      <c r="V34" s="325"/>
      <c r="W34" s="319"/>
      <c r="X34" s="319"/>
      <c r="Y34" s="319"/>
      <c r="Z34" s="319"/>
      <c r="AA34" s="332"/>
      <c r="AB34" s="330"/>
      <c r="AC34" s="330">
        <v>-4.9000000000000004</v>
      </c>
      <c r="AD34" s="330" t="s">
        <v>252</v>
      </c>
      <c r="AE34" s="330"/>
      <c r="AF34" s="330"/>
      <c r="AG34" s="330"/>
      <c r="AH34" s="330"/>
      <c r="AI34" s="330"/>
      <c r="AJ34" s="330"/>
      <c r="AK34" s="330"/>
      <c r="AL34" s="330"/>
      <c r="AM34" s="330"/>
      <c r="AN34" s="330"/>
      <c r="AO34" s="330"/>
      <c r="AP34" s="330"/>
      <c r="AQ34" s="330"/>
      <c r="AR34" s="331"/>
    </row>
    <row r="35" spans="1:44">
      <c r="A35" s="287"/>
      <c r="D35" s="304"/>
      <c r="E35" s="304"/>
      <c r="F35" s="304"/>
      <c r="G35" s="311"/>
      <c r="H35" s="304"/>
      <c r="I35" s="304"/>
      <c r="J35" s="304"/>
      <c r="K35" s="311"/>
      <c r="L35" s="304"/>
      <c r="M35" s="139"/>
      <c r="N35" s="304"/>
      <c r="O35" s="139"/>
      <c r="P35" s="139"/>
      <c r="V35" s="325"/>
      <c r="W35" s="319"/>
      <c r="X35" s="319"/>
      <c r="Y35" s="319"/>
      <c r="Z35" s="319"/>
      <c r="AA35" s="332"/>
      <c r="AB35" s="330"/>
      <c r="AC35" s="330">
        <v>4.5</v>
      </c>
      <c r="AD35" s="330" t="s">
        <v>253</v>
      </c>
      <c r="AE35" s="330"/>
      <c r="AF35" s="330"/>
      <c r="AG35" s="330"/>
      <c r="AH35" s="330"/>
      <c r="AI35" s="330"/>
      <c r="AJ35" s="330"/>
      <c r="AK35" s="330"/>
      <c r="AL35" s="330"/>
      <c r="AM35" s="330"/>
      <c r="AN35" s="330"/>
      <c r="AO35" s="330"/>
      <c r="AP35" s="330"/>
      <c r="AQ35" s="330"/>
      <c r="AR35" s="331"/>
    </row>
    <row r="36" spans="1:44">
      <c r="A36" s="287"/>
      <c r="D36" s="304"/>
      <c r="E36" s="304"/>
      <c r="F36" s="304"/>
      <c r="G36" s="311"/>
      <c r="H36" s="304"/>
      <c r="I36" s="304"/>
      <c r="J36" s="304"/>
      <c r="K36" s="311"/>
      <c r="L36" s="304"/>
      <c r="M36" s="139"/>
      <c r="N36" s="304"/>
      <c r="O36" s="139"/>
      <c r="P36" s="139"/>
      <c r="V36" s="325"/>
      <c r="W36" s="319"/>
      <c r="X36" s="319"/>
      <c r="Y36" s="319"/>
      <c r="Z36" s="319"/>
      <c r="AA36" s="334"/>
      <c r="AB36" s="335"/>
      <c r="AC36" s="335">
        <f>SUM(AC31:AC35)</f>
        <v>11.6</v>
      </c>
      <c r="AD36" s="335"/>
      <c r="AE36" s="335"/>
      <c r="AF36" s="335"/>
      <c r="AG36" s="335"/>
      <c r="AH36" s="335"/>
      <c r="AI36" s="335"/>
      <c r="AJ36" s="335"/>
      <c r="AK36" s="335"/>
      <c r="AL36" s="335"/>
      <c r="AM36" s="335"/>
      <c r="AN36" s="335"/>
      <c r="AO36" s="335"/>
      <c r="AP36" s="335"/>
      <c r="AQ36" s="335"/>
      <c r="AR36" s="336"/>
    </row>
    <row r="37" spans="1:44">
      <c r="A37" s="287"/>
      <c r="D37" s="304"/>
      <c r="E37" s="304"/>
      <c r="F37" s="304"/>
      <c r="G37" s="311"/>
      <c r="H37" s="304"/>
      <c r="I37" s="304"/>
      <c r="J37" s="304"/>
      <c r="K37" s="311"/>
      <c r="L37" s="304"/>
      <c r="M37" s="139"/>
      <c r="N37" s="304"/>
      <c r="O37" s="139"/>
      <c r="P37" s="139"/>
      <c r="V37" s="325"/>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row>
    <row r="38" spans="1:44">
      <c r="A38" s="285" t="s">
        <v>49</v>
      </c>
      <c r="B38" s="285" t="s">
        <v>71</v>
      </c>
      <c r="D38" s="304"/>
      <c r="E38" s="304"/>
      <c r="F38" s="304"/>
      <c r="G38" s="311"/>
      <c r="H38" s="304"/>
      <c r="I38" s="304"/>
      <c r="J38" s="304"/>
      <c r="K38" s="311"/>
      <c r="L38" s="304"/>
      <c r="M38" s="139"/>
      <c r="N38" s="304"/>
      <c r="O38" s="139"/>
      <c r="P38" s="139"/>
    </row>
    <row r="39" spans="1:44">
      <c r="B39" s="285" t="s">
        <v>72</v>
      </c>
      <c r="D39" s="304"/>
      <c r="E39" s="304"/>
      <c r="F39" s="304"/>
      <c r="G39" s="311"/>
      <c r="H39" s="304"/>
      <c r="I39" s="304"/>
      <c r="J39" s="304"/>
      <c r="K39" s="311"/>
      <c r="L39" s="304"/>
      <c r="M39" s="139"/>
      <c r="N39" s="304"/>
      <c r="O39" s="139"/>
      <c r="P39" s="139"/>
    </row>
    <row r="40" spans="1:44">
      <c r="A40" s="287"/>
      <c r="D40" s="304"/>
      <c r="E40" s="304"/>
      <c r="F40" s="304"/>
      <c r="G40" s="311"/>
      <c r="H40" s="304"/>
      <c r="I40" s="304"/>
      <c r="J40" s="304"/>
      <c r="K40" s="311"/>
      <c r="L40" s="304"/>
      <c r="M40" s="139"/>
      <c r="N40" s="304"/>
      <c r="O40" s="139"/>
      <c r="P40" s="139"/>
      <c r="V40" s="337" t="s">
        <v>254</v>
      </c>
      <c r="W40" s="338"/>
      <c r="X40" s="338"/>
      <c r="Y40" s="338"/>
      <c r="Z40" s="338"/>
      <c r="AA40" s="338"/>
      <c r="AB40" s="338" t="s">
        <v>255</v>
      </c>
      <c r="AC40" s="338"/>
      <c r="AD40" s="338"/>
      <c r="AE40" s="338"/>
      <c r="AF40" s="338"/>
      <c r="AG40" s="338"/>
      <c r="AH40" s="338"/>
      <c r="AI40" s="338"/>
      <c r="AJ40" s="338" t="s">
        <v>216</v>
      </c>
      <c r="AK40" s="338"/>
      <c r="AL40" s="338"/>
      <c r="AM40" s="338"/>
      <c r="AN40" s="338"/>
      <c r="AO40" s="338"/>
      <c r="AP40" s="338"/>
      <c r="AQ40" s="338"/>
      <c r="AR40" s="338"/>
    </row>
    <row r="41" spans="1:44" ht="17.25" customHeight="1">
      <c r="A41" s="287"/>
      <c r="D41" s="304"/>
      <c r="E41" s="304"/>
      <c r="F41" s="304"/>
      <c r="H41" s="304"/>
      <c r="I41" s="304"/>
      <c r="J41" s="304"/>
      <c r="L41" s="304"/>
      <c r="N41" s="304"/>
      <c r="O41" s="139"/>
      <c r="P41" s="139"/>
      <c r="V41" s="339">
        <v>1439</v>
      </c>
      <c r="W41" s="340" t="str">
        <f>'[38]Budget 2016 vs Forecast 2015'!B138</f>
        <v>OUTSIDE CONTRACT LABOUR</v>
      </c>
      <c r="X41" s="338"/>
      <c r="Y41" s="338"/>
      <c r="Z41" s="338"/>
      <c r="AA41" s="338"/>
      <c r="AB41" s="612" t="s">
        <v>256</v>
      </c>
      <c r="AC41" s="612"/>
      <c r="AD41" s="612"/>
      <c r="AE41" s="612"/>
      <c r="AF41" s="612"/>
      <c r="AG41" s="612"/>
      <c r="AH41" s="612"/>
      <c r="AI41" s="338"/>
      <c r="AJ41" s="613" t="s">
        <v>257</v>
      </c>
      <c r="AK41" s="613"/>
      <c r="AL41" s="613"/>
      <c r="AM41" s="613"/>
      <c r="AN41" s="613"/>
      <c r="AO41" s="613"/>
      <c r="AP41" s="613"/>
      <c r="AQ41" s="613"/>
      <c r="AR41" s="613"/>
    </row>
    <row r="42" spans="1:44">
      <c r="V42" s="339">
        <v>5053</v>
      </c>
      <c r="W42" s="340" t="s">
        <v>258</v>
      </c>
      <c r="X42" s="338"/>
      <c r="Y42" s="338"/>
      <c r="Z42" s="338"/>
      <c r="AA42" s="338"/>
      <c r="AB42" s="609" t="s">
        <v>259</v>
      </c>
      <c r="AC42" s="609"/>
      <c r="AD42" s="609"/>
      <c r="AE42" s="609"/>
      <c r="AF42" s="609"/>
      <c r="AG42" s="609"/>
      <c r="AH42" s="609"/>
      <c r="AI42" s="338"/>
      <c r="AJ42" s="613"/>
      <c r="AK42" s="613"/>
      <c r="AL42" s="613"/>
      <c r="AM42" s="613"/>
      <c r="AN42" s="613"/>
      <c r="AO42" s="613"/>
      <c r="AP42" s="613"/>
      <c r="AQ42" s="613"/>
      <c r="AR42" s="613"/>
    </row>
    <row r="43" spans="1:44" ht="48" customHeight="1">
      <c r="V43" s="339">
        <v>3050</v>
      </c>
      <c r="W43" s="340" t="str">
        <f>'[38]Budget 2016 vs Forecast 2015'!B174</f>
        <v>OTHER OUTSIDE SERVICES</v>
      </c>
      <c r="X43" s="338"/>
      <c r="Y43" s="338"/>
      <c r="Z43" s="338"/>
      <c r="AA43" s="338"/>
      <c r="AB43" s="613" t="s">
        <v>260</v>
      </c>
      <c r="AC43" s="613"/>
      <c r="AD43" s="613"/>
      <c r="AE43" s="613"/>
      <c r="AF43" s="613"/>
      <c r="AG43" s="613"/>
      <c r="AH43" s="613"/>
      <c r="AI43" s="338"/>
      <c r="AJ43" s="613"/>
      <c r="AK43" s="613"/>
      <c r="AL43" s="613"/>
      <c r="AM43" s="613"/>
      <c r="AN43" s="613"/>
      <c r="AO43" s="613"/>
      <c r="AP43" s="613"/>
      <c r="AQ43" s="613"/>
      <c r="AR43" s="613"/>
    </row>
    <row r="44" spans="1:44">
      <c r="V44" s="339">
        <v>-1545</v>
      </c>
      <c r="W44" s="340" t="str">
        <f>'[38]Budget 2016 vs Forecast 2015'!B283</f>
        <v>TRAVEL AND ENTERTAINMENT</v>
      </c>
      <c r="X44" s="338"/>
      <c r="Y44" s="338"/>
      <c r="Z44" s="338"/>
      <c r="AA44" s="338"/>
      <c r="AB44" s="609" t="s">
        <v>261</v>
      </c>
      <c r="AC44" s="609"/>
      <c r="AD44" s="609"/>
      <c r="AE44" s="609"/>
      <c r="AF44" s="609"/>
      <c r="AG44" s="609"/>
      <c r="AH44" s="609"/>
      <c r="AI44" s="338"/>
      <c r="AJ44" s="613"/>
      <c r="AK44" s="613"/>
      <c r="AL44" s="613"/>
      <c r="AM44" s="613"/>
      <c r="AN44" s="613"/>
      <c r="AO44" s="613"/>
      <c r="AP44" s="613"/>
      <c r="AQ44" s="613"/>
      <c r="AR44" s="613"/>
    </row>
    <row r="45" spans="1:44">
      <c r="D45" s="304"/>
      <c r="E45" s="304"/>
      <c r="F45" s="304"/>
      <c r="G45" s="304"/>
      <c r="H45" s="304"/>
      <c r="I45" s="304"/>
      <c r="J45" s="304"/>
      <c r="K45" s="304"/>
      <c r="V45" s="339">
        <v>-3313</v>
      </c>
      <c r="W45" s="340" t="str">
        <f>'[38]Budget 2016 vs Forecast 2015'!B302</f>
        <v>OTHER OPERATING</v>
      </c>
      <c r="X45" s="338"/>
      <c r="Y45" s="338"/>
      <c r="Z45" s="338"/>
      <c r="AA45" s="338"/>
      <c r="AB45" s="609" t="s">
        <v>262</v>
      </c>
      <c r="AC45" s="609"/>
      <c r="AD45" s="609"/>
      <c r="AE45" s="609"/>
      <c r="AF45" s="609"/>
      <c r="AG45" s="609"/>
      <c r="AH45" s="609"/>
      <c r="AI45" s="338"/>
      <c r="AJ45" s="613"/>
      <c r="AK45" s="613"/>
      <c r="AL45" s="613"/>
      <c r="AM45" s="613"/>
      <c r="AN45" s="613"/>
      <c r="AO45" s="613"/>
      <c r="AP45" s="613"/>
      <c r="AQ45" s="613"/>
      <c r="AR45" s="613"/>
    </row>
    <row r="46" spans="1:44" ht="16.5" thickBot="1">
      <c r="D46" s="304"/>
      <c r="E46" s="304"/>
      <c r="F46" s="304"/>
      <c r="G46" s="304"/>
      <c r="V46" s="341">
        <f>SUM(V41:V45)</f>
        <v>4684</v>
      </c>
      <c r="W46" s="338" t="s">
        <v>263</v>
      </c>
      <c r="X46" s="338"/>
      <c r="Y46" s="338"/>
      <c r="Z46" s="338"/>
      <c r="AA46" s="338"/>
      <c r="AB46" s="609"/>
      <c r="AC46" s="609"/>
      <c r="AD46" s="609"/>
      <c r="AE46" s="609"/>
      <c r="AF46" s="609"/>
      <c r="AG46" s="609"/>
      <c r="AH46" s="609"/>
      <c r="AI46" s="338"/>
      <c r="AJ46" s="338"/>
      <c r="AK46" s="338"/>
      <c r="AL46" s="338"/>
      <c r="AM46" s="338"/>
      <c r="AN46" s="338"/>
      <c r="AO46" s="338"/>
      <c r="AP46" s="338"/>
      <c r="AQ46" s="338"/>
      <c r="AR46" s="338"/>
    </row>
    <row r="47" spans="1:44">
      <c r="D47" s="304"/>
      <c r="E47" s="304"/>
      <c r="F47" s="304"/>
      <c r="G47" s="304"/>
    </row>
    <row r="48" spans="1:44">
      <c r="D48" s="304"/>
      <c r="E48" s="304"/>
      <c r="F48" s="304"/>
      <c r="G48" s="304"/>
      <c r="AJ48" s="285" t="s">
        <v>264</v>
      </c>
      <c r="AO48" s="285" t="s">
        <v>265</v>
      </c>
      <c r="AP48" s="285" t="s">
        <v>266</v>
      </c>
    </row>
    <row r="49" spans="4:44">
      <c r="D49" s="304"/>
      <c r="E49" s="304"/>
      <c r="F49" s="304"/>
      <c r="G49" s="304"/>
      <c r="AK49" s="285" t="s">
        <v>267</v>
      </c>
      <c r="AL49" s="285" t="s">
        <v>268</v>
      </c>
      <c r="AM49" s="285" t="s">
        <v>269</v>
      </c>
    </row>
    <row r="50" spans="4:44">
      <c r="D50" s="304"/>
      <c r="E50" s="304"/>
      <c r="F50" s="304"/>
      <c r="G50" s="304"/>
      <c r="AJ50" s="285" t="s">
        <v>181</v>
      </c>
      <c r="AK50" s="285">
        <v>39917</v>
      </c>
    </row>
    <row r="51" spans="4:44">
      <c r="AJ51" s="285" t="s">
        <v>182</v>
      </c>
      <c r="AK51" s="285">
        <f>490321/12</f>
        <v>40860.083333333336</v>
      </c>
      <c r="AL51" s="285">
        <f>AK51-AK50</f>
        <v>943.08333333333576</v>
      </c>
      <c r="AM51" s="28">
        <f>AL51/AK50</f>
        <v>2.3626107506409193E-2</v>
      </c>
      <c r="AO51" s="28">
        <v>2.1000000000000001E-2</v>
      </c>
      <c r="AP51" s="342">
        <f>AM51+AO51</f>
        <v>4.4626107506409191E-2</v>
      </c>
    </row>
    <row r="52" spans="4:44">
      <c r="AJ52" s="285" t="s">
        <v>270</v>
      </c>
      <c r="AK52" s="285">
        <f>502207/12</f>
        <v>41850.583333333336</v>
      </c>
      <c r="AL52" s="285">
        <f>AK52-AK51</f>
        <v>990.5</v>
      </c>
      <c r="AM52" s="28">
        <f>AL52/AK51</f>
        <v>2.4241262356701015E-2</v>
      </c>
      <c r="AO52" s="28">
        <v>2.1999999999999999E-2</v>
      </c>
      <c r="AP52" s="342">
        <f>AM52+AO52</f>
        <v>4.6241262356701014E-2</v>
      </c>
    </row>
    <row r="55" spans="4:44">
      <c r="V55" s="343" t="s">
        <v>271</v>
      </c>
      <c r="W55" s="343"/>
      <c r="X55" s="343"/>
      <c r="Y55" s="343"/>
      <c r="Z55" s="343"/>
      <c r="AA55" s="344"/>
      <c r="AB55" s="344" t="s">
        <v>255</v>
      </c>
      <c r="AC55" s="344"/>
      <c r="AD55" s="344"/>
      <c r="AE55" s="344"/>
      <c r="AF55" s="344"/>
      <c r="AG55" s="344"/>
      <c r="AH55" s="344"/>
      <c r="AI55" s="344"/>
      <c r="AJ55" s="344" t="s">
        <v>216</v>
      </c>
      <c r="AK55" s="344"/>
      <c r="AL55" s="344"/>
      <c r="AM55" s="344"/>
      <c r="AN55" s="344"/>
      <c r="AO55" s="344"/>
      <c r="AP55" s="344"/>
      <c r="AQ55" s="344"/>
      <c r="AR55" s="344"/>
    </row>
    <row r="56" spans="4:44" ht="36" customHeight="1">
      <c r="V56" s="345">
        <f>'[38]Budget 2016 vs Réel 2014'!E118</f>
        <v>2366.89</v>
      </c>
      <c r="W56" s="346" t="str">
        <f>'[38]Budget 2016 vs Réel 2014'!B118</f>
        <v>OFFICE MATERIALS AND SUPPLIES</v>
      </c>
      <c r="X56" s="343"/>
      <c r="Y56" s="343"/>
      <c r="Z56" s="343"/>
      <c r="AA56" s="344"/>
      <c r="AB56" s="610" t="str">
        <f>'[38]Budget 2016 vs Réel 2014'!H118</f>
        <v>?? La moyenne à 3 ans est de 2307 (2012/2013/2014).  Pourquoi F2015 et B2016 sont-elles si élevées, je ne sais pas…</v>
      </c>
      <c r="AC56" s="610"/>
      <c r="AD56" s="610"/>
      <c r="AE56" s="610"/>
      <c r="AF56" s="610"/>
      <c r="AG56" s="610"/>
      <c r="AH56" s="610"/>
      <c r="AI56" s="344"/>
      <c r="AJ56" s="607" t="s">
        <v>272</v>
      </c>
      <c r="AK56" s="607"/>
      <c r="AL56" s="607"/>
      <c r="AM56" s="607"/>
      <c r="AN56" s="607"/>
      <c r="AO56" s="607"/>
      <c r="AP56" s="607"/>
      <c r="AQ56" s="607"/>
      <c r="AR56" s="607"/>
    </row>
    <row r="57" spans="4:44" ht="48.75" customHeight="1">
      <c r="V57" s="345">
        <f>'[38]Budget 2016 vs Réel 2014'!E138</f>
        <v>3833.0299999999988</v>
      </c>
      <c r="W57" s="346" t="str">
        <f>'[38]Budget 2016 vs Réel 2014'!B138</f>
        <v>OUTSIDE CONTRACT LABOUR</v>
      </c>
      <c r="X57" s="343"/>
      <c r="Y57" s="343"/>
      <c r="Z57" s="343"/>
      <c r="AA57" s="344"/>
      <c r="AB57" s="611" t="str">
        <f>'[38]Budget 2016 vs Réel 2014'!H138</f>
        <v>On réouvre les compteurs ici.
Les frais augment de 2.1 et 2.2% d'année en année = l'inflation.  Le solde de la vartiation provient d'un effet volume (+ de redlock).  En 2014: 883.  En 2015: 934 et en 2016:954.  C'est une tendance historique qui viendrait faire augmenter la prévision.</v>
      </c>
      <c r="AC57" s="611"/>
      <c r="AD57" s="611"/>
      <c r="AE57" s="611"/>
      <c r="AF57" s="611"/>
      <c r="AG57" s="611"/>
      <c r="AH57" s="611"/>
      <c r="AI57" s="611"/>
      <c r="AJ57" s="607"/>
      <c r="AK57" s="607"/>
      <c r="AL57" s="607"/>
      <c r="AM57" s="607"/>
      <c r="AN57" s="607"/>
      <c r="AO57" s="607"/>
      <c r="AP57" s="607"/>
      <c r="AQ57" s="607"/>
      <c r="AR57" s="607"/>
    </row>
    <row r="58" spans="4:44" ht="45" customHeight="1">
      <c r="V58" s="345">
        <f>'[38]Budget 2016 vs Réel 2014'!E160</f>
        <v>9074.5999999999985</v>
      </c>
      <c r="W58" s="346" t="str">
        <f>'[38]Budget 2016 vs Réel 2014'!B160</f>
        <v>OFFICE AND TECHNOLOGY SERVICES</v>
      </c>
      <c r="X58" s="343"/>
      <c r="Y58" s="343"/>
      <c r="Z58" s="343"/>
      <c r="AA58" s="344"/>
      <c r="AB58" s="611" t="str">
        <f>'[38]Budget 2016 vs Réel 2014'!H160</f>
        <v>Le timbre est passé de 0.7$ en 2014 à une prévision de .77$ en 2016.  Soit une aug de 10%. Cette augmentation est à combiner à une augmentation du nombre d'avis à envoyer également (environ 13% sur 2 ans)</v>
      </c>
      <c r="AC58" s="611"/>
      <c r="AD58" s="611"/>
      <c r="AE58" s="611"/>
      <c r="AF58" s="611"/>
      <c r="AG58" s="611"/>
      <c r="AH58" s="611"/>
      <c r="AI58" s="344"/>
      <c r="AJ58" s="607"/>
      <c r="AK58" s="607"/>
      <c r="AL58" s="607"/>
      <c r="AM58" s="607"/>
      <c r="AN58" s="607"/>
      <c r="AO58" s="607"/>
      <c r="AP58" s="607"/>
      <c r="AQ58" s="607"/>
      <c r="AR58" s="607"/>
    </row>
    <row r="59" spans="4:44" ht="38.25" customHeight="1">
      <c r="V59" s="345">
        <f>'[38]Budget 2016 vs Réel 2014'!E283</f>
        <v>829.96</v>
      </c>
      <c r="W59" s="346" t="str">
        <f>'[38]Budget 2016 vs Réel 2014'!B283</f>
        <v>TRAVEL AND ENTERTAINMENT</v>
      </c>
      <c r="X59" s="343"/>
      <c r="Y59" s="343"/>
      <c r="Z59" s="343"/>
      <c r="AA59" s="344"/>
      <c r="AB59" s="611" t="str">
        <f>'[38]Budget 2016 vs Réel 2014'!H283</f>
        <v>?? On compare 2 année sans conférence ici, si je comprends bien.  Pourquoi augmente-t-on de 146%?? Mais le montant n'est pas très significatif…</v>
      </c>
      <c r="AC59" s="611"/>
      <c r="AD59" s="611"/>
      <c r="AE59" s="611"/>
      <c r="AF59" s="611"/>
      <c r="AG59" s="611"/>
      <c r="AH59" s="611"/>
      <c r="AI59" s="344"/>
      <c r="AJ59" s="607"/>
      <c r="AK59" s="607"/>
      <c r="AL59" s="607"/>
      <c r="AM59" s="607"/>
      <c r="AN59" s="607"/>
      <c r="AO59" s="607"/>
      <c r="AP59" s="607"/>
      <c r="AQ59" s="607"/>
      <c r="AR59" s="607"/>
    </row>
    <row r="60" spans="4:44" ht="36" customHeight="1">
      <c r="V60" s="345">
        <f>'[38]Budget 2016 vs Réel 2014'!E301+'[38]Budget 2016 vs Réel 2014'!E357</f>
        <v>-3757.75</v>
      </c>
      <c r="W60" s="346" t="str">
        <f>'[38]Budget 2016 vs Réel 2014'!B359</f>
        <v>INTERNAL RECOVERIES</v>
      </c>
      <c r="X60" s="343"/>
      <c r="Y60" s="343"/>
      <c r="Z60" s="343"/>
      <c r="AA60" s="344"/>
      <c r="AB60" s="607" t="str">
        <f>'[38]Budget 2016 vs Réel 2014'!H357</f>
        <v>Effet volume tel que ci-dessus.  En effet, les revenus pour unlock et les revenus 48hres sont inchangés entre 2014, 2015 et 2016.</v>
      </c>
      <c r="AC60" s="607"/>
      <c r="AD60" s="607"/>
      <c r="AE60" s="607"/>
      <c r="AF60" s="607"/>
      <c r="AG60" s="607"/>
      <c r="AH60" s="607"/>
      <c r="AI60" s="344"/>
      <c r="AJ60" s="607"/>
      <c r="AK60" s="607"/>
      <c r="AL60" s="607"/>
      <c r="AM60" s="607"/>
      <c r="AN60" s="607"/>
      <c r="AO60" s="607"/>
      <c r="AP60" s="607"/>
      <c r="AQ60" s="607"/>
      <c r="AR60" s="607"/>
    </row>
    <row r="61" spans="4:44" ht="16.5" thickBot="1">
      <c r="V61" s="347">
        <f>SUM(V56:V60)</f>
        <v>12346.729999999996</v>
      </c>
      <c r="W61" s="343" t="s">
        <v>273</v>
      </c>
      <c r="X61" s="343"/>
      <c r="Y61" s="343"/>
      <c r="Z61" s="343"/>
      <c r="AA61" s="344"/>
      <c r="AB61" s="607"/>
      <c r="AC61" s="607"/>
      <c r="AD61" s="607"/>
      <c r="AE61" s="607"/>
      <c r="AF61" s="607"/>
      <c r="AG61" s="607"/>
      <c r="AH61" s="607"/>
      <c r="AI61" s="344"/>
      <c r="AJ61" s="344"/>
      <c r="AK61" s="344"/>
      <c r="AL61" s="344"/>
      <c r="AM61" s="344"/>
      <c r="AN61" s="344"/>
      <c r="AO61" s="344"/>
      <c r="AP61" s="344"/>
      <c r="AQ61" s="344"/>
      <c r="AR61" s="344"/>
    </row>
    <row r="64" spans="4:44">
      <c r="H64" s="312"/>
      <c r="I64" s="312"/>
      <c r="J64" s="312"/>
      <c r="K64" s="312"/>
      <c r="L64" s="312"/>
      <c r="M64" s="312"/>
      <c r="N64" s="312"/>
      <c r="O64" s="312"/>
      <c r="P64" s="312" t="s">
        <v>96</v>
      </c>
      <c r="W64" s="285">
        <v>2014</v>
      </c>
      <c r="X64" s="285">
        <v>2015</v>
      </c>
      <c r="Y64" s="285">
        <v>2016</v>
      </c>
      <c r="AJ64" s="608" t="s">
        <v>274</v>
      </c>
      <c r="AK64" s="608"/>
      <c r="AL64" s="608"/>
      <c r="AM64" s="608"/>
      <c r="AN64" s="608"/>
      <c r="AO64" s="608"/>
      <c r="AP64" s="608"/>
      <c r="AQ64" s="608"/>
      <c r="AR64" s="608"/>
    </row>
    <row r="65" spans="1:44">
      <c r="H65" s="312"/>
      <c r="I65" s="312"/>
      <c r="J65" s="312"/>
      <c r="K65" s="312"/>
      <c r="L65" s="312"/>
      <c r="M65" s="312"/>
      <c r="N65" s="312"/>
      <c r="O65" s="312"/>
      <c r="P65" s="312" t="s">
        <v>97</v>
      </c>
      <c r="W65" s="304">
        <f>D24</f>
        <v>-95.395090000000053</v>
      </c>
      <c r="X65" s="304">
        <f>H24</f>
        <v>-83.787999999999997</v>
      </c>
      <c r="Y65" s="304">
        <f>L24</f>
        <v>-78.930999999999997</v>
      </c>
      <c r="AJ65" s="608"/>
      <c r="AK65" s="608"/>
      <c r="AL65" s="608"/>
      <c r="AM65" s="608"/>
      <c r="AN65" s="608"/>
      <c r="AO65" s="608"/>
      <c r="AP65" s="608"/>
      <c r="AQ65" s="608"/>
      <c r="AR65" s="608"/>
    </row>
    <row r="66" spans="1:44">
      <c r="H66" s="312"/>
      <c r="I66" s="312"/>
      <c r="J66" s="312"/>
      <c r="K66" s="312"/>
      <c r="L66" s="312"/>
      <c r="M66" s="312"/>
      <c r="N66" s="312"/>
      <c r="O66" s="312"/>
      <c r="P66" s="312" t="s">
        <v>51</v>
      </c>
      <c r="X66" s="304">
        <f>X65-W65</f>
        <v>11.607090000000056</v>
      </c>
      <c r="Y66" s="304">
        <f>Y65-X65</f>
        <v>4.8569999999999993</v>
      </c>
      <c r="Z66" s="285" t="s">
        <v>275</v>
      </c>
    </row>
    <row r="67" spans="1:44">
      <c r="A67" s="285" t="s">
        <v>98</v>
      </c>
      <c r="H67" s="312"/>
      <c r="I67" s="312"/>
      <c r="J67" s="312"/>
      <c r="K67" s="312"/>
      <c r="L67" s="312"/>
      <c r="M67" s="312"/>
      <c r="N67" s="312"/>
      <c r="O67" s="312"/>
      <c r="P67" s="312" t="s">
        <v>99</v>
      </c>
      <c r="Y67" s="304">
        <f>Y65-W65</f>
        <v>16.464090000000056</v>
      </c>
      <c r="Z67" s="285" t="s">
        <v>276</v>
      </c>
    </row>
    <row r="69" spans="1:44">
      <c r="C69" s="313" t="s">
        <v>100</v>
      </c>
      <c r="D69" s="314">
        <f>D16+D24-([37]INPUT!C359)/1000</f>
        <v>0</v>
      </c>
      <c r="E69" s="315"/>
      <c r="F69" s="314">
        <f>F16+F24-('[37]Budget 2014'!O358)/1000</f>
        <v>0</v>
      </c>
      <c r="G69" s="315"/>
      <c r="H69" s="314">
        <f>H16+H24-([37]INPUT!E359)/1000</f>
        <v>0</v>
      </c>
      <c r="I69" s="315"/>
      <c r="J69" s="314">
        <f>J16+J24-([37]INPUT!D359)/1000</f>
        <v>0</v>
      </c>
      <c r="K69" s="315"/>
      <c r="L69" s="314">
        <f>L16+L24-([37]INPUT!F359)/1000</f>
        <v>0</v>
      </c>
    </row>
    <row r="72" spans="1:44">
      <c r="D72" s="304">
        <f>D16+D21</f>
        <v>144.90193999999997</v>
      </c>
      <c r="E72" s="304"/>
      <c r="F72" s="304">
        <f t="shared" ref="F72:L72" si="0">F16+F21</f>
        <v>168.40199999999999</v>
      </c>
      <c r="G72" s="304">
        <f t="shared" si="0"/>
        <v>0</v>
      </c>
      <c r="H72" s="304">
        <f t="shared" si="0"/>
        <v>162.07299999999998</v>
      </c>
      <c r="I72" s="304"/>
      <c r="J72" s="304">
        <f t="shared" si="0"/>
        <v>162.07299999999998</v>
      </c>
      <c r="K72" s="304">
        <f t="shared" si="0"/>
        <v>0</v>
      </c>
      <c r="L72" s="304">
        <f t="shared" si="0"/>
        <v>171.35000000000002</v>
      </c>
      <c r="M72" s="304"/>
    </row>
    <row r="76" spans="1:44">
      <c r="A76" s="348"/>
      <c r="B76" s="6"/>
      <c r="C76" s="6"/>
      <c r="D76" s="6"/>
      <c r="E76" s="6"/>
      <c r="F76" s="6"/>
      <c r="G76" s="6"/>
      <c r="H76" s="6"/>
      <c r="I76" s="6"/>
      <c r="J76" s="6"/>
      <c r="K76" s="6"/>
      <c r="L76" s="6"/>
      <c r="M76" s="6"/>
      <c r="N76" s="349"/>
    </row>
    <row r="77" spans="1:44">
      <c r="A77" s="6"/>
      <c r="B77" s="6"/>
      <c r="C77" s="6"/>
      <c r="D77" s="6"/>
      <c r="E77" s="6"/>
      <c r="F77" s="6"/>
      <c r="G77" s="6"/>
      <c r="H77" s="6"/>
      <c r="I77" s="6"/>
      <c r="J77" s="6"/>
      <c r="K77" s="6"/>
      <c r="L77" s="6"/>
      <c r="M77" s="6"/>
      <c r="N77" s="349"/>
    </row>
    <row r="78" spans="1:44">
      <c r="A78" s="6"/>
      <c r="B78" s="6"/>
      <c r="C78" s="6"/>
      <c r="D78" s="6"/>
      <c r="E78" s="6"/>
      <c r="F78" s="6"/>
      <c r="G78" s="6"/>
      <c r="H78" s="6"/>
      <c r="I78" s="6"/>
      <c r="J78" s="6"/>
      <c r="K78" s="6"/>
      <c r="L78" s="6"/>
      <c r="M78" s="7"/>
      <c r="N78" s="349"/>
    </row>
    <row r="79" spans="1:44">
      <c r="A79" s="6"/>
      <c r="B79" s="6"/>
      <c r="C79" s="6"/>
      <c r="D79" s="6"/>
      <c r="E79" s="6"/>
      <c r="F79" s="6"/>
      <c r="G79" s="6"/>
      <c r="H79" s="6"/>
      <c r="I79" s="6"/>
      <c r="J79" s="6"/>
      <c r="K79" s="6"/>
      <c r="L79" s="6"/>
      <c r="M79" s="7"/>
      <c r="N79" s="349"/>
    </row>
    <row r="80" spans="1:44">
      <c r="A80" s="6"/>
      <c r="B80" s="6"/>
      <c r="C80" s="6"/>
      <c r="D80" s="6"/>
      <c r="E80" s="6"/>
      <c r="F80" s="6"/>
      <c r="G80" s="6"/>
      <c r="H80" s="6"/>
      <c r="I80" s="6"/>
      <c r="J80" s="6"/>
      <c r="K80" s="6"/>
      <c r="L80" s="6"/>
      <c r="M80" s="7"/>
      <c r="N80" s="349"/>
    </row>
    <row r="81" spans="1:14">
      <c r="A81" s="6"/>
      <c r="B81" s="6"/>
      <c r="C81" s="6"/>
      <c r="D81" s="6"/>
      <c r="E81" s="6"/>
      <c r="F81" s="6"/>
      <c r="G81" s="6"/>
      <c r="H81" s="6"/>
      <c r="I81" s="6"/>
      <c r="J81" s="6"/>
      <c r="K81" s="6"/>
      <c r="L81" s="6"/>
      <c r="M81" s="7"/>
      <c r="N81" s="349"/>
    </row>
    <row r="82" spans="1:14">
      <c r="A82" s="6"/>
      <c r="B82" s="6"/>
      <c r="C82" s="6"/>
      <c r="D82" s="6"/>
      <c r="E82" s="6"/>
      <c r="F82" s="6"/>
      <c r="G82" s="6"/>
      <c r="H82" s="6"/>
      <c r="I82" s="6"/>
      <c r="J82" s="6"/>
      <c r="K82" s="7"/>
      <c r="L82" s="7"/>
      <c r="M82" s="6"/>
      <c r="N82" s="349"/>
    </row>
    <row r="83" spans="1:14">
      <c r="A83" s="6"/>
      <c r="B83" s="6"/>
      <c r="C83" s="6"/>
      <c r="D83" s="6"/>
      <c r="E83" s="6"/>
      <c r="F83" s="6"/>
      <c r="G83" s="6"/>
      <c r="H83" s="6"/>
      <c r="I83" s="6"/>
      <c r="J83" s="6"/>
      <c r="K83" s="7"/>
      <c r="L83" s="7"/>
      <c r="M83" s="6"/>
      <c r="N83" s="349"/>
    </row>
    <row r="84" spans="1:14">
      <c r="A84" s="6"/>
      <c r="B84" s="6"/>
      <c r="C84" s="6"/>
      <c r="D84" s="6"/>
      <c r="E84" s="6"/>
      <c r="F84" s="6"/>
      <c r="G84" s="6"/>
      <c r="H84" s="6"/>
      <c r="I84" s="6"/>
      <c r="J84" s="6"/>
      <c r="K84" s="7"/>
      <c r="L84" s="7"/>
      <c r="M84" s="6"/>
      <c r="N84" s="349"/>
    </row>
    <row r="85" spans="1:14">
      <c r="A85" s="6"/>
      <c r="B85" s="6"/>
      <c r="C85" s="6"/>
      <c r="D85" s="6"/>
      <c r="E85" s="6"/>
      <c r="F85" s="6"/>
      <c r="G85" s="6"/>
      <c r="H85" s="6"/>
      <c r="I85" s="6"/>
      <c r="J85" s="6"/>
      <c r="K85" s="7"/>
      <c r="L85" s="7"/>
      <c r="M85" s="6"/>
      <c r="N85" s="349"/>
    </row>
    <row r="86" spans="1:14">
      <c r="A86" s="348"/>
      <c r="B86" s="6"/>
      <c r="C86" s="6"/>
      <c r="D86" s="6"/>
      <c r="E86" s="6"/>
      <c r="F86" s="6"/>
      <c r="G86" s="6"/>
      <c r="H86" s="6"/>
      <c r="I86" s="6"/>
      <c r="J86" s="6"/>
      <c r="K86" s="7"/>
      <c r="L86" s="7"/>
      <c r="M86" s="6"/>
      <c r="N86" s="349"/>
    </row>
    <row r="87" spans="1:14">
      <c r="A87" s="6"/>
      <c r="B87" s="6"/>
      <c r="C87" s="6"/>
      <c r="D87" s="6"/>
      <c r="E87" s="6"/>
      <c r="F87" s="6"/>
      <c r="G87" s="6"/>
      <c r="H87" s="6"/>
      <c r="I87" s="5"/>
      <c r="J87" s="6"/>
      <c r="K87" s="5"/>
      <c r="L87" s="5"/>
      <c r="M87" s="5"/>
      <c r="N87" s="349"/>
    </row>
    <row r="88" spans="1:14">
      <c r="A88" s="6"/>
      <c r="B88" s="6"/>
      <c r="C88" s="6"/>
      <c r="D88" s="6"/>
      <c r="E88" s="6"/>
      <c r="F88" s="6"/>
      <c r="G88" s="6"/>
      <c r="H88" s="6"/>
      <c r="I88" s="7"/>
      <c r="J88" s="7"/>
      <c r="K88" s="7"/>
      <c r="L88" s="7"/>
      <c r="M88" s="7"/>
      <c r="N88" s="349"/>
    </row>
    <row r="89" spans="1:14">
      <c r="A89" s="6"/>
      <c r="B89" s="6"/>
      <c r="C89" s="6"/>
      <c r="D89" s="6"/>
      <c r="E89" s="6"/>
      <c r="F89" s="6"/>
      <c r="G89" s="6"/>
      <c r="H89" s="6"/>
      <c r="I89" s="7"/>
      <c r="J89" s="7"/>
      <c r="K89" s="7"/>
      <c r="L89" s="7"/>
      <c r="M89" s="7"/>
      <c r="N89" s="349"/>
    </row>
    <row r="90" spans="1:14">
      <c r="A90" s="6"/>
      <c r="B90" s="6"/>
      <c r="C90" s="6"/>
      <c r="D90" s="6"/>
      <c r="E90" s="6"/>
      <c r="F90" s="6"/>
      <c r="G90" s="6"/>
      <c r="H90" s="6"/>
      <c r="I90" s="7"/>
      <c r="J90" s="7"/>
      <c r="K90" s="7"/>
      <c r="L90" s="7"/>
      <c r="M90" s="7"/>
      <c r="N90" s="349"/>
    </row>
    <row r="91" spans="1:14">
      <c r="A91" s="6"/>
      <c r="B91" s="6"/>
      <c r="C91" s="6"/>
      <c r="D91" s="6"/>
      <c r="E91" s="6"/>
      <c r="F91" s="6"/>
      <c r="G91" s="6"/>
      <c r="H91" s="6"/>
      <c r="I91" s="7"/>
      <c r="J91" s="7"/>
      <c r="K91" s="7"/>
      <c r="L91" s="7"/>
      <c r="M91" s="7"/>
      <c r="N91" s="349"/>
    </row>
    <row r="92" spans="1:14">
      <c r="A92" s="6"/>
      <c r="B92" s="6"/>
      <c r="C92" s="6"/>
      <c r="D92" s="6"/>
      <c r="E92" s="6"/>
      <c r="F92" s="6"/>
      <c r="G92" s="6"/>
      <c r="H92" s="6"/>
      <c r="I92" s="7"/>
      <c r="J92" s="7"/>
      <c r="K92" s="7"/>
      <c r="L92" s="7"/>
      <c r="M92" s="7"/>
      <c r="N92" s="349"/>
    </row>
    <row r="93" spans="1:14">
      <c r="A93" s="6"/>
      <c r="B93" s="6"/>
      <c r="C93" s="6"/>
      <c r="D93" s="6"/>
      <c r="E93" s="6"/>
      <c r="F93" s="6"/>
      <c r="G93" s="6"/>
      <c r="H93" s="6"/>
      <c r="I93" s="7"/>
      <c r="J93" s="7"/>
      <c r="K93" s="7"/>
      <c r="L93" s="7"/>
      <c r="M93" s="7"/>
      <c r="N93" s="349"/>
    </row>
    <row r="94" spans="1:14">
      <c r="A94" s="6"/>
      <c r="B94" s="6"/>
      <c r="C94" s="6"/>
      <c r="D94" s="6"/>
      <c r="E94" s="6"/>
      <c r="F94" s="6"/>
      <c r="G94" s="6"/>
      <c r="H94" s="6"/>
      <c r="I94" s="7"/>
      <c r="J94" s="7"/>
      <c r="K94" s="7"/>
      <c r="L94" s="7"/>
      <c r="M94" s="7"/>
      <c r="N94" s="349"/>
    </row>
    <row r="95" spans="1:14">
      <c r="A95" s="6"/>
      <c r="B95" s="6"/>
      <c r="C95" s="6"/>
      <c r="D95" s="6"/>
      <c r="E95" s="6"/>
      <c r="F95" s="6"/>
      <c r="G95" s="6"/>
      <c r="H95" s="6"/>
      <c r="I95" s="6"/>
      <c r="J95" s="6"/>
      <c r="K95" s="6"/>
      <c r="L95" s="6"/>
      <c r="M95" s="6"/>
      <c r="N95" s="349"/>
    </row>
    <row r="96" spans="1:14">
      <c r="A96" s="6"/>
      <c r="B96" s="6"/>
      <c r="C96" s="6"/>
      <c r="D96" s="6"/>
      <c r="E96" s="6"/>
      <c r="F96" s="6"/>
      <c r="G96" s="6"/>
      <c r="H96" s="6"/>
      <c r="I96" s="7"/>
      <c r="J96" s="350"/>
      <c r="K96" s="7"/>
      <c r="L96" s="7"/>
      <c r="M96" s="7"/>
      <c r="N96" s="349"/>
    </row>
    <row r="97" spans="1:14">
      <c r="A97" s="6"/>
      <c r="B97" s="6"/>
      <c r="C97" s="6"/>
      <c r="D97" s="6"/>
      <c r="E97" s="6"/>
      <c r="F97" s="6"/>
      <c r="G97" s="6"/>
      <c r="H97" s="6"/>
      <c r="I97" s="7"/>
      <c r="J97" s="350"/>
      <c r="K97" s="7"/>
      <c r="L97" s="7"/>
      <c r="M97" s="7"/>
      <c r="N97" s="349"/>
    </row>
    <row r="98" spans="1:14">
      <c r="A98" s="6"/>
      <c r="B98" s="6"/>
      <c r="C98" s="6"/>
      <c r="D98" s="6"/>
      <c r="E98" s="6"/>
      <c r="F98" s="6"/>
      <c r="G98" s="6"/>
      <c r="H98" s="6"/>
      <c r="I98" s="7"/>
      <c r="J98" s="7"/>
      <c r="K98" s="7"/>
      <c r="L98" s="7"/>
      <c r="M98" s="7"/>
      <c r="N98" s="349"/>
    </row>
    <row r="99" spans="1:14">
      <c r="A99" s="6"/>
      <c r="B99" s="6"/>
      <c r="C99" s="6"/>
      <c r="D99" s="6"/>
      <c r="E99" s="6"/>
      <c r="F99" s="6"/>
      <c r="G99" s="6"/>
      <c r="H99" s="6"/>
      <c r="I99" s="7"/>
      <c r="J99" s="7"/>
      <c r="K99" s="7"/>
      <c r="L99" s="7"/>
      <c r="M99" s="7"/>
      <c r="N99" s="349"/>
    </row>
    <row r="100" spans="1:14">
      <c r="A100" s="6"/>
      <c r="B100" s="6"/>
      <c r="C100" s="6"/>
      <c r="D100" s="6"/>
      <c r="E100" s="6"/>
      <c r="F100" s="6"/>
      <c r="G100" s="6"/>
      <c r="H100" s="6"/>
      <c r="I100" s="7"/>
      <c r="J100" s="7"/>
      <c r="K100" s="7"/>
      <c r="L100" s="7"/>
      <c r="M100" s="7"/>
      <c r="N100" s="349"/>
    </row>
    <row r="101" spans="1:14">
      <c r="A101" s="349"/>
      <c r="B101" s="349"/>
      <c r="C101" s="349"/>
      <c r="D101" s="349"/>
      <c r="E101" s="349"/>
      <c r="F101" s="349"/>
      <c r="G101" s="349"/>
      <c r="H101" s="349"/>
      <c r="I101" s="349"/>
      <c r="J101" s="349"/>
      <c r="K101" s="349"/>
      <c r="L101" s="349"/>
      <c r="M101" s="349"/>
      <c r="N101" s="349"/>
    </row>
  </sheetData>
  <mergeCells count="25">
    <mergeCell ref="N10:Q10"/>
    <mergeCell ref="N11:O11"/>
    <mergeCell ref="P11:Q11"/>
    <mergeCell ref="N12:O12"/>
    <mergeCell ref="P12:Q12"/>
    <mergeCell ref="AA22:AH22"/>
    <mergeCell ref="AI22:AR28"/>
    <mergeCell ref="AA23:AH23"/>
    <mergeCell ref="AA24:AH24"/>
    <mergeCell ref="AA25:AH25"/>
    <mergeCell ref="AB41:AH41"/>
    <mergeCell ref="AJ41:AR45"/>
    <mergeCell ref="AB42:AH42"/>
    <mergeCell ref="AB43:AH43"/>
    <mergeCell ref="AB44:AH44"/>
    <mergeCell ref="AB45:AH45"/>
    <mergeCell ref="AB61:AH61"/>
    <mergeCell ref="AJ64:AR65"/>
    <mergeCell ref="AB46:AH46"/>
    <mergeCell ref="AB56:AH56"/>
    <mergeCell ref="AJ56:AR60"/>
    <mergeCell ref="AB57:AI57"/>
    <mergeCell ref="AB58:AH58"/>
    <mergeCell ref="AB59:AH59"/>
    <mergeCell ref="AB60:AH60"/>
  </mergeCells>
  <pageMargins left="0.45" right="0.45" top="0.75" bottom="0.5" header="0.3" footer="0.05"/>
  <pageSetup paperSize="5" scale="39" orientation="landscape" verticalDpi="0"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tabColor rgb="FFFFFF00"/>
    <pageSetUpPr fitToPage="1"/>
  </sheetPr>
  <dimension ref="A1:AD59"/>
  <sheetViews>
    <sheetView zoomScaleNormal="100" workbookViewId="0">
      <selection activeCell="N26" sqref="N26"/>
    </sheetView>
  </sheetViews>
  <sheetFormatPr baseColWidth="10" defaultColWidth="9.140625" defaultRowHeight="15.75" outlineLevelCol="1"/>
  <cols>
    <col min="1" max="1" width="9.42578125" style="285" bestFit="1" customWidth="1"/>
    <col min="2" max="2" width="27.28515625" style="285" customWidth="1"/>
    <col min="3" max="3" width="6" style="285" customWidth="1"/>
    <col min="4" max="4" width="12.28515625" style="285" bestFit="1" customWidth="1"/>
    <col min="5" max="5" width="3.85546875" style="285" hidden="1" customWidth="1" outlineLevel="1"/>
    <col min="6" max="6" width="13.5703125" style="285" hidden="1" customWidth="1" outlineLevel="1"/>
    <col min="7" max="7" width="3.85546875" style="285" customWidth="1" collapsed="1"/>
    <col min="8" max="8" width="10" style="285" bestFit="1" customWidth="1"/>
    <col min="9" max="9" width="3.85546875" style="285" hidden="1" customWidth="1" outlineLevel="1"/>
    <col min="10" max="10" width="13.28515625" style="285" hidden="1" customWidth="1" outlineLevel="1"/>
    <col min="11" max="11" width="3.85546875" style="285" customWidth="1" collapsed="1"/>
    <col min="12" max="12" width="9.42578125" style="285" bestFit="1" customWidth="1"/>
    <col min="13" max="13" width="3.85546875" style="285" customWidth="1"/>
    <col min="14" max="14" width="14" style="285" bestFit="1" customWidth="1"/>
    <col min="15" max="15" width="5.140625" style="285" bestFit="1" customWidth="1"/>
    <col min="16" max="16" width="12.42578125" style="285" bestFit="1" customWidth="1"/>
    <col min="17" max="17" width="5.5703125" style="285" bestFit="1" customWidth="1"/>
    <col min="18" max="18" width="5.28515625" style="285" customWidth="1"/>
    <col min="19" max="19" width="20.140625" style="285" hidden="1" customWidth="1" outlineLevel="1"/>
    <col min="20" max="20" width="31" style="285" customWidth="1" collapsed="1"/>
    <col min="21" max="16384" width="9.140625" style="285"/>
  </cols>
  <sheetData>
    <row r="1" spans="1:30">
      <c r="A1" s="9" t="s">
        <v>8</v>
      </c>
      <c r="B1" s="284"/>
      <c r="C1" s="284"/>
      <c r="D1" s="284"/>
      <c r="E1" s="284"/>
      <c r="F1" s="284"/>
      <c r="G1" s="284"/>
      <c r="H1" s="284"/>
      <c r="I1" s="284"/>
      <c r="J1" s="284"/>
      <c r="K1" s="284"/>
      <c r="L1" s="284"/>
      <c r="M1" s="284"/>
      <c r="N1" s="284"/>
      <c r="O1" s="284"/>
      <c r="P1" s="284"/>
    </row>
    <row r="2" spans="1:30">
      <c r="A2" s="10" t="s">
        <v>9</v>
      </c>
      <c r="B2" s="284"/>
      <c r="C2" s="284"/>
      <c r="D2" s="284"/>
      <c r="E2" s="284"/>
      <c r="F2" s="284"/>
      <c r="G2" s="284"/>
      <c r="H2" s="284"/>
      <c r="I2" s="284"/>
      <c r="J2" s="284"/>
      <c r="K2" s="284"/>
      <c r="L2" s="284"/>
      <c r="M2" s="284"/>
      <c r="N2" s="284"/>
      <c r="O2" s="284"/>
      <c r="P2" s="284"/>
    </row>
    <row r="3" spans="1:30">
      <c r="A3" s="11" t="s">
        <v>161</v>
      </c>
      <c r="B3" s="284"/>
      <c r="C3" s="284"/>
      <c r="D3" s="284"/>
      <c r="E3" s="284"/>
      <c r="F3" s="284"/>
      <c r="G3" s="284"/>
      <c r="H3" s="284"/>
      <c r="I3" s="284"/>
      <c r="J3" s="284"/>
      <c r="K3" s="284"/>
      <c r="L3" s="284"/>
      <c r="M3" s="284"/>
      <c r="N3" s="284"/>
      <c r="O3" s="284"/>
      <c r="P3" s="284"/>
    </row>
    <row r="4" spans="1:30">
      <c r="A4" s="12" t="s">
        <v>92</v>
      </c>
      <c r="B4" s="284"/>
      <c r="C4" s="284"/>
      <c r="D4" s="284"/>
      <c r="E4" s="284"/>
      <c r="F4" s="284"/>
      <c r="G4" s="284"/>
      <c r="H4" s="284"/>
      <c r="I4" s="284"/>
      <c r="J4" s="284"/>
      <c r="K4" s="284"/>
      <c r="L4" s="284"/>
      <c r="M4" s="284"/>
      <c r="N4" s="284"/>
      <c r="O4" s="284"/>
      <c r="P4" s="284"/>
    </row>
    <row r="9" spans="1:30">
      <c r="F9" s="286" t="s">
        <v>152</v>
      </c>
      <c r="G9" s="287"/>
      <c r="H9" s="287"/>
      <c r="I9" s="287"/>
      <c r="J9" s="286" t="s">
        <v>152</v>
      </c>
      <c r="S9" s="286" t="s">
        <v>152</v>
      </c>
    </row>
    <row r="10" spans="1:30">
      <c r="N10" s="597" t="s">
        <v>36</v>
      </c>
      <c r="O10" s="597"/>
      <c r="P10" s="597"/>
      <c r="Q10" s="597"/>
      <c r="S10" s="288"/>
      <c r="T10" s="285" t="s">
        <v>216</v>
      </c>
    </row>
    <row r="11" spans="1:30">
      <c r="B11" s="289" t="s">
        <v>162</v>
      </c>
      <c r="D11" s="290">
        <v>2014</v>
      </c>
      <c r="E11" s="291"/>
      <c r="F11" s="290">
        <v>2014</v>
      </c>
      <c r="G11" s="291"/>
      <c r="H11" s="290">
        <v>2015</v>
      </c>
      <c r="I11" s="291"/>
      <c r="J11" s="290">
        <v>2015</v>
      </c>
      <c r="L11" s="292" t="s">
        <v>153</v>
      </c>
      <c r="N11" s="598" t="str">
        <f>'[33]25448'!N11:O11</f>
        <v>2015 (3+9)</v>
      </c>
      <c r="O11" s="598"/>
      <c r="P11" s="598" t="str">
        <f>'[33]25448'!P11:Q11</f>
        <v>Cause 2016</v>
      </c>
      <c r="Q11" s="598"/>
      <c r="S11" s="293" t="s">
        <v>155</v>
      </c>
    </row>
    <row r="12" spans="1:30">
      <c r="D12" s="294" t="s">
        <v>27</v>
      </c>
      <c r="E12" s="291"/>
      <c r="F12" s="294" t="s">
        <v>28</v>
      </c>
      <c r="G12" s="291"/>
      <c r="H12" s="294" t="s">
        <v>94</v>
      </c>
      <c r="I12" s="291"/>
      <c r="J12" s="294" t="s">
        <v>28</v>
      </c>
      <c r="L12" s="295">
        <v>2016</v>
      </c>
      <c r="M12" s="295"/>
      <c r="N12" s="598" t="str">
        <f>'[33]25448'!N12:O12</f>
        <v>vs Réel 2014</v>
      </c>
      <c r="O12" s="598"/>
      <c r="P12" s="598" t="str">
        <f>'[33]25448'!P12:Q12</f>
        <v>vs 2015 (3+9)</v>
      </c>
      <c r="Q12" s="598"/>
      <c r="S12" s="293" t="s">
        <v>156</v>
      </c>
    </row>
    <row r="13" spans="1:30" ht="16.5" thickBot="1">
      <c r="D13" s="296" t="s">
        <v>31</v>
      </c>
      <c r="E13" s="291"/>
      <c r="F13" s="296" t="s">
        <v>31</v>
      </c>
      <c r="G13" s="291"/>
      <c r="H13" s="296" t="s">
        <v>31</v>
      </c>
      <c r="I13" s="291"/>
      <c r="J13" s="296" t="s">
        <v>31</v>
      </c>
      <c r="L13" s="297" t="s">
        <v>31</v>
      </c>
      <c r="M13" s="298"/>
      <c r="N13" s="299" t="s">
        <v>31</v>
      </c>
      <c r="O13" s="299" t="s">
        <v>52</v>
      </c>
      <c r="P13" s="299" t="s">
        <v>31</v>
      </c>
      <c r="Q13" s="299" t="s">
        <v>52</v>
      </c>
      <c r="S13" s="299" t="s">
        <v>31</v>
      </c>
    </row>
    <row r="14" spans="1:30">
      <c r="D14" s="287">
        <v>1</v>
      </c>
      <c r="E14" s="287"/>
      <c r="F14" s="287"/>
      <c r="G14" s="287"/>
      <c r="H14" s="287">
        <v>2</v>
      </c>
      <c r="I14" s="287"/>
      <c r="J14" s="287"/>
      <c r="K14" s="287"/>
      <c r="L14" s="287">
        <v>3</v>
      </c>
      <c r="M14" s="300"/>
      <c r="N14" s="300" t="s">
        <v>199</v>
      </c>
      <c r="O14" s="300">
        <v>5</v>
      </c>
      <c r="P14" s="300" t="s">
        <v>158</v>
      </c>
      <c r="Q14" s="300">
        <v>7</v>
      </c>
      <c r="R14" s="301"/>
      <c r="S14" s="302">
        <v>8</v>
      </c>
      <c r="U14" s="285" t="s">
        <v>220</v>
      </c>
    </row>
    <row r="15" spans="1:30">
      <c r="A15" s="287"/>
      <c r="S15" s="288"/>
      <c r="T15" s="593" t="s">
        <v>221</v>
      </c>
      <c r="U15" s="615" t="s">
        <v>222</v>
      </c>
      <c r="V15" s="616"/>
      <c r="W15" s="616"/>
      <c r="X15" s="616"/>
      <c r="Y15" s="616"/>
      <c r="Z15" s="616"/>
      <c r="AA15" s="616"/>
      <c r="AB15" s="616"/>
      <c r="AC15" s="616"/>
      <c r="AD15" s="616"/>
    </row>
    <row r="16" spans="1:30" ht="33.75" customHeight="1" thickBot="1">
      <c r="A16" s="287">
        <v>1</v>
      </c>
      <c r="B16" s="289" t="s">
        <v>0</v>
      </c>
      <c r="D16" s="303">
        <f>([16]INPUT!C358+[16]INPUT!C66+[16]INPUT!C345)/1000</f>
        <v>204.74941000000001</v>
      </c>
      <c r="E16" s="304"/>
      <c r="F16" s="303">
        <f>'[16]Budget 2014'!O65/1000</f>
        <v>204.91200000000001</v>
      </c>
      <c r="G16" s="304"/>
      <c r="H16" s="303">
        <f>([16]INPUT!E358+[16]INPUT!E66+[16]INPUT!E345)/1000</f>
        <v>204.422</v>
      </c>
      <c r="I16" s="304"/>
      <c r="J16" s="303">
        <f>(+[16]INPUT!D66+[16]INPUT!D345)/1000</f>
        <v>203.8135</v>
      </c>
      <c r="K16" s="304"/>
      <c r="L16" s="303">
        <f>([16]INPUT!F358+[16]INPUT!F66+[16]INPUT!F345)/1000</f>
        <v>213.33600000000001</v>
      </c>
      <c r="M16" s="135"/>
      <c r="N16" s="303">
        <f>H16-D16</f>
        <v>-0.32741000000001463</v>
      </c>
      <c r="O16" s="136">
        <f>N16/D16</f>
        <v>-1.599076646912021E-3</v>
      </c>
      <c r="P16" s="305">
        <f>L16-H16</f>
        <v>8.9140000000000157</v>
      </c>
      <c r="Q16" s="136">
        <f>P16/H16</f>
        <v>4.360587412313751E-2</v>
      </c>
      <c r="S16" s="306">
        <f>L16</f>
        <v>213.33600000000001</v>
      </c>
      <c r="T16" s="593"/>
      <c r="U16" s="616"/>
      <c r="V16" s="616"/>
      <c r="W16" s="616"/>
      <c r="X16" s="616"/>
      <c r="Y16" s="616"/>
      <c r="Z16" s="616"/>
      <c r="AA16" s="616"/>
      <c r="AB16" s="616"/>
      <c r="AC16" s="616"/>
      <c r="AD16" s="616"/>
    </row>
    <row r="17" spans="1:30" ht="16.5" thickTop="1">
      <c r="A17" s="287"/>
      <c r="B17" s="289"/>
      <c r="D17" s="307"/>
      <c r="E17" s="304"/>
      <c r="F17" s="307"/>
      <c r="G17" s="304"/>
      <c r="H17" s="307"/>
      <c r="I17" s="304"/>
      <c r="J17" s="307"/>
      <c r="K17" s="304"/>
      <c r="L17" s="307"/>
      <c r="M17" s="139"/>
      <c r="N17" s="307"/>
      <c r="O17" s="139"/>
      <c r="P17" s="139"/>
      <c r="S17" s="308"/>
      <c r="U17" s="285" t="s">
        <v>220</v>
      </c>
    </row>
    <row r="18" spans="1:30" ht="31.5" customHeight="1">
      <c r="A18" s="287"/>
      <c r="D18" s="304"/>
      <c r="E18" s="304"/>
      <c r="F18" s="304"/>
      <c r="G18" s="304"/>
      <c r="H18" s="304"/>
      <c r="I18" s="304"/>
      <c r="J18" s="304"/>
      <c r="K18" s="304"/>
      <c r="L18" s="304"/>
      <c r="N18" s="304"/>
      <c r="S18" s="308"/>
      <c r="T18" s="593" t="s">
        <v>196</v>
      </c>
      <c r="U18" s="616" t="s">
        <v>213</v>
      </c>
      <c r="V18" s="616"/>
      <c r="W18" s="616"/>
      <c r="X18" s="616"/>
      <c r="Y18" s="616"/>
      <c r="Z18" s="616"/>
      <c r="AA18" s="616"/>
      <c r="AB18" s="616"/>
      <c r="AC18" s="616"/>
      <c r="AD18" s="616"/>
    </row>
    <row r="19" spans="1:30">
      <c r="A19" s="287"/>
      <c r="B19" s="13" t="s">
        <v>3</v>
      </c>
      <c r="D19" s="304"/>
      <c r="E19" s="304"/>
      <c r="F19" s="304"/>
      <c r="G19" s="304"/>
      <c r="H19" s="304"/>
      <c r="I19" s="304"/>
      <c r="J19" s="304"/>
      <c r="K19" s="304"/>
      <c r="L19" s="304"/>
      <c r="N19" s="304"/>
      <c r="S19" s="308"/>
      <c r="T19" s="593"/>
      <c r="U19" s="616"/>
      <c r="V19" s="616"/>
      <c r="W19" s="616"/>
      <c r="X19" s="616"/>
      <c r="Y19" s="616"/>
      <c r="Z19" s="616"/>
      <c r="AA19" s="616"/>
      <c r="AB19" s="616"/>
      <c r="AC19" s="616"/>
      <c r="AD19" s="616"/>
    </row>
    <row r="20" spans="1:30">
      <c r="A20" s="287"/>
      <c r="D20" s="304"/>
      <c r="E20" s="304"/>
      <c r="F20" s="304"/>
      <c r="G20" s="304"/>
      <c r="H20" s="304"/>
      <c r="I20" s="304"/>
      <c r="J20" s="304"/>
      <c r="K20" s="304"/>
      <c r="L20" s="304"/>
      <c r="N20" s="304"/>
      <c r="S20" s="308"/>
    </row>
    <row r="21" spans="1:30">
      <c r="A21" s="287">
        <v>2</v>
      </c>
      <c r="B21" s="285" t="s">
        <v>95</v>
      </c>
      <c r="D21" s="304">
        <f>([16]INPUT!C359-[16]INPUT!C358-[16]INPUT!C345-[16]INPUT!C66)/1000</f>
        <v>6.5976899999999441</v>
      </c>
      <c r="E21" s="304"/>
      <c r="F21" s="304">
        <f>('[16]Budget 2014'!O358-'[16]Budget 2014'!O65)/1000</f>
        <v>8.4760000000000009</v>
      </c>
      <c r="G21" s="304"/>
      <c r="H21" s="304">
        <f>([16]INPUT!E359-[16]INPUT!E345)/1000</f>
        <v>10.878</v>
      </c>
      <c r="I21" s="304"/>
      <c r="J21" s="304">
        <f>([16]INPUT!D359-[16]INPUT!D66)/1000</f>
        <v>9.7029999999999994</v>
      </c>
      <c r="K21" s="304"/>
      <c r="L21" s="304">
        <f>([16]INPUT!F359-[16]INPUT!F345)/1000</f>
        <v>9.6859999999999999</v>
      </c>
      <c r="M21" s="139"/>
      <c r="N21" s="304">
        <f>H21-D21</f>
        <v>4.280310000000056</v>
      </c>
      <c r="O21" s="136">
        <f>N21/D21</f>
        <v>0.64875888379115909</v>
      </c>
      <c r="P21" s="304">
        <f>L21-H21</f>
        <v>-1.1920000000000002</v>
      </c>
      <c r="Q21" s="136">
        <f>P21/H21</f>
        <v>-0.10957896672182388</v>
      </c>
      <c r="S21" s="308">
        <f>L21</f>
        <v>9.6859999999999999</v>
      </c>
    </row>
    <row r="22" spans="1:30">
      <c r="A22" s="287"/>
      <c r="D22" s="309"/>
      <c r="E22" s="304"/>
      <c r="F22" s="309"/>
      <c r="G22" s="304"/>
      <c r="H22" s="309"/>
      <c r="I22" s="304"/>
      <c r="J22" s="309"/>
      <c r="K22" s="304"/>
      <c r="L22" s="309"/>
      <c r="N22" s="309"/>
      <c r="O22" s="136"/>
      <c r="P22" s="309"/>
      <c r="Q22" s="136"/>
      <c r="S22" s="310"/>
    </row>
    <row r="23" spans="1:30" ht="33" customHeight="1">
      <c r="A23" s="287"/>
      <c r="D23" s="304"/>
      <c r="E23" s="304"/>
      <c r="F23" s="304"/>
      <c r="G23" s="304"/>
      <c r="H23" s="304"/>
      <c r="I23" s="304"/>
      <c r="J23" s="304"/>
      <c r="K23" s="304"/>
      <c r="L23" s="304"/>
      <c r="N23" s="304"/>
      <c r="O23" s="136"/>
      <c r="P23" s="304"/>
      <c r="Q23" s="136"/>
      <c r="S23" s="308"/>
      <c r="T23" s="593" t="s">
        <v>223</v>
      </c>
      <c r="U23" s="596" t="s">
        <v>224</v>
      </c>
      <c r="V23" s="596"/>
      <c r="W23" s="596"/>
      <c r="X23" s="596"/>
      <c r="Y23" s="596"/>
      <c r="Z23" s="596"/>
      <c r="AA23" s="596"/>
      <c r="AB23" s="596"/>
      <c r="AC23" s="596"/>
      <c r="AD23" s="596"/>
    </row>
    <row r="24" spans="1:30" ht="16.5" thickBot="1">
      <c r="A24" s="287">
        <v>11</v>
      </c>
      <c r="B24" s="13" t="s">
        <v>12</v>
      </c>
      <c r="D24" s="303">
        <f>SUM(D21:D23)</f>
        <v>6.5976899999999441</v>
      </c>
      <c r="E24" s="304"/>
      <c r="F24" s="303">
        <f>SUM(F21:F23)</f>
        <v>8.4760000000000009</v>
      </c>
      <c r="G24" s="304"/>
      <c r="H24" s="303">
        <f>SUM(H21:H23)</f>
        <v>10.878</v>
      </c>
      <c r="I24" s="304"/>
      <c r="J24" s="303">
        <f>SUM(J21:J23)</f>
        <v>9.7029999999999994</v>
      </c>
      <c r="K24" s="304"/>
      <c r="L24" s="303">
        <f>SUM(L21:L23)</f>
        <v>9.6859999999999999</v>
      </c>
      <c r="M24" s="135"/>
      <c r="N24" s="303">
        <f>SUM(N21:N23)</f>
        <v>4.280310000000056</v>
      </c>
      <c r="O24" s="136">
        <f>N24/D24</f>
        <v>0.64875888379115909</v>
      </c>
      <c r="P24" s="303">
        <f>SUM(P21:P23)</f>
        <v>-1.1920000000000002</v>
      </c>
      <c r="Q24" s="136">
        <f>P24/H24</f>
        <v>-0.10957896672182388</v>
      </c>
      <c r="S24" s="306">
        <f>SUM(S21:S23)</f>
        <v>9.6859999999999999</v>
      </c>
      <c r="T24" s="593"/>
    </row>
    <row r="25" spans="1:30" ht="16.5" thickTop="1">
      <c r="A25" s="287"/>
      <c r="D25" s="304"/>
      <c r="E25" s="304"/>
      <c r="F25" s="304"/>
      <c r="G25" s="311"/>
      <c r="H25" s="304"/>
      <c r="I25" s="304"/>
      <c r="J25" s="304"/>
      <c r="K25" s="311"/>
      <c r="L25" s="304"/>
      <c r="M25" s="139"/>
      <c r="N25" s="304"/>
      <c r="O25" s="139"/>
      <c r="P25" s="139"/>
    </row>
    <row r="26" spans="1:30">
      <c r="A26" s="287"/>
      <c r="D26" s="304"/>
      <c r="E26" s="304"/>
      <c r="F26" s="304"/>
      <c r="G26" s="311"/>
      <c r="H26" s="304"/>
      <c r="I26" s="304"/>
      <c r="J26" s="304"/>
      <c r="K26" s="311"/>
      <c r="L26" s="304"/>
      <c r="M26" s="139"/>
      <c r="N26" s="304"/>
      <c r="O26" s="139"/>
      <c r="P26" s="139"/>
      <c r="T26" s="593" t="s">
        <v>225</v>
      </c>
      <c r="U26" s="596" t="s">
        <v>226</v>
      </c>
      <c r="V26" s="596"/>
      <c r="W26" s="596"/>
      <c r="X26" s="596"/>
      <c r="Y26" s="596"/>
      <c r="Z26" s="596"/>
      <c r="AA26" s="596"/>
      <c r="AB26" s="596"/>
      <c r="AC26" s="596"/>
      <c r="AD26" s="596"/>
    </row>
    <row r="27" spans="1:30">
      <c r="A27" s="287"/>
      <c r="D27" s="304"/>
      <c r="E27" s="304"/>
      <c r="F27" s="304"/>
      <c r="G27" s="311"/>
      <c r="H27" s="304"/>
      <c r="I27" s="304"/>
      <c r="J27" s="304"/>
      <c r="K27" s="311"/>
      <c r="L27" s="304"/>
      <c r="M27" s="139"/>
      <c r="N27" s="304"/>
      <c r="O27" s="139"/>
      <c r="P27" s="139"/>
      <c r="T27" s="593"/>
    </row>
    <row r="28" spans="1:30">
      <c r="A28" s="285" t="s">
        <v>49</v>
      </c>
      <c r="B28" s="285" t="s">
        <v>71</v>
      </c>
      <c r="D28" s="304"/>
      <c r="E28" s="304"/>
      <c r="F28" s="304"/>
      <c r="G28" s="311"/>
      <c r="H28" s="304"/>
      <c r="I28" s="304"/>
      <c r="J28" s="304"/>
      <c r="K28" s="311"/>
      <c r="L28" s="304"/>
      <c r="M28" s="139"/>
      <c r="N28" s="304"/>
      <c r="O28" s="139"/>
      <c r="P28" s="139"/>
    </row>
    <row r="29" spans="1:30">
      <c r="B29" s="285" t="s">
        <v>72</v>
      </c>
      <c r="D29" s="304"/>
      <c r="E29" s="304"/>
      <c r="F29" s="304"/>
      <c r="G29" s="311"/>
      <c r="H29" s="304"/>
      <c r="I29" s="304"/>
      <c r="J29" s="304"/>
      <c r="K29" s="311"/>
      <c r="L29" s="304"/>
      <c r="M29" s="139"/>
      <c r="N29" s="304"/>
      <c r="O29" s="139"/>
      <c r="P29" s="139"/>
    </row>
    <row r="30" spans="1:30">
      <c r="A30" s="287"/>
      <c r="D30" s="304"/>
      <c r="E30" s="304"/>
      <c r="F30" s="304"/>
      <c r="G30" s="311"/>
      <c r="H30" s="304"/>
      <c r="I30" s="304"/>
      <c r="J30" s="304"/>
      <c r="K30" s="311"/>
      <c r="L30" s="304"/>
      <c r="M30" s="139"/>
      <c r="N30" s="304"/>
      <c r="O30" s="139"/>
      <c r="P30" s="139"/>
    </row>
    <row r="31" spans="1:30">
      <c r="A31" s="287"/>
      <c r="D31" s="304"/>
      <c r="E31" s="304"/>
      <c r="F31" s="304"/>
      <c r="H31" s="304"/>
      <c r="I31" s="304"/>
      <c r="J31" s="304"/>
      <c r="L31" s="304"/>
      <c r="N31" s="304"/>
      <c r="O31" s="139"/>
      <c r="P31" s="139"/>
      <c r="U31" s="596"/>
      <c r="V31" s="596"/>
      <c r="W31" s="596"/>
      <c r="X31" s="596"/>
      <c r="Y31" s="596"/>
      <c r="Z31" s="596"/>
      <c r="AA31" s="596"/>
      <c r="AB31" s="596"/>
      <c r="AC31" s="596"/>
      <c r="AD31" s="596"/>
    </row>
    <row r="35" spans="4:11">
      <c r="D35" s="304"/>
      <c r="E35" s="304"/>
      <c r="F35" s="304"/>
      <c r="G35" s="304"/>
      <c r="H35" s="304"/>
      <c r="I35" s="304"/>
      <c r="J35" s="304"/>
      <c r="K35" s="304"/>
    </row>
    <row r="36" spans="4:11">
      <c r="D36" s="304"/>
      <c r="E36" s="304"/>
      <c r="F36" s="304"/>
      <c r="G36" s="304"/>
    </row>
    <row r="37" spans="4:11">
      <c r="D37" s="304"/>
      <c r="E37" s="304"/>
      <c r="F37" s="304"/>
      <c r="G37" s="304"/>
    </row>
    <row r="38" spans="4:11">
      <c r="D38" s="304"/>
      <c r="E38" s="304"/>
      <c r="F38" s="304"/>
      <c r="G38" s="304"/>
    </row>
    <row r="39" spans="4:11">
      <c r="D39" s="304"/>
      <c r="E39" s="304"/>
      <c r="F39" s="304"/>
      <c r="G39" s="304"/>
    </row>
    <row r="40" spans="4:11">
      <c r="D40" s="304"/>
      <c r="E40" s="304"/>
      <c r="F40" s="304"/>
      <c r="G40" s="304"/>
    </row>
    <row r="54" spans="1:16">
      <c r="H54" s="312"/>
      <c r="I54" s="312"/>
      <c r="J54" s="312"/>
      <c r="K54" s="312"/>
      <c r="L54" s="312"/>
      <c r="M54" s="312"/>
      <c r="N54" s="312"/>
      <c r="O54" s="312"/>
      <c r="P54" s="312" t="s">
        <v>96</v>
      </c>
    </row>
    <row r="55" spans="1:16">
      <c r="H55" s="312"/>
      <c r="I55" s="312"/>
      <c r="J55" s="312"/>
      <c r="K55" s="312"/>
      <c r="L55" s="312"/>
      <c r="M55" s="312"/>
      <c r="N55" s="312"/>
      <c r="O55" s="312"/>
      <c r="P55" s="312" t="s">
        <v>97</v>
      </c>
    </row>
    <row r="56" spans="1:16">
      <c r="H56" s="312"/>
      <c r="I56" s="312"/>
      <c r="J56" s="312"/>
      <c r="K56" s="312"/>
      <c r="L56" s="312"/>
      <c r="M56" s="312"/>
      <c r="N56" s="312"/>
      <c r="O56" s="312"/>
      <c r="P56" s="312" t="s">
        <v>51</v>
      </c>
    </row>
    <row r="57" spans="1:16">
      <c r="A57" s="285" t="s">
        <v>98</v>
      </c>
      <c r="H57" s="312"/>
      <c r="I57" s="312"/>
      <c r="J57" s="312"/>
      <c r="K57" s="312"/>
      <c r="L57" s="312"/>
      <c r="M57" s="312"/>
      <c r="N57" s="312"/>
      <c r="O57" s="312"/>
      <c r="P57" s="312" t="s">
        <v>99</v>
      </c>
    </row>
    <row r="59" spans="1:16">
      <c r="C59" s="313" t="s">
        <v>100</v>
      </c>
      <c r="D59" s="314">
        <f>D16+D24-([16]INPUT!C359)/1000</f>
        <v>0</v>
      </c>
      <c r="E59" s="315"/>
      <c r="F59" s="314">
        <f>F16+F24-('[16]Budget 2014'!O358)/1000</f>
        <v>0</v>
      </c>
      <c r="G59" s="315"/>
      <c r="H59" s="314">
        <f>H16+H24-([16]INPUT!E359)/1000</f>
        <v>0</v>
      </c>
      <c r="I59" s="315"/>
      <c r="J59" s="314">
        <f>J16+J24-([16]INPUT!D359)/1000</f>
        <v>0</v>
      </c>
      <c r="K59" s="315"/>
      <c r="L59" s="314">
        <f>L16+L24-([16]INPUT!F359)/1000</f>
        <v>0</v>
      </c>
    </row>
  </sheetData>
  <mergeCells count="14">
    <mergeCell ref="N10:Q10"/>
    <mergeCell ref="N11:O11"/>
    <mergeCell ref="P11:Q11"/>
    <mergeCell ref="N12:O12"/>
    <mergeCell ref="P12:Q12"/>
    <mergeCell ref="T26:T27"/>
    <mergeCell ref="U26:AD26"/>
    <mergeCell ref="U31:AD31"/>
    <mergeCell ref="T15:T16"/>
    <mergeCell ref="U15:AD16"/>
    <mergeCell ref="T18:T19"/>
    <mergeCell ref="U18:AD19"/>
    <mergeCell ref="T23:T24"/>
    <mergeCell ref="U23:AD23"/>
  </mergeCells>
  <pageMargins left="0.45" right="0.45" top="0.75" bottom="0.5" header="0.3" footer="0.05"/>
  <pageSetup scale="1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dimension ref="A1:U49"/>
  <sheetViews>
    <sheetView zoomScaleNormal="100" workbookViewId="0">
      <selection activeCell="B6" sqref="B6"/>
    </sheetView>
  </sheetViews>
  <sheetFormatPr baseColWidth="10" defaultColWidth="9.140625" defaultRowHeight="15.75"/>
  <cols>
    <col min="1" max="1" width="9.140625" style="17"/>
    <col min="2" max="2" width="38.5703125" style="17" bestFit="1" customWidth="1"/>
    <col min="3" max="3" width="9.140625" style="17"/>
    <col min="4" max="4" width="9.85546875" style="17" hidden="1" customWidth="1"/>
    <col min="5" max="5" width="3.85546875" style="17" hidden="1" customWidth="1"/>
    <col min="6" max="6" width="9.5703125" style="17" hidden="1" customWidth="1"/>
    <col min="7" max="7" width="3.85546875" style="17" hidden="1" customWidth="1"/>
    <col min="8" max="8" width="0" style="17" hidden="1" customWidth="1"/>
    <col min="9" max="9" width="9.140625" style="17"/>
    <col min="10" max="10" width="3.85546875" style="17" customWidth="1"/>
    <col min="11" max="11" width="0" style="17" hidden="1" customWidth="1"/>
    <col min="12" max="12" width="3.85546875" style="17" hidden="1" customWidth="1"/>
    <col min="13" max="13" width="9.140625" style="17"/>
    <col min="14" max="14" width="3.85546875" style="17" customWidth="1"/>
    <col min="15" max="15" width="0" style="17" hidden="1" customWidth="1"/>
    <col min="16" max="16" width="4.7109375" style="17" hidden="1" customWidth="1"/>
    <col min="17" max="17" width="6.42578125" style="17" hidden="1" customWidth="1"/>
    <col min="18" max="18" width="9.140625" style="17"/>
    <col min="19" max="19" width="6.140625" style="17" customWidth="1"/>
    <col min="20" max="20" width="8.140625" style="17" customWidth="1"/>
    <col min="21" max="21" width="19.85546875" style="17" hidden="1" customWidth="1"/>
    <col min="22" max="16384" width="9.140625" style="17"/>
  </cols>
  <sheetData>
    <row r="1" spans="1:21">
      <c r="A1" s="558" t="s">
        <v>8</v>
      </c>
      <c r="B1" s="558"/>
      <c r="C1" s="558"/>
      <c r="D1" s="558"/>
      <c r="E1" s="558"/>
      <c r="F1" s="558"/>
      <c r="G1" s="558"/>
      <c r="H1" s="558"/>
      <c r="I1" s="558"/>
      <c r="J1" s="558"/>
      <c r="K1" s="558"/>
      <c r="L1" s="558"/>
      <c r="M1" s="558"/>
      <c r="N1" s="558"/>
      <c r="O1" s="558"/>
      <c r="P1" s="558"/>
      <c r="Q1" s="558"/>
      <c r="R1" s="558"/>
      <c r="S1" s="558"/>
    </row>
    <row r="2" spans="1:21">
      <c r="A2" s="559" t="s">
        <v>487</v>
      </c>
      <c r="B2" s="559"/>
      <c r="C2" s="559"/>
      <c r="D2" s="559"/>
      <c r="E2" s="559"/>
      <c r="F2" s="559"/>
      <c r="G2" s="559"/>
      <c r="H2" s="559"/>
      <c r="I2" s="559"/>
      <c r="J2" s="559"/>
      <c r="K2" s="559"/>
      <c r="L2" s="559"/>
      <c r="M2" s="559"/>
      <c r="N2" s="559"/>
      <c r="O2" s="559"/>
      <c r="P2" s="559"/>
      <c r="Q2" s="559"/>
      <c r="R2" s="559"/>
      <c r="S2" s="559"/>
    </row>
    <row r="3" spans="1:21">
      <c r="A3" s="560" t="s">
        <v>35</v>
      </c>
      <c r="B3" s="560"/>
      <c r="C3" s="560"/>
      <c r="D3" s="560"/>
      <c r="E3" s="560"/>
      <c r="F3" s="560"/>
      <c r="G3" s="560"/>
      <c r="H3" s="560"/>
      <c r="I3" s="560"/>
      <c r="J3" s="560"/>
      <c r="K3" s="560"/>
      <c r="L3" s="560"/>
      <c r="M3" s="560"/>
      <c r="N3" s="560"/>
      <c r="O3" s="560"/>
      <c r="P3" s="560"/>
      <c r="Q3" s="560"/>
      <c r="R3" s="560"/>
      <c r="S3" s="560"/>
    </row>
    <row r="4" spans="1:21">
      <c r="A4" s="561" t="s">
        <v>92</v>
      </c>
      <c r="B4" s="561"/>
      <c r="C4" s="561"/>
      <c r="D4" s="561"/>
      <c r="E4" s="561"/>
      <c r="F4" s="561"/>
      <c r="G4" s="561"/>
      <c r="H4" s="561"/>
      <c r="I4" s="561"/>
      <c r="J4" s="561"/>
      <c r="K4" s="561"/>
      <c r="L4" s="561"/>
      <c r="M4" s="561"/>
      <c r="N4" s="561"/>
      <c r="O4" s="561"/>
      <c r="P4" s="561"/>
      <c r="Q4" s="561"/>
      <c r="R4" s="561"/>
      <c r="S4" s="561"/>
    </row>
    <row r="6" spans="1:21">
      <c r="F6" s="155" t="s">
        <v>152</v>
      </c>
      <c r="G6" s="32"/>
      <c r="H6" s="32"/>
      <c r="I6" s="32"/>
      <c r="J6" s="32"/>
      <c r="K6" s="155" t="s">
        <v>152</v>
      </c>
      <c r="U6" s="155" t="s">
        <v>152</v>
      </c>
    </row>
    <row r="7" spans="1:21">
      <c r="O7" s="565" t="s">
        <v>36</v>
      </c>
      <c r="P7" s="565"/>
      <c r="Q7" s="565"/>
      <c r="R7" s="565"/>
      <c r="S7" s="565"/>
      <c r="U7" s="156"/>
    </row>
    <row r="8" spans="1:21">
      <c r="D8" s="157" t="str">
        <f>'GI-28 Doc 4.2'!D8</f>
        <v>Réel</v>
      </c>
      <c r="E8" s="158"/>
      <c r="F8" s="157">
        <v>2014</v>
      </c>
      <c r="G8" s="158"/>
      <c r="H8" s="157" t="str">
        <f>'GI-28 Doc 4.2'!H8</f>
        <v>(4+8)</v>
      </c>
      <c r="I8" s="83" t="s">
        <v>153</v>
      </c>
      <c r="J8" s="158"/>
      <c r="K8" s="157">
        <v>2015</v>
      </c>
      <c r="M8" s="519" t="s">
        <v>153</v>
      </c>
      <c r="O8" s="564" t="str">
        <f>'GI-28 Doc 4.2'!O8:Q8</f>
        <v>2015 (4+8)</v>
      </c>
      <c r="P8" s="564"/>
      <c r="Q8" s="564"/>
      <c r="R8" s="564" t="str">
        <f>'GI-28 Doc 4.2'!R8:S8</f>
        <v>Cause 2016</v>
      </c>
      <c r="S8" s="564"/>
      <c r="U8" s="520" t="s">
        <v>155</v>
      </c>
    </row>
    <row r="9" spans="1:21">
      <c r="D9" s="157">
        <f>'GI-28 Doc 4.2'!D9</f>
        <v>2014</v>
      </c>
      <c r="E9" s="158"/>
      <c r="F9" s="160" t="s">
        <v>28</v>
      </c>
      <c r="G9" s="158"/>
      <c r="H9" s="157">
        <f>'GI-28 Doc 4.2'!H9</f>
        <v>2015</v>
      </c>
      <c r="I9" s="85">
        <v>2005</v>
      </c>
      <c r="J9" s="158"/>
      <c r="K9" s="160" t="s">
        <v>28</v>
      </c>
      <c r="M9" s="521">
        <v>2016</v>
      </c>
      <c r="N9" s="521"/>
      <c r="O9" s="564" t="str">
        <f>'GI-28 Doc 4.2'!O9:Q9</f>
        <v>vs Réel 2014</v>
      </c>
      <c r="P9" s="564"/>
      <c r="Q9" s="564"/>
      <c r="R9" s="564" t="str">
        <f>'GI-28 Doc 4.2'!R9:S9</f>
        <v>vs Cause 2005</v>
      </c>
      <c r="S9" s="564"/>
      <c r="U9" s="520" t="s">
        <v>156</v>
      </c>
    </row>
    <row r="10" spans="1:21" ht="16.5" thickBot="1">
      <c r="D10" s="162" t="s">
        <v>31</v>
      </c>
      <c r="E10" s="158"/>
      <c r="F10" s="162" t="s">
        <v>31</v>
      </c>
      <c r="G10" s="158"/>
      <c r="H10" s="162" t="s">
        <v>31</v>
      </c>
      <c r="I10" s="87" t="s">
        <v>31</v>
      </c>
      <c r="J10" s="158"/>
      <c r="K10" s="162" t="s">
        <v>31</v>
      </c>
      <c r="M10" s="163" t="s">
        <v>31</v>
      </c>
      <c r="N10" s="164"/>
      <c r="O10" s="165" t="s">
        <v>31</v>
      </c>
      <c r="P10" s="165"/>
      <c r="Q10" s="165" t="s">
        <v>52</v>
      </c>
      <c r="R10" s="165" t="s">
        <v>31</v>
      </c>
      <c r="S10" s="165" t="s">
        <v>52</v>
      </c>
      <c r="U10" s="165" t="s">
        <v>31</v>
      </c>
    </row>
    <row r="11" spans="1:21">
      <c r="D11" s="32">
        <v>1</v>
      </c>
      <c r="E11" s="32"/>
      <c r="F11" s="32"/>
      <c r="G11" s="32"/>
      <c r="H11" s="32">
        <v>2</v>
      </c>
      <c r="I11" s="105">
        <v>1</v>
      </c>
      <c r="J11" s="32"/>
      <c r="K11" s="32"/>
      <c r="L11" s="32"/>
      <c r="M11" s="32">
        <v>2</v>
      </c>
      <c r="N11" s="166"/>
      <c r="O11" s="166" t="s">
        <v>199</v>
      </c>
      <c r="P11" s="166"/>
      <c r="Q11" s="166">
        <v>5</v>
      </c>
      <c r="R11" s="166" t="s">
        <v>488</v>
      </c>
      <c r="S11" s="166">
        <v>4</v>
      </c>
      <c r="T11"/>
      <c r="U11" s="167">
        <v>8</v>
      </c>
    </row>
    <row r="12" spans="1:21">
      <c r="A12" s="76"/>
      <c r="C12" s="76"/>
    </row>
    <row r="13" spans="1:21">
      <c r="A13" s="76"/>
      <c r="B13" s="76"/>
      <c r="C13" s="76"/>
      <c r="D13" s="20"/>
      <c r="E13" s="20"/>
      <c r="F13" s="20"/>
    </row>
    <row r="14" spans="1:21" ht="16.5" thickBot="1">
      <c r="A14" s="65">
        <v>1</v>
      </c>
      <c r="B14" s="64" t="s">
        <v>0</v>
      </c>
      <c r="C14" s="63"/>
      <c r="D14" s="24">
        <f>'25450'!D16</f>
        <v>519.16057999999998</v>
      </c>
      <c r="E14" s="20"/>
      <c r="F14" s="24">
        <f>'25450'!F16</f>
        <v>595.57899999999995</v>
      </c>
      <c r="H14" s="24">
        <f>'25450'!H16</f>
        <v>814.10441000000014</v>
      </c>
      <c r="I14" s="24">
        <v>380.5</v>
      </c>
      <c r="J14" s="459" t="s">
        <v>38</v>
      </c>
      <c r="K14" s="24">
        <f>'25450'!J16</f>
        <v>627.5870000000001</v>
      </c>
      <c r="M14" s="24">
        <f>'25450'!L16</f>
        <v>642.16800000000001</v>
      </c>
      <c r="N14" s="459" t="s">
        <v>41</v>
      </c>
      <c r="O14" s="24">
        <f>H14-D14</f>
        <v>294.94383000000016</v>
      </c>
      <c r="P14" s="459" t="s">
        <v>38</v>
      </c>
      <c r="Q14" s="108">
        <f>IF(D14&gt;0,O14/D14,0)</f>
        <v>0.56811676649255649</v>
      </c>
      <c r="R14" s="24">
        <f>M14-I14</f>
        <v>261.66800000000001</v>
      </c>
      <c r="S14" s="108">
        <f>IF(I14&gt;0,R14/I14,0)</f>
        <v>0.68769513797634696</v>
      </c>
    </row>
    <row r="15" spans="1:21" ht="16.5" thickTop="1">
      <c r="A15" s="65"/>
      <c r="B15" s="64"/>
      <c r="C15" s="63"/>
      <c r="D15" s="20"/>
      <c r="E15" s="20"/>
      <c r="F15" s="20"/>
    </row>
    <row r="16" spans="1:21">
      <c r="A16" s="65"/>
      <c r="B16" s="63"/>
      <c r="C16" s="63"/>
      <c r="D16" s="20"/>
      <c r="E16" s="20"/>
      <c r="F16" s="20"/>
    </row>
    <row r="17" spans="1:19">
      <c r="A17" s="65"/>
      <c r="B17" s="13" t="s">
        <v>3</v>
      </c>
      <c r="C17" s="63"/>
      <c r="D17" s="20"/>
      <c r="E17" s="20"/>
      <c r="F17" s="20"/>
    </row>
    <row r="18" spans="1:19">
      <c r="A18" s="65"/>
      <c r="B18" s="63"/>
      <c r="C18" s="63"/>
      <c r="D18" s="20"/>
      <c r="E18" s="20"/>
      <c r="F18" s="20"/>
      <c r="H18" s="28"/>
    </row>
    <row r="19" spans="1:19">
      <c r="A19" s="71">
        <v>2</v>
      </c>
      <c r="B19" s="72" t="s">
        <v>21</v>
      </c>
      <c r="C19" s="63"/>
      <c r="D19" s="20">
        <f>'25450'!D21</f>
        <v>997.56099000000142</v>
      </c>
      <c r="E19" s="20"/>
      <c r="F19" s="20">
        <f>'25450'!F21</f>
        <v>1015.3609999999998</v>
      </c>
      <c r="H19" s="20">
        <f>'25450'!H21</f>
        <v>999.9064000000011</v>
      </c>
      <c r="I19" s="20">
        <f>352.9+155+20</f>
        <v>527.9</v>
      </c>
      <c r="J19" s="232"/>
      <c r="K19" s="20">
        <f>'25450'!J21</f>
        <v>930.97199999999998</v>
      </c>
      <c r="M19" s="20">
        <f>'25450'!L21</f>
        <v>1051.1469999999993</v>
      </c>
      <c r="N19" s="232"/>
      <c r="O19" s="20">
        <f>H19-D19</f>
        <v>2.3454099999996743</v>
      </c>
      <c r="P19" s="232"/>
      <c r="Q19" s="108">
        <f t="shared" ref="Q19" si="0">IF(D19&gt;0,O19/D19,0)</f>
        <v>2.3511444648609114E-3</v>
      </c>
      <c r="R19" s="20">
        <f>M19-I19</f>
        <v>523.24699999999928</v>
      </c>
      <c r="S19" s="108">
        <f>IF(I19&gt;0,R19/I19,0)</f>
        <v>0.99118583064974297</v>
      </c>
    </row>
    <row r="20" spans="1:19">
      <c r="A20" s="71"/>
      <c r="B20" s="72"/>
      <c r="C20" s="63"/>
      <c r="D20" s="20"/>
      <c r="E20" s="20"/>
      <c r="F20" s="20"/>
      <c r="H20" s="20"/>
      <c r="I20" s="20"/>
      <c r="K20" s="20"/>
      <c r="M20" s="20"/>
      <c r="O20" s="20"/>
      <c r="P20" s="20"/>
      <c r="R20" s="20"/>
    </row>
    <row r="21" spans="1:19">
      <c r="A21" s="71">
        <v>3</v>
      </c>
      <c r="B21" s="73" t="s">
        <v>22</v>
      </c>
      <c r="C21" s="63"/>
      <c r="D21" s="20">
        <f>'25450'!D23</f>
        <v>260.10851000000002</v>
      </c>
      <c r="E21" s="20"/>
      <c r="F21" s="20">
        <f>'25450'!F23</f>
        <v>271.31299999999999</v>
      </c>
      <c r="H21" s="20">
        <f>'25450'!H23</f>
        <v>281.23575</v>
      </c>
      <c r="I21" s="20">
        <v>116.9</v>
      </c>
      <c r="J21" s="232"/>
      <c r="K21" s="20">
        <f>'25450'!J23</f>
        <v>281.23575</v>
      </c>
      <c r="M21" s="20">
        <f>'25450'!L23</f>
        <v>258.28800000000001</v>
      </c>
      <c r="N21" s="232"/>
      <c r="O21" s="20">
        <f>H21-D21</f>
        <v>21.127239999999972</v>
      </c>
      <c r="P21" s="232"/>
      <c r="Q21" s="108">
        <f t="shared" ref="Q21" si="1">IF(D21&gt;0,O21/D21,0)</f>
        <v>8.1224716561561064E-2</v>
      </c>
      <c r="R21" s="20">
        <f>M21-I21</f>
        <v>141.38800000000001</v>
      </c>
      <c r="S21" s="108">
        <f>IF(I21&gt;0,R21/I21,0)</f>
        <v>1.2094781864841746</v>
      </c>
    </row>
    <row r="22" spans="1:19">
      <c r="A22" s="74"/>
      <c r="B22" s="75"/>
      <c r="C22" s="63"/>
      <c r="D22" s="20"/>
      <c r="E22" s="20"/>
      <c r="F22" s="20"/>
      <c r="H22" s="20"/>
      <c r="I22" s="20"/>
      <c r="K22" s="20"/>
      <c r="M22" s="20"/>
      <c r="O22" s="20"/>
      <c r="P22" s="20"/>
      <c r="R22" s="20"/>
    </row>
    <row r="23" spans="1:19">
      <c r="A23" s="71">
        <v>4</v>
      </c>
      <c r="B23" s="72" t="s">
        <v>23</v>
      </c>
      <c r="C23" s="63"/>
      <c r="D23" s="20">
        <f>'25450'!D25</f>
        <v>371.79417999999998</v>
      </c>
      <c r="E23" s="20"/>
      <c r="F23" s="20">
        <f>'25450'!F25</f>
        <v>193.93899999999999</v>
      </c>
      <c r="H23" s="20">
        <f>'25450'!H25</f>
        <v>230.05425</v>
      </c>
      <c r="I23" s="20">
        <v>78.2</v>
      </c>
      <c r="J23" s="232"/>
      <c r="K23" s="20">
        <f>'25450'!J25</f>
        <v>230.05500000000001</v>
      </c>
      <c r="M23" s="20">
        <f>'25450'!L25</f>
        <v>237.733</v>
      </c>
      <c r="N23" s="232"/>
      <c r="O23" s="20">
        <f>H23-D23</f>
        <v>-141.73992999999999</v>
      </c>
      <c r="P23" s="232"/>
      <c r="Q23" s="108">
        <f t="shared" ref="Q23" si="2">IF(D23&gt;0,O23/D23,0)</f>
        <v>-0.38123224521696386</v>
      </c>
      <c r="R23" s="20">
        <f>M23-I23</f>
        <v>159.53300000000002</v>
      </c>
      <c r="S23" s="108">
        <f>IF(I23&gt;0,R23/I23,0)</f>
        <v>2.0400639386189261</v>
      </c>
    </row>
    <row r="24" spans="1:19">
      <c r="A24" s="74"/>
      <c r="B24" s="75"/>
      <c r="C24" s="63"/>
      <c r="D24" s="20"/>
      <c r="E24" s="20"/>
      <c r="F24" s="20"/>
      <c r="H24" s="20"/>
      <c r="I24" s="20"/>
      <c r="K24" s="20"/>
      <c r="M24" s="20"/>
      <c r="O24" s="20"/>
      <c r="P24" s="20"/>
      <c r="R24" s="20"/>
    </row>
    <row r="25" spans="1:19">
      <c r="A25" s="71">
        <v>5</v>
      </c>
      <c r="B25" s="73" t="s">
        <v>24</v>
      </c>
      <c r="C25" s="63"/>
      <c r="D25" s="20">
        <f>'25450'!D27+'25450'!D29+'25450'!D31</f>
        <v>3235.9090800000004</v>
      </c>
      <c r="E25" s="20"/>
      <c r="F25" s="20">
        <f>'25450'!F27+'25450'!F29+'25450'!F31</f>
        <v>3310.357</v>
      </c>
      <c r="H25" s="20">
        <f>'25450'!H27+'25450'!H29+'25450'!H31</f>
        <v>2960.6050100000002</v>
      </c>
      <c r="I25" s="20">
        <v>773.4</v>
      </c>
      <c r="J25" s="232"/>
      <c r="K25" s="20">
        <f>'25450'!J27+'25450'!J29+'25450'!J31</f>
        <v>2924.9218700000001</v>
      </c>
      <c r="M25" s="20">
        <f>'25450'!L27+'25450'!L29+'25450'!L31</f>
        <v>2596.8469999999998</v>
      </c>
      <c r="N25" s="232"/>
      <c r="O25" s="20">
        <f>H25-D25</f>
        <v>-275.30407000000014</v>
      </c>
      <c r="P25" s="232"/>
      <c r="Q25" s="108">
        <f t="shared" ref="Q25" si="3">IF(D25&gt;0,O25/D25,0)</f>
        <v>-8.5077813743765662E-2</v>
      </c>
      <c r="R25" s="20">
        <f>M25-I25</f>
        <v>1823.4469999999997</v>
      </c>
      <c r="S25" s="108">
        <f>IF(I25&gt;0,R25/I25,0)</f>
        <v>2.3577023532454096</v>
      </c>
    </row>
    <row r="26" spans="1:19">
      <c r="A26" s="71"/>
      <c r="B26" s="73"/>
      <c r="C26" s="63"/>
      <c r="D26" s="20"/>
      <c r="E26" s="20"/>
      <c r="F26" s="20"/>
      <c r="H26" s="20"/>
      <c r="I26" s="20"/>
      <c r="J26" s="20"/>
      <c r="K26" s="20"/>
      <c r="M26" s="20"/>
      <c r="N26" s="20"/>
      <c r="O26" s="20"/>
      <c r="P26" s="20"/>
      <c r="R26" s="20"/>
    </row>
    <row r="27" spans="1:19">
      <c r="A27" s="71">
        <v>6</v>
      </c>
      <c r="B27" s="72" t="s">
        <v>34</v>
      </c>
      <c r="C27" s="63"/>
      <c r="D27" s="20">
        <f>'25450'!D37</f>
        <v>-798.79537000000016</v>
      </c>
      <c r="E27" s="20"/>
      <c r="F27" s="20">
        <f>'25450'!F37</f>
        <v>-734.40899999999999</v>
      </c>
      <c r="H27" s="20">
        <f>'25450'!H37</f>
        <v>-772.572</v>
      </c>
      <c r="I27" s="20">
        <v>-100</v>
      </c>
      <c r="J27" s="232"/>
      <c r="K27" s="20">
        <f>'25450'!J37</f>
        <v>-748.78800000000001</v>
      </c>
      <c r="M27" s="20">
        <f>'25450'!L37</f>
        <v>-673.56600000000003</v>
      </c>
      <c r="N27" s="232"/>
      <c r="O27" s="20">
        <f>H27-D27</f>
        <v>26.223370000000159</v>
      </c>
      <c r="P27" s="232"/>
      <c r="Q27" s="108">
        <f>O27/D27</f>
        <v>-3.2828645463981787E-2</v>
      </c>
      <c r="R27" s="20">
        <f>M27-I27</f>
        <v>-573.56600000000003</v>
      </c>
      <c r="S27" s="108">
        <f>R27/I27</f>
        <v>5.7356600000000002</v>
      </c>
    </row>
    <row r="28" spans="1:19">
      <c r="A28" s="74"/>
      <c r="B28" s="72"/>
      <c r="C28" s="63"/>
      <c r="D28" s="20"/>
      <c r="E28" s="20"/>
      <c r="F28" s="20"/>
      <c r="H28" s="20"/>
      <c r="I28" s="20"/>
      <c r="K28" s="20"/>
      <c r="M28" s="20"/>
      <c r="O28" s="20"/>
      <c r="P28" s="20"/>
      <c r="R28" s="20"/>
    </row>
    <row r="29" spans="1:19">
      <c r="A29" s="71">
        <v>7</v>
      </c>
      <c r="B29" s="115" t="s">
        <v>160</v>
      </c>
      <c r="C29" s="155"/>
      <c r="D29" s="354">
        <v>-455.92</v>
      </c>
      <c r="E29" s="527" t="s">
        <v>42</v>
      </c>
      <c r="F29" s="354">
        <f>'25450'!F39</f>
        <v>0</v>
      </c>
      <c r="G29" s="158"/>
      <c r="H29" s="354">
        <v>-460.36</v>
      </c>
      <c r="I29" s="354">
        <v>-181.2</v>
      </c>
      <c r="J29" s="461" t="s">
        <v>39</v>
      </c>
      <c r="K29" s="354">
        <f>'25450'!J39</f>
        <v>0</v>
      </c>
      <c r="L29" s="158"/>
      <c r="M29" s="354">
        <v>-419.48700000000002</v>
      </c>
      <c r="O29" s="20">
        <f>H29-D29</f>
        <v>-4.4399999999999977</v>
      </c>
      <c r="P29" s="232"/>
      <c r="Q29" s="108">
        <f>O29/D29</f>
        <v>9.7385506229162953E-3</v>
      </c>
      <c r="R29" s="20">
        <f>M29-I29</f>
        <v>-238.28700000000003</v>
      </c>
      <c r="S29" s="108">
        <f>R29/I29</f>
        <v>1.3150496688741724</v>
      </c>
    </row>
    <row r="30" spans="1:19">
      <c r="A30" s="63"/>
      <c r="B30" s="63"/>
      <c r="C30" s="63"/>
      <c r="E30" s="20"/>
    </row>
    <row r="31" spans="1:19">
      <c r="A31" s="65"/>
      <c r="B31" s="63"/>
      <c r="C31" s="63"/>
      <c r="D31" s="69"/>
      <c r="E31" s="20"/>
      <c r="F31" s="69"/>
      <c r="G31" s="67"/>
      <c r="H31" s="69"/>
      <c r="I31" s="69"/>
      <c r="K31" s="69"/>
      <c r="M31" s="69"/>
      <c r="O31" s="69"/>
      <c r="P31" s="233"/>
      <c r="Q31" s="63"/>
      <c r="R31" s="69"/>
    </row>
    <row r="32" spans="1:19">
      <c r="A32" s="65"/>
      <c r="B32" s="63"/>
      <c r="C32" s="63"/>
      <c r="D32" s="67"/>
      <c r="E32" s="20"/>
      <c r="F32" s="67"/>
      <c r="G32" s="67"/>
      <c r="H32" s="67"/>
      <c r="I32" s="67"/>
      <c r="K32" s="67"/>
      <c r="L32" s="67"/>
      <c r="M32" s="67"/>
      <c r="O32" s="67"/>
      <c r="P32" s="67"/>
      <c r="Q32" s="63"/>
      <c r="R32" s="67"/>
    </row>
    <row r="33" spans="1:19" ht="16.5" thickBot="1">
      <c r="A33" s="65">
        <v>8</v>
      </c>
      <c r="B33" s="13" t="s">
        <v>12</v>
      </c>
      <c r="C33" s="63"/>
      <c r="D33" s="66">
        <f>SUM(D19:D32)</f>
        <v>3610.6573900000017</v>
      </c>
      <c r="E33" s="67"/>
      <c r="F33" s="66">
        <f>SUM(F19:F32)</f>
        <v>4056.5609999999992</v>
      </c>
      <c r="G33" s="67"/>
      <c r="H33" s="66">
        <f>SUM(H19:H32)</f>
        <v>3238.8694100000007</v>
      </c>
      <c r="I33" s="66">
        <f>SUM(I19:I32)</f>
        <v>1215.2</v>
      </c>
      <c r="J33" s="461" t="s">
        <v>40</v>
      </c>
      <c r="K33" s="66">
        <f>SUM(K19:K32)</f>
        <v>3618.39662</v>
      </c>
      <c r="L33" s="67"/>
      <c r="M33" s="66">
        <f>SUM(M19:M32)</f>
        <v>3050.9619999999995</v>
      </c>
      <c r="N33" s="461" t="s">
        <v>42</v>
      </c>
      <c r="O33" s="66">
        <f>SUM(O19:O32)</f>
        <v>-371.78798000000035</v>
      </c>
      <c r="P33" s="460" t="s">
        <v>39</v>
      </c>
      <c r="Q33" s="108">
        <f>IF(D33&gt;0,O33/D33,0)</f>
        <v>-0.10296960908827746</v>
      </c>
      <c r="R33" s="66">
        <f>SUM(R19:R32)</f>
        <v>1835.761999999999</v>
      </c>
      <c r="S33" s="108">
        <f>IF(I33&gt;0,R33/I33,0)</f>
        <v>1.5106665569453579</v>
      </c>
    </row>
    <row r="34" spans="1:19" ht="16.5" thickTop="1"/>
    <row r="35" spans="1:19">
      <c r="D35" s="509"/>
      <c r="E35" s="354"/>
      <c r="F35" s="509"/>
      <c r="G35" s="158"/>
      <c r="H35" s="509"/>
      <c r="I35" s="509"/>
      <c r="J35" s="158"/>
      <c r="K35" s="509"/>
      <c r="L35" s="158"/>
      <c r="M35" s="509"/>
      <c r="O35" s="20"/>
      <c r="Q35" s="108"/>
      <c r="R35" s="20"/>
      <c r="S35" s="108"/>
    </row>
    <row r="36" spans="1:19">
      <c r="D36" s="158"/>
      <c r="E36" s="158"/>
      <c r="F36" s="158"/>
      <c r="G36" s="158"/>
      <c r="H36" s="245"/>
      <c r="I36" s="245"/>
      <c r="J36" s="158"/>
      <c r="K36" s="158"/>
      <c r="L36" s="158"/>
      <c r="M36" s="245"/>
    </row>
    <row r="37" spans="1:19">
      <c r="A37" s="548" t="s">
        <v>73</v>
      </c>
      <c r="B37" s="548" t="s">
        <v>548</v>
      </c>
      <c r="D37" s="245"/>
      <c r="E37" s="158"/>
      <c r="F37" s="158"/>
      <c r="G37" s="158"/>
      <c r="H37" s="158"/>
      <c r="I37" s="158"/>
      <c r="J37" s="158"/>
      <c r="K37" s="158"/>
      <c r="L37" s="158"/>
      <c r="M37" s="158"/>
    </row>
    <row r="38" spans="1:19">
      <c r="A38" s="548"/>
      <c r="B38" s="549" t="s">
        <v>541</v>
      </c>
      <c r="D38" s="245"/>
      <c r="E38" s="158"/>
      <c r="F38" s="158"/>
      <c r="G38" s="158"/>
      <c r="H38" s="158"/>
      <c r="I38" s="158"/>
      <c r="J38" s="158"/>
      <c r="K38" s="158"/>
      <c r="L38" s="158"/>
      <c r="M38" s="158"/>
    </row>
    <row r="39" spans="1:19">
      <c r="A39" s="548"/>
      <c r="B39" s="551" t="s">
        <v>504</v>
      </c>
      <c r="D39" s="245"/>
      <c r="E39" s="158"/>
      <c r="F39" s="158"/>
      <c r="G39" s="158"/>
      <c r="H39" s="158"/>
      <c r="I39" s="158"/>
      <c r="J39" s="158"/>
      <c r="K39" s="158"/>
      <c r="L39" s="158"/>
      <c r="M39" s="158"/>
    </row>
    <row r="40" spans="1:19">
      <c r="A40" s="548"/>
      <c r="B40" s="548" t="s">
        <v>549</v>
      </c>
      <c r="D40" s="158"/>
      <c r="E40" s="158"/>
      <c r="F40" s="158"/>
      <c r="G40" s="158"/>
      <c r="H40" s="158"/>
      <c r="I40" s="158"/>
      <c r="J40" s="158"/>
      <c r="K40" s="158"/>
      <c r="L40" s="158"/>
      <c r="M40" s="158"/>
    </row>
    <row r="41" spans="1:19">
      <c r="A41" s="548"/>
      <c r="B41" s="549" t="s">
        <v>541</v>
      </c>
      <c r="D41" s="158"/>
      <c r="E41" s="158"/>
      <c r="F41" s="158"/>
      <c r="G41" s="158"/>
      <c r="H41" s="158"/>
      <c r="I41" s="158"/>
      <c r="J41" s="158"/>
      <c r="K41" s="158"/>
      <c r="L41" s="158"/>
      <c r="M41" s="158"/>
    </row>
    <row r="42" spans="1:19">
      <c r="A42" s="548"/>
      <c r="B42" s="548" t="s">
        <v>505</v>
      </c>
      <c r="D42" s="245"/>
      <c r="E42" s="158"/>
      <c r="F42" s="158"/>
      <c r="G42" s="158"/>
      <c r="H42" s="158"/>
      <c r="I42" s="158"/>
      <c r="J42" s="158"/>
      <c r="K42" s="158"/>
      <c r="L42" s="158"/>
      <c r="M42" s="158"/>
    </row>
    <row r="43" spans="1:19">
      <c r="A43" s="548"/>
      <c r="B43" s="548" t="s">
        <v>506</v>
      </c>
    </row>
    <row r="46" spans="1:19">
      <c r="S46" s="77" t="str">
        <f>'GI-28 Doc 1.1'!R65</f>
        <v>GI-28</v>
      </c>
    </row>
    <row r="47" spans="1:19">
      <c r="S47" s="77" t="s">
        <v>503</v>
      </c>
    </row>
    <row r="48" spans="1:19">
      <c r="S48" s="77" t="s">
        <v>51</v>
      </c>
    </row>
    <row r="49" spans="1:19">
      <c r="A49" s="17" t="str">
        <f>'GI-28 Doc 1.1'!A68</f>
        <v>Original: 2015-09-09</v>
      </c>
      <c r="S49" s="77" t="str">
        <f>'GI-28 Doc 1.1'!R68</f>
        <v>Requête 3924-2015</v>
      </c>
    </row>
  </sheetData>
  <mergeCells count="9">
    <mergeCell ref="O9:Q9"/>
    <mergeCell ref="R9:S9"/>
    <mergeCell ref="A1:S1"/>
    <mergeCell ref="A2:S2"/>
    <mergeCell ref="A3:S3"/>
    <mergeCell ref="A4:S4"/>
    <mergeCell ref="O7:S7"/>
    <mergeCell ref="O8:Q8"/>
    <mergeCell ref="R8:S8"/>
  </mergeCells>
  <printOptions horizontalCentered="1"/>
  <pageMargins left="0.34" right="0.33" top="0.984251969" bottom="0.56000000000000005" header="0.5" footer="0.31"/>
  <pageSetup scale="9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7030A0"/>
  </sheetPr>
  <dimension ref="A1:T57"/>
  <sheetViews>
    <sheetView topLeftCell="A4" zoomScaleNormal="100" workbookViewId="0">
      <selection activeCell="V41" sqref="V41"/>
    </sheetView>
  </sheetViews>
  <sheetFormatPr baseColWidth="10" defaultColWidth="9.140625" defaultRowHeight="15.75"/>
  <cols>
    <col min="1" max="1" width="9.140625" style="17"/>
    <col min="2" max="2" width="38.5703125" style="17" bestFit="1" customWidth="1"/>
    <col min="3" max="3" width="9.140625" style="17"/>
    <col min="4" max="4" width="9.85546875" style="17" customWidth="1"/>
    <col min="5" max="5" width="3.85546875" style="17" customWidth="1"/>
    <col min="6" max="6" width="9.5703125" style="17" hidden="1" customWidth="1"/>
    <col min="7" max="7" width="3.85546875" style="17" hidden="1" customWidth="1"/>
    <col min="8" max="8" width="9.140625" style="17"/>
    <col min="9" max="9" width="3.85546875" style="17" customWidth="1"/>
    <col min="10" max="10" width="0" style="17" hidden="1" customWidth="1"/>
    <col min="11" max="11" width="3.85546875" style="17" hidden="1" customWidth="1"/>
    <col min="12" max="12" width="9.140625" style="17"/>
    <col min="13" max="13" width="3.85546875" style="17" customWidth="1"/>
    <col min="14" max="14" width="9.140625" style="17"/>
    <col min="15" max="15" width="4.7109375" style="17" customWidth="1"/>
    <col min="16" max="16" width="6.42578125" style="17" bestFit="1" customWidth="1"/>
    <col min="17" max="17" width="9.140625" style="17"/>
    <col min="18" max="18" width="5.42578125" style="17" customWidth="1"/>
    <col min="19" max="19" width="4.28515625" style="17" customWidth="1"/>
    <col min="20" max="20" width="19.85546875" style="17" hidden="1" customWidth="1"/>
    <col min="21" max="16384" width="9.140625" style="17"/>
  </cols>
  <sheetData>
    <row r="1" spans="1:20">
      <c r="A1" s="558" t="s">
        <v>8</v>
      </c>
      <c r="B1" s="558"/>
      <c r="C1" s="558"/>
      <c r="D1" s="558"/>
      <c r="E1" s="558"/>
      <c r="F1" s="558"/>
      <c r="G1" s="558"/>
      <c r="H1" s="558"/>
      <c r="I1" s="558"/>
      <c r="J1" s="558"/>
      <c r="K1" s="558"/>
      <c r="L1" s="558"/>
      <c r="M1" s="558"/>
      <c r="N1" s="558"/>
      <c r="O1" s="558"/>
      <c r="P1" s="558"/>
      <c r="Q1" s="558"/>
      <c r="R1" s="558"/>
    </row>
    <row r="2" spans="1:20">
      <c r="A2" s="559" t="s">
        <v>9</v>
      </c>
      <c r="B2" s="559"/>
      <c r="C2" s="559"/>
      <c r="D2" s="559"/>
      <c r="E2" s="559"/>
      <c r="F2" s="559"/>
      <c r="G2" s="559"/>
      <c r="H2" s="559"/>
      <c r="I2" s="559"/>
      <c r="J2" s="559"/>
      <c r="K2" s="559"/>
      <c r="L2" s="559"/>
      <c r="M2" s="559"/>
      <c r="N2" s="559"/>
      <c r="O2" s="559"/>
      <c r="P2" s="559"/>
      <c r="Q2" s="559"/>
      <c r="R2" s="559"/>
    </row>
    <row r="3" spans="1:20">
      <c r="A3" s="560" t="s">
        <v>35</v>
      </c>
      <c r="B3" s="560"/>
      <c r="C3" s="560"/>
      <c r="D3" s="560"/>
      <c r="E3" s="560"/>
      <c r="F3" s="560"/>
      <c r="G3" s="560"/>
      <c r="H3" s="560"/>
      <c r="I3" s="560"/>
      <c r="J3" s="560"/>
      <c r="K3" s="560"/>
      <c r="L3" s="560"/>
      <c r="M3" s="560"/>
      <c r="N3" s="560"/>
      <c r="O3" s="560"/>
      <c r="P3" s="560"/>
      <c r="Q3" s="560"/>
      <c r="R3" s="560"/>
    </row>
    <row r="4" spans="1:20">
      <c r="A4" s="561" t="s">
        <v>92</v>
      </c>
      <c r="B4" s="561"/>
      <c r="C4" s="561"/>
      <c r="D4" s="561"/>
      <c r="E4" s="561"/>
      <c r="F4" s="561"/>
      <c r="G4" s="561"/>
      <c r="H4" s="561"/>
      <c r="I4" s="561"/>
      <c r="J4" s="561"/>
      <c r="K4" s="561"/>
      <c r="L4" s="561"/>
      <c r="M4" s="561"/>
      <c r="N4" s="561"/>
      <c r="O4" s="561"/>
      <c r="P4" s="561"/>
      <c r="Q4" s="561"/>
      <c r="R4" s="561"/>
    </row>
    <row r="6" spans="1:20">
      <c r="F6" s="155" t="s">
        <v>152</v>
      </c>
      <c r="G6" s="32"/>
      <c r="H6" s="32"/>
      <c r="I6" s="32"/>
      <c r="J6" s="155" t="s">
        <v>152</v>
      </c>
      <c r="T6" s="155" t="s">
        <v>152</v>
      </c>
    </row>
    <row r="7" spans="1:20">
      <c r="N7" s="565" t="s">
        <v>36</v>
      </c>
      <c r="O7" s="565"/>
      <c r="P7" s="565"/>
      <c r="Q7" s="565"/>
      <c r="R7" s="565"/>
      <c r="T7" s="156"/>
    </row>
    <row r="8" spans="1:20">
      <c r="D8" s="157" t="str">
        <f>'GI-28 Doc 4.2'!D8</f>
        <v>Réel</v>
      </c>
      <c r="E8" s="158"/>
      <c r="F8" s="157">
        <v>2014</v>
      </c>
      <c r="G8" s="158"/>
      <c r="H8" s="157" t="str">
        <f>'GI-28 Doc 4.2'!H8</f>
        <v>(4+8)</v>
      </c>
      <c r="I8" s="158"/>
      <c r="J8" s="157">
        <v>2015</v>
      </c>
      <c r="L8" s="78" t="s">
        <v>153</v>
      </c>
      <c r="N8" s="564" t="e">
        <f>'GI-28 Doc 4.2'!O8:Q8</f>
        <v>#VALUE!</v>
      </c>
      <c r="O8" s="564"/>
      <c r="P8" s="564"/>
      <c r="Q8" s="564" t="e">
        <f>'GI-28 Doc 4.2'!R8:S8</f>
        <v>#VALUE!</v>
      </c>
      <c r="R8" s="564"/>
      <c r="T8" s="159" t="s">
        <v>155</v>
      </c>
    </row>
    <row r="9" spans="1:20">
      <c r="D9" s="157">
        <f>'GI-28 Doc 4.2'!D9</f>
        <v>2014</v>
      </c>
      <c r="E9" s="158"/>
      <c r="F9" s="160" t="s">
        <v>28</v>
      </c>
      <c r="G9" s="158"/>
      <c r="H9" s="157">
        <f>'GI-28 Doc 4.2'!H9</f>
        <v>2015</v>
      </c>
      <c r="I9" s="158"/>
      <c r="J9" s="160" t="s">
        <v>28</v>
      </c>
      <c r="L9" s="161">
        <v>2016</v>
      </c>
      <c r="M9" s="161"/>
      <c r="N9" s="564" t="e">
        <f>'GI-28 Doc 4.2'!O9:Q9</f>
        <v>#VALUE!</v>
      </c>
      <c r="O9" s="564"/>
      <c r="P9" s="564"/>
      <c r="Q9" s="564" t="e">
        <f>'GI-28 Doc 4.2'!R9:S9</f>
        <v>#VALUE!</v>
      </c>
      <c r="R9" s="564"/>
      <c r="T9" s="159" t="s">
        <v>156</v>
      </c>
    </row>
    <row r="10" spans="1:20" ht="16.5" thickBot="1">
      <c r="D10" s="162" t="s">
        <v>31</v>
      </c>
      <c r="E10" s="158"/>
      <c r="F10" s="162" t="s">
        <v>31</v>
      </c>
      <c r="G10" s="158"/>
      <c r="H10" s="162" t="s">
        <v>31</v>
      </c>
      <c r="I10" s="158"/>
      <c r="J10" s="162" t="s">
        <v>31</v>
      </c>
      <c r="L10" s="163" t="s">
        <v>31</v>
      </c>
      <c r="M10" s="164"/>
      <c r="N10" s="165" t="s">
        <v>31</v>
      </c>
      <c r="O10" s="165"/>
      <c r="P10" s="165" t="s">
        <v>52</v>
      </c>
      <c r="Q10" s="165" t="s">
        <v>31</v>
      </c>
      <c r="R10" s="165" t="s">
        <v>52</v>
      </c>
      <c r="T10" s="165" t="s">
        <v>31</v>
      </c>
    </row>
    <row r="11" spans="1:20">
      <c r="D11" s="32">
        <v>1</v>
      </c>
      <c r="E11" s="32"/>
      <c r="F11" s="32"/>
      <c r="G11" s="32"/>
      <c r="H11" s="32">
        <v>2</v>
      </c>
      <c r="I11" s="32"/>
      <c r="J11" s="32"/>
      <c r="K11" s="32"/>
      <c r="L11" s="32">
        <v>3</v>
      </c>
      <c r="M11" s="166"/>
      <c r="N11" s="166" t="s">
        <v>199</v>
      </c>
      <c r="O11" s="166"/>
      <c r="P11" s="166">
        <v>5</v>
      </c>
      <c r="Q11" s="166" t="s">
        <v>158</v>
      </c>
      <c r="R11" s="166">
        <v>7</v>
      </c>
      <c r="S11"/>
      <c r="T11" s="167">
        <v>8</v>
      </c>
    </row>
    <row r="12" spans="1:20">
      <c r="A12" s="76"/>
      <c r="C12" s="76"/>
    </row>
    <row r="13" spans="1:20">
      <c r="A13" s="76"/>
      <c r="B13" s="76"/>
      <c r="C13" s="76"/>
      <c r="D13" s="20"/>
      <c r="E13" s="20"/>
      <c r="F13" s="20"/>
    </row>
    <row r="14" spans="1:20" ht="16.5" thickBot="1">
      <c r="A14" s="65">
        <v>1</v>
      </c>
      <c r="B14" s="64" t="s">
        <v>0</v>
      </c>
      <c r="C14" s="63"/>
      <c r="D14" s="24">
        <f>'25450'!D16</f>
        <v>519.16057999999998</v>
      </c>
      <c r="E14" s="20"/>
      <c r="F14" s="24">
        <f>'25450'!F16</f>
        <v>595.57899999999995</v>
      </c>
      <c r="H14" s="24">
        <f>'25450'!H16</f>
        <v>814.10441000000014</v>
      </c>
      <c r="J14" s="24">
        <f>'25450'!J16</f>
        <v>627.5870000000001</v>
      </c>
      <c r="L14" s="24">
        <f>'25450'!L16</f>
        <v>642.16800000000001</v>
      </c>
      <c r="N14" s="24">
        <f>H14-D14</f>
        <v>294.94383000000016</v>
      </c>
      <c r="O14" s="459" t="s">
        <v>38</v>
      </c>
      <c r="P14" s="108">
        <f>IF(D14&gt;0,N14/D14,0)</f>
        <v>0.56811676649255649</v>
      </c>
      <c r="Q14" s="24">
        <f>L14-H14</f>
        <v>-171.93641000000014</v>
      </c>
      <c r="R14" s="108">
        <f>IF(H14&gt;0,Q14/H14,0)</f>
        <v>-0.21119700113158718</v>
      </c>
      <c r="S14" s="459" t="s">
        <v>40</v>
      </c>
    </row>
    <row r="15" spans="1:20" ht="16.5" thickTop="1">
      <c r="A15" s="65"/>
      <c r="B15" s="64"/>
      <c r="C15" s="63"/>
      <c r="D15" s="20"/>
      <c r="E15" s="20"/>
      <c r="F15" s="20"/>
    </row>
    <row r="16" spans="1:20">
      <c r="A16" s="65"/>
      <c r="B16" s="63"/>
      <c r="C16" s="63"/>
      <c r="D16" s="20"/>
      <c r="E16" s="20"/>
      <c r="F16" s="20"/>
    </row>
    <row r="17" spans="1:19">
      <c r="A17" s="65"/>
      <c r="B17" s="13" t="s">
        <v>3</v>
      </c>
      <c r="C17" s="63"/>
      <c r="D17" s="20"/>
      <c r="E17" s="20"/>
      <c r="F17" s="20"/>
    </row>
    <row r="18" spans="1:19">
      <c r="A18" s="65"/>
      <c r="B18" s="63"/>
      <c r="C18" s="63"/>
      <c r="D18" s="20"/>
      <c r="E18" s="20"/>
      <c r="F18" s="20"/>
      <c r="H18" s="28"/>
    </row>
    <row r="19" spans="1:19">
      <c r="A19" s="71">
        <v>2</v>
      </c>
      <c r="B19" s="72" t="s">
        <v>21</v>
      </c>
      <c r="C19" s="63"/>
      <c r="D19" s="20">
        <f>'25450'!D21</f>
        <v>997.56099000000142</v>
      </c>
      <c r="E19" s="20"/>
      <c r="F19" s="20">
        <f>'25450'!F21</f>
        <v>1015.3609999999998</v>
      </c>
      <c r="H19" s="20">
        <f>'25450'!H21</f>
        <v>999.9064000000011</v>
      </c>
      <c r="J19" s="20">
        <f>'25450'!J21</f>
        <v>930.97199999999998</v>
      </c>
      <c r="L19" s="20">
        <f>'25450'!L21</f>
        <v>1051.1469999999993</v>
      </c>
      <c r="N19" s="20">
        <f>H19-D19</f>
        <v>2.3454099999996743</v>
      </c>
      <c r="O19" s="232"/>
      <c r="P19" s="108">
        <f t="shared" ref="P19" si="0">IF(D19&gt;0,N19/D19,0)</f>
        <v>2.3511444648609114E-3</v>
      </c>
      <c r="Q19" s="20">
        <f>L19-H19</f>
        <v>51.240599999998153</v>
      </c>
      <c r="R19" s="108">
        <f t="shared" ref="R19" si="1">IF(H19&gt;0,Q19/H19,0)</f>
        <v>5.1245396569116967E-2</v>
      </c>
      <c r="S19" s="232"/>
    </row>
    <row r="20" spans="1:19">
      <c r="A20" s="71"/>
      <c r="B20" s="72"/>
      <c r="C20" s="63"/>
      <c r="D20" s="20"/>
      <c r="E20" s="20"/>
      <c r="F20" s="20"/>
      <c r="H20" s="20"/>
      <c r="J20" s="20"/>
      <c r="L20" s="20"/>
      <c r="N20" s="20"/>
      <c r="O20" s="20"/>
      <c r="Q20" s="20"/>
    </row>
    <row r="21" spans="1:19">
      <c r="A21" s="71">
        <v>3</v>
      </c>
      <c r="B21" s="73" t="s">
        <v>22</v>
      </c>
      <c r="C21" s="63"/>
      <c r="D21" s="20">
        <f>'25450'!D23</f>
        <v>260.10851000000002</v>
      </c>
      <c r="E21" s="20"/>
      <c r="F21" s="20">
        <f>'25450'!F23</f>
        <v>271.31299999999999</v>
      </c>
      <c r="H21" s="20">
        <f>'25450'!H23</f>
        <v>281.23575</v>
      </c>
      <c r="J21" s="20">
        <f>'25450'!J23</f>
        <v>281.23575</v>
      </c>
      <c r="L21" s="20">
        <f>'25450'!L23</f>
        <v>258.28800000000001</v>
      </c>
      <c r="N21" s="20">
        <f>H21-D21</f>
        <v>21.127239999999972</v>
      </c>
      <c r="O21" s="232"/>
      <c r="P21" s="108">
        <f t="shared" ref="P21" si="2">IF(D21&gt;0,N21/D21,0)</f>
        <v>8.1224716561561064E-2</v>
      </c>
      <c r="Q21" s="20">
        <f>L21-H21</f>
        <v>-22.947749999999985</v>
      </c>
      <c r="R21" s="108">
        <f t="shared" ref="R21" si="3">IF(H21&gt;0,Q21/H21,0)</f>
        <v>-8.1596134204132961E-2</v>
      </c>
      <c r="S21" s="232"/>
    </row>
    <row r="22" spans="1:19">
      <c r="A22" s="74"/>
      <c r="B22" s="75"/>
      <c r="C22" s="63"/>
      <c r="D22" s="20"/>
      <c r="E22" s="20"/>
      <c r="F22" s="20"/>
      <c r="H22" s="20"/>
      <c r="J22" s="20"/>
      <c r="L22" s="20"/>
      <c r="N22" s="20"/>
      <c r="O22" s="20"/>
      <c r="Q22" s="20"/>
    </row>
    <row r="23" spans="1:19">
      <c r="A23" s="71">
        <v>4</v>
      </c>
      <c r="B23" s="72" t="s">
        <v>23</v>
      </c>
      <c r="C23" s="63"/>
      <c r="D23" s="20">
        <f>'25450'!D25</f>
        <v>371.79417999999998</v>
      </c>
      <c r="E23" s="20"/>
      <c r="F23" s="20">
        <f>'25450'!F25</f>
        <v>193.93899999999999</v>
      </c>
      <c r="H23" s="20">
        <f>'25450'!H25</f>
        <v>230.05425</v>
      </c>
      <c r="J23" s="20">
        <f>'25450'!J25</f>
        <v>230.05500000000001</v>
      </c>
      <c r="L23" s="20">
        <f>'25450'!L25</f>
        <v>237.733</v>
      </c>
      <c r="N23" s="20">
        <f>H23-D23</f>
        <v>-141.73992999999999</v>
      </c>
      <c r="O23" s="232"/>
      <c r="P23" s="108">
        <f t="shared" ref="P23" si="4">IF(D23&gt;0,N23/D23,0)</f>
        <v>-0.38123224521696386</v>
      </c>
      <c r="Q23" s="20">
        <f>L23-H23</f>
        <v>7.678750000000008</v>
      </c>
      <c r="R23" s="108">
        <f t="shared" ref="R23" si="5">IF(H23&gt;0,Q23/H23,0)</f>
        <v>3.3377996711645222E-2</v>
      </c>
      <c r="S23" s="232"/>
    </row>
    <row r="24" spans="1:19">
      <c r="A24" s="74"/>
      <c r="B24" s="75"/>
      <c r="C24" s="63"/>
      <c r="D24" s="20"/>
      <c r="E24" s="20"/>
      <c r="F24" s="20"/>
      <c r="H24" s="20"/>
      <c r="J24" s="20"/>
      <c r="L24" s="20"/>
      <c r="N24" s="20"/>
      <c r="O24" s="20"/>
      <c r="Q24" s="20"/>
    </row>
    <row r="25" spans="1:19">
      <c r="A25" s="71">
        <v>5</v>
      </c>
      <c r="B25" s="73" t="s">
        <v>24</v>
      </c>
      <c r="C25" s="63"/>
      <c r="D25" s="20">
        <f>'25450'!D27+'25450'!D29+'25450'!D31</f>
        <v>3235.9090800000004</v>
      </c>
      <c r="E25" s="20"/>
      <c r="F25" s="20">
        <f>'25450'!F27+'25450'!F29+'25450'!F31</f>
        <v>3310.357</v>
      </c>
      <c r="H25" s="20">
        <f>'25450'!H27+'25450'!H29+'25450'!H31</f>
        <v>2960.6050100000002</v>
      </c>
      <c r="J25" s="20">
        <f>'25450'!J27+'25450'!J29+'25450'!J31</f>
        <v>2924.9218700000001</v>
      </c>
      <c r="L25" s="20">
        <f>'25450'!L27+'25450'!L29+'25450'!L31</f>
        <v>2596.8469999999998</v>
      </c>
      <c r="N25" s="20">
        <f>H25-D25</f>
        <v>-275.30407000000014</v>
      </c>
      <c r="O25" s="232"/>
      <c r="P25" s="108">
        <f t="shared" ref="P25" si="6">IF(D25&gt;0,N25/D25,0)</f>
        <v>-8.5077813743765662E-2</v>
      </c>
      <c r="Q25" s="20">
        <f>L25-H25</f>
        <v>-363.75801000000047</v>
      </c>
      <c r="R25" s="108">
        <f t="shared" ref="R25" si="7">IF(H25&gt;0,Q25/H25,0)</f>
        <v>-0.1228661063435816</v>
      </c>
      <c r="S25" s="232"/>
    </row>
    <row r="26" spans="1:19">
      <c r="A26" s="71"/>
      <c r="B26" s="73"/>
      <c r="C26" s="63"/>
      <c r="D26" s="20"/>
      <c r="E26" s="20"/>
      <c r="F26" s="20"/>
      <c r="H26" s="20"/>
      <c r="J26" s="20"/>
      <c r="L26" s="20"/>
      <c r="N26" s="20"/>
      <c r="O26" s="20"/>
      <c r="Q26" s="20"/>
      <c r="S26" s="20"/>
    </row>
    <row r="27" spans="1:19">
      <c r="A27" s="71">
        <v>6</v>
      </c>
      <c r="B27" s="72" t="s">
        <v>34</v>
      </c>
      <c r="C27" s="63"/>
      <c r="D27" s="20">
        <f>'25450'!D37</f>
        <v>-798.79537000000016</v>
      </c>
      <c r="E27" s="20"/>
      <c r="F27" s="20">
        <f>'25450'!F37</f>
        <v>-734.40899999999999</v>
      </c>
      <c r="H27" s="20">
        <f>'25450'!H37</f>
        <v>-772.572</v>
      </c>
      <c r="J27" s="20">
        <f>'25450'!J37</f>
        <v>-748.78800000000001</v>
      </c>
      <c r="L27" s="20">
        <f>'25450'!L37</f>
        <v>-673.56600000000003</v>
      </c>
      <c r="N27" s="20">
        <f>H27-D27</f>
        <v>26.223370000000159</v>
      </c>
      <c r="O27" s="232"/>
      <c r="P27" s="108">
        <f>N27/D27</f>
        <v>-3.2828645463981787E-2</v>
      </c>
      <c r="Q27" s="20">
        <f>L27-H27</f>
        <v>99.005999999999972</v>
      </c>
      <c r="R27" s="108">
        <f>Q27/H27</f>
        <v>-0.1281511626100868</v>
      </c>
      <c r="S27" s="232"/>
    </row>
    <row r="28" spans="1:19">
      <c r="A28" s="74"/>
      <c r="B28" s="72"/>
      <c r="C28" s="63"/>
      <c r="D28" s="20"/>
      <c r="E28" s="20"/>
      <c r="F28" s="20"/>
      <c r="H28" s="20"/>
      <c r="J28" s="20"/>
      <c r="L28" s="20"/>
      <c r="N28" s="20"/>
      <c r="O28" s="20"/>
      <c r="Q28" s="20"/>
    </row>
    <row r="29" spans="1:19">
      <c r="A29" s="71">
        <v>7</v>
      </c>
      <c r="B29" s="115" t="s">
        <v>160</v>
      </c>
      <c r="C29" s="155"/>
      <c r="D29" s="471">
        <v>-455.92</v>
      </c>
      <c r="E29" s="461" t="s">
        <v>42</v>
      </c>
      <c r="F29" s="471">
        <f>'25450'!F39</f>
        <v>0</v>
      </c>
      <c r="G29" s="202"/>
      <c r="H29" s="471">
        <v>-460.36</v>
      </c>
      <c r="I29" s="461" t="s">
        <v>43</v>
      </c>
      <c r="J29" s="471">
        <f>'25450'!J39</f>
        <v>0</v>
      </c>
      <c r="K29" s="202"/>
      <c r="L29" s="471">
        <v>-419.48700000000002</v>
      </c>
      <c r="M29" s="461" t="s">
        <v>43</v>
      </c>
      <c r="N29" s="20">
        <f>H29-D29</f>
        <v>-4.4399999999999977</v>
      </c>
      <c r="O29" s="232"/>
      <c r="P29" s="108">
        <f>N29/D29</f>
        <v>9.7385506229162953E-3</v>
      </c>
      <c r="Q29" s="20">
        <f>L29-H29</f>
        <v>40.87299999999999</v>
      </c>
      <c r="R29" s="108">
        <f>Q29/H29</f>
        <v>-8.8784864019463006E-2</v>
      </c>
    </row>
    <row r="30" spans="1:19">
      <c r="A30" s="63"/>
      <c r="B30" s="63"/>
      <c r="C30" s="63"/>
      <c r="E30" s="20"/>
    </row>
    <row r="31" spans="1:19">
      <c r="A31" s="65"/>
      <c r="B31" s="63"/>
      <c r="C31" s="63"/>
      <c r="D31" s="69"/>
      <c r="E31" s="20"/>
      <c r="F31" s="69"/>
      <c r="G31" s="67"/>
      <c r="H31" s="69"/>
      <c r="J31" s="69"/>
      <c r="L31" s="69"/>
      <c r="M31" s="63"/>
      <c r="N31" s="69"/>
      <c r="O31" s="233"/>
      <c r="P31" s="63"/>
      <c r="Q31" s="69"/>
    </row>
    <row r="32" spans="1:19">
      <c r="A32" s="65"/>
      <c r="B32" s="63"/>
      <c r="C32" s="63"/>
      <c r="D32" s="67"/>
      <c r="E32" s="20"/>
      <c r="F32" s="67"/>
      <c r="G32" s="67"/>
      <c r="H32" s="67"/>
      <c r="J32" s="67"/>
      <c r="K32" s="67"/>
      <c r="L32" s="67"/>
      <c r="M32" s="63"/>
      <c r="N32" s="67"/>
      <c r="O32" s="67"/>
      <c r="P32" s="63"/>
      <c r="Q32" s="67"/>
    </row>
    <row r="33" spans="1:19" ht="16.5" thickBot="1">
      <c r="A33" s="65">
        <v>8</v>
      </c>
      <c r="B33" s="13" t="s">
        <v>12</v>
      </c>
      <c r="C33" s="63"/>
      <c r="D33" s="66">
        <f>SUM(D19:D32)</f>
        <v>3610.6573900000017</v>
      </c>
      <c r="E33" s="67"/>
      <c r="F33" s="66">
        <f>SUM(F19:F32)</f>
        <v>4056.5609999999992</v>
      </c>
      <c r="G33" s="67"/>
      <c r="H33" s="66">
        <f>SUM(H19:H32)</f>
        <v>3238.8694100000007</v>
      </c>
      <c r="I33" s="67"/>
      <c r="J33" s="66">
        <f>SUM(J19:J32)</f>
        <v>3618.39662</v>
      </c>
      <c r="K33" s="67"/>
      <c r="L33" s="66">
        <f>SUM(L19:L32)</f>
        <v>3050.9619999999995</v>
      </c>
      <c r="M33" s="68"/>
      <c r="N33" s="66">
        <f>SUM(N19:N32)</f>
        <v>-371.78798000000035</v>
      </c>
      <c r="O33" s="460" t="s">
        <v>39</v>
      </c>
      <c r="P33" s="108">
        <f>IF(D33&gt;0,N33/D33,0)</f>
        <v>-0.10296960908827746</v>
      </c>
      <c r="Q33" s="66">
        <f>SUM(Q19:Q32)</f>
        <v>-187.90741000000236</v>
      </c>
      <c r="R33" s="108">
        <f>IF(H33&gt;0,Q33/H33,0)</f>
        <v>-5.8016358862706452E-2</v>
      </c>
      <c r="S33" s="461" t="s">
        <v>41</v>
      </c>
    </row>
    <row r="34" spans="1:19" ht="16.5" thickTop="1"/>
    <row r="35" spans="1:19">
      <c r="D35" s="39">
        <f>SUM(D14:D27)</f>
        <v>4585.737970000002</v>
      </c>
      <c r="E35" s="20"/>
      <c r="F35" s="39"/>
      <c r="H35" s="39">
        <f>SUM(H14:H27)</f>
        <v>4513.3338200000017</v>
      </c>
      <c r="J35" s="39"/>
      <c r="L35" s="39">
        <f>SUM(L14:L27)</f>
        <v>4112.6169999999993</v>
      </c>
      <c r="N35" s="20"/>
      <c r="P35" s="108"/>
      <c r="Q35" s="20"/>
      <c r="R35" s="108"/>
    </row>
    <row r="36" spans="1:19">
      <c r="D36" s="17">
        <v>13.2</v>
      </c>
      <c r="H36" s="451">
        <f>H35*10.2%</f>
        <v>460.36004964000011</v>
      </c>
      <c r="L36" s="451">
        <f>L35*10.2%</f>
        <v>419.48693399999991</v>
      </c>
    </row>
    <row r="37" spans="1:19">
      <c r="A37" s="17" t="s">
        <v>73</v>
      </c>
      <c r="B37" s="17" t="s">
        <v>404</v>
      </c>
      <c r="D37" s="451">
        <f>SUM(D35:D36)*10.2%</f>
        <v>469.09167294000014</v>
      </c>
    </row>
    <row r="38" spans="1:19">
      <c r="B38" s="17" t="s">
        <v>405</v>
      </c>
      <c r="D38" s="17">
        <v>-13.2</v>
      </c>
    </row>
    <row r="39" spans="1:19">
      <c r="B39" s="17" t="s">
        <v>406</v>
      </c>
      <c r="D39" s="478">
        <f>SUM(D37:D38)</f>
        <v>455.89167294000015</v>
      </c>
    </row>
    <row r="40" spans="1:19">
      <c r="B40" s="17" t="s">
        <v>407</v>
      </c>
    </row>
    <row r="41" spans="1:19">
      <c r="B41" s="25" t="s">
        <v>409</v>
      </c>
      <c r="I41" s="470"/>
      <c r="J41" s="470"/>
      <c r="K41" s="470"/>
      <c r="L41" s="470"/>
      <c r="M41" s="470"/>
    </row>
    <row r="42" spans="1:19">
      <c r="B42" s="17" t="s">
        <v>401</v>
      </c>
    </row>
    <row r="43" spans="1:19">
      <c r="B43" s="25" t="s">
        <v>408</v>
      </c>
    </row>
    <row r="54" spans="1:18">
      <c r="R54" s="77" t="str">
        <f>'GI-28 Doc 1.1'!R65</f>
        <v>GI-28</v>
      </c>
    </row>
    <row r="55" spans="1:18">
      <c r="R55" s="77" t="s">
        <v>59</v>
      </c>
    </row>
    <row r="56" spans="1:18">
      <c r="R56" s="77" t="s">
        <v>51</v>
      </c>
    </row>
    <row r="57" spans="1:18">
      <c r="A57" s="17" t="str">
        <f>'GI-28 Doc 1.1'!A68</f>
        <v>Original: 2015-09-09</v>
      </c>
      <c r="R57" s="77" t="str">
        <f>'GI-28 Doc 1.1'!R68</f>
        <v>Requête 3924-2015</v>
      </c>
    </row>
  </sheetData>
  <mergeCells count="9">
    <mergeCell ref="N8:P8"/>
    <mergeCell ref="Q8:R8"/>
    <mergeCell ref="N9:P9"/>
    <mergeCell ref="Q9:R9"/>
    <mergeCell ref="A1:R1"/>
    <mergeCell ref="A2:R2"/>
    <mergeCell ref="A3:R3"/>
    <mergeCell ref="A4:R4"/>
    <mergeCell ref="N7:R7"/>
  </mergeCells>
  <printOptions horizontalCentered="1"/>
  <pageMargins left="0.34" right="0.33" top="0.984251969" bottom="0.56000000000000005" header="0.5" footer="0.31"/>
  <pageSetup scale="75"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A1:AG71"/>
  <sheetViews>
    <sheetView topLeftCell="A43" workbookViewId="0">
      <selection activeCell="V41" sqref="V41"/>
    </sheetView>
  </sheetViews>
  <sheetFormatPr baseColWidth="10" defaultColWidth="9.140625" defaultRowHeight="15.75"/>
  <cols>
    <col min="1" max="1" width="3.7109375" style="32" customWidth="1"/>
    <col min="2" max="10" width="9.140625" style="17"/>
    <col min="11" max="11" width="12.5703125" style="17" customWidth="1"/>
    <col min="12" max="12" width="9.140625" style="17"/>
    <col min="13" max="13" width="9.7109375" style="17" customWidth="1"/>
    <col min="14" max="16384" width="9.140625" style="17"/>
  </cols>
  <sheetData>
    <row r="1" spans="1:33">
      <c r="B1" s="9" t="s">
        <v>8</v>
      </c>
      <c r="C1" s="16"/>
      <c r="D1" s="16"/>
      <c r="E1" s="16"/>
      <c r="F1" s="16"/>
      <c r="G1" s="16"/>
      <c r="H1" s="16"/>
      <c r="I1" s="16"/>
      <c r="J1" s="16"/>
      <c r="K1" s="16"/>
      <c r="L1" s="16"/>
      <c r="M1" s="16"/>
    </row>
    <row r="2" spans="1:33">
      <c r="B2" s="10" t="s">
        <v>9</v>
      </c>
      <c r="C2" s="16"/>
      <c r="D2" s="16"/>
      <c r="E2" s="16"/>
      <c r="F2" s="16"/>
      <c r="G2" s="16"/>
      <c r="H2" s="16"/>
      <c r="I2" s="16"/>
      <c r="J2" s="16"/>
      <c r="K2" s="16"/>
      <c r="L2" s="16"/>
      <c r="M2" s="16"/>
    </row>
    <row r="3" spans="1:33">
      <c r="B3" s="11" t="s">
        <v>60</v>
      </c>
      <c r="C3" s="16"/>
      <c r="D3" s="16"/>
      <c r="E3" s="16"/>
      <c r="F3" s="16"/>
      <c r="G3" s="16"/>
      <c r="H3" s="16"/>
      <c r="I3" s="16"/>
      <c r="J3" s="16"/>
      <c r="K3" s="16"/>
      <c r="L3" s="16"/>
      <c r="M3" s="16"/>
    </row>
    <row r="4" spans="1:33">
      <c r="B4" s="12" t="s">
        <v>92</v>
      </c>
      <c r="C4" s="16"/>
      <c r="D4" s="16"/>
      <c r="E4" s="16"/>
      <c r="F4" s="16"/>
      <c r="G4" s="16"/>
      <c r="H4" s="16"/>
      <c r="I4" s="16"/>
      <c r="J4" s="16"/>
      <c r="K4" s="16"/>
      <c r="L4" s="226"/>
      <c r="M4" s="16"/>
    </row>
    <row r="6" spans="1:33">
      <c r="B6" s="276" t="s">
        <v>201</v>
      </c>
    </row>
    <row r="8" spans="1:33">
      <c r="A8" s="32">
        <v>1</v>
      </c>
      <c r="B8" s="55" t="s">
        <v>0</v>
      </c>
    </row>
    <row r="10" spans="1:33" ht="16.5" thickBot="1">
      <c r="B10" s="17" t="s">
        <v>460</v>
      </c>
      <c r="M10" s="227">
        <v>294.89999999999998</v>
      </c>
    </row>
    <row r="11" spans="1:33" ht="16.5" thickTop="1">
      <c r="B11" s="17" t="s">
        <v>461</v>
      </c>
    </row>
    <row r="12" spans="1:33">
      <c r="B12" s="17" t="s">
        <v>462</v>
      </c>
      <c r="AF12" s="17">
        <v>294.89999999999998</v>
      </c>
    </row>
    <row r="14" spans="1:33">
      <c r="A14" s="32">
        <v>2</v>
      </c>
      <c r="B14" s="55" t="s">
        <v>3</v>
      </c>
    </row>
    <row r="15" spans="1:33">
      <c r="B15" s="40"/>
      <c r="C15" s="40"/>
      <c r="D15" s="40"/>
      <c r="E15" s="40"/>
      <c r="F15" s="40"/>
      <c r="G15" s="40"/>
      <c r="H15" s="40"/>
      <c r="I15" s="40"/>
      <c r="J15" s="161"/>
      <c r="K15" s="40"/>
      <c r="M15" s="161"/>
      <c r="N15" s="40"/>
      <c r="O15" s="40"/>
      <c r="AG15" s="17">
        <v>-171.9</v>
      </c>
    </row>
    <row r="16" spans="1:33">
      <c r="B16" s="40" t="s">
        <v>379</v>
      </c>
      <c r="C16" s="40"/>
      <c r="D16" s="40"/>
      <c r="E16" s="40"/>
      <c r="F16" s="40"/>
      <c r="G16" s="40"/>
      <c r="H16" s="40"/>
      <c r="I16" s="40"/>
      <c r="J16" s="236"/>
      <c r="K16" s="236"/>
      <c r="L16" s="236">
        <v>23.4</v>
      </c>
      <c r="M16" s="236"/>
      <c r="N16" s="40"/>
      <c r="O16" s="40"/>
    </row>
    <row r="17" spans="2:33">
      <c r="B17" s="40" t="s">
        <v>463</v>
      </c>
      <c r="C17" s="40"/>
      <c r="D17" s="40"/>
      <c r="E17" s="40"/>
      <c r="F17" s="40"/>
      <c r="G17" s="40"/>
      <c r="H17" s="40"/>
      <c r="I17" s="40"/>
      <c r="J17" s="236"/>
      <c r="K17" s="236"/>
      <c r="L17" s="236"/>
      <c r="M17" s="236"/>
      <c r="N17" s="40"/>
      <c r="O17" s="40"/>
    </row>
    <row r="18" spans="2:33">
      <c r="B18" s="40" t="s">
        <v>464</v>
      </c>
      <c r="C18" s="40"/>
      <c r="D18" s="40"/>
      <c r="E18" s="40"/>
      <c r="F18" s="40"/>
      <c r="G18" s="40"/>
      <c r="H18" s="40"/>
      <c r="I18" s="40"/>
      <c r="J18" s="236"/>
      <c r="K18" s="236"/>
      <c r="L18" s="236"/>
      <c r="M18" s="236"/>
      <c r="N18" s="40"/>
      <c r="O18" s="40"/>
    </row>
    <row r="19" spans="2:33">
      <c r="B19" s="40"/>
      <c r="C19" s="40"/>
      <c r="D19" s="40"/>
      <c r="E19" s="40"/>
      <c r="F19" s="40"/>
      <c r="G19" s="40"/>
      <c r="H19" s="40"/>
      <c r="I19" s="40"/>
      <c r="J19" s="236"/>
      <c r="K19" s="236"/>
      <c r="L19" s="236"/>
      <c r="M19" s="236"/>
      <c r="N19" s="40"/>
      <c r="O19" s="40"/>
    </row>
    <row r="20" spans="2:33">
      <c r="B20" s="40" t="s">
        <v>465</v>
      </c>
      <c r="C20" s="40"/>
      <c r="D20" s="40"/>
      <c r="E20" s="40"/>
      <c r="F20" s="40"/>
      <c r="G20" s="40"/>
      <c r="H20" s="40"/>
      <c r="I20" s="40"/>
      <c r="J20" s="236"/>
      <c r="K20" s="236"/>
      <c r="L20" s="236">
        <v>-141.69999999999999</v>
      </c>
      <c r="M20" s="236"/>
      <c r="N20" s="40"/>
      <c r="O20" s="40"/>
    </row>
    <row r="21" spans="2:33">
      <c r="B21" s="40" t="s">
        <v>466</v>
      </c>
      <c r="C21" s="40"/>
      <c r="D21" s="40"/>
      <c r="E21" s="40"/>
      <c r="F21" s="40"/>
      <c r="G21" s="40"/>
      <c r="H21" s="40"/>
      <c r="I21" s="40"/>
      <c r="J21" s="236"/>
      <c r="K21" s="236"/>
      <c r="L21" s="236"/>
      <c r="M21" s="236"/>
      <c r="N21" s="40"/>
      <c r="O21" s="40"/>
    </row>
    <row r="22" spans="2:33">
      <c r="B22" s="40" t="s">
        <v>467</v>
      </c>
      <c r="C22" s="40"/>
      <c r="D22" s="40"/>
      <c r="E22" s="40"/>
      <c r="F22" s="40"/>
      <c r="G22" s="40"/>
      <c r="H22" s="40"/>
      <c r="I22" s="40"/>
      <c r="J22" s="236"/>
      <c r="K22" s="236"/>
      <c r="L22" s="236"/>
      <c r="M22" s="236"/>
      <c r="N22" s="40"/>
      <c r="O22" s="40"/>
    </row>
    <row r="23" spans="2:33">
      <c r="B23" s="40"/>
      <c r="C23" s="40"/>
      <c r="D23" s="40"/>
      <c r="E23" s="40"/>
      <c r="F23" s="40"/>
      <c r="G23" s="40"/>
      <c r="H23" s="40"/>
      <c r="I23" s="40"/>
      <c r="J23" s="236"/>
      <c r="K23" s="236"/>
      <c r="L23" s="236"/>
      <c r="M23" s="236"/>
      <c r="N23" s="40"/>
      <c r="O23" s="40"/>
    </row>
    <row r="24" spans="2:33">
      <c r="B24" s="246" t="s">
        <v>482</v>
      </c>
      <c r="C24" s="246"/>
      <c r="D24" s="246"/>
      <c r="E24" s="246"/>
      <c r="F24" s="246"/>
      <c r="G24" s="246"/>
      <c r="H24" s="246"/>
      <c r="I24" s="246"/>
      <c r="J24" s="522"/>
      <c r="K24" s="522"/>
      <c r="L24" s="236">
        <v>-275.3</v>
      </c>
      <c r="M24" s="236"/>
      <c r="N24" s="40"/>
      <c r="O24" s="40"/>
    </row>
    <row r="25" spans="2:33">
      <c r="B25" s="246" t="s">
        <v>483</v>
      </c>
      <c r="C25" s="246"/>
      <c r="D25" s="246"/>
      <c r="E25" s="246"/>
      <c r="F25" s="246"/>
      <c r="G25" s="246"/>
      <c r="H25" s="246"/>
      <c r="I25" s="246"/>
      <c r="J25" s="522"/>
      <c r="K25" s="522"/>
      <c r="L25" s="236"/>
      <c r="M25" s="236"/>
      <c r="N25" s="40"/>
      <c r="O25" s="40"/>
      <c r="AF25" s="17">
        <v>-275.3</v>
      </c>
    </row>
    <row r="26" spans="2:33">
      <c r="B26" s="246" t="s">
        <v>484</v>
      </c>
      <c r="C26" s="246"/>
      <c r="D26" s="246"/>
      <c r="E26" s="246"/>
      <c r="F26" s="246"/>
      <c r="G26" s="246"/>
      <c r="H26" s="246"/>
      <c r="I26" s="246"/>
      <c r="J26" s="522"/>
      <c r="K26" s="522"/>
      <c r="L26" s="236"/>
      <c r="M26" s="236"/>
      <c r="N26" s="40"/>
      <c r="O26" s="40"/>
    </row>
    <row r="27" spans="2:33">
      <c r="B27" s="525" t="s">
        <v>481</v>
      </c>
      <c r="C27" s="246"/>
      <c r="D27" s="246"/>
      <c r="E27" s="246"/>
      <c r="F27" s="246"/>
      <c r="G27" s="246"/>
      <c r="H27" s="246"/>
      <c r="I27" s="246"/>
      <c r="J27" s="522"/>
      <c r="K27" s="522"/>
      <c r="L27" s="236"/>
      <c r="M27" s="236"/>
      <c r="N27" s="40"/>
      <c r="O27" s="40"/>
    </row>
    <row r="28" spans="2:33">
      <c r="B28" s="246" t="s">
        <v>468</v>
      </c>
      <c r="C28" s="246"/>
      <c r="D28" s="246"/>
      <c r="E28" s="246"/>
      <c r="F28" s="246"/>
      <c r="G28" s="246"/>
      <c r="H28" s="246"/>
      <c r="I28" s="246"/>
      <c r="J28" s="522"/>
      <c r="K28" s="522"/>
      <c r="L28" s="236"/>
      <c r="M28" s="236"/>
      <c r="N28" s="40"/>
      <c r="O28" s="40"/>
      <c r="P28" s="234"/>
    </row>
    <row r="29" spans="2:33">
      <c r="B29" s="40"/>
      <c r="C29" s="40"/>
      <c r="D29" s="40"/>
      <c r="E29" s="40"/>
      <c r="F29" s="40"/>
      <c r="G29" s="40"/>
      <c r="H29" s="40"/>
      <c r="I29" s="40"/>
      <c r="J29" s="236"/>
      <c r="K29" s="236"/>
      <c r="L29" s="236"/>
      <c r="M29" s="236"/>
      <c r="N29" s="40"/>
      <c r="O29" s="40"/>
    </row>
    <row r="30" spans="2:33">
      <c r="B30" s="40" t="s">
        <v>421</v>
      </c>
      <c r="C30" s="40"/>
      <c r="D30" s="40"/>
      <c r="E30" s="40"/>
      <c r="F30" s="40"/>
      <c r="G30" s="40"/>
      <c r="H30" s="40"/>
      <c r="I30" s="40"/>
      <c r="J30" s="236"/>
      <c r="K30" s="236"/>
      <c r="L30" s="236">
        <v>26.2</v>
      </c>
      <c r="M30" s="236"/>
      <c r="N30" s="462"/>
      <c r="O30" s="40"/>
    </row>
    <row r="31" spans="2:33">
      <c r="B31" s="40"/>
      <c r="C31" s="40"/>
      <c r="D31" s="40"/>
      <c r="E31" s="40"/>
      <c r="F31" s="40"/>
      <c r="G31" s="40"/>
      <c r="H31" s="40"/>
      <c r="I31" s="40"/>
      <c r="J31" s="236"/>
      <c r="K31" s="236"/>
      <c r="L31" s="236"/>
      <c r="M31" s="236"/>
      <c r="N31" s="462"/>
      <c r="O31" s="40"/>
      <c r="AG31" s="17">
        <v>-363.8</v>
      </c>
    </row>
    <row r="32" spans="2:33" ht="16.5" thickBot="1">
      <c r="B32" s="40" t="s">
        <v>422</v>
      </c>
      <c r="C32" s="40"/>
      <c r="D32" s="40"/>
      <c r="E32" s="40"/>
      <c r="F32" s="40"/>
      <c r="G32" s="40"/>
      <c r="H32" s="40"/>
      <c r="I32" s="40"/>
      <c r="J32" s="236"/>
      <c r="K32" s="236"/>
      <c r="L32" s="236">
        <v>-4.4000000000000004</v>
      </c>
      <c r="M32" s="235">
        <v>-371.8</v>
      </c>
      <c r="N32" s="462"/>
      <c r="O32" s="40"/>
    </row>
    <row r="33" spans="1:16" ht="16.5" thickTop="1">
      <c r="B33" s="40"/>
      <c r="C33" s="40"/>
      <c r="D33" s="40"/>
      <c r="E33" s="40"/>
      <c r="F33" s="40"/>
      <c r="G33" s="40"/>
      <c r="H33" s="40"/>
      <c r="I33" s="40"/>
      <c r="J33" s="236"/>
      <c r="K33" s="236"/>
      <c r="L33" s="236"/>
      <c r="M33" s="236"/>
      <c r="N33" s="40"/>
      <c r="O33" s="40"/>
    </row>
    <row r="34" spans="1:16">
      <c r="B34" s="40"/>
      <c r="C34" s="40"/>
      <c r="D34" s="40"/>
      <c r="E34" s="40"/>
      <c r="F34" s="40"/>
      <c r="G34" s="40"/>
      <c r="H34" s="40"/>
      <c r="I34" s="40"/>
      <c r="J34" s="236"/>
      <c r="K34" s="236"/>
      <c r="L34" s="236"/>
      <c r="N34" s="246"/>
      <c r="O34" s="522"/>
      <c r="P34" s="158"/>
    </row>
    <row r="35" spans="1:16">
      <c r="B35" s="40"/>
      <c r="C35" s="40"/>
      <c r="D35" s="40"/>
      <c r="E35" s="40"/>
      <c r="F35" s="40"/>
      <c r="G35" s="40"/>
      <c r="H35" s="40"/>
      <c r="I35" s="463"/>
      <c r="J35" s="236"/>
      <c r="K35" s="236"/>
      <c r="L35" s="236"/>
      <c r="M35" s="236"/>
      <c r="N35" s="50"/>
      <c r="O35" s="40"/>
    </row>
    <row r="36" spans="1:16">
      <c r="B36" s="40"/>
      <c r="C36" s="40"/>
      <c r="D36" s="40"/>
      <c r="E36" s="40"/>
      <c r="F36" s="40"/>
      <c r="G36" s="40"/>
      <c r="H36" s="40"/>
      <c r="I36" s="463"/>
      <c r="J36" s="236"/>
      <c r="K36" s="236"/>
      <c r="L36" s="236"/>
      <c r="M36" s="236"/>
      <c r="N36" s="40"/>
      <c r="O36" s="40"/>
    </row>
    <row r="37" spans="1:16">
      <c r="B37" s="276" t="s">
        <v>202</v>
      </c>
    </row>
    <row r="39" spans="1:16">
      <c r="A39" s="32">
        <v>3</v>
      </c>
      <c r="B39" s="55" t="s">
        <v>0</v>
      </c>
    </row>
    <row r="41" spans="1:16">
      <c r="B41" s="17" t="s">
        <v>469</v>
      </c>
    </row>
    <row r="42" spans="1:16">
      <c r="B42" s="17" t="s">
        <v>470</v>
      </c>
      <c r="L42" s="17">
        <v>53.1</v>
      </c>
    </row>
    <row r="43" spans="1:16" ht="16.5" thickBot="1">
      <c r="B43" s="17" t="s">
        <v>474</v>
      </c>
      <c r="L43" s="236">
        <v>-225</v>
      </c>
      <c r="M43" s="235">
        <v>-171.9</v>
      </c>
    </row>
    <row r="44" spans="1:16" ht="16.5" thickTop="1"/>
    <row r="45" spans="1:16" ht="12" customHeight="1">
      <c r="A45" s="32">
        <v>4</v>
      </c>
      <c r="B45" s="55" t="s">
        <v>3</v>
      </c>
    </row>
    <row r="47" spans="1:16">
      <c r="B47" s="40" t="s">
        <v>377</v>
      </c>
      <c r="L47" s="451">
        <v>51.2</v>
      </c>
    </row>
    <row r="48" spans="1:16">
      <c r="B48" s="40" t="s">
        <v>378</v>
      </c>
      <c r="L48" s="451"/>
    </row>
    <row r="49" spans="2:17">
      <c r="B49" s="40"/>
      <c r="L49" s="451"/>
    </row>
    <row r="50" spans="2:17">
      <c r="B50" s="40" t="s">
        <v>379</v>
      </c>
      <c r="L50" s="236">
        <v>-22.9</v>
      </c>
    </row>
    <row r="51" spans="2:17">
      <c r="B51" s="40" t="s">
        <v>380</v>
      </c>
      <c r="L51" s="451"/>
    </row>
    <row r="52" spans="2:17">
      <c r="B52" s="40"/>
      <c r="L52" s="451"/>
      <c r="Q52" s="158"/>
    </row>
    <row r="53" spans="2:17">
      <c r="B53" s="17" t="s">
        <v>475</v>
      </c>
      <c r="L53" s="451">
        <v>7.7</v>
      </c>
    </row>
    <row r="54" spans="2:17">
      <c r="L54" s="451"/>
    </row>
    <row r="55" spans="2:17">
      <c r="B55" s="17" t="s">
        <v>485</v>
      </c>
      <c r="L55" s="236">
        <v>-363.8</v>
      </c>
    </row>
    <row r="56" spans="2:17">
      <c r="B56" s="17" t="s">
        <v>476</v>
      </c>
      <c r="L56" s="451"/>
    </row>
    <row r="57" spans="2:17">
      <c r="B57" s="17" t="s">
        <v>376</v>
      </c>
      <c r="L57" s="451"/>
    </row>
    <row r="58" spans="2:17">
      <c r="L58" s="451"/>
    </row>
    <row r="59" spans="2:17">
      <c r="B59" s="17" t="s">
        <v>375</v>
      </c>
      <c r="L59" s="451">
        <v>99</v>
      </c>
    </row>
    <row r="60" spans="2:17">
      <c r="L60" s="451"/>
    </row>
    <row r="61" spans="2:17" ht="16.5" thickBot="1">
      <c r="B61" s="17" t="s">
        <v>422</v>
      </c>
      <c r="L61" s="451">
        <v>40.9</v>
      </c>
      <c r="M61" s="235">
        <v>-187.9</v>
      </c>
    </row>
    <row r="62" spans="2:17" ht="16.5" thickTop="1">
      <c r="L62" s="451"/>
    </row>
    <row r="63" spans="2:17">
      <c r="L63" s="451"/>
      <c r="N63" s="158"/>
      <c r="O63" s="514"/>
    </row>
    <row r="68" spans="2:13" ht="12" customHeight="1">
      <c r="M68" s="77" t="str">
        <f>'GI-28 Doc 1.1'!R65</f>
        <v>GI-28</v>
      </c>
    </row>
    <row r="69" spans="2:13">
      <c r="M69" s="77" t="s">
        <v>65</v>
      </c>
    </row>
    <row r="70" spans="2:13">
      <c r="M70" s="77" t="s">
        <v>51</v>
      </c>
    </row>
    <row r="71" spans="2:13">
      <c r="B71" s="17" t="str">
        <f>'GI-28 Doc 1.1'!A68</f>
        <v>Original: 2015-09-09</v>
      </c>
      <c r="M71" s="77" t="str">
        <f>'GI-28 Doc 1.1'!R68</f>
        <v>Requête 3924-2015</v>
      </c>
    </row>
  </sheetData>
  <printOptions horizontalCentered="1"/>
  <pageMargins left="0.36" right="0.41" top="0.984251969" bottom="0.42" header="0.5" footer="0.28000000000000003"/>
  <pageSetup scale="33"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4">
    <tabColor rgb="FF7030A0"/>
    <pageSetUpPr fitToPage="1"/>
  </sheetPr>
  <dimension ref="A1:S57"/>
  <sheetViews>
    <sheetView topLeftCell="A19" zoomScaleNormal="100" workbookViewId="0">
      <selection activeCell="V41" sqref="V41"/>
    </sheetView>
  </sheetViews>
  <sheetFormatPr baseColWidth="10" defaultColWidth="9.140625" defaultRowHeight="15.75"/>
  <cols>
    <col min="1" max="1" width="9.42578125" style="179" bestFit="1" customWidth="1"/>
    <col min="2" max="2" width="38.7109375" style="179" customWidth="1"/>
    <col min="3" max="3" width="9.140625" style="179"/>
    <col min="4" max="4" width="12.5703125" style="179" bestFit="1" customWidth="1"/>
    <col min="5" max="5" width="3.85546875" style="179" customWidth="1"/>
    <col min="6" max="6" width="13.5703125" style="179" bestFit="1" customWidth="1"/>
    <col min="7" max="7" width="3.85546875" style="179" customWidth="1"/>
    <col min="8" max="8" width="10" style="179" bestFit="1" customWidth="1"/>
    <col min="9" max="9" width="3.85546875" style="179" customWidth="1"/>
    <col min="10" max="10" width="13.28515625" style="179" bestFit="1" customWidth="1"/>
    <col min="11" max="11" width="3.85546875" style="179" customWidth="1"/>
    <col min="12" max="12" width="9.42578125" style="179" bestFit="1" customWidth="1"/>
    <col min="13" max="13" width="3.85546875" style="179" customWidth="1"/>
    <col min="14" max="14" width="14" style="179" bestFit="1" customWidth="1"/>
    <col min="15" max="15" width="6.42578125" style="179" bestFit="1" customWidth="1"/>
    <col min="16" max="16" width="12.42578125" style="179" bestFit="1" customWidth="1"/>
    <col min="17" max="17" width="6.7109375" style="179" customWidth="1"/>
    <col min="18" max="18" width="3.85546875" style="179" customWidth="1"/>
    <col min="19" max="19" width="20" style="179" customWidth="1"/>
    <col min="20" max="16384" width="9.140625" style="179"/>
  </cols>
  <sheetData>
    <row r="1" spans="1:19">
      <c r="A1" s="9" t="s">
        <v>8</v>
      </c>
      <c r="B1" s="199"/>
      <c r="C1" s="199"/>
      <c r="D1" s="199"/>
      <c r="E1" s="199"/>
      <c r="F1" s="199"/>
      <c r="G1" s="199"/>
      <c r="H1" s="199"/>
      <c r="I1" s="199"/>
      <c r="J1" s="199"/>
      <c r="K1" s="199"/>
      <c r="L1" s="199"/>
      <c r="M1" s="199"/>
      <c r="N1" s="199"/>
      <c r="O1" s="199"/>
      <c r="P1" s="199"/>
    </row>
    <row r="2" spans="1:19">
      <c r="A2" s="10" t="s">
        <v>9</v>
      </c>
      <c r="B2" s="199"/>
      <c r="C2" s="199"/>
      <c r="D2" s="199"/>
      <c r="E2" s="199"/>
      <c r="F2" s="199"/>
      <c r="G2" s="199"/>
      <c r="H2" s="199"/>
      <c r="I2" s="199"/>
      <c r="J2" s="199"/>
      <c r="K2" s="199"/>
      <c r="L2" s="199"/>
      <c r="M2" s="199"/>
      <c r="N2" s="199"/>
      <c r="O2" s="199"/>
      <c r="P2" s="199"/>
    </row>
    <row r="3" spans="1:19">
      <c r="A3" s="11" t="s">
        <v>35</v>
      </c>
      <c r="B3" s="199"/>
      <c r="C3" s="199"/>
      <c r="D3" s="199"/>
      <c r="E3" s="199"/>
      <c r="F3" s="199"/>
      <c r="G3" s="199"/>
      <c r="H3" s="199"/>
      <c r="I3" s="199"/>
      <c r="J3" s="199"/>
      <c r="K3" s="199"/>
      <c r="L3" s="199"/>
      <c r="M3" s="199"/>
      <c r="N3" s="199"/>
      <c r="O3" s="199"/>
      <c r="P3" s="199"/>
    </row>
    <row r="4" spans="1:19">
      <c r="A4" s="12" t="s">
        <v>92</v>
      </c>
      <c r="B4" s="199"/>
      <c r="C4" s="199"/>
      <c r="D4" s="199"/>
      <c r="E4" s="199"/>
      <c r="F4" s="199"/>
      <c r="G4" s="199"/>
      <c r="H4" s="199"/>
      <c r="I4" s="199"/>
      <c r="J4" s="199"/>
      <c r="K4" s="199"/>
      <c r="L4" s="199"/>
      <c r="M4" s="199"/>
      <c r="N4" s="199"/>
      <c r="O4" s="199"/>
      <c r="P4" s="199"/>
    </row>
    <row r="9" spans="1:19">
      <c r="D9" s="225"/>
      <c r="E9" s="225"/>
      <c r="F9" s="219" t="s">
        <v>152</v>
      </c>
      <c r="G9" s="219"/>
      <c r="H9" s="219"/>
      <c r="I9" s="219"/>
      <c r="J9" s="219" t="s">
        <v>152</v>
      </c>
      <c r="K9" s="225"/>
      <c r="L9" s="225"/>
      <c r="M9" s="225"/>
      <c r="N9" s="225"/>
      <c r="O9" s="225"/>
      <c r="P9" s="225"/>
      <c r="Q9" s="225"/>
      <c r="R9" s="225"/>
      <c r="S9" s="219" t="s">
        <v>152</v>
      </c>
    </row>
    <row r="10" spans="1:19">
      <c r="D10" s="225"/>
      <c r="E10" s="225"/>
      <c r="F10" s="225"/>
      <c r="G10" s="225"/>
      <c r="H10" s="225"/>
      <c r="I10" s="225"/>
      <c r="J10" s="225"/>
      <c r="K10" s="225"/>
      <c r="L10" s="225"/>
      <c r="M10" s="225"/>
      <c r="N10" s="617" t="s">
        <v>36</v>
      </c>
      <c r="O10" s="617"/>
      <c r="P10" s="617"/>
      <c r="Q10" s="617"/>
      <c r="R10" s="225"/>
      <c r="S10" s="223"/>
    </row>
    <row r="11" spans="1:19">
      <c r="B11" s="181" t="s">
        <v>139</v>
      </c>
      <c r="D11" s="178" t="s">
        <v>27</v>
      </c>
      <c r="E11" s="198"/>
      <c r="F11" s="178" t="s">
        <v>28</v>
      </c>
      <c r="G11" s="198"/>
      <c r="H11" s="197">
        <v>2015</v>
      </c>
      <c r="I11" s="198"/>
      <c r="J11" s="178" t="s">
        <v>28</v>
      </c>
      <c r="K11" s="225"/>
      <c r="L11" s="196" t="s">
        <v>153</v>
      </c>
      <c r="M11" s="225"/>
      <c r="N11" s="618" t="str">
        <f>'25449'!N11:O11</f>
        <v>2015 (3+9)</v>
      </c>
      <c r="O11" s="618"/>
      <c r="P11" s="618" t="str">
        <f>'25449'!P11:Q11</f>
        <v>Cause 2016</v>
      </c>
      <c r="Q11" s="618"/>
      <c r="R11" s="225"/>
      <c r="S11" s="195" t="s">
        <v>155</v>
      </c>
    </row>
    <row r="12" spans="1:19">
      <c r="D12" s="178">
        <v>2014</v>
      </c>
      <c r="E12" s="198"/>
      <c r="F12" s="178">
        <v>2014</v>
      </c>
      <c r="G12" s="198"/>
      <c r="H12" s="178" t="s">
        <v>94</v>
      </c>
      <c r="I12" s="198"/>
      <c r="J12" s="178">
        <v>2015</v>
      </c>
      <c r="K12" s="225"/>
      <c r="L12" s="176">
        <v>2016</v>
      </c>
      <c r="M12" s="176"/>
      <c r="N12" s="618" t="str">
        <f>'25449'!N12:O12</f>
        <v>vs Réel 2014</v>
      </c>
      <c r="O12" s="618"/>
      <c r="P12" s="618" t="str">
        <f>'25449'!P12:Q12</f>
        <v>vs 2015 (3+9)</v>
      </c>
      <c r="Q12" s="618"/>
      <c r="R12" s="225"/>
      <c r="S12" s="195" t="s">
        <v>156</v>
      </c>
    </row>
    <row r="13" spans="1:19" ht="16.5" thickBot="1">
      <c r="D13" s="194" t="s">
        <v>31</v>
      </c>
      <c r="E13" s="198"/>
      <c r="F13" s="194" t="s">
        <v>31</v>
      </c>
      <c r="G13" s="198"/>
      <c r="H13" s="194" t="s">
        <v>31</v>
      </c>
      <c r="I13" s="198"/>
      <c r="J13" s="194" t="s">
        <v>31</v>
      </c>
      <c r="K13" s="225"/>
      <c r="L13" s="177" t="s">
        <v>31</v>
      </c>
      <c r="M13" s="182"/>
      <c r="N13" s="222" t="s">
        <v>31</v>
      </c>
      <c r="O13" s="222" t="s">
        <v>52</v>
      </c>
      <c r="P13" s="222" t="s">
        <v>31</v>
      </c>
      <c r="Q13" s="222" t="s">
        <v>52</v>
      </c>
      <c r="R13" s="225"/>
      <c r="S13" s="222" t="s">
        <v>31</v>
      </c>
    </row>
    <row r="14" spans="1:19">
      <c r="D14" s="193">
        <v>1</v>
      </c>
      <c r="E14" s="193"/>
      <c r="F14" s="193"/>
      <c r="G14" s="193"/>
      <c r="H14" s="193">
        <v>2</v>
      </c>
      <c r="I14" s="193"/>
      <c r="J14" s="193"/>
      <c r="K14" s="193"/>
      <c r="L14" s="193">
        <v>3</v>
      </c>
      <c r="M14" s="180"/>
      <c r="N14" s="180" t="s">
        <v>199</v>
      </c>
      <c r="O14" s="180">
        <v>5</v>
      </c>
      <c r="P14" s="180" t="s">
        <v>158</v>
      </c>
      <c r="Q14" s="180">
        <v>7</v>
      </c>
      <c r="R14" s="225"/>
      <c r="S14" s="192">
        <v>8</v>
      </c>
    </row>
    <row r="15" spans="1:19">
      <c r="A15" s="193"/>
      <c r="S15" s="223"/>
    </row>
    <row r="16" spans="1:19" ht="16.5" thickBot="1">
      <c r="A16" s="193">
        <v>1</v>
      </c>
      <c r="B16" s="181" t="s">
        <v>0</v>
      </c>
      <c r="D16" s="191">
        <f>([39]INPUT!C66-[39]INPUT!C63-[39]INPUT!C57-[39]INPUT!C61)/1000</f>
        <v>519.16057999999998</v>
      </c>
      <c r="E16" s="190"/>
      <c r="F16" s="191">
        <f>('[39]Budget 2014'!O41)/1000</f>
        <v>595.57899999999995</v>
      </c>
      <c r="G16" s="190"/>
      <c r="H16" s="191">
        <f>([39]INPUT!E66-[39]INPUT!E63-[39]INPUT!E57-[39]INPUT!E61)/1000</f>
        <v>814.10441000000014</v>
      </c>
      <c r="I16" s="190"/>
      <c r="J16" s="191">
        <f>([39]INPUT!D66-[39]INPUT!D63-[39]INPUT!D57-[39]INPUT!D61)/1000</f>
        <v>627.5870000000001</v>
      </c>
      <c r="K16" s="189"/>
      <c r="L16" s="191">
        <f>([39]INPUT!F66-[39]INPUT!F63-[39]INPUT!F57-[39]INPUT!F61)/1000</f>
        <v>642.16800000000001</v>
      </c>
      <c r="M16" s="189"/>
      <c r="N16" s="191">
        <f>H16-D16</f>
        <v>294.94383000000016</v>
      </c>
      <c r="O16" s="188">
        <f>N16/D16</f>
        <v>0.56811676649255649</v>
      </c>
      <c r="P16" s="191">
        <f>L16-H16</f>
        <v>-171.93641000000014</v>
      </c>
      <c r="Q16" s="175">
        <f>P16/H16</f>
        <v>-0.21119700113158718</v>
      </c>
      <c r="S16" s="224">
        <f>L16</f>
        <v>642.16800000000001</v>
      </c>
    </row>
    <row r="17" spans="1:19" ht="16.5" thickTop="1">
      <c r="A17" s="193"/>
      <c r="B17" s="181"/>
      <c r="D17" s="218"/>
      <c r="E17" s="190"/>
      <c r="F17" s="218"/>
      <c r="G17" s="190"/>
      <c r="H17" s="218"/>
      <c r="I17" s="190"/>
      <c r="J17" s="218"/>
      <c r="K17" s="187"/>
      <c r="L17" s="218"/>
      <c r="M17" s="187"/>
      <c r="N17" s="218"/>
      <c r="O17" s="187"/>
      <c r="P17" s="187"/>
      <c r="Q17" s="187"/>
      <c r="S17" s="186"/>
    </row>
    <row r="18" spans="1:19">
      <c r="A18" s="193"/>
      <c r="D18" s="190"/>
      <c r="E18" s="190"/>
      <c r="F18" s="190"/>
      <c r="G18" s="190"/>
      <c r="H18" s="190"/>
      <c r="I18" s="190"/>
      <c r="J18" s="190"/>
      <c r="L18" s="190"/>
      <c r="N18" s="190"/>
      <c r="Q18" s="187"/>
      <c r="S18" s="223"/>
    </row>
    <row r="19" spans="1:19">
      <c r="A19" s="193"/>
      <c r="B19" s="13" t="s">
        <v>3</v>
      </c>
      <c r="D19" s="190"/>
      <c r="E19" s="190"/>
      <c r="F19" s="190"/>
      <c r="G19" s="190"/>
      <c r="H19" s="190"/>
      <c r="I19" s="190"/>
      <c r="J19" s="190"/>
      <c r="L19" s="190"/>
      <c r="N19" s="190"/>
      <c r="Q19" s="187"/>
      <c r="S19" s="223"/>
    </row>
    <row r="20" spans="1:19">
      <c r="A20" s="193"/>
      <c r="D20" s="190"/>
      <c r="E20" s="190"/>
      <c r="F20" s="190"/>
      <c r="G20" s="190"/>
      <c r="H20" s="190"/>
      <c r="I20" s="190"/>
      <c r="J20" s="190"/>
      <c r="L20" s="190"/>
      <c r="N20" s="190"/>
      <c r="Q20" s="187"/>
      <c r="S20" s="223"/>
    </row>
    <row r="21" spans="1:19">
      <c r="A21" s="71">
        <v>2</v>
      </c>
      <c r="B21" s="72" t="s">
        <v>21</v>
      </c>
      <c r="D21" s="243">
        <f>([39]INPUT!C361)/1000-D16-D23-D25-D27-D29-D31-D33-D35-D37-D39</f>
        <v>997.56099000000142</v>
      </c>
      <c r="E21" s="190"/>
      <c r="F21" s="190">
        <f>('[39]Budget 2014'!O358)/1000-F16-F23-F25-F27-F29-F31-F33-F35-F37-F39</f>
        <v>1015.3609999999998</v>
      </c>
      <c r="G21" s="190"/>
      <c r="H21" s="190">
        <f>([39]INPUT!E359)/1000-H16-H23-H25-H27-H29-H31-H33-H35-H37-H39</f>
        <v>999.9064000000011</v>
      </c>
      <c r="I21" s="190"/>
      <c r="J21" s="190">
        <f>([39]INPUT!D359)/1000-J16-J23-J25-J27-J29-J31-J33-J35-J37-J39</f>
        <v>930.97199999999998</v>
      </c>
      <c r="K21" s="187"/>
      <c r="L21" s="190">
        <f>([39]INPUT!F359)/1000-L16-L23-L25-L27-L29-L31-L33-L35-L37-L39</f>
        <v>1051.1469999999993</v>
      </c>
      <c r="M21" s="187"/>
      <c r="N21" s="190">
        <f t="shared" ref="N21:N39" si="0">H21-D21</f>
        <v>2.3454099999996743</v>
      </c>
      <c r="O21" s="175">
        <f t="shared" ref="O21:O37" si="1">N21/D21</f>
        <v>2.3511444648609114E-3</v>
      </c>
      <c r="P21" s="190">
        <f t="shared" ref="P21:P35" si="2">L21-H21</f>
        <v>51.240599999998153</v>
      </c>
      <c r="Q21" s="175">
        <f t="shared" ref="Q21:Q37" si="3">P21/H21</f>
        <v>5.1245396569116967E-2</v>
      </c>
      <c r="S21" s="217">
        <f>L21</f>
        <v>1051.1469999999993</v>
      </c>
    </row>
    <row r="22" spans="1:19">
      <c r="A22" s="71"/>
      <c r="B22" s="72"/>
      <c r="N22" s="190"/>
      <c r="O22" s="216"/>
      <c r="P22" s="190"/>
      <c r="Q22" s="175"/>
      <c r="S22" s="217"/>
    </row>
    <row r="23" spans="1:19">
      <c r="A23" s="71">
        <v>3</v>
      </c>
      <c r="B23" s="73" t="s">
        <v>22</v>
      </c>
      <c r="D23" s="190">
        <f>[39]INPUT!C288/1000</f>
        <v>260.10851000000002</v>
      </c>
      <c r="F23" s="190">
        <f>'[39]Budget 2014'!O291/1000</f>
        <v>271.31299999999999</v>
      </c>
      <c r="G23" s="190"/>
      <c r="H23" s="190">
        <f>[39]INPUT!E288/1000</f>
        <v>281.23575</v>
      </c>
      <c r="I23" s="190"/>
      <c r="J23" s="190">
        <f>[39]INPUT!D288/1000</f>
        <v>281.23575</v>
      </c>
      <c r="K23" s="190"/>
      <c r="L23" s="190">
        <f>[39]INPUT!F288/1000</f>
        <v>258.28800000000001</v>
      </c>
      <c r="M23" s="190"/>
      <c r="N23" s="190">
        <f t="shared" si="0"/>
        <v>21.127239999999972</v>
      </c>
      <c r="O23" s="175">
        <f t="shared" si="1"/>
        <v>8.1224716561561064E-2</v>
      </c>
      <c r="P23" s="190">
        <f t="shared" si="2"/>
        <v>-22.947749999999985</v>
      </c>
      <c r="Q23" s="175">
        <f t="shared" si="3"/>
        <v>-8.1596134204132961E-2</v>
      </c>
      <c r="S23" s="217">
        <f t="shared" ref="S23:S37" si="4">L23</f>
        <v>258.28800000000001</v>
      </c>
    </row>
    <row r="24" spans="1:19">
      <c r="A24" s="74"/>
      <c r="B24" s="75"/>
      <c r="D24" s="190"/>
      <c r="F24" s="190"/>
      <c r="G24" s="190"/>
      <c r="H24" s="190"/>
      <c r="I24" s="190"/>
      <c r="J24" s="190"/>
      <c r="K24" s="190"/>
      <c r="L24" s="190"/>
      <c r="M24" s="190"/>
      <c r="N24" s="190"/>
      <c r="O24" s="216"/>
      <c r="P24" s="190"/>
      <c r="Q24" s="175"/>
      <c r="S24" s="217"/>
    </row>
    <row r="25" spans="1:19">
      <c r="A25" s="71">
        <v>4</v>
      </c>
      <c r="B25" s="72" t="s">
        <v>23</v>
      </c>
      <c r="D25" s="190">
        <f>([39]INPUT!C129)/1000</f>
        <v>371.79417999999998</v>
      </c>
      <c r="E25" s="190"/>
      <c r="F25" s="190">
        <f>'[39]Budget 2014'!O128/1000</f>
        <v>193.93899999999999</v>
      </c>
      <c r="G25" s="190"/>
      <c r="H25" s="190">
        <f>([39]INPUT!E129)/1000</f>
        <v>230.05425</v>
      </c>
      <c r="I25" s="190"/>
      <c r="J25" s="190">
        <f>([39]INPUT!D129)/1000</f>
        <v>230.05500000000001</v>
      </c>
      <c r="K25" s="190"/>
      <c r="L25" s="190">
        <f>([39]INPUT!F129)/1000</f>
        <v>237.733</v>
      </c>
      <c r="M25" s="190"/>
      <c r="N25" s="190">
        <f t="shared" si="0"/>
        <v>-141.73992999999999</v>
      </c>
      <c r="O25" s="175">
        <f t="shared" si="1"/>
        <v>-0.38123224521696386</v>
      </c>
      <c r="P25" s="190">
        <f t="shared" si="2"/>
        <v>7.678750000000008</v>
      </c>
      <c r="Q25" s="175">
        <f t="shared" si="3"/>
        <v>3.3377996711645222E-2</v>
      </c>
      <c r="S25" s="217">
        <f t="shared" si="4"/>
        <v>237.733</v>
      </c>
    </row>
    <row r="26" spans="1:19">
      <c r="A26" s="74"/>
      <c r="B26" s="75"/>
      <c r="D26" s="190"/>
      <c r="E26" s="190"/>
      <c r="F26" s="190"/>
      <c r="G26" s="190"/>
      <c r="H26" s="190"/>
      <c r="I26" s="190"/>
      <c r="J26" s="190"/>
      <c r="K26" s="190"/>
      <c r="L26" s="190"/>
      <c r="M26" s="190"/>
      <c r="N26" s="190"/>
      <c r="O26" s="175"/>
      <c r="P26" s="190"/>
      <c r="Q26" s="175"/>
      <c r="S26" s="217"/>
    </row>
    <row r="27" spans="1:19">
      <c r="A27" s="71">
        <v>5</v>
      </c>
      <c r="B27" s="73" t="s">
        <v>24</v>
      </c>
      <c r="D27" s="190">
        <f>([39]INPUT!C41-[39]INPUT!C22-[39]INPUT!C25)/1000</f>
        <v>1265.9914799999999</v>
      </c>
      <c r="E27" s="190"/>
      <c r="F27" s="190">
        <f>('[39]Budget 2014'!O40-'[39]Budget 2014'!O21)/1000</f>
        <v>1195.376</v>
      </c>
      <c r="G27" s="190"/>
      <c r="H27" s="190">
        <f>([39]INPUT!E41-[39]INPUT!E22-[39]INPUT!E25)/1000</f>
        <v>1324.0520100000003</v>
      </c>
      <c r="I27" s="190"/>
      <c r="J27" s="190">
        <f>([39]INPUT!D41-[39]INPUT!D22-[39]INPUT!D25)/1000</f>
        <v>1267.038</v>
      </c>
      <c r="K27" s="190"/>
      <c r="L27" s="190">
        <f>([39]INPUT!F41-[39]INPUT!F22-[39]INPUT!F25)/1000</f>
        <v>1373.203</v>
      </c>
      <c r="M27" s="190"/>
      <c r="N27" s="190">
        <f t="shared" si="0"/>
        <v>58.060530000000426</v>
      </c>
      <c r="O27" s="175">
        <f t="shared" si="1"/>
        <v>4.5861706747031529E-2</v>
      </c>
      <c r="P27" s="190">
        <f t="shared" si="2"/>
        <v>49.150989999999638</v>
      </c>
      <c r="Q27" s="175">
        <f t="shared" si="3"/>
        <v>3.7121645999389122E-2</v>
      </c>
      <c r="S27" s="217">
        <f t="shared" si="4"/>
        <v>1373.203</v>
      </c>
    </row>
    <row r="28" spans="1:19">
      <c r="A28" s="71"/>
      <c r="B28" s="73"/>
      <c r="D28" s="190"/>
      <c r="E28" s="190"/>
      <c r="F28" s="190"/>
      <c r="G28" s="190"/>
      <c r="H28" s="190"/>
      <c r="I28" s="190"/>
      <c r="J28" s="190"/>
      <c r="K28" s="190"/>
      <c r="L28" s="190"/>
      <c r="M28" s="190"/>
      <c r="N28" s="190"/>
      <c r="O28" s="175"/>
      <c r="P28" s="190"/>
      <c r="Q28" s="175"/>
      <c r="S28" s="217"/>
    </row>
    <row r="29" spans="1:19">
      <c r="A29" s="71">
        <v>6</v>
      </c>
      <c r="B29" s="73" t="s">
        <v>140</v>
      </c>
      <c r="D29" s="190">
        <f>([39]INPUT!C22+[39]INPUT!C25)/1000</f>
        <v>1151.1051499999999</v>
      </c>
      <c r="E29" s="190"/>
      <c r="F29" s="190">
        <f>'[39]Budget 2014'!O21/1000</f>
        <v>1160.2180000000001</v>
      </c>
      <c r="G29" s="190"/>
      <c r="H29" s="190">
        <f>([39]INPUT!E22+[39]INPUT!E25)/1000</f>
        <v>618.1</v>
      </c>
      <c r="I29" s="190"/>
      <c r="J29" s="190">
        <f>([39]INPUT!D22+[39]INPUT!D25)/1000</f>
        <v>618.1</v>
      </c>
      <c r="K29" s="190"/>
      <c r="L29" s="190">
        <f>([39]INPUT!F22+[39]INPUT!F25)/1000</f>
        <v>77</v>
      </c>
      <c r="M29" s="190"/>
      <c r="N29" s="190">
        <f t="shared" si="0"/>
        <v>-533.00514999999984</v>
      </c>
      <c r="O29" s="175">
        <f t="shared" si="1"/>
        <v>-0.46303775984322537</v>
      </c>
      <c r="P29" s="190">
        <f t="shared" si="2"/>
        <v>-541.1</v>
      </c>
      <c r="Q29" s="175">
        <f t="shared" si="3"/>
        <v>-0.8754246885617214</v>
      </c>
      <c r="S29" s="217">
        <f t="shared" si="4"/>
        <v>77</v>
      </c>
    </row>
    <row r="30" spans="1:19">
      <c r="A30" s="71"/>
      <c r="B30" s="73"/>
      <c r="D30" s="190"/>
      <c r="E30" s="190"/>
      <c r="F30" s="190"/>
      <c r="G30" s="190"/>
      <c r="H30" s="190"/>
      <c r="I30" s="190"/>
      <c r="J30" s="190"/>
      <c r="K30" s="190"/>
      <c r="L30" s="190"/>
      <c r="M30" s="190"/>
      <c r="N30" s="190"/>
      <c r="O30" s="175"/>
      <c r="P30" s="190"/>
      <c r="Q30" s="175"/>
      <c r="S30" s="217"/>
    </row>
    <row r="31" spans="1:19">
      <c r="A31" s="71">
        <v>7</v>
      </c>
      <c r="B31" s="73" t="s">
        <v>141</v>
      </c>
      <c r="D31" s="190">
        <f>([39]INPUT!C57+[39]INPUT!C61+[39]INPUT!C63)/1000</f>
        <v>818.81245000000013</v>
      </c>
      <c r="E31" s="190"/>
      <c r="F31" s="190">
        <f>('[39]Budget 2014'!O56+'[39]Budget 2014'!O62)/1000</f>
        <v>954.76300000000003</v>
      </c>
      <c r="G31" s="190"/>
      <c r="H31" s="190">
        <f>([39]INPUT!E57+[39]INPUT!E61+[39]INPUT!E63)/1000</f>
        <v>1018.453</v>
      </c>
      <c r="I31" s="190"/>
      <c r="J31" s="190">
        <f>([39]INPUT!D57+[39]INPUT!D61+[39]INPUT!D63)/1000</f>
        <v>1039.78387</v>
      </c>
      <c r="K31" s="190"/>
      <c r="L31" s="190">
        <f>([39]INPUT!F57+[39]INPUT!F61+[39]INPUT!F63)/1000</f>
        <v>1146.644</v>
      </c>
      <c r="M31" s="190"/>
      <c r="N31" s="190">
        <f t="shared" si="0"/>
        <v>199.64054999999985</v>
      </c>
      <c r="O31" s="175">
        <f t="shared" si="1"/>
        <v>0.24381718914996933</v>
      </c>
      <c r="P31" s="190">
        <f t="shared" si="2"/>
        <v>128.19100000000003</v>
      </c>
      <c r="Q31" s="175">
        <f t="shared" si="3"/>
        <v>0.12586835131321725</v>
      </c>
      <c r="S31" s="217">
        <f t="shared" si="4"/>
        <v>1146.644</v>
      </c>
    </row>
    <row r="32" spans="1:19">
      <c r="A32" s="74"/>
      <c r="B32" s="75"/>
      <c r="D32" s="190"/>
      <c r="E32" s="190"/>
      <c r="F32" s="190"/>
      <c r="G32" s="190"/>
      <c r="H32" s="190"/>
      <c r="I32" s="190"/>
      <c r="J32" s="190"/>
      <c r="K32" s="190"/>
      <c r="L32" s="190"/>
      <c r="M32" s="190"/>
      <c r="N32" s="190"/>
      <c r="O32" s="175"/>
      <c r="P32" s="190"/>
      <c r="Q32" s="175"/>
      <c r="S32" s="217"/>
    </row>
    <row r="33" spans="1:19">
      <c r="A33" s="71">
        <v>8</v>
      </c>
      <c r="B33" s="464" t="s">
        <v>25</v>
      </c>
      <c r="D33" s="190"/>
      <c r="E33" s="190"/>
      <c r="F33" s="190"/>
      <c r="G33" s="190"/>
      <c r="H33" s="190"/>
      <c r="I33" s="190"/>
      <c r="J33" s="190"/>
      <c r="K33" s="190"/>
      <c r="L33" s="190"/>
      <c r="M33" s="190"/>
      <c r="N33" s="190">
        <f t="shared" si="0"/>
        <v>0</v>
      </c>
      <c r="O33" s="175" t="e">
        <f t="shared" si="1"/>
        <v>#DIV/0!</v>
      </c>
      <c r="P33" s="190">
        <f t="shared" si="2"/>
        <v>0</v>
      </c>
      <c r="Q33" s="175" t="e">
        <f t="shared" si="3"/>
        <v>#DIV/0!</v>
      </c>
      <c r="S33" s="217">
        <f t="shared" si="4"/>
        <v>0</v>
      </c>
    </row>
    <row r="34" spans="1:19">
      <c r="A34" s="71"/>
      <c r="B34" s="72"/>
      <c r="D34" s="190"/>
      <c r="E34" s="190"/>
      <c r="F34" s="190"/>
      <c r="G34" s="190"/>
      <c r="H34" s="190"/>
      <c r="I34" s="190"/>
      <c r="J34" s="190"/>
      <c r="K34" s="190"/>
      <c r="L34" s="190"/>
      <c r="M34" s="190"/>
      <c r="N34" s="190"/>
      <c r="O34" s="175"/>
      <c r="P34" s="190"/>
      <c r="Q34" s="175"/>
      <c r="S34" s="217"/>
    </row>
    <row r="35" spans="1:19">
      <c r="A35" s="71">
        <v>9</v>
      </c>
      <c r="B35" s="72" t="s">
        <v>142</v>
      </c>
      <c r="D35" s="190">
        <f>([39]INPUT!C345)/1000</f>
        <v>1176.2532200000001</v>
      </c>
      <c r="E35" s="190"/>
      <c r="F35" s="190">
        <f>('[39]Budget 2014'!O338+'[39]Budget 2014'!O343)/1000</f>
        <v>1198.6590000000001</v>
      </c>
      <c r="G35" s="190"/>
      <c r="H35" s="190">
        <f>([39]INPUT!E345)/1000</f>
        <v>1340.654</v>
      </c>
      <c r="I35" s="190"/>
      <c r="J35" s="190">
        <f>([39]INPUT!D345)/1000</f>
        <v>1299.654</v>
      </c>
      <c r="K35" s="190"/>
      <c r="L35" s="190">
        <f>([39]INPUT!F345)/1000</f>
        <v>1356.604</v>
      </c>
      <c r="M35" s="190"/>
      <c r="N35" s="190">
        <f t="shared" si="0"/>
        <v>164.40077999999994</v>
      </c>
      <c r="O35" s="175">
        <f t="shared" si="1"/>
        <v>0.13976648667537755</v>
      </c>
      <c r="P35" s="190">
        <f t="shared" si="2"/>
        <v>15.950000000000045</v>
      </c>
      <c r="Q35" s="175">
        <f t="shared" si="3"/>
        <v>1.1897178541219468E-2</v>
      </c>
      <c r="S35" s="217">
        <f t="shared" si="4"/>
        <v>1356.604</v>
      </c>
    </row>
    <row r="36" spans="1:19">
      <c r="A36" s="71"/>
      <c r="B36" s="75"/>
      <c r="D36" s="190"/>
      <c r="F36" s="190"/>
      <c r="G36" s="190"/>
      <c r="H36" s="190"/>
      <c r="I36" s="190"/>
      <c r="J36" s="190"/>
      <c r="K36" s="190"/>
      <c r="L36" s="190"/>
      <c r="M36" s="190"/>
      <c r="N36" s="190"/>
      <c r="O36" s="216"/>
      <c r="P36" s="190"/>
      <c r="Q36" s="175"/>
      <c r="S36" s="217"/>
    </row>
    <row r="37" spans="1:19">
      <c r="A37" s="71">
        <v>10</v>
      </c>
      <c r="B37" s="72" t="s">
        <v>34</v>
      </c>
      <c r="D37" s="190">
        <f>([39]INPUT!C346+[39]INPUT!C347)/1000</f>
        <v>-798.79537000000016</v>
      </c>
      <c r="F37" s="190">
        <f>'[39]Budget 2014'!O357/1000</f>
        <v>-734.40899999999999</v>
      </c>
      <c r="G37" s="190"/>
      <c r="H37" s="190">
        <f>([39]INPUT!E346+[39]INPUT!E347)/1000</f>
        <v>-772.572</v>
      </c>
      <c r="I37" s="190"/>
      <c r="J37" s="190">
        <f>([39]INPUT!D346+[39]INPUT!D347)/1000</f>
        <v>-748.78800000000001</v>
      </c>
      <c r="K37" s="190"/>
      <c r="L37" s="190">
        <f>([39]INPUT!F346+[39]INPUT!F347)/1000</f>
        <v>-673.56600000000003</v>
      </c>
      <c r="M37" s="190"/>
      <c r="N37" s="190">
        <f t="shared" si="0"/>
        <v>26.223370000000159</v>
      </c>
      <c r="O37" s="175">
        <f t="shared" si="1"/>
        <v>-3.2828645463981787E-2</v>
      </c>
      <c r="P37" s="190">
        <f>L37-H37</f>
        <v>99.005999999999972</v>
      </c>
      <c r="Q37" s="175">
        <f t="shared" si="3"/>
        <v>-0.1281511626100868</v>
      </c>
      <c r="S37" s="217">
        <f t="shared" si="4"/>
        <v>-673.56600000000003</v>
      </c>
    </row>
    <row r="38" spans="1:19">
      <c r="A38" s="74"/>
      <c r="B38" s="72"/>
      <c r="D38" s="190"/>
      <c r="F38" s="190"/>
      <c r="G38" s="190"/>
      <c r="H38" s="190"/>
      <c r="I38" s="190"/>
      <c r="J38" s="190"/>
      <c r="K38" s="190"/>
      <c r="L38" s="190"/>
      <c r="M38" s="190"/>
      <c r="N38" s="190"/>
      <c r="O38" s="216"/>
      <c r="P38" s="190"/>
      <c r="Q38" s="175"/>
      <c r="S38" s="217"/>
    </row>
    <row r="39" spans="1:19">
      <c r="A39" s="71">
        <v>11</v>
      </c>
      <c r="B39" s="179" t="s">
        <v>160</v>
      </c>
      <c r="D39" s="190"/>
      <c r="F39" s="190"/>
      <c r="G39" s="190"/>
      <c r="H39" s="190"/>
      <c r="I39" s="190"/>
      <c r="J39" s="190"/>
      <c r="K39" s="190"/>
      <c r="L39" s="190"/>
      <c r="M39" s="190"/>
      <c r="N39" s="215">
        <f t="shared" si="0"/>
        <v>0</v>
      </c>
      <c r="O39" s="216"/>
      <c r="P39" s="190">
        <f>L39-H39</f>
        <v>0</v>
      </c>
      <c r="Q39" s="175"/>
      <c r="S39" s="217">
        <f>-[39]INPUT!K360/1000</f>
        <v>-1114.3524400000001</v>
      </c>
    </row>
    <row r="40" spans="1:19">
      <c r="D40" s="190"/>
      <c r="F40" s="190"/>
      <c r="G40" s="190"/>
      <c r="H40" s="190"/>
      <c r="I40" s="190"/>
      <c r="J40" s="190"/>
      <c r="K40" s="190"/>
      <c r="L40" s="190"/>
      <c r="M40" s="190"/>
      <c r="N40" s="190"/>
      <c r="Q40" s="216"/>
      <c r="S40" s="223"/>
    </row>
    <row r="41" spans="1:19">
      <c r="A41" s="193"/>
      <c r="D41" s="214"/>
      <c r="E41" s="190"/>
      <c r="F41" s="214"/>
      <c r="G41" s="190"/>
      <c r="H41" s="214"/>
      <c r="I41" s="190"/>
      <c r="J41" s="214"/>
      <c r="L41" s="214"/>
      <c r="N41" s="214"/>
      <c r="P41" s="213"/>
      <c r="S41" s="212"/>
    </row>
    <row r="42" spans="1:19">
      <c r="A42" s="193"/>
      <c r="D42" s="190"/>
      <c r="E42" s="190"/>
      <c r="F42" s="190"/>
      <c r="G42" s="190"/>
      <c r="H42" s="190"/>
      <c r="I42" s="190"/>
      <c r="J42" s="190"/>
      <c r="L42" s="190"/>
      <c r="N42" s="190"/>
      <c r="S42" s="223"/>
    </row>
    <row r="43" spans="1:19" ht="16.5" thickBot="1">
      <c r="A43" s="193">
        <v>12</v>
      </c>
      <c r="B43" s="13" t="s">
        <v>12</v>
      </c>
      <c r="D43" s="191">
        <f>SUM(D21:D42)</f>
        <v>5242.8306100000009</v>
      </c>
      <c r="E43" s="190"/>
      <c r="F43" s="191">
        <f>SUM(F21:F42)</f>
        <v>5255.2199999999993</v>
      </c>
      <c r="G43" s="190"/>
      <c r="H43" s="191">
        <f>SUM(H21:H42)</f>
        <v>5039.8834100000004</v>
      </c>
      <c r="I43" s="190"/>
      <c r="J43" s="191">
        <f>SUM(J21:J42)</f>
        <v>4918.05062</v>
      </c>
      <c r="K43" s="189"/>
      <c r="L43" s="191">
        <f>SUM(L21:L42)</f>
        <v>4827.0529999999999</v>
      </c>
      <c r="M43" s="189"/>
      <c r="N43" s="191">
        <f>SUM(N21:N40)</f>
        <v>-202.94719999999984</v>
      </c>
      <c r="O43" s="189">
        <f t="shared" ref="O43" si="5">N43/D43</f>
        <v>-3.8709471103816534E-2</v>
      </c>
      <c r="P43" s="191">
        <f>SUM(P21:P40)</f>
        <v>-212.83041000000219</v>
      </c>
      <c r="Q43" s="187">
        <f t="shared" ref="Q43" si="6">P43/H43</f>
        <v>-4.2229232838543414E-2</v>
      </c>
      <c r="S43" s="224">
        <f>SUM(S21:S42)</f>
        <v>3712.7005599999998</v>
      </c>
    </row>
    <row r="44" spans="1:19" ht="16.5" thickTop="1">
      <c r="A44" s="193"/>
      <c r="B44" s="13"/>
      <c r="D44" s="218"/>
      <c r="E44" s="190"/>
      <c r="F44" s="218"/>
      <c r="G44" s="190"/>
      <c r="H44" s="218"/>
      <c r="I44" s="190"/>
      <c r="J44" s="218"/>
      <c r="K44" s="189"/>
      <c r="L44" s="218"/>
      <c r="M44" s="189"/>
      <c r="N44" s="218"/>
      <c r="O44" s="189"/>
      <c r="P44" s="189"/>
    </row>
    <row r="45" spans="1:19">
      <c r="A45" s="193"/>
      <c r="B45" s="13"/>
      <c r="D45" s="218"/>
      <c r="E45" s="190"/>
      <c r="F45" s="218"/>
      <c r="G45" s="190"/>
      <c r="H45" s="218"/>
      <c r="I45" s="190"/>
      <c r="J45" s="218"/>
      <c r="K45" s="189"/>
      <c r="L45" s="218"/>
      <c r="M45" s="189"/>
      <c r="N45" s="218"/>
      <c r="O45" s="189"/>
      <c r="P45" s="189"/>
    </row>
    <row r="46" spans="1:19">
      <c r="A46" s="193"/>
      <c r="B46" s="13"/>
      <c r="D46" s="218"/>
      <c r="E46" s="190"/>
      <c r="F46" s="218"/>
      <c r="G46" s="190"/>
      <c r="H46" s="218"/>
      <c r="I46" s="190"/>
      <c r="J46" s="218"/>
      <c r="K46" s="189"/>
      <c r="L46" s="218"/>
      <c r="M46" s="189"/>
      <c r="N46" s="218"/>
      <c r="O46" s="189"/>
      <c r="P46" s="189"/>
    </row>
    <row r="47" spans="1:19">
      <c r="A47" s="179" t="s">
        <v>49</v>
      </c>
      <c r="B47" s="179" t="s">
        <v>71</v>
      </c>
      <c r="D47" s="190"/>
      <c r="E47" s="190"/>
      <c r="F47" s="190"/>
      <c r="G47" s="190"/>
    </row>
    <row r="48" spans="1:19">
      <c r="B48" s="211" t="s">
        <v>39</v>
      </c>
    </row>
    <row r="52" spans="1:19">
      <c r="H52" s="210"/>
      <c r="I52" s="210"/>
      <c r="J52" s="210"/>
      <c r="K52" s="210"/>
      <c r="L52" s="210"/>
      <c r="M52" s="210"/>
      <c r="N52" s="210"/>
      <c r="O52" s="210"/>
      <c r="S52" s="210" t="s">
        <v>96</v>
      </c>
    </row>
    <row r="53" spans="1:19">
      <c r="H53" s="210"/>
      <c r="I53" s="210"/>
      <c r="J53" s="210"/>
      <c r="K53" s="210"/>
      <c r="L53" s="210"/>
      <c r="M53" s="210"/>
      <c r="N53" s="210"/>
      <c r="O53" s="210"/>
      <c r="S53" s="210" t="s">
        <v>97</v>
      </c>
    </row>
    <row r="54" spans="1:19">
      <c r="H54" s="210"/>
      <c r="I54" s="210"/>
      <c r="J54" s="210"/>
      <c r="K54" s="210"/>
      <c r="L54" s="210"/>
      <c r="M54" s="210"/>
      <c r="N54" s="210"/>
      <c r="O54" s="210"/>
      <c r="S54" s="210" t="s">
        <v>51</v>
      </c>
    </row>
    <row r="55" spans="1:19">
      <c r="A55" s="179" t="s">
        <v>98</v>
      </c>
      <c r="H55" s="210"/>
      <c r="I55" s="210"/>
      <c r="J55" s="210"/>
      <c r="K55" s="210"/>
      <c r="L55" s="210"/>
      <c r="M55" s="210"/>
      <c r="N55" s="210"/>
      <c r="O55" s="210"/>
      <c r="S55" s="210" t="s">
        <v>99</v>
      </c>
    </row>
    <row r="57" spans="1:19">
      <c r="C57" s="209" t="s">
        <v>100</v>
      </c>
      <c r="D57" s="208">
        <f>D16+D43-([39]INPUT!C361)/1000</f>
        <v>0</v>
      </c>
      <c r="E57" s="207"/>
      <c r="F57" s="208">
        <f>F16+F43-('[39]Budget 2014'!O358)/1000</f>
        <v>0</v>
      </c>
      <c r="G57" s="207"/>
      <c r="H57" s="208">
        <f>H16+H43-([39]INPUT!E359)/1000</f>
        <v>0</v>
      </c>
      <c r="I57" s="207"/>
      <c r="J57" s="208">
        <f>J16+J43-([39]INPUT!D359)/1000</f>
        <v>0</v>
      </c>
      <c r="K57" s="207"/>
      <c r="L57" s="208">
        <f>L16+L43-([39]INPUT!F359)/1000</f>
        <v>0</v>
      </c>
    </row>
  </sheetData>
  <mergeCells count="5">
    <mergeCell ref="N10:Q10"/>
    <mergeCell ref="N11:O11"/>
    <mergeCell ref="P11:Q11"/>
    <mergeCell ref="N12:O12"/>
    <mergeCell ref="P12:Q12"/>
  </mergeCells>
  <pageMargins left="0.7" right="0.7" top="0.75" bottom="0.75" header="0.3" footer="0.3"/>
  <pageSetup scale="57" orientation="landscape" cellComments="asDisplayed"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Q76"/>
  <sheetViews>
    <sheetView zoomScaleNormal="100" workbookViewId="0">
      <selection activeCell="D48" sqref="D48"/>
    </sheetView>
  </sheetViews>
  <sheetFormatPr baseColWidth="10" defaultColWidth="9.140625" defaultRowHeight="15.75"/>
  <cols>
    <col min="1" max="1" width="3.7109375" style="32" customWidth="1"/>
    <col min="2" max="8" width="9.140625" style="17"/>
    <col min="9" max="9" width="10" style="17" customWidth="1"/>
    <col min="10" max="10" width="11" style="17" customWidth="1"/>
    <col min="11" max="11" width="8.7109375" style="17" customWidth="1"/>
    <col min="12" max="12" width="11.5703125" style="17" customWidth="1"/>
    <col min="13" max="13" width="7.7109375" style="40" customWidth="1"/>
    <col min="14" max="14" width="15" style="17" customWidth="1"/>
    <col min="15" max="15" width="15.28515625" style="17" customWidth="1"/>
    <col min="16" max="16384" width="9.140625" style="17"/>
  </cols>
  <sheetData>
    <row r="1" spans="1:15">
      <c r="B1" s="9" t="s">
        <v>8</v>
      </c>
      <c r="C1" s="16"/>
      <c r="D1" s="16"/>
      <c r="E1" s="16"/>
      <c r="F1" s="16"/>
      <c r="G1" s="16"/>
      <c r="H1" s="16"/>
      <c r="I1" s="16"/>
      <c r="J1" s="16"/>
      <c r="K1" s="16"/>
      <c r="L1" s="16"/>
      <c r="M1" s="447"/>
      <c r="N1" s="16"/>
    </row>
    <row r="2" spans="1:15">
      <c r="B2" s="10" t="s">
        <v>9</v>
      </c>
      <c r="C2" s="16"/>
      <c r="D2" s="16"/>
      <c r="E2" s="16"/>
      <c r="F2" s="16"/>
      <c r="G2" s="16"/>
      <c r="H2" s="16"/>
      <c r="I2" s="16"/>
      <c r="J2" s="16"/>
      <c r="K2" s="16"/>
      <c r="L2" s="16"/>
      <c r="M2" s="447"/>
      <c r="N2" s="16"/>
    </row>
    <row r="3" spans="1:15">
      <c r="B3" s="11" t="s">
        <v>58</v>
      </c>
      <c r="C3" s="16"/>
      <c r="D3" s="16"/>
      <c r="E3" s="16"/>
      <c r="F3" s="16"/>
      <c r="G3" s="16"/>
      <c r="H3" s="16"/>
      <c r="I3" s="16"/>
      <c r="J3" s="16"/>
      <c r="K3" s="16"/>
      <c r="L3" s="16"/>
      <c r="M3" s="447"/>
      <c r="N3" s="16"/>
    </row>
    <row r="4" spans="1:15">
      <c r="B4" s="12" t="s">
        <v>92</v>
      </c>
      <c r="C4" s="16"/>
      <c r="D4" s="16"/>
      <c r="E4" s="16"/>
      <c r="F4" s="16"/>
      <c r="G4" s="16"/>
      <c r="H4" s="16"/>
      <c r="I4" s="16"/>
      <c r="J4" s="16"/>
      <c r="K4" s="16"/>
      <c r="L4" s="226"/>
      <c r="M4" s="448"/>
      <c r="N4" s="16"/>
    </row>
    <row r="5" spans="1:15">
      <c r="L5" s="234"/>
      <c r="M5" s="236"/>
    </row>
    <row r="6" spans="1:15">
      <c r="B6" s="242" t="s">
        <v>201</v>
      </c>
      <c r="C6" s="242"/>
      <c r="D6" s="242"/>
      <c r="E6" s="242"/>
      <c r="L6" s="234"/>
      <c r="M6" s="236"/>
    </row>
    <row r="7" spans="1:15">
      <c r="L7" s="234"/>
      <c r="M7" s="236"/>
    </row>
    <row r="8" spans="1:15">
      <c r="A8" s="32">
        <v>1</v>
      </c>
      <c r="B8" s="55" t="s">
        <v>0</v>
      </c>
      <c r="L8" s="234"/>
      <c r="M8" s="236"/>
    </row>
    <row r="9" spans="1:15">
      <c r="B9" s="449"/>
      <c r="C9" s="449"/>
      <c r="D9" s="449"/>
      <c r="E9" s="449"/>
      <c r="F9" s="449"/>
      <c r="G9" s="449"/>
      <c r="H9" s="40"/>
      <c r="I9" s="40"/>
      <c r="J9" s="40"/>
      <c r="K9" s="40"/>
      <c r="L9" s="236"/>
      <c r="M9" s="236"/>
      <c r="N9" s="40"/>
    </row>
    <row r="10" spans="1:15" ht="16.5" thickBot="1">
      <c r="B10" s="40" t="s">
        <v>384</v>
      </c>
      <c r="C10" s="40"/>
      <c r="D10" s="40"/>
      <c r="E10" s="40"/>
      <c r="F10" s="40"/>
      <c r="G10" s="40"/>
      <c r="H10" s="40"/>
      <c r="I10" s="40"/>
      <c r="J10" s="40"/>
      <c r="K10" s="40"/>
      <c r="L10" s="236"/>
      <c r="M10" s="236"/>
      <c r="O10" s="450">
        <v>73.225387699999828</v>
      </c>
    </row>
    <row r="11" spans="1:15" ht="16.5" thickTop="1">
      <c r="B11" s="40" t="s">
        <v>446</v>
      </c>
      <c r="C11" s="40"/>
      <c r="D11" s="40"/>
      <c r="E11" s="40"/>
      <c r="F11" s="40"/>
      <c r="G11" s="40"/>
      <c r="H11" s="40"/>
      <c r="I11" s="40"/>
      <c r="J11" s="40"/>
      <c r="K11" s="40"/>
      <c r="L11" s="40"/>
      <c r="N11" s="39"/>
    </row>
    <row r="12" spans="1:15">
      <c r="B12" s="40" t="s">
        <v>363</v>
      </c>
      <c r="C12" s="40"/>
      <c r="D12" s="40"/>
      <c r="E12" s="40"/>
      <c r="F12" s="40"/>
      <c r="G12" s="40"/>
      <c r="H12" s="40"/>
      <c r="I12" s="40"/>
      <c r="J12" s="40"/>
      <c r="K12" s="40"/>
      <c r="L12" s="40"/>
      <c r="N12" s="39"/>
    </row>
    <row r="13" spans="1:15">
      <c r="B13" s="40" t="s">
        <v>364</v>
      </c>
      <c r="C13" s="40"/>
      <c r="D13" s="40"/>
      <c r="E13" s="40"/>
      <c r="F13" s="40"/>
      <c r="G13" s="40"/>
      <c r="H13" s="40"/>
      <c r="I13" s="40"/>
      <c r="J13" s="40"/>
      <c r="K13" s="40"/>
      <c r="L13" s="40"/>
      <c r="N13" s="39"/>
    </row>
    <row r="14" spans="1:15">
      <c r="B14" s="40" t="s">
        <v>447</v>
      </c>
      <c r="C14" s="40"/>
      <c r="D14" s="40"/>
      <c r="E14" s="40"/>
      <c r="F14" s="40"/>
      <c r="G14" s="40"/>
      <c r="H14" s="40"/>
      <c r="I14" s="40"/>
      <c r="J14" s="40"/>
      <c r="K14" s="40"/>
      <c r="L14" s="40"/>
      <c r="N14" s="39"/>
    </row>
    <row r="15" spans="1:15">
      <c r="B15" s="40" t="s">
        <v>448</v>
      </c>
      <c r="C15" s="40"/>
      <c r="D15" s="40"/>
      <c r="E15" s="40"/>
      <c r="F15" s="40"/>
      <c r="G15" s="40"/>
      <c r="H15" s="40"/>
      <c r="I15" s="40"/>
      <c r="J15" s="40"/>
      <c r="K15" s="40"/>
      <c r="L15" s="40"/>
      <c r="N15" s="39"/>
    </row>
    <row r="16" spans="1:15">
      <c r="B16" s="40" t="s">
        <v>449</v>
      </c>
      <c r="C16" s="40"/>
      <c r="D16" s="40"/>
      <c r="E16" s="40"/>
      <c r="F16" s="40"/>
      <c r="G16" s="40"/>
      <c r="H16" s="40"/>
      <c r="I16" s="40"/>
      <c r="J16" s="40"/>
      <c r="K16" s="40"/>
      <c r="L16" s="40"/>
      <c r="N16" s="39"/>
    </row>
    <row r="17" spans="1:15">
      <c r="B17" s="40" t="s">
        <v>450</v>
      </c>
      <c r="C17" s="40"/>
      <c r="D17" s="40"/>
      <c r="E17" s="40"/>
      <c r="F17" s="40"/>
      <c r="G17" s="40"/>
      <c r="H17" s="40"/>
      <c r="I17" s="40"/>
      <c r="J17" s="40"/>
      <c r="K17" s="40"/>
      <c r="L17" s="40"/>
      <c r="N17" s="40"/>
    </row>
    <row r="18" spans="1:15">
      <c r="B18" s="40" t="s">
        <v>451</v>
      </c>
      <c r="C18" s="40"/>
      <c r="D18" s="40"/>
      <c r="E18" s="40"/>
      <c r="F18" s="40"/>
      <c r="G18" s="40"/>
      <c r="H18" s="40"/>
      <c r="I18" s="40"/>
      <c r="J18" s="40"/>
      <c r="K18" s="40"/>
      <c r="L18" s="40"/>
      <c r="N18" s="39"/>
    </row>
    <row r="19" spans="1:15">
      <c r="B19" s="40" t="s">
        <v>365</v>
      </c>
      <c r="C19" s="40"/>
      <c r="D19" s="40"/>
      <c r="E19" s="40"/>
      <c r="F19" s="40"/>
      <c r="G19" s="40"/>
      <c r="H19" s="40"/>
      <c r="I19" s="40"/>
      <c r="J19" s="40"/>
      <c r="K19" s="40"/>
      <c r="L19" s="40"/>
      <c r="N19" s="236"/>
    </row>
    <row r="20" spans="1:15">
      <c r="B20" s="40"/>
      <c r="C20" s="40"/>
      <c r="D20" s="40"/>
      <c r="E20" s="40"/>
      <c r="F20" s="40"/>
      <c r="G20" s="40"/>
      <c r="H20" s="40"/>
      <c r="I20" s="40"/>
      <c r="J20" s="40"/>
      <c r="K20" s="40"/>
      <c r="L20" s="40"/>
      <c r="N20" s="40"/>
    </row>
    <row r="21" spans="1:15">
      <c r="B21" s="40" t="s">
        <v>452</v>
      </c>
      <c r="C21" s="40"/>
      <c r="D21" s="40"/>
      <c r="E21" s="40"/>
      <c r="F21" s="40"/>
      <c r="G21" s="40"/>
      <c r="H21" s="40"/>
      <c r="I21" s="40"/>
      <c r="J21" s="40"/>
      <c r="K21" s="40"/>
      <c r="L21" s="40"/>
      <c r="N21" s="236"/>
    </row>
    <row r="22" spans="1:15">
      <c r="B22" s="40" t="s">
        <v>453</v>
      </c>
      <c r="C22" s="40"/>
      <c r="D22" s="40"/>
      <c r="E22" s="40"/>
      <c r="F22" s="40"/>
      <c r="G22" s="40"/>
      <c r="H22" s="40"/>
      <c r="I22" s="40"/>
      <c r="J22" s="40"/>
      <c r="K22" s="40"/>
      <c r="L22" s="40"/>
      <c r="N22" s="236"/>
    </row>
    <row r="23" spans="1:15">
      <c r="C23" s="40"/>
      <c r="D23" s="40"/>
      <c r="E23" s="40"/>
      <c r="F23" s="40"/>
      <c r="G23" s="40"/>
      <c r="H23" s="40"/>
      <c r="I23" s="40"/>
      <c r="J23" s="40"/>
      <c r="K23" s="40"/>
      <c r="L23" s="40"/>
      <c r="N23" s="236"/>
    </row>
    <row r="24" spans="1:15">
      <c r="A24" s="32">
        <v>2</v>
      </c>
      <c r="B24" s="26" t="s">
        <v>3</v>
      </c>
      <c r="C24" s="40"/>
      <c r="D24" s="40"/>
      <c r="E24" s="40"/>
      <c r="F24" s="40"/>
      <c r="G24" s="40"/>
      <c r="H24" s="40"/>
      <c r="I24" s="40"/>
      <c r="J24" s="40"/>
      <c r="K24" s="40"/>
      <c r="L24" s="40"/>
      <c r="N24" s="39"/>
    </row>
    <row r="25" spans="1:15">
      <c r="C25" s="40"/>
      <c r="D25" s="40"/>
      <c r="E25" s="40"/>
      <c r="F25" s="40"/>
      <c r="G25" s="40"/>
      <c r="H25" s="40"/>
      <c r="I25" s="40"/>
      <c r="J25" s="40"/>
      <c r="K25" s="40"/>
      <c r="L25" s="40"/>
      <c r="N25" s="236"/>
    </row>
    <row r="26" spans="1:15">
      <c r="B26" s="17" t="s">
        <v>425</v>
      </c>
      <c r="D26" s="40"/>
      <c r="E26" s="40"/>
      <c r="F26" s="40"/>
      <c r="G26" s="40"/>
      <c r="H26" s="40"/>
      <c r="I26" s="40"/>
      <c r="J26" s="40"/>
      <c r="K26" s="40"/>
      <c r="L26" s="40"/>
      <c r="N26" s="451">
        <v>257.8</v>
      </c>
    </row>
    <row r="27" spans="1:15">
      <c r="B27" s="17" t="s">
        <v>426</v>
      </c>
    </row>
    <row r="28" spans="1:15">
      <c r="B28" s="17" t="s">
        <v>454</v>
      </c>
    </row>
    <row r="29" spans="1:15">
      <c r="B29" s="17" t="s">
        <v>455</v>
      </c>
      <c r="M29" s="17"/>
    </row>
    <row r="30" spans="1:15">
      <c r="B30" s="17" t="s">
        <v>456</v>
      </c>
      <c r="M30" s="17"/>
      <c r="N30" s="451"/>
      <c r="O30" s="451"/>
    </row>
    <row r="31" spans="1:15">
      <c r="B31" s="17" t="s">
        <v>457</v>
      </c>
      <c r="M31" s="17"/>
      <c r="N31" s="451"/>
      <c r="O31" s="451"/>
    </row>
    <row r="32" spans="1:15">
      <c r="B32" s="17" t="s">
        <v>427</v>
      </c>
      <c r="M32" s="17"/>
      <c r="N32" s="451"/>
      <c r="O32" s="451"/>
    </row>
    <row r="33" spans="1:17">
      <c r="M33" s="17"/>
      <c r="N33" s="451"/>
      <c r="O33" s="451"/>
    </row>
    <row r="34" spans="1:17">
      <c r="B34" s="17" t="s">
        <v>429</v>
      </c>
      <c r="M34" s="17"/>
      <c r="N34" s="451">
        <v>99.078131999999982</v>
      </c>
      <c r="O34" s="451"/>
    </row>
    <row r="35" spans="1:17">
      <c r="B35" s="17" t="s">
        <v>430</v>
      </c>
      <c r="M35" s="17"/>
      <c r="N35" s="451"/>
      <c r="O35" s="451"/>
    </row>
    <row r="36" spans="1:17">
      <c r="B36" s="17" t="s">
        <v>428</v>
      </c>
      <c r="M36" s="17"/>
      <c r="N36" s="451"/>
      <c r="O36" s="451"/>
    </row>
    <row r="37" spans="1:17">
      <c r="M37" s="17"/>
      <c r="N37" s="451"/>
      <c r="O37" s="451"/>
    </row>
    <row r="38" spans="1:17">
      <c r="B38" s="17" t="s">
        <v>431</v>
      </c>
      <c r="M38" s="17"/>
      <c r="N38" s="451">
        <v>83.492879100000039</v>
      </c>
      <c r="O38" s="451"/>
    </row>
    <row r="39" spans="1:17">
      <c r="B39" s="17" t="s">
        <v>432</v>
      </c>
      <c r="M39" s="17"/>
      <c r="O39" s="451"/>
    </row>
    <row r="40" spans="1:17">
      <c r="B40" s="17" t="s">
        <v>433</v>
      </c>
      <c r="M40" s="17"/>
      <c r="N40" s="452"/>
      <c r="O40" s="451"/>
    </row>
    <row r="41" spans="1:17" ht="16.5" thickBot="1">
      <c r="M41" s="17"/>
      <c r="N41" s="451">
        <v>10.5</v>
      </c>
      <c r="O41" s="450">
        <f>SUM(N26:N43)</f>
        <v>450.87101110000003</v>
      </c>
    </row>
    <row r="42" spans="1:17" ht="16.5" thickTop="1">
      <c r="B42" s="17" t="s">
        <v>390</v>
      </c>
      <c r="M42" s="17"/>
      <c r="N42" s="451"/>
      <c r="O42" s="451"/>
    </row>
    <row r="43" spans="1:17">
      <c r="M43" s="17"/>
      <c r="N43" s="451"/>
      <c r="P43" s="158"/>
      <c r="Q43" s="245"/>
    </row>
    <row r="44" spans="1:17">
      <c r="M44" s="17"/>
      <c r="N44" s="451"/>
      <c r="O44" s="451"/>
    </row>
    <row r="45" spans="1:17">
      <c r="M45" s="17"/>
    </row>
    <row r="46" spans="1:17">
      <c r="B46" s="242" t="s">
        <v>371</v>
      </c>
      <c r="M46" s="17"/>
    </row>
    <row r="47" spans="1:17">
      <c r="B47" s="242"/>
      <c r="M47" s="17"/>
    </row>
    <row r="48" spans="1:17">
      <c r="A48" s="32">
        <v>3</v>
      </c>
      <c r="B48" s="55" t="s">
        <v>0</v>
      </c>
      <c r="M48" s="17"/>
    </row>
    <row r="49" spans="1:15">
      <c r="M49" s="17"/>
    </row>
    <row r="50" spans="1:15" ht="16.5" thickBot="1">
      <c r="B50" s="17" t="s">
        <v>458</v>
      </c>
      <c r="M50" s="17"/>
      <c r="O50" s="450">
        <v>114.67296440577888</v>
      </c>
    </row>
    <row r="51" spans="1:15" ht="16.5" thickTop="1">
      <c r="B51" s="17" t="s">
        <v>372</v>
      </c>
      <c r="M51" s="17"/>
    </row>
    <row r="52" spans="1:15">
      <c r="B52" s="17" t="s">
        <v>373</v>
      </c>
      <c r="M52" s="17"/>
    </row>
    <row r="53" spans="1:15">
      <c r="B53" s="40" t="s">
        <v>374</v>
      </c>
      <c r="M53" s="17"/>
    </row>
    <row r="54" spans="1:15">
      <c r="B54" s="40" t="s">
        <v>434</v>
      </c>
      <c r="M54" s="17"/>
    </row>
    <row r="55" spans="1:15">
      <c r="B55" s="242"/>
      <c r="M55" s="17"/>
    </row>
    <row r="56" spans="1:15">
      <c r="A56" s="32">
        <v>4</v>
      </c>
      <c r="B56" s="55" t="s">
        <v>3</v>
      </c>
      <c r="M56" s="17"/>
    </row>
    <row r="57" spans="1:15">
      <c r="B57" s="242"/>
      <c r="M57" s="17"/>
    </row>
    <row r="58" spans="1:15">
      <c r="B58" s="17" t="s">
        <v>435</v>
      </c>
      <c r="M58" s="17"/>
      <c r="N58" s="451">
        <v>52.6</v>
      </c>
    </row>
    <row r="59" spans="1:15">
      <c r="B59" s="17" t="s">
        <v>368</v>
      </c>
      <c r="M59" s="17"/>
    </row>
    <row r="60" spans="1:15">
      <c r="B60" s="17" t="s">
        <v>367</v>
      </c>
      <c r="M60" s="17"/>
    </row>
    <row r="61" spans="1:15">
      <c r="B61" s="17" t="s">
        <v>366</v>
      </c>
      <c r="M61" s="17"/>
    </row>
    <row r="62" spans="1:15">
      <c r="B62" s="17" t="s">
        <v>370</v>
      </c>
      <c r="M62" s="17"/>
    </row>
    <row r="63" spans="1:15">
      <c r="B63" s="17" t="s">
        <v>369</v>
      </c>
      <c r="M63" s="17"/>
    </row>
    <row r="64" spans="1:15">
      <c r="B64" s="17" t="s">
        <v>436</v>
      </c>
      <c r="M64" s="17"/>
    </row>
    <row r="65" spans="2:17">
      <c r="B65" s="17" t="s">
        <v>459</v>
      </c>
      <c r="M65" s="17"/>
    </row>
    <row r="66" spans="2:17">
      <c r="M66" s="17"/>
    </row>
    <row r="67" spans="2:17" ht="16.5" thickBot="1">
      <c r="B67" s="17" t="s">
        <v>437</v>
      </c>
      <c r="M67" s="17"/>
      <c r="N67" s="17">
        <v>2.9</v>
      </c>
      <c r="O67" s="450">
        <f>+N58+N67</f>
        <v>55.5</v>
      </c>
    </row>
    <row r="68" spans="2:17" ht="16.5" thickTop="1">
      <c r="M68" s="17"/>
    </row>
    <row r="69" spans="2:17">
      <c r="N69" s="451"/>
      <c r="P69" s="158"/>
      <c r="Q69" s="158"/>
    </row>
    <row r="72" spans="2:17">
      <c r="L72" s="234"/>
      <c r="M72" s="17"/>
      <c r="N72" s="40"/>
      <c r="O72" s="77" t="str">
        <f>'GI-28 Doc 2.2'!S46</f>
        <v>GI-28</v>
      </c>
    </row>
    <row r="73" spans="2:17">
      <c r="L73" s="234"/>
      <c r="M73" s="17"/>
      <c r="N73" s="40"/>
      <c r="O73" s="77" t="s">
        <v>62</v>
      </c>
    </row>
    <row r="74" spans="2:17">
      <c r="L74" s="234"/>
      <c r="M74" s="17"/>
      <c r="N74" s="236"/>
      <c r="O74" s="77" t="s">
        <v>51</v>
      </c>
    </row>
    <row r="75" spans="2:17">
      <c r="B75" s="17" t="str">
        <f>'GI-28 Doc 1.1'!A68</f>
        <v>Original: 2015-09-09</v>
      </c>
      <c r="L75" s="234"/>
      <c r="M75" s="17"/>
      <c r="N75" s="236"/>
      <c r="O75" s="77" t="str">
        <f>'GI-28 Doc 1.1'!R68</f>
        <v>Requête 3924-2015</v>
      </c>
    </row>
    <row r="76" spans="2:17">
      <c r="L76" s="234"/>
      <c r="M76" s="236"/>
    </row>
  </sheetData>
  <printOptions horizontalCentered="1"/>
  <pageMargins left="0.38" right="0.32" top="0.71" bottom="0.65" header="0.28000000000000003" footer="0.35"/>
  <pageSetup scale="10"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U51"/>
  <sheetViews>
    <sheetView zoomScaleNormal="100" workbookViewId="0">
      <selection activeCell="B6" sqref="B6"/>
    </sheetView>
  </sheetViews>
  <sheetFormatPr baseColWidth="10" defaultColWidth="9.140625" defaultRowHeight="15.75"/>
  <cols>
    <col min="1" max="1" width="9.140625" style="17"/>
    <col min="2" max="2" width="38.7109375" style="17" customWidth="1"/>
    <col min="3" max="3" width="9.140625" style="17"/>
    <col min="4" max="4" width="0" style="17" hidden="1" customWidth="1"/>
    <col min="5" max="5" width="3.85546875" style="17" hidden="1" customWidth="1"/>
    <col min="6" max="6" width="0" style="17" hidden="1" customWidth="1"/>
    <col min="7" max="7" width="3.85546875" style="17" hidden="1" customWidth="1"/>
    <col min="8" max="8" width="0" style="17" hidden="1" customWidth="1"/>
    <col min="9" max="9" width="9.140625" style="17"/>
    <col min="10" max="10" width="3.85546875" style="17" customWidth="1"/>
    <col min="11" max="11" width="9.140625" style="17" hidden="1" customWidth="1"/>
    <col min="12" max="12" width="3.85546875" style="17" hidden="1" customWidth="1"/>
    <col min="13" max="13" width="9.85546875" style="17" bestFit="1" customWidth="1"/>
    <col min="14" max="14" width="3.85546875" style="17" customWidth="1"/>
    <col min="15" max="15" width="0" style="17" hidden="1" customWidth="1"/>
    <col min="16" max="16" width="3.140625" style="17" hidden="1" customWidth="1"/>
    <col min="17" max="17" width="6.28515625" style="17" hidden="1" customWidth="1"/>
    <col min="18" max="18" width="9.140625" style="17"/>
    <col min="19" max="19" width="6.7109375" style="17" customWidth="1"/>
    <col min="20" max="20" width="3.28515625" style="17" customWidth="1"/>
    <col min="21" max="21" width="22" style="17" hidden="1" customWidth="1"/>
    <col min="22" max="16384" width="9.140625" style="17"/>
  </cols>
  <sheetData>
    <row r="1" spans="1:21">
      <c r="A1" s="558" t="s">
        <v>8</v>
      </c>
      <c r="B1" s="558"/>
      <c r="C1" s="558"/>
      <c r="D1" s="558"/>
      <c r="E1" s="558"/>
      <c r="F1" s="558"/>
      <c r="G1" s="558"/>
      <c r="H1" s="558"/>
      <c r="I1" s="558"/>
      <c r="J1" s="558"/>
      <c r="K1" s="558"/>
      <c r="L1" s="558"/>
      <c r="M1" s="558"/>
      <c r="N1" s="558"/>
      <c r="O1" s="558"/>
      <c r="P1" s="558"/>
      <c r="Q1" s="558"/>
      <c r="R1" s="558"/>
      <c r="S1" s="558"/>
    </row>
    <row r="2" spans="1:21">
      <c r="A2" s="559" t="s">
        <v>487</v>
      </c>
      <c r="B2" s="559"/>
      <c r="C2" s="559"/>
      <c r="D2" s="559"/>
      <c r="E2" s="559"/>
      <c r="F2" s="559"/>
      <c r="G2" s="559"/>
      <c r="H2" s="559"/>
      <c r="I2" s="559"/>
      <c r="J2" s="559"/>
      <c r="K2" s="559"/>
      <c r="L2" s="559"/>
      <c r="M2" s="559"/>
      <c r="N2" s="559"/>
      <c r="O2" s="559"/>
      <c r="P2" s="559"/>
      <c r="Q2" s="559"/>
      <c r="R2" s="559"/>
      <c r="S2" s="559"/>
    </row>
    <row r="3" spans="1:21">
      <c r="A3" s="560" t="s">
        <v>55</v>
      </c>
      <c r="B3" s="560"/>
      <c r="C3" s="560"/>
      <c r="D3" s="560"/>
      <c r="E3" s="560"/>
      <c r="F3" s="560"/>
      <c r="G3" s="560"/>
      <c r="H3" s="560"/>
      <c r="I3" s="560"/>
      <c r="J3" s="560"/>
      <c r="K3" s="560"/>
      <c r="L3" s="560"/>
      <c r="M3" s="560"/>
      <c r="N3" s="560"/>
      <c r="O3" s="560"/>
      <c r="P3" s="560"/>
      <c r="Q3" s="560"/>
      <c r="R3" s="560"/>
      <c r="S3" s="560"/>
    </row>
    <row r="4" spans="1:21">
      <c r="A4" s="561" t="s">
        <v>92</v>
      </c>
      <c r="B4" s="561"/>
      <c r="C4" s="561"/>
      <c r="D4" s="561"/>
      <c r="E4" s="561"/>
      <c r="F4" s="561"/>
      <c r="G4" s="561"/>
      <c r="H4" s="561"/>
      <c r="I4" s="561"/>
      <c r="J4" s="561"/>
      <c r="K4" s="561"/>
      <c r="L4" s="561"/>
      <c r="M4" s="561"/>
      <c r="N4" s="561"/>
      <c r="O4" s="561"/>
      <c r="P4" s="561"/>
      <c r="Q4" s="561"/>
      <c r="R4" s="561"/>
      <c r="S4" s="561"/>
    </row>
    <row r="5" spans="1:21">
      <c r="F5" s="155" t="s">
        <v>152</v>
      </c>
      <c r="G5" s="32"/>
      <c r="H5" s="32"/>
      <c r="I5" s="32"/>
      <c r="J5" s="32"/>
      <c r="K5" s="155" t="s">
        <v>152</v>
      </c>
      <c r="U5" s="155" t="s">
        <v>152</v>
      </c>
    </row>
    <row r="6" spans="1:21">
      <c r="O6" s="565" t="s">
        <v>36</v>
      </c>
      <c r="P6" s="565"/>
      <c r="Q6" s="565"/>
      <c r="R6" s="565"/>
      <c r="S6" s="565"/>
      <c r="U6" s="156"/>
    </row>
    <row r="7" spans="1:21">
      <c r="D7" s="157">
        <v>2014</v>
      </c>
      <c r="E7" s="158"/>
      <c r="F7" s="157">
        <v>2014</v>
      </c>
      <c r="G7" s="158"/>
      <c r="H7" s="157">
        <v>2015</v>
      </c>
      <c r="I7" s="83" t="s">
        <v>153</v>
      </c>
      <c r="J7" s="158"/>
      <c r="K7" s="157">
        <v>2015</v>
      </c>
      <c r="M7" s="505" t="s">
        <v>153</v>
      </c>
      <c r="O7" s="564" t="s">
        <v>403</v>
      </c>
      <c r="P7" s="564"/>
      <c r="Q7" s="564"/>
      <c r="R7" s="564" t="s">
        <v>156</v>
      </c>
      <c r="S7" s="564"/>
      <c r="U7" s="506" t="s">
        <v>155</v>
      </c>
    </row>
    <row r="8" spans="1:21">
      <c r="D8" s="160" t="s">
        <v>27</v>
      </c>
      <c r="E8" s="158"/>
      <c r="F8" s="160" t="s">
        <v>28</v>
      </c>
      <c r="G8" s="158"/>
      <c r="H8" s="160" t="s">
        <v>402</v>
      </c>
      <c r="I8" s="85">
        <v>2005</v>
      </c>
      <c r="J8" s="158"/>
      <c r="K8" s="160" t="s">
        <v>28</v>
      </c>
      <c r="M8" s="508">
        <v>2016</v>
      </c>
      <c r="N8" s="508"/>
      <c r="O8" s="564" t="e">
        <f>'[40]GI-28 Doc 5'!N9:P9</f>
        <v>#REF!</v>
      </c>
      <c r="P8" s="564"/>
      <c r="Q8" s="564"/>
      <c r="R8" s="564" t="s">
        <v>489</v>
      </c>
      <c r="S8" s="564"/>
      <c r="U8" s="506" t="s">
        <v>156</v>
      </c>
    </row>
    <row r="9" spans="1:21" ht="16.5" thickBot="1">
      <c r="D9" s="162" t="s">
        <v>31</v>
      </c>
      <c r="E9" s="158"/>
      <c r="F9" s="162" t="s">
        <v>31</v>
      </c>
      <c r="G9" s="158"/>
      <c r="H9" s="162" t="s">
        <v>31</v>
      </c>
      <c r="I9" s="87" t="s">
        <v>31</v>
      </c>
      <c r="J9" s="158"/>
      <c r="K9" s="162" t="s">
        <v>31</v>
      </c>
      <c r="M9" s="163" t="s">
        <v>31</v>
      </c>
      <c r="N9" s="164"/>
      <c r="O9" s="165" t="s">
        <v>31</v>
      </c>
      <c r="P9" s="165"/>
      <c r="Q9" s="165" t="s">
        <v>52</v>
      </c>
      <c r="R9" s="165" t="s">
        <v>31</v>
      </c>
      <c r="S9" s="165" t="s">
        <v>52</v>
      </c>
      <c r="U9" s="165" t="s">
        <v>31</v>
      </c>
    </row>
    <row r="10" spans="1:21">
      <c r="D10" s="32">
        <v>1</v>
      </c>
      <c r="E10" s="32"/>
      <c r="F10" s="32"/>
      <c r="G10" s="32"/>
      <c r="H10" s="32">
        <v>2</v>
      </c>
      <c r="I10" s="105">
        <v>1</v>
      </c>
      <c r="J10" s="32"/>
      <c r="K10" s="32"/>
      <c r="L10" s="32"/>
      <c r="M10" s="32">
        <v>2</v>
      </c>
      <c r="N10" s="166"/>
      <c r="O10" s="166" t="s">
        <v>199</v>
      </c>
      <c r="P10" s="166"/>
      <c r="Q10" s="166">
        <v>5</v>
      </c>
      <c r="R10" s="166" t="s">
        <v>488</v>
      </c>
      <c r="S10" s="166">
        <v>4</v>
      </c>
      <c r="T10"/>
      <c r="U10" s="167">
        <v>8</v>
      </c>
    </row>
    <row r="11" spans="1:21">
      <c r="A11" s="32"/>
    </row>
    <row r="12" spans="1:21" ht="16.5" thickBot="1">
      <c r="A12" s="32">
        <v>1</v>
      </c>
      <c r="B12" s="55" t="s">
        <v>0</v>
      </c>
      <c r="D12" s="24">
        <f>'25452'!D16</f>
        <v>296.16640000000001</v>
      </c>
      <c r="F12" s="24">
        <f>'[40]25452'!F16</f>
        <v>304.19499999999999</v>
      </c>
      <c r="H12" s="24">
        <f>'25452'!H16</f>
        <v>293.81545</v>
      </c>
      <c r="I12" s="24">
        <v>203.9</v>
      </c>
      <c r="J12" s="458" t="s">
        <v>38</v>
      </c>
      <c r="K12" s="24">
        <f>'[40]25452'!J16</f>
        <v>293.51499999999999</v>
      </c>
      <c r="M12" s="24">
        <f>'25452'!L16</f>
        <v>389.49799999999999</v>
      </c>
      <c r="N12" s="458" t="s">
        <v>41</v>
      </c>
      <c r="O12" s="24">
        <f>H12-D12</f>
        <v>-2.3509500000000116</v>
      </c>
      <c r="P12" s="231"/>
      <c r="Q12" s="511">
        <f>IF(D12&gt;0,O12/D12,0)</f>
        <v>-7.9379362412482016E-3</v>
      </c>
      <c r="R12" s="24">
        <f>M12-I12</f>
        <v>185.59799999999998</v>
      </c>
      <c r="S12" s="511">
        <f>IF(I12&gt;0,R12/I12,0)</f>
        <v>0.91024031387935256</v>
      </c>
      <c r="T12" s="458"/>
    </row>
    <row r="13" spans="1:21" ht="16.5" thickTop="1">
      <c r="A13" s="32"/>
      <c r="B13" s="55"/>
      <c r="D13" s="39"/>
      <c r="F13" s="39"/>
      <c r="H13" s="28"/>
      <c r="I13" s="20"/>
      <c r="M13" s="20"/>
      <c r="T13" s="453"/>
    </row>
    <row r="14" spans="1:21">
      <c r="A14" s="32"/>
      <c r="D14" s="20"/>
      <c r="E14" s="20"/>
      <c r="F14" s="20"/>
      <c r="G14" s="20"/>
      <c r="I14" s="20"/>
      <c r="M14" s="20"/>
      <c r="T14" s="453"/>
    </row>
    <row r="15" spans="1:21">
      <c r="A15" s="32"/>
      <c r="B15" s="13" t="s">
        <v>3</v>
      </c>
      <c r="D15" s="20"/>
      <c r="E15" s="20"/>
      <c r="F15" s="20"/>
      <c r="G15" s="20"/>
      <c r="I15" s="20"/>
      <c r="M15" s="20"/>
      <c r="T15" s="453"/>
    </row>
    <row r="16" spans="1:21">
      <c r="A16" s="32"/>
      <c r="D16" s="20"/>
      <c r="E16" s="20"/>
      <c r="F16" s="20"/>
      <c r="G16" s="20"/>
      <c r="I16" s="20"/>
      <c r="M16" s="20"/>
      <c r="T16" s="453"/>
    </row>
    <row r="17" spans="1:20">
      <c r="A17" s="65">
        <v>2</v>
      </c>
      <c r="B17" s="63" t="s">
        <v>33</v>
      </c>
      <c r="D17" s="20">
        <f>'25452'!D21</f>
        <v>196.46026999999933</v>
      </c>
      <c r="E17" s="20"/>
      <c r="F17" s="20">
        <f>'[40]25452'!F21</f>
        <v>170.63500000000025</v>
      </c>
      <c r="G17" s="20"/>
      <c r="H17" s="20">
        <f>'25452'!H21</f>
        <v>302.416</v>
      </c>
      <c r="I17" s="20">
        <v>179.5</v>
      </c>
      <c r="K17" s="20">
        <f>'[40]25452'!J21</f>
        <v>337.91</v>
      </c>
      <c r="M17" s="20">
        <f>'25452'!L21</f>
        <v>322.089</v>
      </c>
      <c r="O17" s="20">
        <f>H17-D17</f>
        <v>105.95573000000067</v>
      </c>
      <c r="P17" s="458" t="s">
        <v>38</v>
      </c>
      <c r="Q17" s="511">
        <f>IF(D17&gt;0,O17/D17,0)</f>
        <v>0.53932395593267302</v>
      </c>
      <c r="R17" s="251">
        <f>M17-I17</f>
        <v>142.589</v>
      </c>
      <c r="S17" s="511">
        <f>IF(I17&gt;0,R17/I17,0)</f>
        <v>0.79436768802228408</v>
      </c>
      <c r="T17" s="458"/>
    </row>
    <row r="18" spans="1:20">
      <c r="A18" s="65"/>
      <c r="B18" s="63"/>
      <c r="D18" s="20"/>
      <c r="E18" s="20"/>
      <c r="F18" s="20"/>
      <c r="G18" s="20"/>
      <c r="H18" s="20"/>
      <c r="I18" s="20"/>
      <c r="K18" s="20"/>
      <c r="M18" s="20"/>
      <c r="O18" s="20"/>
      <c r="P18" s="20"/>
      <c r="R18" s="28"/>
    </row>
    <row r="19" spans="1:20">
      <c r="A19" s="65"/>
      <c r="B19" s="63" t="s">
        <v>53</v>
      </c>
      <c r="D19" s="20"/>
      <c r="E19" s="20"/>
      <c r="F19" s="20"/>
      <c r="G19" s="20"/>
      <c r="H19" s="20"/>
      <c r="I19" s="20"/>
      <c r="K19" s="20"/>
      <c r="M19" s="20"/>
      <c r="O19" s="20"/>
      <c r="P19" s="20"/>
      <c r="R19" s="28"/>
    </row>
    <row r="20" spans="1:20">
      <c r="A20" s="65">
        <v>3</v>
      </c>
      <c r="B20" s="512" t="s">
        <v>144</v>
      </c>
      <c r="D20" s="20">
        <f>'25452'!D24</f>
        <v>518.82899999999995</v>
      </c>
      <c r="E20" s="20"/>
      <c r="F20" s="20">
        <f>'[40]25452'!F24</f>
        <v>518.82899999999995</v>
      </c>
      <c r="G20" s="20"/>
      <c r="H20" s="20">
        <f>'25452'!H24</f>
        <v>571.47</v>
      </c>
      <c r="I20" s="20">
        <v>0</v>
      </c>
      <c r="K20" s="20">
        <f>'[40]25452'!J24</f>
        <v>571.47</v>
      </c>
      <c r="M20" s="20">
        <f>'25452'!L24</f>
        <v>0</v>
      </c>
      <c r="O20" s="20">
        <f>H20-D20</f>
        <v>52.641000000000076</v>
      </c>
      <c r="P20" s="20"/>
      <c r="Q20" s="511">
        <f t="shared" ref="Q20:Q28" si="0">IF(D20&gt;0,O20/D20,0)</f>
        <v>0.10146117506924263</v>
      </c>
      <c r="R20" s="20">
        <f t="shared" ref="R20:R28" si="1">M20-I20</f>
        <v>0</v>
      </c>
      <c r="S20" s="511">
        <f t="shared" ref="S20:S28" si="2">IF(I20&gt;0,R20/I20,0)</f>
        <v>0</v>
      </c>
      <c r="T20" s="231"/>
    </row>
    <row r="21" spans="1:20">
      <c r="A21" s="65">
        <v>4</v>
      </c>
      <c r="B21" s="512" t="s">
        <v>54</v>
      </c>
      <c r="D21" s="20">
        <f>'25452'!D25</f>
        <v>493.39300000000003</v>
      </c>
      <c r="E21" s="458" t="s">
        <v>41</v>
      </c>
      <c r="F21" s="20">
        <f>'[40]25452'!F25</f>
        <v>493.33199999999999</v>
      </c>
      <c r="G21" s="20"/>
      <c r="H21" s="20">
        <f>'25452'!H25</f>
        <v>728.13200000000006</v>
      </c>
      <c r="I21" s="20">
        <v>101.9</v>
      </c>
      <c r="J21" s="458"/>
      <c r="K21" s="20">
        <f>'[40]25452'!J25</f>
        <v>728.13200000000006</v>
      </c>
      <c r="M21" s="20">
        <f>'25452'!L25</f>
        <v>658.94100000000003</v>
      </c>
      <c r="N21" s="454"/>
      <c r="O21" s="20">
        <f t="shared" ref="O21:O25" si="3">H21-D21</f>
        <v>234.73900000000003</v>
      </c>
      <c r="P21" s="20"/>
      <c r="Q21" s="511">
        <f t="shared" si="0"/>
        <v>0.47576475547889818</v>
      </c>
      <c r="R21" s="20">
        <f t="shared" si="1"/>
        <v>557.04100000000005</v>
      </c>
      <c r="S21" s="511">
        <f t="shared" si="2"/>
        <v>5.4665456329735038</v>
      </c>
      <c r="T21" s="231"/>
    </row>
    <row r="22" spans="1:20">
      <c r="A22" s="65">
        <v>5</v>
      </c>
      <c r="B22" s="512" t="s">
        <v>145</v>
      </c>
      <c r="D22" s="20">
        <f>'25452'!D26</f>
        <v>241.19099999999997</v>
      </c>
      <c r="E22" s="458" t="s">
        <v>41</v>
      </c>
      <c r="F22" s="20">
        <f>'[40]25452'!F26</f>
        <v>241.19099999999997</v>
      </c>
      <c r="G22" s="20"/>
      <c r="H22" s="20">
        <f>'25452'!H26</f>
        <v>-18.446000000000026</v>
      </c>
      <c r="I22" s="20">
        <v>0</v>
      </c>
      <c r="J22" s="458"/>
      <c r="K22" s="20">
        <f>'[40]25452'!J26</f>
        <v>-18.446000000000026</v>
      </c>
      <c r="M22" s="20">
        <f>'25452'!L26</f>
        <v>-421.02800000000002</v>
      </c>
      <c r="N22" s="465"/>
      <c r="O22" s="20">
        <f t="shared" si="3"/>
        <v>-259.637</v>
      </c>
      <c r="P22" s="20"/>
      <c r="Q22" s="511">
        <f t="shared" si="0"/>
        <v>-1.0764788072523437</v>
      </c>
      <c r="R22" s="20">
        <f t="shared" si="1"/>
        <v>-421.02800000000002</v>
      </c>
      <c r="S22" s="515">
        <f t="shared" si="2"/>
        <v>0</v>
      </c>
      <c r="T22" s="231"/>
    </row>
    <row r="23" spans="1:20">
      <c r="A23" s="65">
        <v>6</v>
      </c>
      <c r="B23" s="512" t="s">
        <v>146</v>
      </c>
      <c r="D23" s="20">
        <f>'25452'!D27</f>
        <v>373.68700000000001</v>
      </c>
      <c r="E23" s="458" t="s">
        <v>41</v>
      </c>
      <c r="F23" s="20">
        <f>'[40]25452'!F27</f>
        <v>373.68700000000001</v>
      </c>
      <c r="G23" s="20"/>
      <c r="H23" s="20">
        <f>'25452'!H27</f>
        <v>233.18100000000001</v>
      </c>
      <c r="I23" s="20">
        <v>0</v>
      </c>
      <c r="J23" s="458"/>
      <c r="K23" s="20">
        <f>'[40]25452'!J27</f>
        <v>233.18100000000001</v>
      </c>
      <c r="M23" s="20">
        <f>'25452'!L27</f>
        <v>-50.625999999999998</v>
      </c>
      <c r="N23" s="454"/>
      <c r="O23" s="20">
        <f>H23-D23</f>
        <v>-140.506</v>
      </c>
      <c r="P23" s="20"/>
      <c r="Q23" s="511">
        <f t="shared" si="0"/>
        <v>-0.37599916507665504</v>
      </c>
      <c r="R23" s="20">
        <f t="shared" si="1"/>
        <v>-50.625999999999998</v>
      </c>
      <c r="S23" s="515">
        <f t="shared" si="2"/>
        <v>0</v>
      </c>
      <c r="T23" s="231"/>
    </row>
    <row r="24" spans="1:20">
      <c r="A24" s="65">
        <v>7</v>
      </c>
      <c r="B24" s="512" t="s">
        <v>147</v>
      </c>
      <c r="D24" s="20">
        <f>'25452'!D28</f>
        <v>96.227000000000004</v>
      </c>
      <c r="E24" s="458" t="s">
        <v>41</v>
      </c>
      <c r="F24" s="20">
        <f>'[40]25452'!F28</f>
        <v>96.227000000000004</v>
      </c>
      <c r="G24" s="20"/>
      <c r="H24" s="20">
        <f>'25452'!H28</f>
        <v>-21.573</v>
      </c>
      <c r="I24" s="20">
        <v>0</v>
      </c>
      <c r="J24" s="458"/>
      <c r="K24" s="20">
        <f>'[40]25452'!J28</f>
        <v>-21.573</v>
      </c>
      <c r="M24" s="20">
        <f>'25452'!L28</f>
        <v>-27.113999999999997</v>
      </c>
      <c r="N24" s="454"/>
      <c r="O24" s="20">
        <f>H24-D24</f>
        <v>-117.80000000000001</v>
      </c>
      <c r="P24" s="20"/>
      <c r="Q24" s="511">
        <f t="shared" si="0"/>
        <v>-1.2241886372847539</v>
      </c>
      <c r="R24" s="20">
        <f t="shared" si="1"/>
        <v>-27.113999999999997</v>
      </c>
      <c r="S24" s="515">
        <f t="shared" si="2"/>
        <v>0</v>
      </c>
      <c r="T24" s="231"/>
    </row>
    <row r="25" spans="1:20">
      <c r="A25" s="65">
        <v>8</v>
      </c>
      <c r="B25" s="512" t="s">
        <v>148</v>
      </c>
      <c r="D25" s="20">
        <f>'25452'!D29</f>
        <v>193.21600000000001</v>
      </c>
      <c r="E25" s="458" t="s">
        <v>41</v>
      </c>
      <c r="F25" s="20">
        <f>'[40]25452'!F29</f>
        <v>289.21600000000001</v>
      </c>
      <c r="G25" s="20"/>
      <c r="H25" s="20">
        <f>'25452'!H29</f>
        <v>421.41100000000006</v>
      </c>
      <c r="I25" s="20">
        <v>163.80000000000001</v>
      </c>
      <c r="J25" s="458"/>
      <c r="K25" s="20">
        <f>'[40]25452'!J29</f>
        <v>421.41100000000006</v>
      </c>
      <c r="M25" s="20">
        <f>'25452'!L29</f>
        <v>543.78399999999999</v>
      </c>
      <c r="N25" s="454"/>
      <c r="O25" s="20">
        <f t="shared" si="3"/>
        <v>228.19500000000005</v>
      </c>
      <c r="P25" s="20"/>
      <c r="Q25" s="511">
        <f t="shared" si="0"/>
        <v>1.1810357320304739</v>
      </c>
      <c r="R25" s="20">
        <f t="shared" si="1"/>
        <v>379.98399999999998</v>
      </c>
      <c r="S25" s="511">
        <f t="shared" si="2"/>
        <v>2.3198046398046395</v>
      </c>
      <c r="T25" s="231"/>
    </row>
    <row r="26" spans="1:20">
      <c r="A26" s="65">
        <v>9</v>
      </c>
      <c r="B26" s="512" t="s">
        <v>149</v>
      </c>
      <c r="D26" s="20">
        <f>'25452'!D30</f>
        <v>96</v>
      </c>
      <c r="E26" s="458" t="s">
        <v>41</v>
      </c>
      <c r="F26" s="20">
        <f>'[40]25452'!F30</f>
        <v>0</v>
      </c>
      <c r="G26" s="20"/>
      <c r="H26" s="20">
        <f>'25452'!H30</f>
        <v>85</v>
      </c>
      <c r="I26" s="20">
        <v>0</v>
      </c>
      <c r="J26" s="458"/>
      <c r="K26" s="20">
        <f>'[40]25452'!J30</f>
        <v>85</v>
      </c>
      <c r="M26" s="20">
        <f>'25452'!L30</f>
        <v>72.75</v>
      </c>
      <c r="N26" s="454"/>
      <c r="O26" s="20">
        <f>H26-D26</f>
        <v>-11</v>
      </c>
      <c r="P26" s="20"/>
      <c r="Q26" s="511">
        <f t="shared" si="0"/>
        <v>-0.11458333333333333</v>
      </c>
      <c r="R26" s="20">
        <f t="shared" si="1"/>
        <v>72.75</v>
      </c>
      <c r="S26" s="511">
        <f t="shared" si="2"/>
        <v>0</v>
      </c>
      <c r="T26" s="231"/>
    </row>
    <row r="27" spans="1:20">
      <c r="A27" s="65">
        <v>10</v>
      </c>
      <c r="B27" s="512" t="s">
        <v>150</v>
      </c>
      <c r="D27" s="20">
        <f>'25452'!D31</f>
        <v>0</v>
      </c>
      <c r="E27" s="458" t="s">
        <v>41</v>
      </c>
      <c r="F27" s="20">
        <f>'[40]25452'!F31</f>
        <v>0</v>
      </c>
      <c r="G27" s="20"/>
      <c r="H27" s="20">
        <f>'25452'!H31</f>
        <v>0</v>
      </c>
      <c r="I27" s="20">
        <v>0</v>
      </c>
      <c r="J27" s="458"/>
      <c r="K27" s="20">
        <f>'[40]25452'!J31</f>
        <v>0</v>
      </c>
      <c r="M27" s="20">
        <f>'25452'!L31</f>
        <v>25.045000000000002</v>
      </c>
      <c r="N27" s="454"/>
      <c r="O27" s="20">
        <f>H27-D27</f>
        <v>0</v>
      </c>
      <c r="P27" s="20"/>
      <c r="Q27" s="511">
        <f t="shared" si="0"/>
        <v>0</v>
      </c>
      <c r="R27" s="20">
        <f t="shared" si="1"/>
        <v>25.045000000000002</v>
      </c>
      <c r="S27" s="511">
        <f t="shared" si="2"/>
        <v>0</v>
      </c>
      <c r="T27" s="231"/>
    </row>
    <row r="28" spans="1:20">
      <c r="A28" s="383">
        <v>11</v>
      </c>
      <c r="B28" s="369" t="s">
        <v>324</v>
      </c>
      <c r="D28" s="20">
        <f>'25452'!D32</f>
        <v>0</v>
      </c>
      <c r="E28" s="458" t="s">
        <v>41</v>
      </c>
      <c r="F28" s="20">
        <f>'[40]25452'!F32</f>
        <v>0</v>
      </c>
      <c r="G28" s="20"/>
      <c r="H28" s="20">
        <f>'25452'!H32</f>
        <v>0</v>
      </c>
      <c r="I28" s="20">
        <v>0</v>
      </c>
      <c r="J28" s="458"/>
      <c r="K28" s="20">
        <f>'[40]25452'!J32</f>
        <v>0</v>
      </c>
      <c r="M28" s="20">
        <f>'25452'!L32</f>
        <v>124.627</v>
      </c>
      <c r="N28" s="465"/>
      <c r="O28" s="20">
        <f>H28-D28</f>
        <v>0</v>
      </c>
      <c r="P28" s="20"/>
      <c r="Q28" s="511">
        <f t="shared" si="0"/>
        <v>0</v>
      </c>
      <c r="R28" s="20">
        <f t="shared" si="1"/>
        <v>124.627</v>
      </c>
      <c r="S28" s="511">
        <f t="shared" si="2"/>
        <v>0</v>
      </c>
      <c r="T28" s="231"/>
    </row>
    <row r="29" spans="1:20">
      <c r="A29" s="383">
        <v>12</v>
      </c>
      <c r="B29" s="369" t="s">
        <v>510</v>
      </c>
      <c r="D29" s="20"/>
      <c r="E29" s="458"/>
      <c r="F29" s="20"/>
      <c r="G29" s="20"/>
      <c r="H29" s="20"/>
      <c r="I29" s="20">
        <v>-3.4</v>
      </c>
      <c r="J29" s="458" t="s">
        <v>39</v>
      </c>
      <c r="K29" s="20"/>
      <c r="M29" s="20">
        <v>0</v>
      </c>
      <c r="N29" s="465"/>
      <c r="O29" s="20"/>
      <c r="P29" s="20"/>
      <c r="Q29" s="511"/>
      <c r="R29" s="20">
        <f t="shared" ref="R29" si="4">M29-I29</f>
        <v>3.4</v>
      </c>
      <c r="S29" s="511">
        <f t="shared" ref="S29" si="5">IF(I29&gt;0,R29/I29,0)</f>
        <v>0</v>
      </c>
      <c r="T29" s="231"/>
    </row>
    <row r="30" spans="1:20">
      <c r="A30" s="32"/>
      <c r="D30" s="30"/>
      <c r="E30" s="20"/>
      <c r="F30" s="30"/>
      <c r="G30" s="20"/>
      <c r="H30" s="30"/>
      <c r="I30" s="30"/>
      <c r="K30" s="30"/>
      <c r="M30" s="30"/>
      <c r="O30" s="30"/>
      <c r="P30" s="20"/>
      <c r="R30" s="30"/>
    </row>
    <row r="31" spans="1:20">
      <c r="A31" s="32"/>
      <c r="D31" s="20"/>
      <c r="E31" s="20"/>
      <c r="F31" s="20"/>
      <c r="G31" s="20"/>
      <c r="H31" s="20"/>
      <c r="I31" s="20"/>
      <c r="K31" s="20"/>
      <c r="M31" s="20"/>
      <c r="O31" s="20"/>
      <c r="P31" s="20"/>
      <c r="R31" s="20"/>
    </row>
    <row r="32" spans="1:20">
      <c r="A32" s="32"/>
      <c r="D32" s="20"/>
      <c r="E32" s="20"/>
      <c r="F32" s="20"/>
      <c r="G32" s="20"/>
      <c r="H32" s="20"/>
      <c r="I32" s="20"/>
      <c r="K32" s="20"/>
      <c r="M32" s="20"/>
      <c r="O32" s="20"/>
      <c r="P32" s="20"/>
      <c r="R32" s="20"/>
    </row>
    <row r="33" spans="1:19" ht="16.5" thickBot="1">
      <c r="A33" s="32">
        <v>13</v>
      </c>
      <c r="B33" s="13" t="s">
        <v>12</v>
      </c>
      <c r="D33" s="24">
        <f>SUM(D17:D30)</f>
        <v>2209.0032699999997</v>
      </c>
      <c r="E33" s="20"/>
      <c r="F33" s="24">
        <f t="shared" ref="F33:K33" si="6">SUM(F17:F30)</f>
        <v>2183.1170000000006</v>
      </c>
      <c r="G33" s="20"/>
      <c r="H33" s="24">
        <f t="shared" si="6"/>
        <v>2301.5910000000003</v>
      </c>
      <c r="I33" s="24">
        <f>SUM(I17:I30)</f>
        <v>441.8</v>
      </c>
      <c r="J33" s="458" t="s">
        <v>40</v>
      </c>
      <c r="K33" s="24">
        <f t="shared" si="6"/>
        <v>2337.085</v>
      </c>
      <c r="M33" s="24">
        <f>SUM(M17:M30)</f>
        <v>1248.4680000000001</v>
      </c>
      <c r="N33" s="458" t="s">
        <v>42</v>
      </c>
      <c r="O33" s="24">
        <f>SUM(O17:O30)</f>
        <v>92.587730000000846</v>
      </c>
      <c r="P33" s="39"/>
      <c r="Q33" s="511">
        <f>IF(D33&gt;0,O33/D33,0)</f>
        <v>4.1913803957384296E-2</v>
      </c>
      <c r="R33" s="24">
        <f>SUM(R17:R30)</f>
        <v>806.66799999999989</v>
      </c>
      <c r="S33" s="511">
        <f>IF(I33&gt;0,R33/I33,0)</f>
        <v>1.8258669081032137</v>
      </c>
    </row>
    <row r="34" spans="1:19" ht="16.5" thickTop="1">
      <c r="D34" s="20"/>
      <c r="E34" s="20"/>
      <c r="F34" s="20"/>
      <c r="G34" s="20"/>
    </row>
    <row r="35" spans="1:19">
      <c r="D35" s="20"/>
      <c r="E35" s="20"/>
      <c r="F35" s="20"/>
      <c r="G35" s="20"/>
    </row>
    <row r="36" spans="1:19">
      <c r="D36" s="20"/>
      <c r="E36" s="20"/>
      <c r="F36" s="20"/>
      <c r="G36" s="20"/>
    </row>
    <row r="37" spans="1:19">
      <c r="D37" s="20"/>
      <c r="E37" s="20"/>
      <c r="F37" s="20"/>
      <c r="G37" s="20"/>
    </row>
    <row r="38" spans="1:19">
      <c r="D38" s="20"/>
      <c r="E38" s="20"/>
      <c r="F38" s="20"/>
      <c r="G38" s="20"/>
    </row>
    <row r="39" spans="1:19">
      <c r="A39" s="548" t="s">
        <v>49</v>
      </c>
      <c r="B39" s="548" t="s">
        <v>550</v>
      </c>
      <c r="D39" s="20"/>
      <c r="E39" s="20"/>
      <c r="F39" s="20"/>
      <c r="G39" s="20"/>
    </row>
    <row r="40" spans="1:19">
      <c r="A40" s="548"/>
      <c r="B40" s="549" t="s">
        <v>541</v>
      </c>
      <c r="D40" s="20"/>
      <c r="E40" s="20"/>
      <c r="F40" s="20"/>
      <c r="G40" s="20"/>
    </row>
    <row r="41" spans="1:19">
      <c r="A41" s="548"/>
      <c r="B41" s="548" t="s">
        <v>511</v>
      </c>
      <c r="D41" s="20"/>
      <c r="E41" s="20"/>
      <c r="F41" s="20"/>
      <c r="G41" s="20"/>
    </row>
    <row r="42" spans="1:19">
      <c r="A42" s="548"/>
      <c r="B42" s="548" t="s">
        <v>512</v>
      </c>
      <c r="D42" s="20"/>
      <c r="E42" s="20"/>
      <c r="F42" s="20"/>
      <c r="G42" s="20"/>
    </row>
    <row r="43" spans="1:19">
      <c r="A43" s="548"/>
      <c r="B43" s="548" t="s">
        <v>551</v>
      </c>
    </row>
    <row r="44" spans="1:19">
      <c r="A44" s="548"/>
      <c r="B44" s="549" t="s">
        <v>541</v>
      </c>
    </row>
    <row r="45" spans="1:19">
      <c r="A45" s="548"/>
      <c r="B45" s="548" t="s">
        <v>513</v>
      </c>
    </row>
    <row r="46" spans="1:19">
      <c r="A46" s="548"/>
      <c r="B46" s="548" t="s">
        <v>514</v>
      </c>
    </row>
    <row r="48" spans="1:19">
      <c r="S48" s="70" t="str">
        <f>'[40]GI-28 Doc 1'!Q65</f>
        <v>GI-28</v>
      </c>
    </row>
    <row r="49" spans="1:19">
      <c r="S49" s="70" t="s">
        <v>507</v>
      </c>
    </row>
    <row r="50" spans="1:19">
      <c r="S50" s="70" t="s">
        <v>51</v>
      </c>
    </row>
    <row r="51" spans="1:19">
      <c r="A51" s="17" t="str">
        <f>'GI-28 Doc 5.2'!A49</f>
        <v>Original: 2015-09-09</v>
      </c>
      <c r="S51" s="70" t="str">
        <f>'[40]GI-28 Doc 1'!Q68</f>
        <v>Requête 3924-2015</v>
      </c>
    </row>
  </sheetData>
  <mergeCells count="9">
    <mergeCell ref="O7:Q7"/>
    <mergeCell ref="R7:S7"/>
    <mergeCell ref="O8:Q8"/>
    <mergeCell ref="R8:S8"/>
    <mergeCell ref="A1:S1"/>
    <mergeCell ref="A2:S2"/>
    <mergeCell ref="A3:S3"/>
    <mergeCell ref="A4:S4"/>
    <mergeCell ref="O6:S6"/>
  </mergeCells>
  <pageMargins left="0.39" right="0.4" top="0.984251969" bottom="0.34" header="0.5" footer="0.14000000000000001"/>
  <pageSetup scale="89"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N48"/>
  <sheetViews>
    <sheetView topLeftCell="A16" zoomScaleNormal="100" workbookViewId="0">
      <selection activeCell="H52" sqref="H52"/>
    </sheetView>
  </sheetViews>
  <sheetFormatPr baseColWidth="10" defaultColWidth="9.140625" defaultRowHeight="15.75"/>
  <cols>
    <col min="1" max="1" width="3.7109375" style="32" customWidth="1"/>
    <col min="2" max="9" width="9.140625" style="17"/>
    <col min="10" max="10" width="8.5703125" style="17" customWidth="1"/>
    <col min="11" max="11" width="2.42578125" style="17" customWidth="1"/>
    <col min="12" max="12" width="9.140625" style="17"/>
    <col min="13" max="13" width="3" style="17" customWidth="1"/>
    <col min="14" max="16384" width="9.140625" style="17"/>
  </cols>
  <sheetData>
    <row r="1" spans="1:14">
      <c r="B1" s="9" t="s">
        <v>8</v>
      </c>
      <c r="C1" s="16"/>
      <c r="D1" s="16"/>
      <c r="E1" s="16"/>
      <c r="F1" s="16"/>
      <c r="G1" s="16"/>
      <c r="H1" s="16"/>
      <c r="I1" s="16"/>
      <c r="J1" s="16"/>
      <c r="K1" s="16"/>
      <c r="L1" s="16"/>
      <c r="M1" s="16"/>
      <c r="N1" s="16"/>
    </row>
    <row r="2" spans="1:14">
      <c r="B2" s="10" t="s">
        <v>9</v>
      </c>
      <c r="C2" s="16"/>
      <c r="D2" s="16"/>
      <c r="E2" s="16"/>
      <c r="F2" s="16"/>
      <c r="G2" s="16"/>
      <c r="H2" s="16"/>
      <c r="I2" s="16"/>
      <c r="J2" s="16"/>
      <c r="K2" s="16"/>
      <c r="L2" s="16"/>
      <c r="M2" s="16"/>
      <c r="N2" s="16"/>
    </row>
    <row r="3" spans="1:14">
      <c r="B3" s="11" t="s">
        <v>61</v>
      </c>
      <c r="C3" s="16"/>
      <c r="D3" s="16"/>
      <c r="E3" s="16"/>
      <c r="F3" s="16"/>
      <c r="G3" s="16"/>
      <c r="H3" s="16"/>
      <c r="I3" s="16"/>
      <c r="J3" s="16"/>
      <c r="K3" s="16"/>
      <c r="L3" s="16"/>
      <c r="M3" s="16"/>
      <c r="N3" s="16"/>
    </row>
    <row r="4" spans="1:14">
      <c r="B4" s="12" t="s">
        <v>92</v>
      </c>
      <c r="C4" s="16"/>
      <c r="D4" s="16"/>
      <c r="E4" s="16"/>
      <c r="F4" s="16"/>
      <c r="G4" s="16"/>
      <c r="H4" s="16"/>
      <c r="I4" s="16"/>
      <c r="J4" s="16"/>
      <c r="K4" s="16"/>
      <c r="L4" s="226"/>
      <c r="M4" s="226"/>
      <c r="N4" s="16"/>
    </row>
    <row r="9" spans="1:14">
      <c r="B9" s="242" t="s">
        <v>201</v>
      </c>
    </row>
    <row r="11" spans="1:14">
      <c r="A11" s="32">
        <v>1</v>
      </c>
      <c r="B11" s="55" t="s">
        <v>3</v>
      </c>
    </row>
    <row r="13" spans="1:14">
      <c r="B13" s="17" t="s">
        <v>329</v>
      </c>
    </row>
    <row r="14" spans="1:14">
      <c r="B14" s="566" t="s">
        <v>478</v>
      </c>
      <c r="C14" s="566"/>
      <c r="D14" s="566"/>
      <c r="E14" s="566"/>
      <c r="F14" s="566"/>
      <c r="G14" s="566"/>
      <c r="H14" s="566"/>
      <c r="I14" s="566"/>
      <c r="J14" s="566"/>
    </row>
    <row r="15" spans="1:14" ht="47.25" customHeight="1">
      <c r="B15" s="566"/>
      <c r="C15" s="566"/>
      <c r="D15" s="566"/>
      <c r="E15" s="566"/>
      <c r="F15" s="566"/>
      <c r="G15" s="566"/>
      <c r="H15" s="566"/>
      <c r="I15" s="566"/>
      <c r="J15" s="566"/>
      <c r="N15" s="40"/>
    </row>
    <row r="16" spans="1:14">
      <c r="B16" s="566"/>
      <c r="C16" s="566"/>
      <c r="D16" s="566"/>
      <c r="E16" s="566"/>
      <c r="F16" s="566"/>
      <c r="G16" s="566"/>
      <c r="H16" s="566"/>
      <c r="I16" s="566"/>
      <c r="J16" s="566"/>
      <c r="N16" s="40"/>
    </row>
    <row r="17" spans="1:14">
      <c r="A17" s="17"/>
      <c r="B17" s="566"/>
      <c r="C17" s="566"/>
      <c r="D17" s="566"/>
      <c r="E17" s="566"/>
      <c r="F17" s="566"/>
      <c r="G17" s="566"/>
      <c r="H17" s="566"/>
      <c r="I17" s="566"/>
      <c r="J17" s="566"/>
      <c r="L17" s="17">
        <f>188.4+2</f>
        <v>190.4</v>
      </c>
      <c r="N17" s="229"/>
    </row>
    <row r="19" spans="1:14" ht="16.5" thickBot="1">
      <c r="B19" s="17" t="s">
        <v>477</v>
      </c>
      <c r="L19" s="236">
        <v>-84.4</v>
      </c>
      <c r="M19" s="234"/>
      <c r="N19" s="228">
        <f>SUM(L16:L19)</f>
        <v>106</v>
      </c>
    </row>
    <row r="20" spans="1:14" ht="16.5" thickTop="1">
      <c r="L20" s="40"/>
      <c r="N20" s="230"/>
    </row>
    <row r="21" spans="1:14">
      <c r="N21" s="230"/>
    </row>
    <row r="23" spans="1:14">
      <c r="B23" s="242" t="s">
        <v>202</v>
      </c>
    </row>
    <row r="25" spans="1:14">
      <c r="A25" s="32">
        <v>2</v>
      </c>
      <c r="B25" s="55" t="s">
        <v>0</v>
      </c>
    </row>
    <row r="26" spans="1:14">
      <c r="B26" s="55"/>
    </row>
    <row r="27" spans="1:14" ht="16.5" customHeight="1">
      <c r="B27" s="566" t="s">
        <v>330</v>
      </c>
      <c r="C27" s="566"/>
      <c r="D27" s="566"/>
      <c r="E27" s="566"/>
      <c r="F27" s="566"/>
      <c r="G27" s="566"/>
      <c r="H27" s="566"/>
      <c r="I27" s="566"/>
      <c r="J27" s="566"/>
    </row>
    <row r="28" spans="1:14" ht="16.5" thickBot="1">
      <c r="B28" s="566"/>
      <c r="C28" s="566"/>
      <c r="D28" s="566"/>
      <c r="E28" s="566"/>
      <c r="F28" s="566"/>
      <c r="G28" s="566"/>
      <c r="H28" s="566"/>
      <c r="I28" s="566"/>
      <c r="J28" s="566"/>
      <c r="N28" s="227">
        <v>95.7</v>
      </c>
    </row>
    <row r="29" spans="1:14" ht="16.5" thickTop="1"/>
    <row r="31" spans="1:14">
      <c r="A31" s="32">
        <v>3</v>
      </c>
      <c r="B31" s="55" t="s">
        <v>3</v>
      </c>
    </row>
    <row r="33" spans="2:14" ht="48.75" customHeight="1">
      <c r="B33" s="566" t="s">
        <v>440</v>
      </c>
      <c r="C33" s="566"/>
      <c r="D33" s="566"/>
      <c r="E33" s="566"/>
      <c r="F33" s="566"/>
      <c r="G33" s="566"/>
      <c r="H33" s="566"/>
      <c r="I33" s="566"/>
      <c r="J33" s="566"/>
    </row>
    <row r="34" spans="2:14" ht="16.5" thickBot="1">
      <c r="B34" s="566"/>
      <c r="C34" s="566"/>
      <c r="D34" s="566"/>
      <c r="E34" s="566"/>
      <c r="F34" s="566"/>
      <c r="G34" s="566"/>
      <c r="H34" s="566"/>
      <c r="I34" s="566"/>
      <c r="J34" s="566"/>
      <c r="N34" s="227">
        <v>19.7</v>
      </c>
    </row>
    <row r="35" spans="2:14" ht="16.5" thickTop="1"/>
    <row r="45" spans="2:14">
      <c r="N45" s="77" t="str">
        <f>'GI-28 Doc 1.1'!R65</f>
        <v>GI-28</v>
      </c>
    </row>
    <row r="46" spans="2:14">
      <c r="N46" s="77" t="s">
        <v>66</v>
      </c>
    </row>
    <row r="47" spans="2:14">
      <c r="N47" s="77" t="s">
        <v>51</v>
      </c>
    </row>
    <row r="48" spans="2:14">
      <c r="B48" s="17" t="str">
        <f>'GI-28 Doc 1.1'!A68</f>
        <v>Original: 2015-09-09</v>
      </c>
      <c r="N48" s="77" t="str">
        <f>'GI-28 Doc 1.1'!R68</f>
        <v>Requête 3924-2015</v>
      </c>
    </row>
  </sheetData>
  <mergeCells count="3">
    <mergeCell ref="B14:J17"/>
    <mergeCell ref="B27:J28"/>
    <mergeCell ref="B33:J34"/>
  </mergeCells>
  <printOptions horizontalCentered="1"/>
  <pageMargins left="0.31" right="0.48" top="0.984251969" bottom="0.45" header="0.5" footer="0.25"/>
  <pageSetup scale="85"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6">
    <tabColor theme="2" tint="-0.499984740745262"/>
    <pageSetUpPr fitToPage="1"/>
  </sheetPr>
  <dimension ref="A1:V52"/>
  <sheetViews>
    <sheetView topLeftCell="A16" zoomScaleNormal="100" workbookViewId="0">
      <selection activeCell="H52" sqref="H52"/>
    </sheetView>
  </sheetViews>
  <sheetFormatPr baseColWidth="10" defaultColWidth="9.140625" defaultRowHeight="15.75" outlineLevelRow="1" outlineLevelCol="1"/>
  <cols>
    <col min="1" max="1" width="9.28515625" style="369" bestFit="1" customWidth="1"/>
    <col min="2" max="2" width="38.7109375" style="369" customWidth="1"/>
    <col min="3" max="3" width="9.140625" style="369"/>
    <col min="4" max="4" width="11" style="369" bestFit="1" customWidth="1"/>
    <col min="5" max="5" width="3.85546875" style="369" customWidth="1"/>
    <col min="6" max="6" width="13.42578125" style="369" hidden="1" customWidth="1" outlineLevel="1"/>
    <col min="7" max="7" width="3.85546875" style="369" hidden="1" customWidth="1" outlineLevel="1"/>
    <col min="8" max="8" width="9.85546875" style="369" bestFit="1" customWidth="1" collapsed="1"/>
    <col min="9" max="9" width="3.85546875" style="369" customWidth="1"/>
    <col min="10" max="10" width="11" style="369" hidden="1" customWidth="1" outlineLevel="1"/>
    <col min="11" max="11" width="3.85546875" style="369" hidden="1" customWidth="1" outlineLevel="1"/>
    <col min="12" max="12" width="9.28515625" style="369" bestFit="1" customWidth="1" collapsed="1"/>
    <col min="13" max="13" width="3.85546875" style="369" customWidth="1"/>
    <col min="14" max="14" width="11.140625" style="369" bestFit="1" customWidth="1"/>
    <col min="15" max="15" width="6.42578125" style="369" bestFit="1" customWidth="1"/>
    <col min="16" max="16" width="6.42578125" style="369" customWidth="1"/>
    <col min="17" max="17" width="12.28515625" style="369" bestFit="1" customWidth="1"/>
    <col min="18" max="18" width="9.140625" style="369"/>
    <col min="19" max="19" width="3.85546875" style="369" customWidth="1"/>
    <col min="20" max="20" width="20.28515625" style="369" hidden="1" customWidth="1" outlineLevel="1"/>
    <col min="21" max="21" width="3.85546875" hidden="1" customWidth="1" outlineLevel="1"/>
    <col min="22" max="22" width="9.140625" style="369" collapsed="1"/>
    <col min="23" max="16384" width="9.140625" style="369"/>
  </cols>
  <sheetData>
    <row r="1" spans="1:21">
      <c r="A1" s="558" t="s">
        <v>8</v>
      </c>
      <c r="B1" s="558"/>
      <c r="C1" s="558"/>
      <c r="D1" s="558"/>
      <c r="E1" s="558"/>
      <c r="F1" s="558"/>
      <c r="G1" s="558"/>
      <c r="H1" s="558"/>
      <c r="I1" s="558"/>
      <c r="J1" s="558"/>
      <c r="K1" s="558"/>
      <c r="L1" s="558"/>
      <c r="M1" s="558"/>
      <c r="N1" s="558"/>
      <c r="O1" s="558"/>
      <c r="P1" s="558"/>
      <c r="Q1" s="558"/>
      <c r="R1" s="558"/>
      <c r="S1" s="558"/>
      <c r="T1" s="558"/>
      <c r="U1" s="369"/>
    </row>
    <row r="2" spans="1:21">
      <c r="A2" s="559" t="s">
        <v>9</v>
      </c>
      <c r="B2" s="559"/>
      <c r="C2" s="559"/>
      <c r="D2" s="559"/>
      <c r="E2" s="559"/>
      <c r="F2" s="559"/>
      <c r="G2" s="559"/>
      <c r="H2" s="559"/>
      <c r="I2" s="559"/>
      <c r="J2" s="559"/>
      <c r="K2" s="559"/>
      <c r="L2" s="559"/>
      <c r="M2" s="559"/>
      <c r="N2" s="559"/>
      <c r="O2" s="559"/>
      <c r="P2" s="559"/>
      <c r="Q2" s="559"/>
      <c r="R2" s="559"/>
      <c r="S2" s="559"/>
      <c r="T2" s="559"/>
      <c r="U2" s="369"/>
    </row>
    <row r="3" spans="1:21">
      <c r="A3" s="560" t="s">
        <v>55</v>
      </c>
      <c r="B3" s="560"/>
      <c r="C3" s="560"/>
      <c r="D3" s="560"/>
      <c r="E3" s="560"/>
      <c r="F3" s="560"/>
      <c r="G3" s="560"/>
      <c r="H3" s="560"/>
      <c r="I3" s="560"/>
      <c r="J3" s="560"/>
      <c r="K3" s="560"/>
      <c r="L3" s="560"/>
      <c r="M3" s="560"/>
      <c r="N3" s="560"/>
      <c r="O3" s="560"/>
      <c r="P3" s="560"/>
      <c r="Q3" s="560"/>
      <c r="R3" s="560"/>
      <c r="S3" s="560"/>
      <c r="T3" s="560"/>
      <c r="U3" s="369"/>
    </row>
    <row r="4" spans="1:21">
      <c r="A4" s="561" t="s">
        <v>92</v>
      </c>
      <c r="B4" s="561"/>
      <c r="C4" s="561"/>
      <c r="D4" s="561"/>
      <c r="E4" s="561"/>
      <c r="F4" s="561"/>
      <c r="G4" s="561"/>
      <c r="H4" s="561"/>
      <c r="I4" s="561"/>
      <c r="J4" s="561"/>
      <c r="K4" s="561"/>
      <c r="L4" s="561"/>
      <c r="M4" s="561"/>
      <c r="N4" s="561"/>
      <c r="O4" s="561"/>
      <c r="P4" s="561"/>
      <c r="Q4" s="561"/>
      <c r="R4" s="561"/>
      <c r="S4" s="561"/>
      <c r="T4" s="561"/>
      <c r="U4" s="369"/>
    </row>
    <row r="9" spans="1:21">
      <c r="F9" s="370" t="s">
        <v>152</v>
      </c>
      <c r="G9" s="370"/>
      <c r="H9" s="370"/>
      <c r="I9" s="370"/>
      <c r="J9" s="370" t="s">
        <v>152</v>
      </c>
      <c r="T9" s="370" t="s">
        <v>152</v>
      </c>
      <c r="U9" s="369"/>
    </row>
    <row r="10" spans="1:21">
      <c r="N10" s="623" t="s">
        <v>36</v>
      </c>
      <c r="O10" s="623"/>
      <c r="P10" s="623"/>
      <c r="Q10" s="623"/>
      <c r="R10" s="623"/>
      <c r="T10" s="371"/>
      <c r="U10" s="369"/>
    </row>
    <row r="11" spans="1:21">
      <c r="B11" s="372" t="s">
        <v>143</v>
      </c>
      <c r="D11" s="373" t="s">
        <v>27</v>
      </c>
      <c r="E11" s="374"/>
      <c r="F11" s="373" t="s">
        <v>28</v>
      </c>
      <c r="G11" s="374"/>
      <c r="H11" s="375">
        <v>2015</v>
      </c>
      <c r="I11" s="374"/>
      <c r="J11" s="373" t="s">
        <v>28</v>
      </c>
      <c r="L11" s="376" t="s">
        <v>153</v>
      </c>
      <c r="N11" s="622" t="s">
        <v>228</v>
      </c>
      <c r="O11" s="622"/>
      <c r="P11" s="403"/>
      <c r="Q11" s="622" t="s">
        <v>154</v>
      </c>
      <c r="R11" s="622"/>
      <c r="T11" s="377" t="s">
        <v>155</v>
      </c>
      <c r="U11" s="369"/>
    </row>
    <row r="12" spans="1:21">
      <c r="D12" s="373">
        <v>2014</v>
      </c>
      <c r="E12" s="374"/>
      <c r="F12" s="373">
        <v>2014</v>
      </c>
      <c r="G12" s="374"/>
      <c r="H12" s="373" t="s">
        <v>94</v>
      </c>
      <c r="I12" s="374"/>
      <c r="J12" s="373">
        <v>2015</v>
      </c>
      <c r="L12" s="378">
        <v>2016</v>
      </c>
      <c r="M12" s="378"/>
      <c r="N12" s="622" t="s">
        <v>229</v>
      </c>
      <c r="O12" s="622"/>
      <c r="P12" s="403"/>
      <c r="Q12" s="622" t="s">
        <v>229</v>
      </c>
      <c r="R12" s="622"/>
      <c r="T12" s="377" t="s">
        <v>156</v>
      </c>
      <c r="U12" s="369"/>
    </row>
    <row r="13" spans="1:21" ht="16.5" thickBot="1">
      <c r="D13" s="379" t="s">
        <v>31</v>
      </c>
      <c r="E13" s="374"/>
      <c r="F13" s="379" t="s">
        <v>31</v>
      </c>
      <c r="G13" s="374"/>
      <c r="H13" s="379" t="s">
        <v>31</v>
      </c>
      <c r="I13" s="374"/>
      <c r="J13" s="379" t="s">
        <v>31</v>
      </c>
      <c r="L13" s="380" t="s">
        <v>31</v>
      </c>
      <c r="M13" s="381"/>
      <c r="N13" s="382" t="s">
        <v>31</v>
      </c>
      <c r="O13" s="382" t="s">
        <v>52</v>
      </c>
      <c r="P13" s="382"/>
      <c r="Q13" s="382" t="s">
        <v>31</v>
      </c>
      <c r="R13" s="382" t="s">
        <v>52</v>
      </c>
      <c r="T13" s="382" t="s">
        <v>31</v>
      </c>
      <c r="U13" s="369"/>
    </row>
    <row r="14" spans="1:21">
      <c r="D14" s="383">
        <v>1</v>
      </c>
      <c r="E14" s="383"/>
      <c r="F14" s="383"/>
      <c r="G14" s="383"/>
      <c r="H14" s="383">
        <v>2</v>
      </c>
      <c r="I14" s="383"/>
      <c r="J14" s="383"/>
      <c r="K14" s="383"/>
      <c r="L14" s="383">
        <v>3</v>
      </c>
      <c r="M14" s="384"/>
      <c r="N14" s="384" t="s">
        <v>199</v>
      </c>
      <c r="O14" s="384">
        <v>5</v>
      </c>
      <c r="P14" s="384"/>
      <c r="Q14" s="384" t="s">
        <v>158</v>
      </c>
      <c r="R14" s="384">
        <v>7</v>
      </c>
      <c r="T14" s="385">
        <v>8</v>
      </c>
      <c r="U14" s="369"/>
    </row>
    <row r="15" spans="1:21">
      <c r="A15" s="383"/>
      <c r="T15" s="371"/>
      <c r="U15" s="369"/>
    </row>
    <row r="16" spans="1:21" ht="16.5" thickBot="1">
      <c r="A16" s="383">
        <v>1</v>
      </c>
      <c r="B16" s="372" t="s">
        <v>0</v>
      </c>
      <c r="D16" s="386">
        <f>[41]INPUT!C66/1000</f>
        <v>296.16640000000001</v>
      </c>
      <c r="E16" s="387"/>
      <c r="F16" s="386">
        <f>'[41]Budget 2014'!O65/1000</f>
        <v>304.19499999999999</v>
      </c>
      <c r="G16" s="387"/>
      <c r="H16" s="386">
        <f>[41]INPUT!E66/1000</f>
        <v>293.81545</v>
      </c>
      <c r="I16" s="387"/>
      <c r="J16" s="386">
        <f>[41]INPUT!D66/1000</f>
        <v>293.51499999999999</v>
      </c>
      <c r="K16" s="387"/>
      <c r="L16" s="386">
        <f>[41]INPUT!F66/1000</f>
        <v>389.49799999999999</v>
      </c>
      <c r="M16" s="388"/>
      <c r="N16" s="386">
        <f>H16-D16</f>
        <v>-2.3509500000000116</v>
      </c>
      <c r="O16" s="389">
        <f>IF(D16&gt;0,N16/D16,0)</f>
        <v>-7.9379362412482016E-3</v>
      </c>
      <c r="P16" s="389"/>
      <c r="Q16" s="390">
        <f>L16-H16</f>
        <v>95.682549999999992</v>
      </c>
      <c r="R16" s="389">
        <f>IF(H16&gt;0,Q16/H16,0)</f>
        <v>0.32565527102131625</v>
      </c>
      <c r="S16" s="404" t="s">
        <v>325</v>
      </c>
      <c r="T16" s="391">
        <f>L16</f>
        <v>389.49799999999999</v>
      </c>
      <c r="U16" s="369"/>
    </row>
    <row r="17" spans="1:21" ht="16.5" thickTop="1">
      <c r="A17" s="383"/>
      <c r="B17" s="372"/>
      <c r="D17" s="392"/>
      <c r="E17" s="387"/>
      <c r="F17" s="392"/>
      <c r="G17" s="387"/>
      <c r="H17" s="392"/>
      <c r="I17" s="387"/>
      <c r="J17" s="392"/>
      <c r="K17" s="387"/>
      <c r="L17" s="392"/>
      <c r="M17" s="393"/>
      <c r="N17" s="392"/>
      <c r="O17" s="393"/>
      <c r="P17" s="393"/>
      <c r="Q17" s="393"/>
      <c r="T17" s="394"/>
      <c r="U17" s="369"/>
    </row>
    <row r="18" spans="1:21">
      <c r="A18" s="383"/>
      <c r="D18" s="387"/>
      <c r="E18" s="387"/>
      <c r="F18" s="387"/>
      <c r="G18" s="387"/>
      <c r="H18" s="387"/>
      <c r="I18" s="387"/>
      <c r="J18" s="387"/>
      <c r="K18" s="387"/>
      <c r="L18" s="387"/>
      <c r="N18" s="387"/>
      <c r="T18" s="394"/>
      <c r="U18" s="369"/>
    </row>
    <row r="19" spans="1:21">
      <c r="A19" s="383"/>
      <c r="B19" s="13" t="s">
        <v>3</v>
      </c>
      <c r="D19" s="387"/>
      <c r="E19" s="387"/>
      <c r="F19" s="387"/>
      <c r="G19" s="387"/>
      <c r="H19" s="387"/>
      <c r="I19" s="387"/>
      <c r="J19" s="387"/>
      <c r="K19" s="387"/>
      <c r="L19" s="387"/>
      <c r="N19" s="387"/>
      <c r="T19" s="394"/>
      <c r="U19" s="369"/>
    </row>
    <row r="20" spans="1:21">
      <c r="A20" s="383"/>
      <c r="D20" s="387"/>
      <c r="E20" s="387"/>
      <c r="F20" s="387"/>
      <c r="G20" s="387"/>
      <c r="H20" s="387"/>
      <c r="I20" s="387"/>
      <c r="J20" s="387"/>
      <c r="K20" s="387"/>
      <c r="L20" s="387"/>
      <c r="N20" s="387"/>
      <c r="T20" s="394"/>
      <c r="U20" s="369"/>
    </row>
    <row r="21" spans="1:21">
      <c r="A21" s="383">
        <v>2</v>
      </c>
      <c r="B21" s="369" t="s">
        <v>33</v>
      </c>
      <c r="D21" s="387">
        <f>([41]INPUT!C359-[41]INPUT!C66-[41]INPUT!C124)/1000</f>
        <v>196.46026999999933</v>
      </c>
      <c r="E21" s="387"/>
      <c r="F21" s="387">
        <f>('[41]Budget 2014'!O358-'[41]Budget 2014'!O41-'[41]Budget 2014'!O123)/1000</f>
        <v>170.63500000000025</v>
      </c>
      <c r="G21" s="387"/>
      <c r="H21" s="387">
        <f>([41]INPUT!E359-[41]INPUT!E66-[41]INPUT!E124)/1000</f>
        <v>302.416</v>
      </c>
      <c r="I21" s="387"/>
      <c r="J21" s="387">
        <f>([41]INPUT!D359-[41]INPUT!D66-[41]INPUT!D124)/1000</f>
        <v>337.91</v>
      </c>
      <c r="K21" s="387"/>
      <c r="L21" s="387">
        <f>([41]INPUT!F359-[41]INPUT!F66-[41]INPUT!F124)/1000</f>
        <v>322.089</v>
      </c>
      <c r="M21" s="393"/>
      <c r="N21" s="387">
        <f>H21-D21</f>
        <v>105.95573000000067</v>
      </c>
      <c r="O21" s="389">
        <f t="shared" ref="O21" si="0">N21/D21</f>
        <v>0.53932395593267302</v>
      </c>
      <c r="P21" s="389"/>
      <c r="Q21" s="387">
        <f t="shared" ref="Q21" si="1">L21-H21</f>
        <v>19.673000000000002</v>
      </c>
      <c r="R21" s="389">
        <f t="shared" ref="R21" si="2">Q21/H21</f>
        <v>6.5052774985450507E-2</v>
      </c>
      <c r="T21" s="394">
        <f t="shared" ref="T21:T31" si="3">L21</f>
        <v>322.089</v>
      </c>
      <c r="U21" s="369"/>
    </row>
    <row r="22" spans="1:21">
      <c r="A22" s="383"/>
      <c r="D22" s="387"/>
      <c r="E22" s="387"/>
      <c r="F22" s="387"/>
      <c r="G22" s="387"/>
      <c r="H22" s="387"/>
      <c r="I22" s="387"/>
      <c r="J22" s="387"/>
      <c r="K22" s="387"/>
      <c r="L22" s="387"/>
      <c r="N22" s="387"/>
      <c r="O22" s="389"/>
      <c r="P22" s="389"/>
      <c r="Q22" s="387"/>
      <c r="R22" s="389"/>
      <c r="T22" s="394"/>
      <c r="U22" s="369"/>
    </row>
    <row r="23" spans="1:21">
      <c r="A23" s="383"/>
      <c r="B23" s="369" t="s">
        <v>53</v>
      </c>
      <c r="D23" s="387"/>
      <c r="E23" s="387"/>
      <c r="F23" s="387"/>
      <c r="G23" s="387"/>
      <c r="H23" s="387"/>
      <c r="I23" s="387"/>
      <c r="J23" s="387"/>
      <c r="K23" s="387"/>
      <c r="L23" s="387"/>
      <c r="N23" s="387"/>
      <c r="O23" s="389"/>
      <c r="P23" s="389"/>
      <c r="Q23" s="387"/>
      <c r="R23" s="389"/>
      <c r="T23" s="394"/>
      <c r="U23" s="369"/>
    </row>
    <row r="24" spans="1:21">
      <c r="A24" s="383">
        <v>3</v>
      </c>
      <c r="B24" s="369" t="s">
        <v>144</v>
      </c>
      <c r="D24" s="387">
        <v>518.82899999999995</v>
      </c>
      <c r="E24" s="387"/>
      <c r="F24" s="387">
        <v>518.82899999999995</v>
      </c>
      <c r="G24" s="387"/>
      <c r="H24" s="387">
        <v>571.47</v>
      </c>
      <c r="I24" s="387"/>
      <c r="J24" s="387">
        <v>571.47</v>
      </c>
      <c r="K24" s="387"/>
      <c r="L24" s="387">
        <v>0</v>
      </c>
      <c r="N24" s="387">
        <f>H24-D24</f>
        <v>52.641000000000076</v>
      </c>
      <c r="O24" s="389">
        <f t="shared" ref="O24:O29" si="4">N24/D24</f>
        <v>0.10146117506924263</v>
      </c>
      <c r="P24" s="389"/>
      <c r="Q24" s="387">
        <f t="shared" ref="Q24:Q31" si="5">L24-H24</f>
        <v>-571.47</v>
      </c>
      <c r="R24" s="389">
        <f>Q24/H24</f>
        <v>-1</v>
      </c>
      <c r="T24" s="394">
        <f t="shared" si="3"/>
        <v>0</v>
      </c>
      <c r="U24" s="369"/>
    </row>
    <row r="25" spans="1:21">
      <c r="A25" s="383">
        <v>4</v>
      </c>
      <c r="B25" s="369" t="s">
        <v>54</v>
      </c>
      <c r="D25" s="446">
        <f>206.89+71.489+215+0.014</f>
        <v>493.39300000000003</v>
      </c>
      <c r="E25" s="387"/>
      <c r="F25" s="387">
        <f>206.89+71.442+215</f>
        <v>493.33199999999999</v>
      </c>
      <c r="G25" s="395"/>
      <c r="H25" s="387">
        <f>221.229+56.903+450</f>
        <v>728.13200000000006</v>
      </c>
      <c r="I25" s="387"/>
      <c r="J25" s="387">
        <f>221.229+56.903+450</f>
        <v>728.13200000000006</v>
      </c>
      <c r="K25" s="395"/>
      <c r="L25" s="387">
        <f>208.941+450</f>
        <v>658.94100000000003</v>
      </c>
      <c r="M25" s="393"/>
      <c r="N25" s="387">
        <f t="shared" ref="N25:N32" si="6">H25-D25</f>
        <v>234.73900000000003</v>
      </c>
      <c r="O25" s="389">
        <f t="shared" si="4"/>
        <v>0.47576475547889818</v>
      </c>
      <c r="P25" s="389"/>
      <c r="Q25" s="387">
        <f t="shared" si="5"/>
        <v>-69.191000000000031</v>
      </c>
      <c r="R25" s="389">
        <f t="shared" ref="R25:R30" si="7">Q25/H25</f>
        <v>-9.5025352545966973E-2</v>
      </c>
      <c r="T25" s="394">
        <f t="shared" si="3"/>
        <v>658.94100000000003</v>
      </c>
      <c r="U25" s="369"/>
    </row>
    <row r="26" spans="1:21">
      <c r="A26" s="383">
        <v>5</v>
      </c>
      <c r="B26" s="369" t="s">
        <v>145</v>
      </c>
      <c r="D26" s="446">
        <f>-43.978-34.344+194.004+47.84+77.669</f>
        <v>241.19099999999997</v>
      </c>
      <c r="E26" s="387"/>
      <c r="F26" s="387">
        <f>-43.978-34.344+194.004+47.84+77.669</f>
        <v>241.19099999999997</v>
      </c>
      <c r="G26" s="395"/>
      <c r="H26" s="387">
        <f>-34.344+194.004+47.84+77.669-303.615</f>
        <v>-18.446000000000026</v>
      </c>
      <c r="I26" s="387"/>
      <c r="J26" s="387">
        <f>-34.344+194.004+47.84+77.669-303.615</f>
        <v>-18.446000000000026</v>
      </c>
      <c r="K26" s="395"/>
      <c r="L26" s="387">
        <f>194.004+47.84+77.669-303.615-436.926</f>
        <v>-421.02800000000002</v>
      </c>
      <c r="M26" s="393"/>
      <c r="N26" s="387">
        <f t="shared" si="6"/>
        <v>-259.637</v>
      </c>
      <c r="O26" s="389">
        <f t="shared" si="4"/>
        <v>-1.0764788072523437</v>
      </c>
      <c r="P26" s="389"/>
      <c r="Q26" s="387">
        <f t="shared" si="5"/>
        <v>-402.58199999999999</v>
      </c>
      <c r="R26" s="389">
        <f t="shared" si="7"/>
        <v>21.82489428602404</v>
      </c>
      <c r="T26" s="394">
        <f t="shared" si="3"/>
        <v>-421.02800000000002</v>
      </c>
      <c r="U26" s="369"/>
    </row>
    <row r="27" spans="1:21">
      <c r="A27" s="383">
        <v>6</v>
      </c>
      <c r="B27" s="369" t="s">
        <v>146</v>
      </c>
      <c r="D27" s="446">
        <v>373.68700000000001</v>
      </c>
      <c r="E27" s="387"/>
      <c r="F27" s="387">
        <v>373.68700000000001</v>
      </c>
      <c r="G27" s="395"/>
      <c r="H27" s="387">
        <v>233.18100000000001</v>
      </c>
      <c r="I27" s="387"/>
      <c r="J27" s="387">
        <v>233.18100000000001</v>
      </c>
      <c r="K27" s="395"/>
      <c r="L27" s="387">
        <v>-50.625999999999998</v>
      </c>
      <c r="M27" s="393"/>
      <c r="N27" s="387">
        <f t="shared" si="6"/>
        <v>-140.506</v>
      </c>
      <c r="O27" s="389">
        <f t="shared" si="4"/>
        <v>-0.37599916507665504</v>
      </c>
      <c r="P27" s="389"/>
      <c r="Q27" s="387">
        <f t="shared" si="5"/>
        <v>-283.80700000000002</v>
      </c>
      <c r="R27" s="389">
        <f t="shared" si="7"/>
        <v>-1.2171103134474937</v>
      </c>
      <c r="T27" s="394">
        <f t="shared" si="3"/>
        <v>-50.625999999999998</v>
      </c>
      <c r="U27" s="369"/>
    </row>
    <row r="28" spans="1:21">
      <c r="A28" s="383">
        <v>7</v>
      </c>
      <c r="B28" s="369" t="s">
        <v>147</v>
      </c>
      <c r="D28" s="446">
        <f>82.534+13.693</f>
        <v>96.227000000000004</v>
      </c>
      <c r="E28" s="387"/>
      <c r="F28" s="387">
        <f>82.534+13.693</f>
        <v>96.227000000000004</v>
      </c>
      <c r="G28" s="395"/>
      <c r="H28" s="387">
        <f>40.567-62.14</f>
        <v>-21.573</v>
      </c>
      <c r="I28" s="387"/>
      <c r="J28" s="387">
        <f>40.567-62.14</f>
        <v>-21.573</v>
      </c>
      <c r="K28" s="395"/>
      <c r="L28" s="387">
        <f>40.567-67.681</f>
        <v>-27.113999999999997</v>
      </c>
      <c r="M28" s="393"/>
      <c r="N28" s="387">
        <f t="shared" si="6"/>
        <v>-117.80000000000001</v>
      </c>
      <c r="O28" s="389">
        <f t="shared" si="4"/>
        <v>-1.2241886372847539</v>
      </c>
      <c r="P28" s="389"/>
      <c r="Q28" s="387">
        <f t="shared" si="5"/>
        <v>-5.5409999999999968</v>
      </c>
      <c r="R28" s="389">
        <f t="shared" si="7"/>
        <v>0.25684883882631049</v>
      </c>
      <c r="T28" s="394">
        <f t="shared" si="3"/>
        <v>-27.113999999999997</v>
      </c>
      <c r="U28" s="369"/>
    </row>
    <row r="29" spans="1:21">
      <c r="A29" s="383">
        <v>8</v>
      </c>
      <c r="B29" s="369" t="s">
        <v>148</v>
      </c>
      <c r="D29" s="387">
        <f>308.228-115.012</f>
        <v>193.21600000000001</v>
      </c>
      <c r="E29" s="387"/>
      <c r="F29" s="387">
        <f>404.228-115.012</f>
        <v>289.21600000000001</v>
      </c>
      <c r="G29" s="395"/>
      <c r="H29" s="387">
        <f>136.198+285.213</f>
        <v>421.41100000000006</v>
      </c>
      <c r="I29" s="387"/>
      <c r="J29" s="387">
        <f>136.198+285.213</f>
        <v>421.41100000000006</v>
      </c>
      <c r="K29" s="395"/>
      <c r="L29" s="387">
        <f>157.261+386.523</f>
        <v>543.78399999999999</v>
      </c>
      <c r="M29" s="393"/>
      <c r="N29" s="387">
        <f t="shared" si="6"/>
        <v>228.19500000000005</v>
      </c>
      <c r="O29" s="389">
        <f t="shared" si="4"/>
        <v>1.1810357320304739</v>
      </c>
      <c r="P29" s="389"/>
      <c r="Q29" s="387">
        <f t="shared" si="5"/>
        <v>122.37299999999993</v>
      </c>
      <c r="R29" s="389">
        <f t="shared" si="7"/>
        <v>0.29038871790247506</v>
      </c>
      <c r="T29" s="394">
        <f t="shared" si="3"/>
        <v>543.78399999999999</v>
      </c>
      <c r="U29" s="369"/>
    </row>
    <row r="30" spans="1:21">
      <c r="A30" s="383">
        <v>9</v>
      </c>
      <c r="B30" s="369" t="s">
        <v>149</v>
      </c>
      <c r="D30" s="387">
        <v>96</v>
      </c>
      <c r="E30" s="387"/>
      <c r="F30" s="387">
        <v>0</v>
      </c>
      <c r="G30" s="395"/>
      <c r="H30" s="387">
        <v>85</v>
      </c>
      <c r="I30" s="387"/>
      <c r="J30" s="387">
        <v>85</v>
      </c>
      <c r="K30" s="395"/>
      <c r="L30" s="387">
        <f>59.8+12.95</f>
        <v>72.75</v>
      </c>
      <c r="M30" s="393"/>
      <c r="N30" s="387">
        <f t="shared" si="6"/>
        <v>-11</v>
      </c>
      <c r="O30" s="389">
        <f t="shared" ref="O30:O32" si="8">IF(D30&gt;0,N30/D30,0)</f>
        <v>-0.11458333333333333</v>
      </c>
      <c r="P30" s="389"/>
      <c r="Q30" s="387">
        <f t="shared" si="5"/>
        <v>-12.25</v>
      </c>
      <c r="R30" s="389">
        <f t="shared" si="7"/>
        <v>-0.14411764705882352</v>
      </c>
      <c r="T30" s="394">
        <f t="shared" si="3"/>
        <v>72.75</v>
      </c>
      <c r="U30" s="369"/>
    </row>
    <row r="31" spans="1:21">
      <c r="A31" s="383">
        <v>10</v>
      </c>
      <c r="B31" s="369" t="s">
        <v>150</v>
      </c>
      <c r="D31" s="387">
        <v>0</v>
      </c>
      <c r="E31" s="387"/>
      <c r="F31" s="387">
        <v>0</v>
      </c>
      <c r="H31" s="387">
        <v>0</v>
      </c>
      <c r="I31" s="387"/>
      <c r="J31" s="387">
        <v>0</v>
      </c>
      <c r="L31" s="387">
        <v>25.045000000000002</v>
      </c>
      <c r="N31" s="387">
        <f t="shared" si="6"/>
        <v>0</v>
      </c>
      <c r="O31" s="389">
        <f t="shared" si="8"/>
        <v>0</v>
      </c>
      <c r="P31" s="389"/>
      <c r="Q31" s="387">
        <f t="shared" si="5"/>
        <v>25.045000000000002</v>
      </c>
      <c r="R31" s="389">
        <f>IF(H31&gt;0,Q31/H31,0)</f>
        <v>0</v>
      </c>
      <c r="T31" s="394">
        <f t="shared" si="3"/>
        <v>25.045000000000002</v>
      </c>
      <c r="U31" s="369"/>
    </row>
    <row r="32" spans="1:21">
      <c r="A32" s="383">
        <v>11</v>
      </c>
      <c r="B32" s="369" t="s">
        <v>324</v>
      </c>
      <c r="D32" s="387">
        <v>0</v>
      </c>
      <c r="E32" s="387"/>
      <c r="F32" s="387">
        <v>0</v>
      </c>
      <c r="H32" s="387">
        <v>0</v>
      </c>
      <c r="I32" s="387"/>
      <c r="J32" s="387">
        <v>0</v>
      </c>
      <c r="L32" s="387">
        <v>124.627</v>
      </c>
      <c r="N32" s="387">
        <f t="shared" si="6"/>
        <v>0</v>
      </c>
      <c r="O32" s="389">
        <f t="shared" si="8"/>
        <v>0</v>
      </c>
      <c r="P32" s="389"/>
      <c r="Q32" s="387">
        <f>L32-H32</f>
        <v>124.627</v>
      </c>
      <c r="R32" s="389">
        <f>IF(H32&gt;0,Q32/H32,0)</f>
        <v>0</v>
      </c>
      <c r="T32" s="394"/>
      <c r="U32" s="369"/>
    </row>
    <row r="33" spans="1:21">
      <c r="A33" s="383"/>
      <c r="D33" s="387"/>
      <c r="E33" s="387"/>
      <c r="F33" s="387"/>
      <c r="H33" s="387"/>
      <c r="I33" s="387"/>
      <c r="J33" s="387"/>
      <c r="L33" s="387"/>
      <c r="N33" s="387"/>
      <c r="O33" s="389"/>
      <c r="P33" s="389"/>
      <c r="Q33" s="387"/>
      <c r="R33" s="389"/>
      <c r="T33" s="394"/>
      <c r="U33" s="369"/>
    </row>
    <row r="34" spans="1:21" hidden="1" outlineLevel="1">
      <c r="A34" s="383">
        <v>12</v>
      </c>
      <c r="B34" s="369" t="s">
        <v>160</v>
      </c>
      <c r="D34" s="387">
        <v>0</v>
      </c>
      <c r="E34" s="387"/>
      <c r="F34" s="387">
        <v>0</v>
      </c>
      <c r="H34" s="387">
        <v>0</v>
      </c>
      <c r="I34" s="387"/>
      <c r="J34" s="387">
        <v>0</v>
      </c>
      <c r="L34" s="387">
        <v>0</v>
      </c>
      <c r="N34" s="387">
        <v>0</v>
      </c>
      <c r="O34" s="389">
        <f>IF(D34&gt;0,N34/D34,0)</f>
        <v>0</v>
      </c>
      <c r="P34" s="389"/>
      <c r="Q34" s="387">
        <v>0</v>
      </c>
      <c r="R34" s="389">
        <f>IF(H34&gt;0,Q34/H34,0)</f>
        <v>0</v>
      </c>
      <c r="T34" s="394">
        <f>-[41]INPUT!K359/1000</f>
        <v>-16.379659999999916</v>
      </c>
      <c r="U34" s="369"/>
    </row>
    <row r="35" spans="1:21" hidden="1" outlineLevel="1">
      <c r="A35" s="383"/>
      <c r="D35" s="396"/>
      <c r="E35" s="387"/>
      <c r="F35" s="396"/>
      <c r="G35" s="387"/>
      <c r="H35" s="396"/>
      <c r="I35" s="387"/>
      <c r="J35" s="396"/>
      <c r="K35" s="387"/>
      <c r="L35" s="396"/>
      <c r="N35" s="396"/>
      <c r="Q35" s="397"/>
      <c r="T35" s="398"/>
      <c r="U35" s="369"/>
    </row>
    <row r="36" spans="1:21" hidden="1" outlineLevel="1">
      <c r="A36" s="383"/>
      <c r="D36" s="387"/>
      <c r="E36" s="387"/>
      <c r="F36" s="387"/>
      <c r="G36" s="387"/>
      <c r="H36" s="387"/>
      <c r="I36" s="387"/>
      <c r="J36" s="387"/>
      <c r="K36" s="387"/>
      <c r="L36" s="387"/>
      <c r="N36" s="387"/>
      <c r="T36" s="371"/>
      <c r="U36" s="369"/>
    </row>
    <row r="37" spans="1:21" ht="16.5" collapsed="1" thickBot="1">
      <c r="A37" s="383">
        <v>12</v>
      </c>
      <c r="B37" s="13" t="s">
        <v>12</v>
      </c>
      <c r="D37" s="386">
        <f>SUM(D21:D34)</f>
        <v>2209.0032699999997</v>
      </c>
      <c r="E37" s="387"/>
      <c r="F37" s="386">
        <f>SUM(F21:F34)</f>
        <v>2183.1170000000006</v>
      </c>
      <c r="G37" s="387"/>
      <c r="H37" s="386">
        <f>SUM(H21:H34)</f>
        <v>2301.5910000000003</v>
      </c>
      <c r="I37" s="387"/>
      <c r="J37" s="386">
        <f>SUM(J21:J34)</f>
        <v>2337.085</v>
      </c>
      <c r="K37" s="387"/>
      <c r="L37" s="386">
        <f>SUM(L21:L34)</f>
        <v>1248.4680000000001</v>
      </c>
      <c r="M37" s="388"/>
      <c r="N37" s="386">
        <f>H37-D37</f>
        <v>92.587730000000647</v>
      </c>
      <c r="O37" s="389">
        <f t="shared" ref="O37" si="9">N37/D37</f>
        <v>4.1913803957384213E-2</v>
      </c>
      <c r="P37" s="389"/>
      <c r="Q37" s="386">
        <f>L37-H37</f>
        <v>-1053.1230000000003</v>
      </c>
      <c r="R37" s="389">
        <f t="shared" ref="R37" si="10">Q37/H37</f>
        <v>-0.45756305095040783</v>
      </c>
      <c r="T37" s="391">
        <f>SUM(T21:T34)</f>
        <v>1107.4613400000003</v>
      </c>
      <c r="U37" s="369"/>
    </row>
    <row r="38" spans="1:21" ht="16.5" thickTop="1">
      <c r="D38" s="387"/>
      <c r="E38" s="387"/>
      <c r="F38" s="387"/>
      <c r="G38" s="387"/>
      <c r="H38" s="387"/>
      <c r="I38" s="387"/>
      <c r="J38" s="387"/>
      <c r="K38" s="387"/>
      <c r="U38" s="369"/>
    </row>
    <row r="39" spans="1:21">
      <c r="D39" s="387"/>
      <c r="E39" s="387"/>
      <c r="F39" s="387"/>
      <c r="G39" s="387"/>
      <c r="U39" s="369"/>
    </row>
    <row r="40" spans="1:21">
      <c r="A40" s="369" t="s">
        <v>49</v>
      </c>
      <c r="B40" s="369" t="s">
        <v>71</v>
      </c>
      <c r="D40" s="387"/>
      <c r="E40" s="387"/>
      <c r="F40" s="387"/>
      <c r="G40" s="387"/>
      <c r="U40" s="369"/>
    </row>
    <row r="41" spans="1:21">
      <c r="B41" s="395" t="s">
        <v>39</v>
      </c>
      <c r="D41" s="387"/>
      <c r="E41" s="387"/>
      <c r="F41" s="387"/>
      <c r="G41" s="387"/>
      <c r="U41" s="369"/>
    </row>
    <row r="42" spans="1:21">
      <c r="D42" s="387"/>
      <c r="E42" s="387"/>
      <c r="F42" s="387"/>
      <c r="G42" s="387"/>
      <c r="U42" s="369"/>
    </row>
    <row r="43" spans="1:21">
      <c r="A43" s="404" t="s">
        <v>325</v>
      </c>
      <c r="B43" s="369" t="s">
        <v>327</v>
      </c>
      <c r="D43" s="387"/>
      <c r="E43" s="387"/>
      <c r="F43" s="387"/>
      <c r="G43" s="387"/>
      <c r="U43" s="369"/>
    </row>
    <row r="44" spans="1:21">
      <c r="B44" s="619" t="s">
        <v>326</v>
      </c>
      <c r="C44" s="619"/>
      <c r="D44" s="619"/>
      <c r="E44" s="619"/>
      <c r="F44" s="619"/>
      <c r="G44" s="619"/>
      <c r="H44" s="619"/>
      <c r="I44" s="619"/>
      <c r="J44" s="619"/>
      <c r="K44" s="619"/>
      <c r="L44" s="619"/>
    </row>
    <row r="45" spans="1:21">
      <c r="B45" s="619"/>
      <c r="C45" s="619"/>
      <c r="D45" s="619"/>
      <c r="E45" s="619"/>
      <c r="F45" s="619"/>
      <c r="G45" s="619"/>
      <c r="H45" s="619"/>
      <c r="I45" s="619"/>
      <c r="J45" s="619"/>
      <c r="K45" s="619"/>
      <c r="L45" s="619"/>
    </row>
    <row r="46" spans="1:21">
      <c r="B46" s="619"/>
      <c r="C46" s="619"/>
      <c r="D46" s="619"/>
      <c r="E46" s="619"/>
      <c r="F46" s="619"/>
      <c r="G46" s="619"/>
      <c r="H46" s="619"/>
      <c r="I46" s="619"/>
      <c r="J46" s="619"/>
      <c r="K46" s="619"/>
      <c r="L46" s="619"/>
      <c r="N46" s="620" t="s">
        <v>328</v>
      </c>
      <c r="O46" s="621"/>
      <c r="P46" s="621"/>
      <c r="Q46" s="621"/>
      <c r="R46" s="621"/>
      <c r="S46" s="621"/>
      <c r="U46" s="369"/>
    </row>
    <row r="47" spans="1:21" ht="33" customHeight="1">
      <c r="B47" s="619"/>
      <c r="C47" s="619"/>
      <c r="D47" s="619"/>
      <c r="E47" s="619"/>
      <c r="F47" s="619"/>
      <c r="G47" s="619"/>
      <c r="H47" s="619"/>
      <c r="I47" s="619"/>
      <c r="J47" s="619"/>
      <c r="K47" s="619"/>
      <c r="L47" s="619"/>
      <c r="M47" s="399"/>
      <c r="N47" s="621"/>
      <c r="O47" s="621"/>
      <c r="P47" s="621"/>
      <c r="Q47" s="621"/>
      <c r="R47" s="621"/>
      <c r="S47" s="621"/>
      <c r="T47" s="399" t="s">
        <v>96</v>
      </c>
      <c r="U47" s="369"/>
    </row>
    <row r="48" spans="1:21">
      <c r="H48" s="399"/>
      <c r="I48" s="399"/>
      <c r="J48" s="399"/>
      <c r="K48" s="399"/>
      <c r="L48" s="399"/>
      <c r="M48" s="399"/>
      <c r="N48" s="399"/>
      <c r="O48" s="399"/>
      <c r="P48" s="399"/>
      <c r="T48" s="399" t="s">
        <v>97</v>
      </c>
      <c r="U48" s="369"/>
    </row>
    <row r="49" spans="1:21">
      <c r="H49" s="399"/>
      <c r="I49" s="399"/>
      <c r="J49" s="399"/>
      <c r="K49" s="399"/>
      <c r="L49" s="399"/>
      <c r="M49" s="399"/>
      <c r="N49" s="399"/>
      <c r="O49" s="399"/>
      <c r="P49" s="399"/>
      <c r="T49" s="399" t="s">
        <v>51</v>
      </c>
      <c r="U49" s="369"/>
    </row>
    <row r="50" spans="1:21">
      <c r="A50" s="369" t="s">
        <v>98</v>
      </c>
      <c r="H50" s="399"/>
      <c r="I50" s="399"/>
      <c r="J50" s="399"/>
      <c r="K50" s="399"/>
      <c r="L50" s="399"/>
      <c r="M50" s="399"/>
      <c r="N50" s="399"/>
      <c r="O50" s="399"/>
      <c r="P50" s="399"/>
      <c r="T50" s="399" t="s">
        <v>99</v>
      </c>
      <c r="U50" s="369"/>
    </row>
    <row r="51" spans="1:21">
      <c r="U51" s="369"/>
    </row>
    <row r="52" spans="1:21">
      <c r="C52" s="400" t="s">
        <v>100</v>
      </c>
      <c r="D52" s="401">
        <f>D16+D37-([41]INPUT!C359)/1000</f>
        <v>-4.8999999944498995E-4</v>
      </c>
      <c r="E52" s="402"/>
      <c r="F52" s="401">
        <f>F16+F37-('[41]Budget 2014'!O358)/1000</f>
        <v>0</v>
      </c>
      <c r="G52" s="402"/>
      <c r="H52" s="401">
        <f>H16+H37-([41]INPUT!E359)/1000</f>
        <v>1.0000000002037268E-3</v>
      </c>
      <c r="I52" s="402"/>
      <c r="J52" s="401">
        <f>J16+J37-([41]INPUT!D359)/1000</f>
        <v>9.9999999974897946E-4</v>
      </c>
      <c r="K52" s="402"/>
      <c r="L52" s="401">
        <f>L16+L37-([41]INPUT!F359)/1000</f>
        <v>0</v>
      </c>
      <c r="U52" s="369"/>
    </row>
  </sheetData>
  <mergeCells count="11">
    <mergeCell ref="B44:L47"/>
    <mergeCell ref="N46:S47"/>
    <mergeCell ref="N12:O12"/>
    <mergeCell ref="Q12:R12"/>
    <mergeCell ref="A1:T1"/>
    <mergeCell ref="A2:T2"/>
    <mergeCell ref="A3:T3"/>
    <mergeCell ref="A4:T4"/>
    <mergeCell ref="N10:R10"/>
    <mergeCell ref="N11:O11"/>
    <mergeCell ref="Q11:R11"/>
  </mergeCells>
  <pageMargins left="0.7" right="0.7" top="0.75" bottom="0.75" header="0.3" footer="0.3"/>
  <pageSetup scale="65" orientation="landscape"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dimension ref="A1:U50"/>
  <sheetViews>
    <sheetView zoomScaleNormal="100" workbookViewId="0">
      <selection activeCell="B7" sqref="B7"/>
    </sheetView>
  </sheetViews>
  <sheetFormatPr baseColWidth="10" defaultColWidth="9.140625" defaultRowHeight="15.75"/>
  <cols>
    <col min="1" max="1" width="7.7109375" style="17" bestFit="1" customWidth="1"/>
    <col min="2" max="2" width="34.140625" style="17" customWidth="1"/>
    <col min="3" max="4" width="0" style="17" hidden="1" customWidth="1"/>
    <col min="5" max="5" width="3.85546875" style="17" hidden="1" customWidth="1"/>
    <col min="6" max="6" width="0" style="17" hidden="1" customWidth="1"/>
    <col min="7" max="7" width="3.85546875" style="17" hidden="1" customWidth="1"/>
    <col min="8" max="8" width="0" style="17" hidden="1" customWidth="1"/>
    <col min="9" max="9" width="9.140625" style="17"/>
    <col min="10" max="10" width="3.85546875" style="17" customWidth="1"/>
    <col min="11" max="11" width="0" style="17" hidden="1" customWidth="1"/>
    <col min="12" max="12" width="3.85546875" style="17" hidden="1" customWidth="1"/>
    <col min="13" max="13" width="9.140625" style="17"/>
    <col min="14" max="14" width="3.85546875" style="17" customWidth="1"/>
    <col min="15" max="15" width="0" style="17" hidden="1" customWidth="1"/>
    <col min="16" max="16" width="3.140625" style="17" hidden="1" customWidth="1"/>
    <col min="17" max="17" width="7.42578125" style="17" hidden="1" customWidth="1"/>
    <col min="18" max="18" width="9.140625" style="17"/>
    <col min="19" max="19" width="6.42578125" style="17" customWidth="1"/>
    <col min="20" max="20" width="4" style="17" customWidth="1"/>
    <col min="21" max="21" width="19.140625" style="17" hidden="1" customWidth="1"/>
    <col min="22" max="16384" width="9.140625" style="17"/>
  </cols>
  <sheetData>
    <row r="1" spans="1:21">
      <c r="A1" s="558" t="s">
        <v>8</v>
      </c>
      <c r="B1" s="558"/>
      <c r="C1" s="558"/>
      <c r="D1" s="558"/>
      <c r="E1" s="558"/>
      <c r="F1" s="558"/>
      <c r="G1" s="558"/>
      <c r="H1" s="558"/>
      <c r="I1" s="558"/>
      <c r="J1" s="558"/>
      <c r="K1" s="558"/>
      <c r="L1" s="558"/>
      <c r="M1" s="558"/>
      <c r="N1" s="558"/>
      <c r="O1" s="558"/>
      <c r="P1" s="558"/>
      <c r="Q1" s="558"/>
      <c r="R1" s="558"/>
      <c r="S1" s="558"/>
    </row>
    <row r="2" spans="1:21">
      <c r="A2" s="559" t="s">
        <v>487</v>
      </c>
      <c r="B2" s="559"/>
      <c r="C2" s="559"/>
      <c r="D2" s="559"/>
      <c r="E2" s="559"/>
      <c r="F2" s="559"/>
      <c r="G2" s="559"/>
      <c r="H2" s="559"/>
      <c r="I2" s="559"/>
      <c r="J2" s="559"/>
      <c r="K2" s="559"/>
      <c r="L2" s="559"/>
      <c r="M2" s="559"/>
      <c r="N2" s="559"/>
      <c r="O2" s="559"/>
      <c r="P2" s="559"/>
      <c r="Q2" s="559"/>
      <c r="R2" s="559"/>
      <c r="S2" s="559"/>
      <c r="T2" s="559"/>
    </row>
    <row r="3" spans="1:21">
      <c r="A3" s="560" t="s">
        <v>67</v>
      </c>
      <c r="B3" s="560"/>
      <c r="C3" s="560"/>
      <c r="D3" s="560"/>
      <c r="E3" s="560"/>
      <c r="F3" s="560"/>
      <c r="G3" s="560"/>
      <c r="H3" s="560"/>
      <c r="I3" s="560"/>
      <c r="J3" s="560"/>
      <c r="K3" s="560"/>
      <c r="L3" s="560"/>
      <c r="M3" s="560"/>
      <c r="N3" s="560"/>
      <c r="O3" s="560"/>
      <c r="P3" s="560"/>
      <c r="Q3" s="560"/>
      <c r="R3" s="560"/>
      <c r="S3" s="560"/>
    </row>
    <row r="4" spans="1:21">
      <c r="A4" s="561" t="s">
        <v>92</v>
      </c>
      <c r="B4" s="561"/>
      <c r="C4" s="561"/>
      <c r="D4" s="561"/>
      <c r="E4" s="561"/>
      <c r="F4" s="561"/>
      <c r="G4" s="561"/>
      <c r="H4" s="561"/>
      <c r="I4" s="561"/>
      <c r="J4" s="561"/>
      <c r="K4" s="561"/>
      <c r="L4" s="561"/>
      <c r="M4" s="561"/>
      <c r="N4" s="561"/>
      <c r="O4" s="561"/>
      <c r="P4" s="561"/>
      <c r="Q4" s="561"/>
      <c r="R4" s="561"/>
      <c r="S4" s="561"/>
    </row>
    <row r="6" spans="1:21">
      <c r="F6" s="155" t="s">
        <v>152</v>
      </c>
      <c r="G6" s="32"/>
      <c r="H6" s="32"/>
      <c r="I6" s="32"/>
      <c r="J6" s="32"/>
      <c r="K6" s="155" t="s">
        <v>152</v>
      </c>
      <c r="U6" s="155" t="s">
        <v>152</v>
      </c>
    </row>
    <row r="7" spans="1:21">
      <c r="O7" s="565" t="s">
        <v>36</v>
      </c>
      <c r="P7" s="565"/>
      <c r="Q7" s="565"/>
      <c r="R7" s="565"/>
      <c r="S7" s="565"/>
      <c r="U7" s="156"/>
    </row>
    <row r="8" spans="1:21">
      <c r="D8" s="157">
        <f>'[42]GI-28 Doc 6'!D7</f>
        <v>2014</v>
      </c>
      <c r="E8" s="158"/>
      <c r="F8" s="157">
        <v>2014</v>
      </c>
      <c r="G8" s="158"/>
      <c r="H8" s="157">
        <f>'[42]GI-28 Doc 6'!H7</f>
        <v>2015</v>
      </c>
      <c r="I8" s="83" t="s">
        <v>153</v>
      </c>
      <c r="J8" s="158"/>
      <c r="K8" s="157">
        <v>2015</v>
      </c>
      <c r="M8" s="505" t="s">
        <v>153</v>
      </c>
      <c r="O8" s="564" t="s">
        <v>403</v>
      </c>
      <c r="P8" s="564"/>
      <c r="Q8" s="564"/>
      <c r="R8" s="564" t="s">
        <v>156</v>
      </c>
      <c r="S8" s="564"/>
      <c r="U8" s="506" t="s">
        <v>155</v>
      </c>
    </row>
    <row r="9" spans="1:21">
      <c r="D9" s="157" t="str">
        <f>'[42]GI-28 Doc 6'!D8</f>
        <v>Réel</v>
      </c>
      <c r="E9" s="158"/>
      <c r="F9" s="160" t="s">
        <v>28</v>
      </c>
      <c r="G9" s="158"/>
      <c r="H9" s="157" t="str">
        <f>'[42]GI-28 Doc 6'!H8</f>
        <v>(4+8)</v>
      </c>
      <c r="I9" s="85">
        <v>2005</v>
      </c>
      <c r="J9" s="158"/>
      <c r="K9" s="160" t="s">
        <v>28</v>
      </c>
      <c r="M9" s="508">
        <v>2016</v>
      </c>
      <c r="N9" s="508"/>
      <c r="O9" s="564" t="e">
        <f>'[40]GI-28 Doc 5'!N10:P10</f>
        <v>#REF!</v>
      </c>
      <c r="P9" s="564"/>
      <c r="Q9" s="564"/>
      <c r="R9" s="564" t="s">
        <v>489</v>
      </c>
      <c r="S9" s="564"/>
      <c r="U9" s="506" t="s">
        <v>156</v>
      </c>
    </row>
    <row r="10" spans="1:21" ht="16.5" thickBot="1">
      <c r="D10" s="162" t="s">
        <v>31</v>
      </c>
      <c r="E10" s="158"/>
      <c r="F10" s="162" t="s">
        <v>31</v>
      </c>
      <c r="G10" s="158"/>
      <c r="H10" s="162" t="s">
        <v>31</v>
      </c>
      <c r="I10" s="87" t="s">
        <v>31</v>
      </c>
      <c r="J10" s="158"/>
      <c r="K10" s="162" t="s">
        <v>31</v>
      </c>
      <c r="M10" s="163" t="s">
        <v>31</v>
      </c>
      <c r="N10" s="164"/>
      <c r="O10" s="165" t="s">
        <v>31</v>
      </c>
      <c r="P10" s="165"/>
      <c r="Q10" s="165" t="s">
        <v>52</v>
      </c>
      <c r="R10" s="165" t="s">
        <v>31</v>
      </c>
      <c r="S10" s="165" t="s">
        <v>52</v>
      </c>
      <c r="U10" s="165" t="s">
        <v>31</v>
      </c>
    </row>
    <row r="11" spans="1:21">
      <c r="D11" s="32">
        <v>1</v>
      </c>
      <c r="E11" s="32"/>
      <c r="F11" s="32"/>
      <c r="G11" s="32"/>
      <c r="H11" s="32">
        <v>2</v>
      </c>
      <c r="I11" s="105">
        <v>1</v>
      </c>
      <c r="J11" s="32"/>
      <c r="K11" s="32"/>
      <c r="L11" s="32"/>
      <c r="M11" s="32">
        <v>2</v>
      </c>
      <c r="N11" s="166"/>
      <c r="O11" s="166" t="s">
        <v>199</v>
      </c>
      <c r="P11" s="166"/>
      <c r="Q11" s="166">
        <v>5</v>
      </c>
      <c r="R11" s="166" t="s">
        <v>488</v>
      </c>
      <c r="S11" s="166">
        <v>4</v>
      </c>
      <c r="T11"/>
      <c r="U11" s="167">
        <v>8</v>
      </c>
    </row>
    <row r="12" spans="1:21">
      <c r="A12" s="61"/>
      <c r="B12" s="57"/>
      <c r="C12" s="57"/>
      <c r="D12" s="20"/>
      <c r="E12" s="20"/>
      <c r="F12" s="20"/>
    </row>
    <row r="13" spans="1:21" ht="16.5" thickBot="1">
      <c r="A13" s="59">
        <v>1</v>
      </c>
      <c r="B13" s="58" t="s">
        <v>0</v>
      </c>
      <c r="C13" s="57"/>
      <c r="D13" s="24">
        <f>'25440'!D16+'25441'!D16</f>
        <v>448.08850000000001</v>
      </c>
      <c r="E13" s="20"/>
      <c r="F13" s="24">
        <f>'[42]25440'!F16+'[42]25441'!F16</f>
        <v>530.69899999999996</v>
      </c>
      <c r="H13" s="24">
        <f>'25440'!H16+'25441'!H16</f>
        <v>550.52280000000007</v>
      </c>
      <c r="I13" s="24">
        <v>0</v>
      </c>
      <c r="J13" s="510"/>
      <c r="K13" s="24">
        <f>'[42]25440'!J16+'[42]25441'!J16</f>
        <v>557.65899999999999</v>
      </c>
      <c r="M13" s="24">
        <f>'25440'!L16+'25441'!L16</f>
        <v>561.77599999999995</v>
      </c>
      <c r="N13" s="459" t="s">
        <v>38</v>
      </c>
      <c r="O13" s="24">
        <f>H13-D13</f>
        <v>102.43430000000006</v>
      </c>
      <c r="P13" s="459" t="s">
        <v>38</v>
      </c>
      <c r="Q13" s="108">
        <f>IF(D13&gt;0,O13/D13,0)</f>
        <v>0.22860283180666333</v>
      </c>
      <c r="R13" s="24">
        <f>M13-I13</f>
        <v>561.77599999999995</v>
      </c>
      <c r="S13" s="108">
        <f>IF(I13&gt;0,R13/I13,0)</f>
        <v>0</v>
      </c>
    </row>
    <row r="14" spans="1:21" ht="16.5" thickTop="1">
      <c r="A14" s="61"/>
      <c r="B14" s="62"/>
      <c r="C14" s="57"/>
      <c r="D14" s="20"/>
      <c r="E14" s="20"/>
      <c r="F14" s="20"/>
    </row>
    <row r="15" spans="1:21">
      <c r="A15" s="61"/>
      <c r="B15" s="62"/>
      <c r="C15" s="57"/>
      <c r="D15" s="20"/>
      <c r="E15" s="20"/>
      <c r="F15" s="20"/>
    </row>
    <row r="16" spans="1:21">
      <c r="A16" s="61"/>
      <c r="B16" s="58" t="s">
        <v>3</v>
      </c>
      <c r="C16" s="57"/>
      <c r="D16" s="20"/>
      <c r="E16" s="20"/>
      <c r="F16" s="20"/>
    </row>
    <row r="17" spans="1:20">
      <c r="A17" s="61"/>
      <c r="B17" s="57"/>
      <c r="C17" s="57"/>
      <c r="D17" s="20"/>
      <c r="E17" s="20"/>
      <c r="F17" s="20"/>
    </row>
    <row r="18" spans="1:20">
      <c r="A18" s="59">
        <v>2</v>
      </c>
      <c r="B18" s="60" t="s">
        <v>124</v>
      </c>
      <c r="C18" s="57">
        <v>25440</v>
      </c>
      <c r="D18" s="20">
        <f>'25440'!D21</f>
        <v>200.7358999999999</v>
      </c>
      <c r="E18" s="20"/>
      <c r="F18" s="20">
        <f>'[42]25440'!F21</f>
        <v>229.529</v>
      </c>
      <c r="H18" s="20">
        <f>'25440'!H21</f>
        <v>217.58467999999993</v>
      </c>
      <c r="I18" s="20">
        <v>0</v>
      </c>
      <c r="K18" s="20">
        <f>'[42]25440'!J21</f>
        <v>210.364</v>
      </c>
      <c r="M18" s="20">
        <f>'25440'!L21</f>
        <v>233.51900000000001</v>
      </c>
      <c r="O18" s="20">
        <f>H18-D18</f>
        <v>16.848780000000033</v>
      </c>
      <c r="Q18" s="108">
        <f t="shared" ref="Q18:Q20" si="0">IF(D18&gt;0,O18/D18,0)</f>
        <v>8.393506094325949E-2</v>
      </c>
      <c r="R18" s="20">
        <f t="shared" ref="R18:R22" si="1">M18-I18</f>
        <v>233.51900000000001</v>
      </c>
      <c r="S18" s="108">
        <f t="shared" ref="S18:S22" si="2">IF(I18&gt;0,R18/I18,0)</f>
        <v>0</v>
      </c>
      <c r="T18" s="232"/>
    </row>
    <row r="19" spans="1:20">
      <c r="A19" s="61"/>
      <c r="B19" s="57"/>
      <c r="C19" s="57"/>
      <c r="D19" s="20"/>
      <c r="E19" s="20"/>
      <c r="F19" s="20"/>
      <c r="O19" s="20"/>
      <c r="P19" s="20"/>
      <c r="Q19" s="108"/>
      <c r="R19" s="20"/>
      <c r="S19" s="108"/>
    </row>
    <row r="20" spans="1:20">
      <c r="A20" s="59">
        <v>3</v>
      </c>
      <c r="B20" s="60" t="s">
        <v>129</v>
      </c>
      <c r="C20" s="57">
        <v>25441</v>
      </c>
      <c r="D20" s="39">
        <f>'25441'!D21</f>
        <v>71.374750000000006</v>
      </c>
      <c r="E20" s="20"/>
      <c r="F20" s="39">
        <f>'[42]25441'!F21</f>
        <v>76.22508000000002</v>
      </c>
      <c r="H20" s="39">
        <f>'25441'!H21</f>
        <v>77.595030000000023</v>
      </c>
      <c r="I20" s="39">
        <v>0</v>
      </c>
      <c r="K20" s="39">
        <f>'[42]25441'!J21</f>
        <v>76.335999999999999</v>
      </c>
      <c r="M20" s="39">
        <f>'25441'!L21</f>
        <v>92.22</v>
      </c>
      <c r="O20" s="20">
        <f>H20-D20</f>
        <v>6.2202800000000167</v>
      </c>
      <c r="Q20" s="108">
        <f t="shared" si="0"/>
        <v>8.7149587213965957E-2</v>
      </c>
      <c r="R20" s="20">
        <f t="shared" si="1"/>
        <v>92.22</v>
      </c>
      <c r="S20" s="108">
        <f t="shared" si="2"/>
        <v>0</v>
      </c>
      <c r="T20" s="232"/>
    </row>
    <row r="21" spans="1:20">
      <c r="A21" s="59"/>
      <c r="B21" s="60"/>
      <c r="C21" s="57"/>
      <c r="D21" s="39"/>
      <c r="E21" s="20"/>
      <c r="F21" s="39"/>
      <c r="H21" s="39"/>
      <c r="I21" s="39"/>
      <c r="K21" s="39"/>
      <c r="M21" s="39"/>
      <c r="O21" s="20"/>
      <c r="P21" s="20"/>
      <c r="Q21" s="108"/>
      <c r="R21" s="20"/>
      <c r="S21" s="108"/>
    </row>
    <row r="22" spans="1:20">
      <c r="A22" s="59">
        <v>4</v>
      </c>
      <c r="B22" s="115" t="s">
        <v>160</v>
      </c>
      <c r="C22" s="57"/>
      <c r="D22" s="509">
        <v>-68.728999999999999</v>
      </c>
      <c r="E22" s="510" t="s">
        <v>41</v>
      </c>
      <c r="F22" s="509"/>
      <c r="G22" s="158"/>
      <c r="H22" s="509">
        <v>-71.515000000000001</v>
      </c>
      <c r="I22" s="509">
        <v>0</v>
      </c>
      <c r="J22" s="510"/>
      <c r="K22" s="509"/>
      <c r="L22" s="158"/>
      <c r="M22" s="509">
        <v>-75.510999999999996</v>
      </c>
      <c r="N22" s="510"/>
      <c r="O22" s="354">
        <f>H22-D22</f>
        <v>-2.7860000000000014</v>
      </c>
      <c r="P22" s="232"/>
      <c r="Q22" s="108">
        <f>O22/D22</f>
        <v>4.0536018274673014E-2</v>
      </c>
      <c r="R22" s="20">
        <f t="shared" si="1"/>
        <v>-75.510999999999996</v>
      </c>
      <c r="S22" s="108">
        <f t="shared" si="2"/>
        <v>0</v>
      </c>
      <c r="T22" s="232"/>
    </row>
    <row r="23" spans="1:20">
      <c r="A23" s="59"/>
      <c r="B23" s="115"/>
      <c r="C23" s="57"/>
      <c r="D23" s="39"/>
      <c r="E23" s="20"/>
      <c r="F23" s="39"/>
      <c r="H23" s="39"/>
      <c r="I23" s="39"/>
      <c r="K23" s="39"/>
      <c r="M23" s="39"/>
      <c r="O23" s="20"/>
      <c r="P23" s="232"/>
      <c r="Q23" s="108"/>
      <c r="R23" s="20"/>
      <c r="S23" s="108"/>
      <c r="T23" s="232"/>
    </row>
    <row r="24" spans="1:20">
      <c r="A24" s="61"/>
      <c r="B24" s="57"/>
      <c r="C24" s="57"/>
      <c r="D24" s="172"/>
      <c r="E24" s="20"/>
      <c r="F24" s="172"/>
      <c r="H24" s="42"/>
      <c r="I24" s="42"/>
      <c r="K24" s="42"/>
      <c r="M24" s="42"/>
      <c r="O24" s="42"/>
      <c r="P24" s="40"/>
      <c r="R24" s="42"/>
    </row>
    <row r="25" spans="1:20" ht="16.5" thickBot="1">
      <c r="A25" s="59">
        <v>5</v>
      </c>
      <c r="B25" s="58" t="s">
        <v>12</v>
      </c>
      <c r="C25" s="57"/>
      <c r="D25" s="24">
        <f>SUM(D18:D23)</f>
        <v>203.38164999999992</v>
      </c>
      <c r="E25" s="20"/>
      <c r="F25" s="24">
        <f>SUM(F18:F21)</f>
        <v>305.75408000000004</v>
      </c>
      <c r="H25" s="24">
        <f>SUM(H18:H23)</f>
        <v>223.66470999999996</v>
      </c>
      <c r="I25" s="24">
        <f>SUM(I18:I23)</f>
        <v>0</v>
      </c>
      <c r="K25" s="24">
        <f>SUM(K18:K21)</f>
        <v>286.7</v>
      </c>
      <c r="M25" s="24">
        <f>SUM(M18:M23)</f>
        <v>250.22800000000004</v>
      </c>
      <c r="N25" s="459" t="s">
        <v>39</v>
      </c>
      <c r="O25" s="24">
        <f>SUM(O18:O23)</f>
        <v>20.283060000000049</v>
      </c>
      <c r="P25" s="459" t="s">
        <v>39</v>
      </c>
      <c r="Q25" s="108">
        <f>IF(D25&gt;0,O25/D25,0)</f>
        <v>9.9729056185747622E-2</v>
      </c>
      <c r="R25" s="24">
        <f>SUM(R18:R23)</f>
        <v>250.22800000000004</v>
      </c>
      <c r="S25" s="108">
        <f t="shared" ref="S25" si="3">IF(I25&gt;0,R25/I25,0)</f>
        <v>0</v>
      </c>
      <c r="T25" s="459"/>
    </row>
    <row r="26" spans="1:20" ht="16.5" thickTop="1">
      <c r="A26" s="61"/>
      <c r="B26" s="62"/>
      <c r="C26" s="57"/>
      <c r="D26" s="20"/>
      <c r="E26" s="20"/>
      <c r="F26" s="20"/>
    </row>
    <row r="27" spans="1:20" ht="16.5" hidden="1" customHeight="1" thickBot="1">
      <c r="A27" s="59">
        <v>10</v>
      </c>
      <c r="B27" s="58" t="s">
        <v>15</v>
      </c>
      <c r="C27" s="57"/>
      <c r="D27" s="24">
        <f>D13+D25</f>
        <v>651.47014999999988</v>
      </c>
      <c r="E27" s="20"/>
      <c r="F27" s="24">
        <f>F13+F25</f>
        <v>836.45308</v>
      </c>
      <c r="H27" s="28" t="e">
        <f>#REF!/D27</f>
        <v>#REF!</v>
      </c>
      <c r="I27" s="28"/>
    </row>
    <row r="28" spans="1:20">
      <c r="D28" s="39"/>
      <c r="E28" s="20"/>
      <c r="F28" s="39"/>
      <c r="H28" s="39"/>
      <c r="I28" s="39"/>
      <c r="K28" s="39"/>
      <c r="M28" s="39"/>
      <c r="O28" s="20"/>
      <c r="Q28" s="108"/>
      <c r="R28" s="20"/>
      <c r="S28" s="108"/>
    </row>
    <row r="29" spans="1:20">
      <c r="D29" s="20"/>
      <c r="H29" s="20"/>
      <c r="I29" s="20"/>
      <c r="M29" s="20"/>
    </row>
    <row r="31" spans="1:20">
      <c r="D31" s="20"/>
      <c r="H31" s="20"/>
      <c r="I31" s="20"/>
      <c r="M31" s="20"/>
    </row>
    <row r="32" spans="1:20">
      <c r="D32" s="451"/>
      <c r="H32" s="451"/>
      <c r="I32" s="451"/>
      <c r="M32" s="451"/>
    </row>
    <row r="39" spans="1:20">
      <c r="A39" s="548" t="s">
        <v>49</v>
      </c>
      <c r="B39" s="548" t="s">
        <v>515</v>
      </c>
    </row>
    <row r="40" spans="1:20">
      <c r="A40" s="548"/>
      <c r="B40" s="548" t="s">
        <v>516</v>
      </c>
    </row>
    <row r="41" spans="1:20">
      <c r="N41" s="158"/>
      <c r="O41" s="158"/>
      <c r="P41" s="158"/>
      <c r="Q41" s="158"/>
      <c r="R41" s="158"/>
      <c r="S41" s="158"/>
      <c r="T41" s="158"/>
    </row>
    <row r="44" spans="1:20" ht="15.75" customHeight="1"/>
    <row r="46" spans="1:20">
      <c r="B46" s="25"/>
    </row>
    <row r="47" spans="1:20">
      <c r="S47" s="15" t="str">
        <f>'[42]GI-28 Doc 1'!Q65</f>
        <v>GI-28</v>
      </c>
    </row>
    <row r="48" spans="1:20">
      <c r="S48" s="15" t="s">
        <v>508</v>
      </c>
    </row>
    <row r="49" spans="1:19">
      <c r="S49" s="15" t="s">
        <v>51</v>
      </c>
    </row>
    <row r="50" spans="1:19">
      <c r="A50" s="17" t="str">
        <f>'GI-28 Doc 6.2'!A51</f>
        <v>Original: 2015-09-09</v>
      </c>
      <c r="S50" s="15" t="str">
        <f>'[42]GI-28 Doc 1'!Q68</f>
        <v>Requête 3924-2015</v>
      </c>
    </row>
  </sheetData>
  <mergeCells count="9">
    <mergeCell ref="O8:Q8"/>
    <mergeCell ref="R8:S8"/>
    <mergeCell ref="O9:Q9"/>
    <mergeCell ref="R9:S9"/>
    <mergeCell ref="A1:S1"/>
    <mergeCell ref="A3:S3"/>
    <mergeCell ref="A4:S4"/>
    <mergeCell ref="O7:S7"/>
    <mergeCell ref="A2:T2"/>
  </mergeCells>
  <printOptions horizontalCentered="1"/>
  <pageMargins left="0.36" right="0.47" top="0.984251969" bottom="0.5" header="0.38" footer="0.25"/>
  <pageSetup scale="90"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tabColor rgb="FF00EE6C"/>
    <pageSetUpPr fitToPage="1"/>
  </sheetPr>
  <dimension ref="A1:W56"/>
  <sheetViews>
    <sheetView zoomScaleNormal="100" workbookViewId="0">
      <selection activeCell="O37" sqref="O37"/>
    </sheetView>
  </sheetViews>
  <sheetFormatPr baseColWidth="10" defaultColWidth="9.140625" defaultRowHeight="15.75"/>
  <cols>
    <col min="1" max="1" width="7.7109375" style="17" bestFit="1" customWidth="1"/>
    <col min="2" max="2" width="34.140625" style="17" customWidth="1"/>
    <col min="3" max="3" width="0" style="17" hidden="1" customWidth="1"/>
    <col min="4" max="4" width="9.140625" style="17"/>
    <col min="5" max="5" width="3.85546875" style="17" customWidth="1"/>
    <col min="6" max="6" width="0" style="17" hidden="1" customWidth="1"/>
    <col min="7" max="7" width="3.85546875" style="17" hidden="1" customWidth="1"/>
    <col min="8" max="8" width="9.140625" style="17"/>
    <col min="9" max="9" width="3.85546875" style="17" customWidth="1"/>
    <col min="10" max="10" width="0" style="17" hidden="1" customWidth="1"/>
    <col min="11" max="11" width="3.85546875" style="17" hidden="1" customWidth="1"/>
    <col min="12" max="12" width="9.140625" style="17"/>
    <col min="13" max="13" width="3.85546875" style="17" customWidth="1"/>
    <col min="14" max="14" width="9.140625" style="17"/>
    <col min="15" max="15" width="3.140625" style="17" customWidth="1"/>
    <col min="16" max="16" width="7.42578125" style="17" customWidth="1"/>
    <col min="17" max="17" width="9.140625" style="17"/>
    <col min="18" max="18" width="6.42578125" style="17" customWidth="1"/>
    <col min="19" max="19" width="4" style="17" customWidth="1"/>
    <col min="20" max="20" width="19.140625" style="17" hidden="1" customWidth="1"/>
    <col min="21" max="16384" width="9.140625" style="17"/>
  </cols>
  <sheetData>
    <row r="1" spans="1:20">
      <c r="A1" s="558" t="s">
        <v>8</v>
      </c>
      <c r="B1" s="558"/>
      <c r="C1" s="558"/>
      <c r="D1" s="558"/>
      <c r="E1" s="558"/>
      <c r="F1" s="558"/>
      <c r="G1" s="558"/>
      <c r="H1" s="558"/>
      <c r="I1" s="558"/>
      <c r="J1" s="558"/>
      <c r="K1" s="558"/>
      <c r="L1" s="558"/>
      <c r="M1" s="558"/>
      <c r="N1" s="558"/>
      <c r="O1" s="558"/>
      <c r="P1" s="558"/>
      <c r="Q1" s="558"/>
      <c r="R1" s="558"/>
    </row>
    <row r="2" spans="1:20">
      <c r="A2" s="559" t="s">
        <v>9</v>
      </c>
      <c r="B2" s="559"/>
      <c r="C2" s="559"/>
      <c r="D2" s="559"/>
      <c r="E2" s="559"/>
      <c r="F2" s="559"/>
      <c r="G2" s="559"/>
      <c r="H2" s="559"/>
      <c r="I2" s="559"/>
      <c r="J2" s="559"/>
      <c r="K2" s="559"/>
      <c r="L2" s="559"/>
      <c r="M2" s="559"/>
      <c r="N2" s="559"/>
      <c r="O2" s="559"/>
      <c r="P2" s="559"/>
      <c r="Q2" s="559"/>
      <c r="R2" s="559"/>
    </row>
    <row r="3" spans="1:20">
      <c r="A3" s="560" t="s">
        <v>67</v>
      </c>
      <c r="B3" s="560"/>
      <c r="C3" s="560"/>
      <c r="D3" s="560"/>
      <c r="E3" s="560"/>
      <c r="F3" s="560"/>
      <c r="G3" s="560"/>
      <c r="H3" s="560"/>
      <c r="I3" s="560"/>
      <c r="J3" s="560"/>
      <c r="K3" s="560"/>
      <c r="L3" s="560"/>
      <c r="M3" s="560"/>
      <c r="N3" s="560"/>
      <c r="O3" s="560"/>
      <c r="P3" s="560"/>
      <c r="Q3" s="560"/>
      <c r="R3" s="560"/>
    </row>
    <row r="4" spans="1:20">
      <c r="A4" s="561" t="s">
        <v>92</v>
      </c>
      <c r="B4" s="561"/>
      <c r="C4" s="561"/>
      <c r="D4" s="561"/>
      <c r="E4" s="561"/>
      <c r="F4" s="561"/>
      <c r="G4" s="561"/>
      <c r="H4" s="561"/>
      <c r="I4" s="561"/>
      <c r="J4" s="561"/>
      <c r="K4" s="561"/>
      <c r="L4" s="561"/>
      <c r="M4" s="561"/>
      <c r="N4" s="561"/>
      <c r="O4" s="561"/>
      <c r="P4" s="561"/>
      <c r="Q4" s="561"/>
      <c r="R4" s="561"/>
    </row>
    <row r="6" spans="1:20">
      <c r="F6" s="155" t="s">
        <v>152</v>
      </c>
      <c r="G6" s="32"/>
      <c r="H6" s="32"/>
      <c r="I6" s="32"/>
      <c r="J6" s="155" t="s">
        <v>152</v>
      </c>
      <c r="T6" s="155" t="s">
        <v>152</v>
      </c>
    </row>
    <row r="7" spans="1:20">
      <c r="N7" s="565" t="s">
        <v>36</v>
      </c>
      <c r="O7" s="565"/>
      <c r="P7" s="565"/>
      <c r="Q7" s="565"/>
      <c r="R7" s="565"/>
      <c r="T7" s="156"/>
    </row>
    <row r="8" spans="1:20">
      <c r="D8" s="157">
        <f>'[42]GI-28 Doc 6'!D7</f>
        <v>2014</v>
      </c>
      <c r="E8" s="158"/>
      <c r="F8" s="157">
        <v>2014</v>
      </c>
      <c r="G8" s="158"/>
      <c r="H8" s="157">
        <f>'[42]GI-28 Doc 6'!H7</f>
        <v>2015</v>
      </c>
      <c r="I8" s="158"/>
      <c r="J8" s="157">
        <v>2015</v>
      </c>
      <c r="L8" s="505" t="s">
        <v>153</v>
      </c>
      <c r="N8" s="564" t="str">
        <f>'[42]GI-28 Doc 6'!N7:P7</f>
        <v>2015 (4+8)</v>
      </c>
      <c r="O8" s="564"/>
      <c r="P8" s="564"/>
      <c r="Q8" s="564" t="str">
        <f>'[42]GI-28 Doc 6'!Q7:R7</f>
        <v>Cause 2016</v>
      </c>
      <c r="R8" s="564"/>
      <c r="T8" s="506" t="s">
        <v>155</v>
      </c>
    </row>
    <row r="9" spans="1:20">
      <c r="D9" s="157" t="str">
        <f>'[42]GI-28 Doc 6'!D8</f>
        <v>Réel</v>
      </c>
      <c r="E9" s="158"/>
      <c r="F9" s="160" t="s">
        <v>28</v>
      </c>
      <c r="G9" s="158"/>
      <c r="H9" s="157" t="str">
        <f>'[42]GI-28 Doc 6'!H8</f>
        <v>(4+8)</v>
      </c>
      <c r="I9" s="158"/>
      <c r="J9" s="160" t="s">
        <v>28</v>
      </c>
      <c r="L9" s="508">
        <v>2016</v>
      </c>
      <c r="M9" s="508"/>
      <c r="N9" s="564" t="str">
        <f>'[42]GI-28 Doc 6'!N8:P8</f>
        <v>vs Réel 2014</v>
      </c>
      <c r="O9" s="564"/>
      <c r="P9" s="564"/>
      <c r="Q9" s="564" t="str">
        <f>'[42]GI-28 Doc 6'!Q8:R8</f>
        <v>vs 2015 (4+8)</v>
      </c>
      <c r="R9" s="564"/>
      <c r="T9" s="506" t="s">
        <v>156</v>
      </c>
    </row>
    <row r="10" spans="1:20" ht="16.5" thickBot="1">
      <c r="D10" s="162" t="s">
        <v>31</v>
      </c>
      <c r="E10" s="158"/>
      <c r="F10" s="162" t="s">
        <v>31</v>
      </c>
      <c r="G10" s="158"/>
      <c r="H10" s="162" t="s">
        <v>31</v>
      </c>
      <c r="I10" s="158"/>
      <c r="J10" s="162" t="s">
        <v>31</v>
      </c>
      <c r="L10" s="163" t="s">
        <v>31</v>
      </c>
      <c r="M10" s="164"/>
      <c r="N10" s="165" t="s">
        <v>31</v>
      </c>
      <c r="O10" s="165"/>
      <c r="P10" s="165" t="s">
        <v>52</v>
      </c>
      <c r="Q10" s="165" t="s">
        <v>31</v>
      </c>
      <c r="R10" s="165" t="s">
        <v>52</v>
      </c>
      <c r="T10" s="165" t="s">
        <v>31</v>
      </c>
    </row>
    <row r="11" spans="1:20">
      <c r="D11" s="32">
        <v>1</v>
      </c>
      <c r="E11" s="32"/>
      <c r="F11" s="32"/>
      <c r="G11" s="32"/>
      <c r="H11" s="32">
        <v>2</v>
      </c>
      <c r="I11" s="32"/>
      <c r="J11" s="32"/>
      <c r="K11" s="32"/>
      <c r="L11" s="32">
        <v>3</v>
      </c>
      <c r="M11" s="166"/>
      <c r="N11" s="166" t="s">
        <v>199</v>
      </c>
      <c r="O11" s="166"/>
      <c r="P11" s="166">
        <v>5</v>
      </c>
      <c r="Q11" s="166" t="s">
        <v>158</v>
      </c>
      <c r="R11" s="166">
        <v>7</v>
      </c>
      <c r="S11"/>
      <c r="T11" s="167">
        <v>8</v>
      </c>
    </row>
    <row r="12" spans="1:20">
      <c r="A12" s="61"/>
      <c r="B12" s="57"/>
      <c r="C12" s="57"/>
      <c r="D12" s="20"/>
      <c r="E12" s="20"/>
      <c r="F12" s="20"/>
    </row>
    <row r="13" spans="1:20" ht="16.5" thickBot="1">
      <c r="A13" s="59">
        <v>1</v>
      </c>
      <c r="B13" s="58" t="s">
        <v>0</v>
      </c>
      <c r="C13" s="57"/>
      <c r="D13" s="24">
        <f>'25440'!D16+'25441'!D16</f>
        <v>448.08850000000001</v>
      </c>
      <c r="E13" s="20"/>
      <c r="F13" s="24">
        <f>'[42]25440'!F16+'[42]25441'!F16</f>
        <v>530.69899999999996</v>
      </c>
      <c r="H13" s="24">
        <f>'25440'!H16+'25441'!H16</f>
        <v>550.52280000000007</v>
      </c>
      <c r="J13" s="24">
        <f>'[42]25440'!J16+'[42]25441'!J16</f>
        <v>557.65899999999999</v>
      </c>
      <c r="L13" s="24">
        <f>'25440'!L16+'25441'!L16</f>
        <v>561.77599999999995</v>
      </c>
      <c r="N13" s="24">
        <f>H13-D13</f>
        <v>102.43430000000006</v>
      </c>
      <c r="O13" s="459" t="s">
        <v>38</v>
      </c>
      <c r="P13" s="511">
        <f>IF(D13&gt;0,N13/D13,0)</f>
        <v>0.22860283180666333</v>
      </c>
      <c r="Q13" s="24">
        <f>L13-H13</f>
        <v>11.253199999999879</v>
      </c>
      <c r="R13" s="511">
        <f>IF(H13&gt;0,Q13/H13,0)</f>
        <v>2.0440933599843416E-2</v>
      </c>
    </row>
    <row r="14" spans="1:20" ht="16.5" thickTop="1">
      <c r="A14" s="61"/>
      <c r="B14" s="62"/>
      <c r="C14" s="57"/>
      <c r="D14" s="20"/>
      <c r="E14" s="20"/>
      <c r="F14" s="20"/>
    </row>
    <row r="15" spans="1:20">
      <c r="A15" s="61"/>
      <c r="B15" s="62"/>
      <c r="C15" s="57"/>
      <c r="D15" s="20"/>
      <c r="E15" s="20"/>
      <c r="F15" s="20"/>
    </row>
    <row r="16" spans="1:20">
      <c r="A16" s="61"/>
      <c r="B16" s="58" t="s">
        <v>3</v>
      </c>
      <c r="C16" s="57"/>
      <c r="D16" s="20"/>
      <c r="E16" s="20"/>
      <c r="F16" s="20"/>
    </row>
    <row r="17" spans="1:19">
      <c r="A17" s="61"/>
      <c r="B17" s="57"/>
      <c r="C17" s="57"/>
      <c r="D17" s="20"/>
      <c r="E17" s="20"/>
      <c r="F17" s="20"/>
    </row>
    <row r="18" spans="1:19">
      <c r="A18" s="59">
        <v>2</v>
      </c>
      <c r="B18" s="60" t="s">
        <v>124</v>
      </c>
      <c r="C18" s="57">
        <v>25440</v>
      </c>
      <c r="D18" s="20">
        <f>'25440'!D21</f>
        <v>200.7358999999999</v>
      </c>
      <c r="E18" s="20"/>
      <c r="F18" s="20">
        <f>'[42]25440'!F21</f>
        <v>229.529</v>
      </c>
      <c r="H18" s="20">
        <f>'25440'!H21</f>
        <v>217.58467999999993</v>
      </c>
      <c r="J18" s="20">
        <f>'[42]25440'!J21</f>
        <v>210.364</v>
      </c>
      <c r="L18" s="20">
        <f>'25440'!L21</f>
        <v>233.51900000000001</v>
      </c>
      <c r="N18" s="20">
        <f>H18-D18</f>
        <v>16.848780000000033</v>
      </c>
      <c r="P18" s="511">
        <f t="shared" ref="P18:P20" si="0">IF(D18&gt;0,N18/D18,0)</f>
        <v>8.393506094325949E-2</v>
      </c>
      <c r="Q18" s="20">
        <f>L18-H18</f>
        <v>15.934320000000071</v>
      </c>
      <c r="R18" s="511">
        <f t="shared" ref="R18:R20" si="1">IF(H18&gt;0,Q18/H18,0)</f>
        <v>7.3232729436650018E-2</v>
      </c>
      <c r="S18" s="232"/>
    </row>
    <row r="19" spans="1:19">
      <c r="A19" s="61"/>
      <c r="B19" s="57"/>
      <c r="C19" s="57"/>
      <c r="D19" s="20"/>
      <c r="E19" s="20"/>
      <c r="F19" s="20"/>
      <c r="N19" s="20"/>
      <c r="O19" s="20"/>
      <c r="P19" s="511"/>
      <c r="Q19" s="20"/>
      <c r="R19" s="511"/>
    </row>
    <row r="20" spans="1:19">
      <c r="A20" s="59">
        <v>3</v>
      </c>
      <c r="B20" s="60" t="s">
        <v>129</v>
      </c>
      <c r="C20" s="57">
        <v>25441</v>
      </c>
      <c r="D20" s="39">
        <f>'25441'!D21</f>
        <v>71.374750000000006</v>
      </c>
      <c r="E20" s="20"/>
      <c r="F20" s="39">
        <f>'[42]25441'!F21</f>
        <v>76.22508000000002</v>
      </c>
      <c r="H20" s="39">
        <f>'25441'!H21</f>
        <v>77.595030000000023</v>
      </c>
      <c r="J20" s="39">
        <f>'[42]25441'!J21</f>
        <v>76.335999999999999</v>
      </c>
      <c r="L20" s="39">
        <f>'25441'!L21</f>
        <v>92.22</v>
      </c>
      <c r="N20" s="20">
        <f>H20-D20</f>
        <v>6.2202800000000167</v>
      </c>
      <c r="P20" s="511">
        <f t="shared" si="0"/>
        <v>8.7149587213965957E-2</v>
      </c>
      <c r="Q20" s="20">
        <f>L20-H20</f>
        <v>14.624969999999976</v>
      </c>
      <c r="R20" s="511">
        <f t="shared" si="1"/>
        <v>0.18847817959474947</v>
      </c>
      <c r="S20" s="232"/>
    </row>
    <row r="21" spans="1:19">
      <c r="A21" s="59"/>
      <c r="B21" s="60"/>
      <c r="C21" s="57"/>
      <c r="D21" s="39"/>
      <c r="E21" s="20"/>
      <c r="F21" s="39"/>
      <c r="H21" s="39"/>
      <c r="J21" s="39"/>
      <c r="L21" s="39"/>
      <c r="N21" s="20"/>
      <c r="O21" s="20"/>
      <c r="P21" s="511"/>
      <c r="Q21" s="20"/>
      <c r="R21" s="511"/>
    </row>
    <row r="22" spans="1:19">
      <c r="A22" s="59">
        <v>4</v>
      </c>
      <c r="B22" s="512" t="s">
        <v>160</v>
      </c>
      <c r="C22" s="57"/>
      <c r="D22" s="472">
        <v>-68.728999999999999</v>
      </c>
      <c r="E22" s="459" t="s">
        <v>41</v>
      </c>
      <c r="F22" s="472"/>
      <c r="G22" s="202"/>
      <c r="H22" s="472">
        <v>-71.515000000000001</v>
      </c>
      <c r="I22" s="459" t="s">
        <v>42</v>
      </c>
      <c r="J22" s="472"/>
      <c r="K22" s="202"/>
      <c r="L22" s="472">
        <v>-75.510999999999996</v>
      </c>
      <c r="M22" s="459" t="s">
        <v>43</v>
      </c>
      <c r="N22" s="20">
        <f>H22-D22</f>
        <v>-2.7860000000000014</v>
      </c>
      <c r="O22" s="232"/>
      <c r="P22" s="511">
        <f>N22/D22</f>
        <v>4.0536018274673014E-2</v>
      </c>
      <c r="Q22" s="20">
        <f>L22-H22</f>
        <v>-3.9959999999999951</v>
      </c>
      <c r="R22" s="511">
        <f>Q22/H22</f>
        <v>5.5876389568621898E-2</v>
      </c>
      <c r="S22" s="232"/>
    </row>
    <row r="23" spans="1:19">
      <c r="A23" s="59"/>
      <c r="B23" s="512"/>
      <c r="C23" s="57"/>
      <c r="D23" s="39"/>
      <c r="E23" s="20"/>
      <c r="F23" s="39"/>
      <c r="H23" s="39"/>
      <c r="J23" s="39"/>
      <c r="L23" s="39"/>
      <c r="N23" s="20"/>
      <c r="O23" s="232"/>
      <c r="P23" s="511"/>
      <c r="Q23" s="20"/>
      <c r="R23" s="511"/>
      <c r="S23" s="232"/>
    </row>
    <row r="24" spans="1:19">
      <c r="A24" s="61"/>
      <c r="B24" s="57"/>
      <c r="C24" s="57"/>
      <c r="D24" s="172"/>
      <c r="E24" s="20"/>
      <c r="F24" s="172"/>
      <c r="H24" s="42"/>
      <c r="J24" s="42"/>
      <c r="L24" s="42"/>
      <c r="N24" s="42"/>
      <c r="O24" s="40"/>
      <c r="Q24" s="42"/>
    </row>
    <row r="25" spans="1:19" ht="16.5" thickBot="1">
      <c r="A25" s="59">
        <v>5</v>
      </c>
      <c r="B25" s="58" t="s">
        <v>12</v>
      </c>
      <c r="C25" s="57"/>
      <c r="D25" s="24">
        <f>SUM(D18:D23)</f>
        <v>203.38164999999992</v>
      </c>
      <c r="E25" s="20"/>
      <c r="F25" s="24">
        <f>SUM(F18:F21)</f>
        <v>305.75408000000004</v>
      </c>
      <c r="H25" s="24">
        <f>SUM(H18:H23)</f>
        <v>223.66470999999996</v>
      </c>
      <c r="J25" s="24">
        <f>SUM(J18:J21)</f>
        <v>286.7</v>
      </c>
      <c r="L25" s="24">
        <f>SUM(L18:L23)</f>
        <v>250.22800000000004</v>
      </c>
      <c r="N25" s="24">
        <f>SUM(N18:N23)</f>
        <v>20.283060000000049</v>
      </c>
      <c r="O25" s="459" t="s">
        <v>39</v>
      </c>
      <c r="P25" s="511">
        <f>IF(D25&gt;0,N25/D25,0)</f>
        <v>9.9729056185747622E-2</v>
      </c>
      <c r="Q25" s="24">
        <f>SUM(Q18:Q23)</f>
        <v>26.563290000000052</v>
      </c>
      <c r="R25" s="511">
        <f>IF(H25&gt;0,Q25/H25,0)</f>
        <v>0.11876388546051837</v>
      </c>
      <c r="S25" s="459" t="s">
        <v>40</v>
      </c>
    </row>
    <row r="26" spans="1:19" ht="16.5" thickTop="1">
      <c r="A26" s="61"/>
      <c r="B26" s="62"/>
      <c r="C26" s="57"/>
      <c r="D26" s="20"/>
      <c r="E26" s="20"/>
      <c r="F26" s="20"/>
    </row>
    <row r="27" spans="1:19" ht="16.5" hidden="1" thickBot="1">
      <c r="A27" s="59">
        <v>10</v>
      </c>
      <c r="B27" s="58" t="s">
        <v>15</v>
      </c>
      <c r="C27" s="57"/>
      <c r="D27" s="24">
        <f>D13+D25</f>
        <v>651.47014999999988</v>
      </c>
      <c r="E27" s="20"/>
      <c r="F27" s="24">
        <f>F13+F25</f>
        <v>836.45308</v>
      </c>
      <c r="H27" s="28" t="e">
        <f>#REF!/D27</f>
        <v>#REF!</v>
      </c>
    </row>
    <row r="28" spans="1:19">
      <c r="D28" s="39"/>
      <c r="E28" s="20"/>
      <c r="F28" s="39"/>
      <c r="H28" s="39"/>
      <c r="J28" s="39"/>
      <c r="L28" s="39"/>
      <c r="N28" s="20"/>
      <c r="P28" s="511"/>
      <c r="Q28" s="20"/>
      <c r="R28" s="511"/>
    </row>
    <row r="29" spans="1:19">
      <c r="D29" s="20">
        <f>SUM(D13:D20)</f>
        <v>720.19914999999992</v>
      </c>
      <c r="H29" s="20">
        <f>SUM(H13:H20)</f>
        <v>845.70251000000007</v>
      </c>
      <c r="L29" s="20">
        <f>SUM(L13:L20)</f>
        <v>887.51499999999999</v>
      </c>
    </row>
    <row r="30" spans="1:19">
      <c r="D30" s="17">
        <f>673.8-720.2</f>
        <v>-46.400000000000091</v>
      </c>
      <c r="H30" s="17">
        <v>-144.6</v>
      </c>
      <c r="L30" s="17">
        <v>-147.19999999999999</v>
      </c>
    </row>
    <row r="31" spans="1:19">
      <c r="D31" s="20">
        <f>SUM(D29:D30)</f>
        <v>673.79914999999983</v>
      </c>
      <c r="H31" s="20">
        <f>SUM(H29:H30)</f>
        <v>701.10251000000005</v>
      </c>
      <c r="L31" s="20">
        <f>SUM(L29:L30)</f>
        <v>740.31500000000005</v>
      </c>
    </row>
    <row r="32" spans="1:19">
      <c r="D32" s="451">
        <f>D31*10.2%</f>
        <v>68.727513299999984</v>
      </c>
      <c r="H32" s="451">
        <f>H31*10.2%</f>
        <v>71.512456020000002</v>
      </c>
      <c r="L32" s="451">
        <f>L31*10.2%</f>
        <v>75.512129999999999</v>
      </c>
    </row>
    <row r="39" spans="1:23">
      <c r="A39" s="17" t="s">
        <v>73</v>
      </c>
      <c r="B39" s="17" t="s">
        <v>410</v>
      </c>
    </row>
    <row r="40" spans="1:23">
      <c r="B40" s="17" t="s">
        <v>411</v>
      </c>
    </row>
    <row r="41" spans="1:23">
      <c r="B41" s="17" t="s">
        <v>412</v>
      </c>
      <c r="M41" s="158"/>
      <c r="N41" s="158"/>
      <c r="O41" s="158"/>
      <c r="P41" s="158"/>
      <c r="Q41" s="158"/>
      <c r="R41" s="158"/>
      <c r="S41" s="158"/>
    </row>
    <row r="42" spans="1:23">
      <c r="B42" s="624" t="s">
        <v>415</v>
      </c>
      <c r="C42" s="624"/>
      <c r="D42" s="624"/>
      <c r="E42" s="624"/>
      <c r="F42" s="624"/>
      <c r="G42" s="624"/>
      <c r="H42" s="624"/>
      <c r="I42" s="624"/>
      <c r="J42" s="624"/>
      <c r="K42" s="624"/>
      <c r="L42" s="624"/>
      <c r="M42" s="624"/>
      <c r="N42" s="624"/>
      <c r="O42" s="624"/>
      <c r="P42" s="624"/>
      <c r="Q42" s="624"/>
      <c r="R42" s="624"/>
      <c r="S42" s="158"/>
    </row>
    <row r="43" spans="1:23">
      <c r="B43" s="624"/>
      <c r="C43" s="624"/>
      <c r="D43" s="624"/>
      <c r="E43" s="624"/>
      <c r="F43" s="624"/>
      <c r="G43" s="624"/>
      <c r="H43" s="624"/>
      <c r="I43" s="624"/>
      <c r="J43" s="624"/>
      <c r="K43" s="624"/>
      <c r="L43" s="624"/>
      <c r="M43" s="624"/>
      <c r="N43" s="624"/>
      <c r="O43" s="624"/>
      <c r="P43" s="624"/>
      <c r="Q43" s="624"/>
      <c r="R43" s="624"/>
      <c r="S43" s="158"/>
    </row>
    <row r="44" spans="1:23">
      <c r="B44" s="624"/>
      <c r="C44" s="624"/>
      <c r="D44" s="624"/>
      <c r="E44" s="624"/>
      <c r="F44" s="624"/>
      <c r="G44" s="624"/>
      <c r="H44" s="624"/>
      <c r="I44" s="624"/>
      <c r="J44" s="624"/>
      <c r="K44" s="624"/>
      <c r="L44" s="624"/>
      <c r="M44" s="624"/>
      <c r="N44" s="624"/>
      <c r="O44" s="624"/>
      <c r="P44" s="624"/>
      <c r="Q44" s="624"/>
      <c r="R44" s="624"/>
      <c r="S44" s="158"/>
    </row>
    <row r="45" spans="1:23" ht="15.75" customHeight="1">
      <c r="B45" s="624" t="s">
        <v>416</v>
      </c>
      <c r="C45" s="624"/>
      <c r="D45" s="624"/>
      <c r="E45" s="624"/>
      <c r="F45" s="624"/>
      <c r="G45" s="624"/>
      <c r="H45" s="624"/>
      <c r="I45" s="624"/>
      <c r="J45" s="624"/>
      <c r="K45" s="624"/>
      <c r="L45" s="624"/>
      <c r="M45" s="624"/>
      <c r="N45" s="624"/>
      <c r="O45" s="624"/>
      <c r="P45" s="624"/>
      <c r="Q45" s="624"/>
      <c r="R45" s="624"/>
      <c r="W45" s="25"/>
    </row>
    <row r="46" spans="1:23">
      <c r="B46" s="624"/>
      <c r="C46" s="624"/>
      <c r="D46" s="624"/>
      <c r="E46" s="624"/>
      <c r="F46" s="624"/>
      <c r="G46" s="624"/>
      <c r="H46" s="624"/>
      <c r="I46" s="624"/>
      <c r="J46" s="624"/>
      <c r="K46" s="624"/>
      <c r="L46" s="624"/>
      <c r="M46" s="624"/>
      <c r="N46" s="624"/>
      <c r="O46" s="624"/>
      <c r="P46" s="624"/>
      <c r="Q46" s="624"/>
      <c r="R46" s="624"/>
      <c r="S46" s="158"/>
      <c r="W46" s="25"/>
    </row>
    <row r="47" spans="1:23">
      <c r="B47" s="624"/>
      <c r="C47" s="624"/>
      <c r="D47" s="624"/>
      <c r="E47" s="624"/>
      <c r="F47" s="624"/>
      <c r="G47" s="624"/>
      <c r="H47" s="624"/>
      <c r="I47" s="624"/>
      <c r="J47" s="624"/>
      <c r="K47" s="624"/>
      <c r="L47" s="624"/>
      <c r="M47" s="624"/>
      <c r="N47" s="624"/>
      <c r="O47" s="624"/>
      <c r="P47" s="624"/>
      <c r="Q47" s="624"/>
      <c r="R47" s="624"/>
      <c r="S47" s="158"/>
    </row>
    <row r="48" spans="1:23">
      <c r="B48" s="624" t="s">
        <v>417</v>
      </c>
      <c r="C48" s="624"/>
      <c r="D48" s="624"/>
      <c r="E48" s="624"/>
      <c r="F48" s="624"/>
      <c r="G48" s="624"/>
      <c r="H48" s="624"/>
      <c r="I48" s="624"/>
      <c r="J48" s="624"/>
      <c r="K48" s="624"/>
      <c r="L48" s="624"/>
      <c r="M48" s="624"/>
      <c r="N48" s="624"/>
      <c r="O48" s="624"/>
      <c r="P48" s="624"/>
      <c r="Q48" s="624"/>
      <c r="R48" s="624"/>
    </row>
    <row r="49" spans="1:23">
      <c r="B49" s="624"/>
      <c r="C49" s="624"/>
      <c r="D49" s="624"/>
      <c r="E49" s="624"/>
      <c r="F49" s="624"/>
      <c r="G49" s="624"/>
      <c r="H49" s="624"/>
      <c r="I49" s="624"/>
      <c r="J49" s="624"/>
      <c r="K49" s="624"/>
      <c r="L49" s="624"/>
      <c r="M49" s="624"/>
      <c r="N49" s="624"/>
      <c r="O49" s="624"/>
      <c r="P49" s="624"/>
      <c r="Q49" s="624"/>
      <c r="R49" s="624"/>
      <c r="W49" s="25"/>
    </row>
    <row r="50" spans="1:23">
      <c r="B50" s="624"/>
      <c r="C50" s="624"/>
      <c r="D50" s="624"/>
      <c r="E50" s="624"/>
      <c r="F50" s="624"/>
      <c r="G50" s="624"/>
      <c r="H50" s="624"/>
      <c r="I50" s="624"/>
      <c r="J50" s="624"/>
      <c r="K50" s="624"/>
      <c r="L50" s="624"/>
      <c r="M50" s="624"/>
      <c r="N50" s="624"/>
      <c r="O50" s="624"/>
      <c r="P50" s="624"/>
      <c r="Q50" s="624"/>
      <c r="R50" s="624"/>
    </row>
    <row r="52" spans="1:23">
      <c r="B52" s="25"/>
    </row>
    <row r="53" spans="1:23">
      <c r="R53" s="513" t="str">
        <f>'[42]GI-28 Doc 1'!Q65</f>
        <v>GI-28</v>
      </c>
    </row>
    <row r="54" spans="1:23">
      <c r="R54" s="513" t="s">
        <v>56</v>
      </c>
    </row>
    <row r="55" spans="1:23">
      <c r="R55" s="513" t="s">
        <v>51</v>
      </c>
    </row>
    <row r="56" spans="1:23">
      <c r="A56" s="17" t="str">
        <f>'[42]GI-28 Doc 1'!A68</f>
        <v>Original: 2015-08-28</v>
      </c>
      <c r="R56" s="513" t="str">
        <f>'[42]GI-28 Doc 1'!Q68</f>
        <v>Requête 3924-2015</v>
      </c>
    </row>
  </sheetData>
  <mergeCells count="12">
    <mergeCell ref="N8:P8"/>
    <mergeCell ref="Q8:R8"/>
    <mergeCell ref="A1:R1"/>
    <mergeCell ref="A2:R2"/>
    <mergeCell ref="A3:R3"/>
    <mergeCell ref="A4:R4"/>
    <mergeCell ref="N7:R7"/>
    <mergeCell ref="N9:P9"/>
    <mergeCell ref="Q9:R9"/>
    <mergeCell ref="B42:R44"/>
    <mergeCell ref="B45:R47"/>
    <mergeCell ref="B48:R50"/>
  </mergeCells>
  <printOptions horizontalCentered="1"/>
  <pageMargins left="0.36" right="0.47" top="0.984251969" bottom="0.5" header="0.38" footer="0.25"/>
  <pageSetup scale="10"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pageSetUpPr fitToPage="1"/>
  </sheetPr>
  <dimension ref="A1:W69"/>
  <sheetViews>
    <sheetView zoomScale="80" zoomScaleNormal="80" workbookViewId="0">
      <selection activeCell="O37" sqref="O37"/>
    </sheetView>
  </sheetViews>
  <sheetFormatPr baseColWidth="10" defaultColWidth="9.140625" defaultRowHeight="15.75"/>
  <cols>
    <col min="1" max="1" width="3.7109375" style="32" customWidth="1"/>
    <col min="2" max="2" width="12.140625" style="17" customWidth="1"/>
    <col min="3" max="4" width="9.140625" style="17"/>
    <col min="5" max="5" width="52" style="17" customWidth="1"/>
    <col min="6" max="8" width="9.140625" style="17"/>
    <col min="9" max="9" width="11.140625" style="17" customWidth="1"/>
    <col min="10" max="11" width="9.140625" style="17"/>
    <col min="12" max="12" width="3.85546875" style="17" customWidth="1"/>
    <col min="13" max="13" width="9.85546875" style="17" customWidth="1"/>
    <col min="14" max="16384" width="9.140625" style="17"/>
  </cols>
  <sheetData>
    <row r="1" spans="2:13" s="17" customFormat="1">
      <c r="B1" s="9" t="s">
        <v>8</v>
      </c>
      <c r="C1" s="16"/>
      <c r="D1" s="16"/>
      <c r="E1" s="16"/>
      <c r="F1" s="16"/>
      <c r="G1" s="16"/>
      <c r="H1" s="16"/>
      <c r="I1" s="16"/>
      <c r="J1" s="16"/>
      <c r="K1" s="16"/>
      <c r="L1" s="16"/>
      <c r="M1" s="16"/>
    </row>
    <row r="2" spans="2:13" s="17" customFormat="1">
      <c r="B2" s="10" t="s">
        <v>9</v>
      </c>
      <c r="C2" s="16"/>
      <c r="D2" s="16"/>
      <c r="E2" s="16"/>
      <c r="F2" s="16"/>
      <c r="G2" s="16"/>
      <c r="H2" s="16"/>
      <c r="I2" s="16"/>
      <c r="J2" s="16"/>
      <c r="K2" s="16"/>
      <c r="L2" s="16"/>
      <c r="M2" s="16"/>
    </row>
    <row r="3" spans="2:13" s="17" customFormat="1">
      <c r="B3" s="11" t="s">
        <v>130</v>
      </c>
      <c r="C3" s="16"/>
      <c r="D3" s="16"/>
      <c r="E3" s="16"/>
      <c r="F3" s="16"/>
      <c r="G3" s="16"/>
      <c r="H3" s="16"/>
      <c r="I3" s="16"/>
      <c r="J3" s="16"/>
      <c r="K3" s="16"/>
      <c r="L3" s="16"/>
      <c r="M3" s="16"/>
    </row>
    <row r="4" spans="2:13" s="17" customFormat="1">
      <c r="B4" s="12" t="s">
        <v>92</v>
      </c>
      <c r="C4" s="16"/>
      <c r="D4" s="16"/>
      <c r="E4" s="16"/>
      <c r="F4" s="16"/>
      <c r="G4" s="16"/>
      <c r="H4" s="16"/>
      <c r="I4" s="16"/>
      <c r="J4" s="16"/>
      <c r="K4" s="226"/>
      <c r="L4" s="226"/>
      <c r="M4" s="16"/>
    </row>
    <row r="5" spans="2:13" s="17" customFormat="1" ht="27.75" customHeight="1"/>
    <row r="6" spans="2:13" s="17" customFormat="1" ht="31.5" customHeight="1">
      <c r="B6" s="566" t="s">
        <v>360</v>
      </c>
      <c r="C6" s="566"/>
      <c r="D6" s="566"/>
      <c r="E6" s="566"/>
      <c r="F6" s="566"/>
      <c r="G6" s="566"/>
      <c r="H6" s="566"/>
      <c r="I6" s="566"/>
      <c r="J6" s="566"/>
      <c r="K6" s="566"/>
      <c r="L6" s="566"/>
      <c r="M6" s="566"/>
    </row>
    <row r="7" spans="2:13" s="17" customFormat="1" ht="6" customHeight="1">
      <c r="B7" s="507"/>
      <c r="C7" s="507"/>
      <c r="D7" s="507"/>
      <c r="E7" s="507"/>
      <c r="F7" s="507"/>
      <c r="G7" s="507"/>
      <c r="H7" s="507"/>
      <c r="I7" s="507"/>
      <c r="J7" s="507"/>
      <c r="K7" s="507"/>
      <c r="L7" s="507"/>
      <c r="M7" s="507"/>
    </row>
    <row r="8" spans="2:13" s="17" customFormat="1" ht="94.5" customHeight="1">
      <c r="B8" s="566" t="s">
        <v>357</v>
      </c>
      <c r="C8" s="566"/>
      <c r="D8" s="566"/>
      <c r="E8" s="566"/>
      <c r="F8" s="566"/>
      <c r="G8" s="566"/>
      <c r="H8" s="566"/>
      <c r="I8" s="566"/>
      <c r="J8" s="566"/>
      <c r="K8" s="566"/>
      <c r="L8" s="566"/>
      <c r="M8" s="566"/>
    </row>
    <row r="9" spans="2:13" s="17" customFormat="1" ht="9.75" customHeight="1">
      <c r="B9" s="507"/>
      <c r="C9" s="507"/>
      <c r="D9" s="507"/>
      <c r="E9" s="507"/>
      <c r="F9" s="507"/>
      <c r="G9" s="507"/>
      <c r="H9" s="507"/>
      <c r="I9" s="507"/>
      <c r="J9" s="507"/>
      <c r="K9" s="507"/>
      <c r="L9" s="507"/>
      <c r="M9" s="507"/>
    </row>
    <row r="10" spans="2:13" s="17" customFormat="1" ht="32.25" customHeight="1">
      <c r="B10" s="566" t="s">
        <v>358</v>
      </c>
      <c r="C10" s="566"/>
      <c r="D10" s="566"/>
      <c r="E10" s="566"/>
      <c r="F10" s="566"/>
      <c r="G10" s="566"/>
      <c r="H10" s="566"/>
      <c r="I10" s="566"/>
      <c r="J10" s="566"/>
      <c r="K10" s="566"/>
      <c r="L10" s="566"/>
      <c r="M10" s="566"/>
    </row>
    <row r="11" spans="2:13" s="17" customFormat="1" ht="9.75" customHeight="1">
      <c r="B11" s="507"/>
      <c r="C11" s="507"/>
      <c r="D11" s="507"/>
      <c r="E11" s="507"/>
      <c r="F11" s="507"/>
      <c r="G11" s="507"/>
      <c r="H11" s="507"/>
      <c r="I11" s="507"/>
      <c r="J11" s="507"/>
      <c r="K11" s="507"/>
      <c r="L11" s="507"/>
      <c r="M11" s="507"/>
    </row>
    <row r="12" spans="2:13" s="17" customFormat="1" ht="51" customHeight="1">
      <c r="B12" s="566" t="s">
        <v>359</v>
      </c>
      <c r="C12" s="566"/>
      <c r="D12" s="566"/>
      <c r="E12" s="566"/>
      <c r="F12" s="566"/>
      <c r="G12" s="566"/>
      <c r="H12" s="566"/>
      <c r="I12" s="566"/>
      <c r="J12" s="566"/>
      <c r="K12" s="566"/>
      <c r="L12" s="566"/>
      <c r="M12" s="566"/>
    </row>
    <row r="13" spans="2:13" s="17" customFormat="1" ht="10.5" customHeight="1">
      <c r="B13" s="507"/>
      <c r="C13" s="507"/>
      <c r="D13" s="507"/>
      <c r="E13" s="507"/>
      <c r="F13" s="507"/>
      <c r="G13" s="507"/>
      <c r="H13" s="507"/>
      <c r="I13" s="507"/>
      <c r="J13" s="507"/>
      <c r="K13" s="507"/>
      <c r="L13" s="507"/>
      <c r="M13" s="507"/>
    </row>
    <row r="14" spans="2:13" s="17" customFormat="1" ht="87" customHeight="1">
      <c r="B14" s="566" t="s">
        <v>418</v>
      </c>
      <c r="C14" s="566"/>
      <c r="D14" s="566"/>
      <c r="E14" s="566"/>
      <c r="F14" s="566"/>
      <c r="G14" s="566"/>
      <c r="H14" s="566"/>
      <c r="I14" s="566"/>
      <c r="J14" s="566"/>
      <c r="K14" s="566"/>
      <c r="L14" s="566"/>
      <c r="M14" s="566"/>
    </row>
    <row r="15" spans="2:13" s="17" customFormat="1" ht="18" customHeight="1">
      <c r="B15" s="507"/>
      <c r="C15" s="507"/>
      <c r="D15" s="507"/>
      <c r="E15" s="507"/>
      <c r="F15" s="507"/>
      <c r="G15" s="507"/>
      <c r="H15" s="507"/>
      <c r="I15" s="507"/>
      <c r="J15" s="507"/>
      <c r="K15" s="507"/>
      <c r="L15" s="507"/>
      <c r="M15" s="507"/>
    </row>
    <row r="16" spans="2:13" s="17" customFormat="1">
      <c r="B16" s="566" t="s">
        <v>419</v>
      </c>
      <c r="C16" s="566"/>
      <c r="D16" s="566"/>
      <c r="E16" s="566"/>
      <c r="F16" s="566"/>
      <c r="G16" s="566"/>
      <c r="H16" s="566"/>
      <c r="I16" s="566"/>
      <c r="J16" s="566"/>
      <c r="K16" s="566"/>
      <c r="L16" s="566"/>
      <c r="M16" s="566"/>
    </row>
    <row r="17" spans="1:13" ht="18" customHeight="1">
      <c r="B17" s="507"/>
      <c r="C17" s="507"/>
      <c r="D17" s="507"/>
      <c r="E17" s="507"/>
      <c r="F17" s="507"/>
      <c r="G17" s="507"/>
      <c r="H17" s="507"/>
      <c r="I17" s="507"/>
      <c r="J17" s="507"/>
      <c r="K17" s="507"/>
      <c r="L17" s="507"/>
      <c r="M17" s="507"/>
    </row>
    <row r="18" spans="1:13">
      <c r="B18" s="242" t="s">
        <v>201</v>
      </c>
    </row>
    <row r="20" spans="1:13">
      <c r="A20" s="32">
        <v>1</v>
      </c>
      <c r="B20" s="55" t="s">
        <v>0</v>
      </c>
    </row>
    <row r="22" spans="1:13" ht="19.5" customHeight="1">
      <c r="B22" s="566" t="s">
        <v>353</v>
      </c>
      <c r="C22" s="566"/>
      <c r="D22" s="566"/>
      <c r="E22" s="566"/>
      <c r="F22" s="566"/>
      <c r="G22" s="566"/>
      <c r="H22" s="566"/>
      <c r="I22" s="566"/>
      <c r="J22" s="566"/>
      <c r="K22" s="566"/>
      <c r="M22" s="234"/>
    </row>
    <row r="23" spans="1:13" ht="16.5" thickBot="1">
      <c r="B23" s="566"/>
      <c r="C23" s="566"/>
      <c r="D23" s="566"/>
      <c r="E23" s="566"/>
      <c r="F23" s="566"/>
      <c r="G23" s="566"/>
      <c r="H23" s="566"/>
      <c r="I23" s="566"/>
      <c r="J23" s="566"/>
      <c r="K23" s="566"/>
      <c r="M23" s="235">
        <v>102.4</v>
      </c>
    </row>
    <row r="24" spans="1:13" ht="16.5" thickTop="1">
      <c r="M24" s="234"/>
    </row>
    <row r="25" spans="1:13">
      <c r="K25" s="234"/>
      <c r="L25" s="234"/>
    </row>
    <row r="26" spans="1:13">
      <c r="A26" s="32">
        <v>2</v>
      </c>
      <c r="B26" s="55" t="s">
        <v>3</v>
      </c>
      <c r="K26" s="234"/>
      <c r="L26" s="234"/>
    </row>
    <row r="27" spans="1:13">
      <c r="B27" s="55"/>
      <c r="K27" s="234"/>
      <c r="L27" s="234"/>
    </row>
    <row r="28" spans="1:13" ht="15" customHeight="1">
      <c r="B28" s="566" t="s">
        <v>354</v>
      </c>
      <c r="C28" s="566"/>
      <c r="D28" s="566"/>
      <c r="E28" s="566"/>
      <c r="F28" s="566"/>
      <c r="G28" s="566"/>
      <c r="H28" s="566"/>
      <c r="I28" s="566"/>
      <c r="J28" s="566"/>
      <c r="K28" s="566"/>
      <c r="L28" s="234"/>
    </row>
    <row r="29" spans="1:13" ht="8.25" customHeight="1">
      <c r="B29" s="625" t="s">
        <v>361</v>
      </c>
      <c r="C29" s="625"/>
      <c r="D29" s="625"/>
      <c r="E29" s="625"/>
      <c r="F29" s="625"/>
      <c r="G29" s="625"/>
      <c r="H29" s="625"/>
      <c r="I29" s="625"/>
      <c r="K29" s="234"/>
      <c r="L29" s="234"/>
    </row>
    <row r="30" spans="1:13" ht="10.5" customHeight="1">
      <c r="B30" s="625"/>
      <c r="C30" s="625"/>
      <c r="D30" s="625"/>
      <c r="E30" s="625"/>
      <c r="F30" s="625"/>
      <c r="G30" s="625"/>
      <c r="H30" s="625"/>
      <c r="I30" s="625"/>
      <c r="K30" s="234"/>
      <c r="L30" s="234"/>
    </row>
    <row r="31" spans="1:13" ht="33" customHeight="1">
      <c r="B31" s="625"/>
      <c r="C31" s="625"/>
      <c r="D31" s="625"/>
      <c r="E31" s="625"/>
      <c r="F31" s="625"/>
      <c r="G31" s="625"/>
      <c r="H31" s="625"/>
      <c r="I31" s="625"/>
      <c r="K31" s="234">
        <v>12.4</v>
      </c>
      <c r="L31" s="234"/>
    </row>
    <row r="32" spans="1:13">
      <c r="B32" s="55"/>
      <c r="K32" s="234"/>
      <c r="L32" s="234"/>
    </row>
    <row r="33" spans="1:23" ht="16.5" thickBot="1">
      <c r="B33" s="17" t="s">
        <v>355</v>
      </c>
      <c r="K33" s="234">
        <v>7.9</v>
      </c>
      <c r="L33" s="234"/>
      <c r="M33" s="235">
        <f>SUM(K31:K33)</f>
        <v>20.3</v>
      </c>
      <c r="N33" s="158"/>
      <c r="O33" s="514"/>
    </row>
    <row r="34" spans="1:23" ht="16.5" thickTop="1">
      <c r="K34" s="234"/>
      <c r="L34" s="234"/>
    </row>
    <row r="35" spans="1:23">
      <c r="K35" s="234"/>
      <c r="L35" s="234"/>
    </row>
    <row r="36" spans="1:23">
      <c r="B36" s="242" t="s">
        <v>202</v>
      </c>
      <c r="K36" s="234"/>
      <c r="L36" s="234"/>
    </row>
    <row r="37" spans="1:23">
      <c r="K37" s="234"/>
      <c r="L37" s="234"/>
    </row>
    <row r="38" spans="1:23">
      <c r="A38" s="32">
        <v>3</v>
      </c>
      <c r="B38" s="55" t="s">
        <v>3</v>
      </c>
      <c r="K38" s="234"/>
      <c r="L38" s="234"/>
    </row>
    <row r="39" spans="1:23">
      <c r="K39" s="234"/>
      <c r="L39" s="234"/>
    </row>
    <row r="40" spans="1:23">
      <c r="B40" s="566" t="s">
        <v>386</v>
      </c>
      <c r="C40" s="566"/>
      <c r="D40" s="566"/>
      <c r="E40" s="566"/>
      <c r="F40" s="566"/>
      <c r="G40" s="566"/>
      <c r="H40" s="566"/>
      <c r="I40" s="566"/>
      <c r="W40" s="426"/>
    </row>
    <row r="41" spans="1:23" ht="20.25" customHeight="1">
      <c r="B41" s="566"/>
      <c r="C41" s="566"/>
      <c r="D41" s="566"/>
      <c r="E41" s="566"/>
      <c r="F41" s="566"/>
      <c r="G41" s="566"/>
      <c r="H41" s="566"/>
      <c r="I41" s="566"/>
      <c r="K41" s="17">
        <v>15</v>
      </c>
      <c r="W41" s="426"/>
    </row>
    <row r="42" spans="1:23">
      <c r="W42" s="426"/>
    </row>
    <row r="43" spans="1:23">
      <c r="B43" s="17" t="s">
        <v>356</v>
      </c>
      <c r="K43" s="17">
        <v>11</v>
      </c>
      <c r="W43" s="427"/>
    </row>
    <row r="44" spans="1:23">
      <c r="W44" s="427"/>
    </row>
    <row r="45" spans="1:23" ht="16.5" thickBot="1">
      <c r="B45" s="17" t="s">
        <v>355</v>
      </c>
      <c r="K45" s="234">
        <v>0.6</v>
      </c>
      <c r="M45" s="235">
        <f>SUM(K40:K45)</f>
        <v>26.6</v>
      </c>
      <c r="N45" s="158"/>
      <c r="O45" s="514"/>
      <c r="P45" s="158"/>
      <c r="W45" s="427"/>
    </row>
    <row r="46" spans="1:23" ht="16.5" thickTop="1">
      <c r="W46" s="427"/>
    </row>
    <row r="47" spans="1:23">
      <c r="W47" s="427"/>
    </row>
    <row r="48" spans="1:23">
      <c r="W48" s="427"/>
    </row>
    <row r="49" spans="1:23">
      <c r="W49" s="427"/>
    </row>
    <row r="50" spans="1:23">
      <c r="W50" s="427"/>
    </row>
    <row r="51" spans="1:23">
      <c r="W51" s="427"/>
    </row>
    <row r="52" spans="1:23">
      <c r="W52" s="427"/>
    </row>
    <row r="53" spans="1:23">
      <c r="W53" s="427"/>
    </row>
    <row r="54" spans="1:23">
      <c r="W54" s="427"/>
    </row>
    <row r="56" spans="1:23">
      <c r="M56" s="77" t="str">
        <f>'[42]GI-28 Doc 1'!Q65</f>
        <v>GI-28</v>
      </c>
    </row>
    <row r="57" spans="1:23" ht="20.25" customHeight="1">
      <c r="A57" s="17"/>
      <c r="M57" s="77" t="s">
        <v>68</v>
      </c>
    </row>
    <row r="58" spans="1:23">
      <c r="A58" s="17"/>
      <c r="M58" s="77" t="s">
        <v>51</v>
      </c>
    </row>
    <row r="59" spans="1:23">
      <c r="A59" s="17"/>
      <c r="B59" s="17" t="str">
        <f>'[42]GI-28 Doc 1'!A68</f>
        <v>Original: 2015-08-28</v>
      </c>
      <c r="M59" s="77" t="str">
        <f>'[42]GI-28 Doc 1'!Q68</f>
        <v>Requête 3924-2015</v>
      </c>
    </row>
    <row r="60" spans="1:23">
      <c r="A60" s="17"/>
    </row>
    <row r="61" spans="1:23">
      <c r="A61" s="17"/>
    </row>
    <row r="62" spans="1:23">
      <c r="A62" s="17"/>
    </row>
    <row r="63" spans="1:23">
      <c r="A63" s="17"/>
    </row>
    <row r="64" spans="1:23">
      <c r="A64" s="17"/>
    </row>
    <row r="66" spans="1:1">
      <c r="A66" s="17"/>
    </row>
    <row r="67" spans="1:1">
      <c r="A67" s="17"/>
    </row>
    <row r="68" spans="1:1">
      <c r="A68" s="17"/>
    </row>
    <row r="69" spans="1:1">
      <c r="A69" s="17"/>
    </row>
  </sheetData>
  <mergeCells count="10">
    <mergeCell ref="B6:M6"/>
    <mergeCell ref="B8:M8"/>
    <mergeCell ref="B10:M10"/>
    <mergeCell ref="B12:M12"/>
    <mergeCell ref="B14:M14"/>
    <mergeCell ref="B16:M16"/>
    <mergeCell ref="B22:K23"/>
    <mergeCell ref="B28:K28"/>
    <mergeCell ref="B29:I31"/>
    <mergeCell ref="B40:I41"/>
  </mergeCells>
  <printOptions horizontalCentered="1"/>
  <pageMargins left="0.25" right="0.25" top="0.75" bottom="0.75" header="0.3" footer="0.3"/>
  <pageSetup scale="10"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tabColor rgb="FF00EE6C"/>
    <pageSetUpPr fitToPage="1"/>
  </sheetPr>
  <dimension ref="A1:S56"/>
  <sheetViews>
    <sheetView topLeftCell="A16" zoomScaleNormal="100" workbookViewId="0">
      <selection activeCell="O37" sqref="O37"/>
    </sheetView>
  </sheetViews>
  <sheetFormatPr baseColWidth="10" defaultColWidth="9.140625" defaultRowHeight="15.75"/>
  <cols>
    <col min="1" max="1" width="3.7109375" style="32" customWidth="1"/>
    <col min="2" max="2" width="12.140625" style="17" customWidth="1"/>
    <col min="3" max="8" width="9.140625" style="17"/>
    <col min="9" max="9" width="11.140625" style="17" customWidth="1"/>
    <col min="10" max="11" width="9.140625" style="17"/>
    <col min="12" max="12" width="3.85546875" style="17" customWidth="1"/>
    <col min="13" max="13" width="9.85546875" style="17" customWidth="1"/>
    <col min="14" max="16384" width="9.140625" style="17"/>
  </cols>
  <sheetData>
    <row r="1" spans="1:13">
      <c r="B1" s="9" t="s">
        <v>8</v>
      </c>
      <c r="C1" s="16"/>
      <c r="D1" s="16"/>
      <c r="E1" s="16"/>
      <c r="F1" s="16"/>
      <c r="G1" s="16"/>
      <c r="H1" s="16"/>
      <c r="I1" s="16"/>
      <c r="J1" s="16"/>
      <c r="K1" s="16"/>
      <c r="L1" s="16"/>
      <c r="M1" s="16"/>
    </row>
    <row r="2" spans="1:13">
      <c r="B2" s="10" t="s">
        <v>9</v>
      </c>
      <c r="C2" s="16"/>
      <c r="D2" s="16"/>
      <c r="E2" s="16"/>
      <c r="F2" s="16"/>
      <c r="G2" s="16"/>
      <c r="H2" s="16"/>
      <c r="I2" s="16"/>
      <c r="J2" s="16"/>
      <c r="K2" s="16"/>
      <c r="L2" s="16"/>
      <c r="M2" s="16"/>
    </row>
    <row r="3" spans="1:13">
      <c r="B3" s="11" t="s">
        <v>130</v>
      </c>
      <c r="C3" s="16"/>
      <c r="D3" s="16"/>
      <c r="E3" s="16"/>
      <c r="F3" s="16"/>
      <c r="G3" s="16"/>
      <c r="H3" s="16"/>
      <c r="I3" s="16"/>
      <c r="J3" s="16"/>
      <c r="K3" s="16"/>
      <c r="L3" s="16"/>
      <c r="M3" s="16"/>
    </row>
    <row r="4" spans="1:13">
      <c r="B4" s="12" t="s">
        <v>92</v>
      </c>
      <c r="C4" s="16"/>
      <c r="D4" s="16"/>
      <c r="E4" s="16"/>
      <c r="F4" s="16"/>
      <c r="G4" s="16"/>
      <c r="H4" s="16"/>
      <c r="I4" s="16"/>
      <c r="J4" s="16"/>
      <c r="K4" s="226"/>
      <c r="L4" s="226"/>
      <c r="M4" s="16"/>
    </row>
    <row r="7" spans="1:13">
      <c r="B7" s="242" t="s">
        <v>201</v>
      </c>
    </row>
    <row r="9" spans="1:13">
      <c r="B9" s="55" t="s">
        <v>0</v>
      </c>
    </row>
    <row r="11" spans="1:13" ht="33" customHeight="1">
      <c r="B11" s="17" t="s">
        <v>173</v>
      </c>
      <c r="C11" s="425"/>
      <c r="D11" s="425"/>
      <c r="E11" s="425"/>
      <c r="F11" s="425"/>
      <c r="G11" s="425"/>
      <c r="H11" s="425"/>
      <c r="I11" s="425"/>
      <c r="J11" s="425"/>
      <c r="K11" s="425"/>
      <c r="M11" s="234"/>
    </row>
    <row r="12" spans="1:13" ht="16.5" thickBot="1">
      <c r="A12" s="32">
        <v>1</v>
      </c>
      <c r="B12" s="17" t="s">
        <v>311</v>
      </c>
      <c r="C12" s="425"/>
      <c r="D12" s="425"/>
      <c r="E12" s="425"/>
      <c r="F12" s="425"/>
      <c r="G12" s="425"/>
      <c r="H12" s="425"/>
      <c r="I12" s="425"/>
      <c r="J12" s="425"/>
      <c r="K12" s="425"/>
      <c r="M12" s="235">
        <v>102.4</v>
      </c>
    </row>
    <row r="13" spans="1:13" ht="16.5" thickTop="1">
      <c r="M13" s="234"/>
    </row>
    <row r="14" spans="1:13">
      <c r="K14" s="234"/>
      <c r="L14" s="234"/>
    </row>
    <row r="15" spans="1:13">
      <c r="B15" s="55" t="s">
        <v>3</v>
      </c>
      <c r="K15" s="234"/>
      <c r="L15" s="234"/>
    </row>
    <row r="16" spans="1:13">
      <c r="K16" s="234"/>
      <c r="L16" s="234"/>
    </row>
    <row r="17" spans="1:19">
      <c r="B17" s="17" t="s">
        <v>313</v>
      </c>
      <c r="K17" s="234">
        <v>12.4</v>
      </c>
      <c r="L17" s="234"/>
    </row>
    <row r="18" spans="1:19" ht="16.5" thickBot="1">
      <c r="A18" s="32">
        <v>2</v>
      </c>
      <c r="B18" s="17" t="s">
        <v>312</v>
      </c>
      <c r="K18" s="234">
        <v>4.4000000000000004</v>
      </c>
      <c r="L18" s="234"/>
      <c r="M18" s="235">
        <f>SUM(K17:K18)</f>
        <v>16.8</v>
      </c>
    </row>
    <row r="19" spans="1:19" ht="16.5" thickTop="1">
      <c r="A19" s="17"/>
      <c r="K19" s="42"/>
    </row>
    <row r="20" spans="1:19" ht="16.5" thickBot="1">
      <c r="A20" s="32">
        <v>3</v>
      </c>
      <c r="B20" s="17" t="s">
        <v>322</v>
      </c>
      <c r="K20" s="234"/>
      <c r="L20" s="234"/>
      <c r="M20" s="235">
        <v>6.2</v>
      </c>
    </row>
    <row r="21" spans="1:19" ht="16.5" thickTop="1">
      <c r="K21" s="234"/>
      <c r="L21" s="234"/>
    </row>
    <row r="22" spans="1:19">
      <c r="B22" s="17" t="s">
        <v>316</v>
      </c>
      <c r="K22" s="234"/>
      <c r="L22" s="234"/>
    </row>
    <row r="23" spans="1:19">
      <c r="B23" s="17" t="s">
        <v>317</v>
      </c>
      <c r="K23" s="234">
        <v>-11</v>
      </c>
      <c r="L23" s="234"/>
    </row>
    <row r="24" spans="1:19">
      <c r="B24" s="17" t="s">
        <v>318</v>
      </c>
      <c r="J24" s="234">
        <v>100</v>
      </c>
      <c r="K24" s="234"/>
      <c r="L24" s="234"/>
    </row>
    <row r="25" spans="1:19">
      <c r="B25" s="17" t="s">
        <v>319</v>
      </c>
      <c r="J25" s="234">
        <f>38-3.5</f>
        <v>34.5</v>
      </c>
      <c r="K25" s="234"/>
      <c r="L25" s="234"/>
    </row>
    <row r="26" spans="1:19" ht="16.5" thickBot="1">
      <c r="A26" s="32">
        <v>4</v>
      </c>
      <c r="B26" s="17" t="s">
        <v>320</v>
      </c>
      <c r="J26" s="234">
        <v>38</v>
      </c>
      <c r="K26" s="234">
        <f>SUM(J24:J26)</f>
        <v>172.5</v>
      </c>
      <c r="L26" s="234"/>
      <c r="M26" s="235">
        <f>SUM(K22:K27)</f>
        <v>161.5</v>
      </c>
      <c r="S26" s="424"/>
    </row>
    <row r="27" spans="1:19" ht="16.5" thickTop="1">
      <c r="K27" s="237"/>
      <c r="L27" s="234"/>
    </row>
    <row r="28" spans="1:19">
      <c r="B28" s="242" t="s">
        <v>202</v>
      </c>
      <c r="K28" s="236"/>
      <c r="L28" s="234"/>
      <c r="M28" s="236"/>
    </row>
    <row r="29" spans="1:19">
      <c r="B29" s="242"/>
      <c r="K29" s="236"/>
      <c r="L29" s="234"/>
      <c r="M29" s="236"/>
    </row>
    <row r="30" spans="1:19">
      <c r="B30" s="55" t="s">
        <v>3</v>
      </c>
      <c r="K30" s="236"/>
      <c r="L30" s="234"/>
      <c r="M30" s="236"/>
    </row>
    <row r="31" spans="1:19">
      <c r="B31" s="242"/>
      <c r="K31" s="236"/>
      <c r="L31" s="234"/>
      <c r="M31" s="236"/>
    </row>
    <row r="32" spans="1:19">
      <c r="B32" s="17" t="s">
        <v>178</v>
      </c>
      <c r="K32" s="234">
        <v>4.9000000000000004</v>
      </c>
      <c r="L32" s="234"/>
      <c r="M32" s="236"/>
    </row>
    <row r="33" spans="1:13" ht="16.5" thickBot="1">
      <c r="A33" s="32">
        <v>5</v>
      </c>
      <c r="B33" s="17" t="s">
        <v>321</v>
      </c>
      <c r="K33" s="234">
        <v>11</v>
      </c>
      <c r="L33" s="234"/>
      <c r="M33" s="235">
        <f>SUM(K32:K33)</f>
        <v>15.9</v>
      </c>
    </row>
    <row r="34" spans="1:13" ht="16.5" thickTop="1">
      <c r="K34" s="237"/>
      <c r="L34" s="234"/>
      <c r="M34" s="236"/>
    </row>
    <row r="35" spans="1:13">
      <c r="B35" s="17" t="s">
        <v>314</v>
      </c>
      <c r="K35" s="234"/>
      <c r="L35" s="234"/>
    </row>
    <row r="36" spans="1:13" ht="16.5" thickBot="1">
      <c r="A36" s="32">
        <v>6</v>
      </c>
      <c r="B36" s="17" t="s">
        <v>315</v>
      </c>
      <c r="K36" s="234"/>
      <c r="L36" s="234"/>
      <c r="M36" s="235">
        <v>14.6</v>
      </c>
    </row>
    <row r="37" spans="1:13" ht="16.5" thickTop="1">
      <c r="K37" s="234"/>
      <c r="L37" s="234"/>
      <c r="M37" s="236"/>
    </row>
    <row r="38" spans="1:13">
      <c r="B38" s="17" t="s">
        <v>179</v>
      </c>
      <c r="K38" s="234">
        <v>-20.100000000000001</v>
      </c>
      <c r="L38" s="234"/>
    </row>
    <row r="39" spans="1:13" ht="16.5" thickBot="1">
      <c r="A39" s="32">
        <v>7</v>
      </c>
      <c r="B39" s="17" t="s">
        <v>323</v>
      </c>
      <c r="K39" s="234">
        <v>57.6</v>
      </c>
      <c r="L39" s="234"/>
      <c r="M39" s="235">
        <f>SUM(K38:K39)</f>
        <v>37.5</v>
      </c>
    </row>
    <row r="40" spans="1:13" ht="16.5" thickTop="1">
      <c r="K40" s="42"/>
    </row>
    <row r="53" spans="2:13">
      <c r="M53" s="77" t="str">
        <f>'GI-28 Doc 1.1'!R65</f>
        <v>GI-28</v>
      </c>
    </row>
    <row r="54" spans="2:13">
      <c r="M54" s="77" t="s">
        <v>68</v>
      </c>
    </row>
    <row r="55" spans="2:13">
      <c r="M55" s="77" t="s">
        <v>51</v>
      </c>
    </row>
    <row r="56" spans="2:13">
      <c r="B56" s="17" t="str">
        <f>'GI-28 Doc 1.1'!A68</f>
        <v>Original: 2015-09-09</v>
      </c>
      <c r="M56" s="77" t="str">
        <f>'GI-28 Doc 1.1'!R68</f>
        <v>Requête 3924-2015</v>
      </c>
    </row>
  </sheetData>
  <printOptions horizontalCentered="1"/>
  <pageMargins left="0.39" right="0.53" top="0.984251969" bottom="0.42" header="0.45" footer="0.28999999999999998"/>
  <pageSetup scale="12"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tabColor rgb="FF00EE6C"/>
    <pageSetUpPr fitToPage="1"/>
  </sheetPr>
  <dimension ref="A1:S60"/>
  <sheetViews>
    <sheetView zoomScaleNormal="100" workbookViewId="0">
      <selection activeCell="O37" sqref="O37"/>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5.5703125" style="115" bestFit="1" customWidth="1"/>
    <col min="16" max="16" width="12.42578125" style="115" bestFit="1" customWidth="1"/>
    <col min="17" max="17" width="6.42578125" style="115" customWidth="1"/>
    <col min="18" max="18" width="4" style="115" customWidth="1"/>
    <col min="19" max="19" width="19.85546875" style="115" customWidth="1"/>
    <col min="20" max="16384" width="9.140625" style="115"/>
  </cols>
  <sheetData>
    <row r="1" spans="1:19">
      <c r="A1" s="9" t="s">
        <v>8</v>
      </c>
      <c r="B1" s="114"/>
      <c r="C1" s="114"/>
      <c r="D1" s="114"/>
      <c r="E1" s="114"/>
      <c r="F1" s="114"/>
      <c r="G1" s="114"/>
      <c r="H1" s="114"/>
      <c r="I1" s="114"/>
      <c r="J1" s="114"/>
      <c r="K1" s="114"/>
      <c r="L1" s="114"/>
      <c r="M1" s="114"/>
      <c r="N1" s="114"/>
      <c r="O1" s="114"/>
      <c r="P1" s="114"/>
    </row>
    <row r="2" spans="1:19">
      <c r="A2" s="10" t="s">
        <v>9</v>
      </c>
      <c r="B2" s="114"/>
      <c r="C2" s="114"/>
      <c r="D2" s="114"/>
      <c r="E2" s="114"/>
      <c r="F2" s="114"/>
      <c r="G2" s="114"/>
      <c r="H2" s="114"/>
      <c r="I2" s="114"/>
      <c r="J2" s="114"/>
      <c r="K2" s="114"/>
      <c r="L2" s="114"/>
      <c r="M2" s="114"/>
      <c r="N2" s="114"/>
      <c r="O2" s="114"/>
      <c r="P2" s="114"/>
    </row>
    <row r="3" spans="1:19">
      <c r="A3" s="11" t="s">
        <v>124</v>
      </c>
      <c r="B3" s="114"/>
      <c r="C3" s="114"/>
      <c r="D3" s="114"/>
      <c r="E3" s="114"/>
      <c r="F3" s="114"/>
      <c r="G3" s="114"/>
      <c r="H3" s="114"/>
      <c r="I3" s="114"/>
      <c r="J3" s="114"/>
      <c r="K3" s="114"/>
      <c r="L3" s="114"/>
      <c r="M3" s="114"/>
      <c r="N3" s="114"/>
      <c r="O3" s="114"/>
      <c r="P3" s="114"/>
    </row>
    <row r="4" spans="1:19">
      <c r="A4" s="12" t="s">
        <v>92</v>
      </c>
      <c r="B4" s="114"/>
      <c r="C4" s="114"/>
      <c r="D4" s="114"/>
      <c r="E4" s="114"/>
      <c r="F4" s="114"/>
      <c r="G4" s="114"/>
      <c r="H4" s="114"/>
      <c r="I4" s="114"/>
      <c r="J4" s="114"/>
      <c r="K4" s="114"/>
      <c r="L4" s="114"/>
      <c r="M4" s="114"/>
      <c r="N4" s="114"/>
      <c r="O4" s="114"/>
      <c r="P4" s="114"/>
    </row>
    <row r="9" spans="1:19">
      <c r="F9" s="116" t="s">
        <v>152</v>
      </c>
      <c r="G9" s="117"/>
      <c r="H9" s="117"/>
      <c r="I9" s="117"/>
      <c r="J9" s="116" t="s">
        <v>152</v>
      </c>
      <c r="S9" s="116" t="s">
        <v>152</v>
      </c>
    </row>
    <row r="10" spans="1:19">
      <c r="N10" s="562" t="s">
        <v>36</v>
      </c>
      <c r="O10" s="562"/>
      <c r="P10" s="562"/>
      <c r="Q10" s="562"/>
      <c r="S10" s="118"/>
    </row>
    <row r="11" spans="1:19">
      <c r="B11" s="119" t="s">
        <v>125</v>
      </c>
      <c r="D11" s="120">
        <v>2014</v>
      </c>
      <c r="E11" s="121"/>
      <c r="F11" s="120">
        <v>2014</v>
      </c>
      <c r="G11" s="121"/>
      <c r="H11" s="120">
        <v>2015</v>
      </c>
      <c r="I11" s="121"/>
      <c r="J11" s="120">
        <v>2015</v>
      </c>
      <c r="L11" s="122" t="s">
        <v>153</v>
      </c>
      <c r="N11" s="563" t="str">
        <f>'25452'!N11:O11</f>
        <v>Réel 2014</v>
      </c>
      <c r="O11" s="563"/>
      <c r="P11" s="563" t="e">
        <f>'25452'!Q11:R11</f>
        <v>#VALUE!</v>
      </c>
      <c r="Q11" s="563"/>
      <c r="S11" s="123" t="s">
        <v>155</v>
      </c>
    </row>
    <row r="12" spans="1:19">
      <c r="D12" s="124" t="s">
        <v>27</v>
      </c>
      <c r="E12" s="121"/>
      <c r="F12" s="124" t="s">
        <v>28</v>
      </c>
      <c r="G12" s="121"/>
      <c r="H12" s="124" t="s">
        <v>94</v>
      </c>
      <c r="I12" s="121"/>
      <c r="J12" s="124" t="s">
        <v>28</v>
      </c>
      <c r="L12" s="125">
        <v>2016</v>
      </c>
      <c r="M12" s="125"/>
      <c r="N12" s="563" t="str">
        <f>'25452'!N12:O12</f>
        <v>vs Cause 2016</v>
      </c>
      <c r="O12" s="563"/>
      <c r="P12" s="563" t="e">
        <f>'25452'!Q12:R12</f>
        <v>#VALUE!</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199</v>
      </c>
      <c r="O14" s="130">
        <v>5</v>
      </c>
      <c r="P14" s="130" t="s">
        <v>158</v>
      </c>
      <c r="Q14" s="130">
        <v>7</v>
      </c>
      <c r="R14" s="131"/>
      <c r="S14" s="132">
        <v>8</v>
      </c>
    </row>
    <row r="15" spans="1:19">
      <c r="A15" s="117"/>
      <c r="S15" s="118"/>
    </row>
    <row r="16" spans="1:19" ht="16.5" thickBot="1">
      <c r="A16" s="117">
        <v>1</v>
      </c>
      <c r="B16" s="119" t="s">
        <v>0</v>
      </c>
      <c r="D16" s="133">
        <f>[43]INPUT!C66/1000</f>
        <v>448.08850000000001</v>
      </c>
      <c r="E16" s="134"/>
      <c r="F16" s="133">
        <f>'[43]Budget 2014'!O65/1000</f>
        <v>530.69899999999996</v>
      </c>
      <c r="G16" s="134"/>
      <c r="H16" s="133">
        <f>[43]INPUT!E66/1000</f>
        <v>550.52280000000007</v>
      </c>
      <c r="I16" s="134"/>
      <c r="J16" s="133">
        <f>[43]INPUT!D66/1000</f>
        <v>557.65899999999999</v>
      </c>
      <c r="K16" s="134"/>
      <c r="L16" s="133">
        <f>[43]INPUT!F66/1000</f>
        <v>561.77599999999995</v>
      </c>
      <c r="M16" s="135"/>
      <c r="N16" s="133">
        <f>H16-D16</f>
        <v>102.43430000000006</v>
      </c>
      <c r="O16" s="136">
        <f>N16/D16</f>
        <v>0.22860283180666333</v>
      </c>
      <c r="P16" s="113">
        <f>L16-H16</f>
        <v>11.253199999999879</v>
      </c>
      <c r="Q16" s="136">
        <f>P16/H16</f>
        <v>2.0440933599843416E-2</v>
      </c>
      <c r="S16" s="137">
        <f>L16</f>
        <v>561.77599999999995</v>
      </c>
    </row>
    <row r="17" spans="1:19" ht="16.5" thickTop="1">
      <c r="A17" s="117"/>
      <c r="B17" s="119"/>
      <c r="D17" s="138"/>
      <c r="E17" s="134"/>
      <c r="F17" s="138"/>
      <c r="G17" s="134"/>
      <c r="H17" s="138"/>
      <c r="I17" s="134"/>
      <c r="J17" s="138"/>
      <c r="K17" s="134"/>
      <c r="L17" s="138"/>
      <c r="M17" s="139"/>
      <c r="N17" s="138"/>
      <c r="O17" s="139"/>
      <c r="P17" s="139"/>
      <c r="S17" s="140"/>
    </row>
    <row r="18" spans="1:19">
      <c r="A18" s="117"/>
      <c r="D18" s="134"/>
      <c r="E18" s="134"/>
      <c r="F18" s="134"/>
      <c r="G18" s="134"/>
      <c r="H18" s="134"/>
      <c r="I18" s="134"/>
      <c r="J18" s="134"/>
      <c r="K18" s="134"/>
      <c r="L18" s="134"/>
      <c r="N18" s="134"/>
      <c r="S18" s="140"/>
    </row>
    <row r="19" spans="1:19">
      <c r="A19" s="117"/>
      <c r="B19" s="13" t="s">
        <v>3</v>
      </c>
      <c r="D19" s="134"/>
      <c r="E19" s="134"/>
      <c r="F19" s="134"/>
      <c r="G19" s="134"/>
      <c r="H19" s="134"/>
      <c r="I19" s="134"/>
      <c r="J19" s="134"/>
      <c r="K19" s="134"/>
      <c r="L19" s="134"/>
      <c r="N19" s="134"/>
      <c r="S19" s="140"/>
    </row>
    <row r="20" spans="1:19">
      <c r="D20" s="134"/>
      <c r="E20" s="134"/>
      <c r="F20" s="134"/>
      <c r="G20" s="134"/>
      <c r="H20" s="134"/>
      <c r="I20" s="134"/>
      <c r="J20" s="134"/>
      <c r="K20" s="134"/>
      <c r="L20" s="134"/>
      <c r="N20" s="134"/>
      <c r="S20" s="118"/>
    </row>
    <row r="21" spans="1:19">
      <c r="A21" s="117">
        <v>2</v>
      </c>
      <c r="B21" s="115" t="s">
        <v>95</v>
      </c>
      <c r="D21" s="134">
        <f>([43]INPUT!C359-[43]INPUT!C345-[43]INPUT!C66)/1000</f>
        <v>200.7358999999999</v>
      </c>
      <c r="E21" s="134"/>
      <c r="F21" s="134">
        <f>('[43]Budget 2014'!O358-'[43]Budget 2014'!O344-'[43]Budget 2014'!O65)/1000</f>
        <v>229.529</v>
      </c>
      <c r="G21" s="134"/>
      <c r="H21" s="134">
        <f>([43]INPUT!E359-[43]INPUT!E345-[43]INPUT!E66)/1000</f>
        <v>217.58467999999993</v>
      </c>
      <c r="I21" s="134"/>
      <c r="J21" s="134">
        <f>([43]INPUT!D359-[43]INPUT!D345-[43]INPUT!D66)/1000</f>
        <v>210.364</v>
      </c>
      <c r="K21" s="134"/>
      <c r="L21" s="134">
        <f>([43]INPUT!F359-[43]INPUT!F345-[43]INPUT!F66)/1000</f>
        <v>233.51900000000001</v>
      </c>
      <c r="N21" s="134">
        <f>H21-D21</f>
        <v>16.848780000000033</v>
      </c>
      <c r="O21" s="136">
        <f>N21/D21</f>
        <v>8.393506094325949E-2</v>
      </c>
      <c r="P21" s="134">
        <f>L21-H21</f>
        <v>15.934320000000071</v>
      </c>
      <c r="Q21" s="136">
        <f>P21/H21</f>
        <v>7.3232729436650018E-2</v>
      </c>
      <c r="S21" s="140">
        <f>L21</f>
        <v>233.51900000000001</v>
      </c>
    </row>
    <row r="22" spans="1:19">
      <c r="A22" s="117">
        <v>3</v>
      </c>
      <c r="B22" s="115" t="s">
        <v>126</v>
      </c>
      <c r="D22" s="134">
        <f>[43]INPUT!C345/1000</f>
        <v>113.42832000000001</v>
      </c>
      <c r="E22" s="134"/>
      <c r="F22" s="134">
        <f>'[43]Budget 2014'!O344/1000</f>
        <v>118.60596000000001</v>
      </c>
      <c r="G22" s="134"/>
      <c r="H22" s="134">
        <f>[43]INPUT!E345/1000</f>
        <v>102.41</v>
      </c>
      <c r="I22" s="134"/>
      <c r="J22" s="134">
        <f>[43]INPUT!D345/1000</f>
        <v>123.15600000000001</v>
      </c>
      <c r="K22" s="134"/>
      <c r="L22" s="134">
        <f>[43]INPUT!F345/1000</f>
        <v>82.272000000000006</v>
      </c>
      <c r="M22" s="139"/>
      <c r="N22" s="134">
        <f>H22-D22</f>
        <v>-11.018320000000017</v>
      </c>
      <c r="O22" s="136">
        <f>N22/D22</f>
        <v>-9.7139056630654641E-2</v>
      </c>
      <c r="P22" s="134">
        <f>L22-H22</f>
        <v>-20.137999999999991</v>
      </c>
      <c r="Q22" s="136">
        <f>P22/H22</f>
        <v>-0.19664095303193038</v>
      </c>
      <c r="S22" s="140">
        <f>L22</f>
        <v>82.272000000000006</v>
      </c>
    </row>
    <row r="23" spans="1:19">
      <c r="A23" s="117"/>
      <c r="D23" s="141"/>
      <c r="E23" s="134"/>
      <c r="F23" s="141"/>
      <c r="G23" s="134"/>
      <c r="H23" s="141"/>
      <c r="I23" s="134"/>
      <c r="J23" s="141"/>
      <c r="K23" s="134"/>
      <c r="L23" s="141"/>
      <c r="N23" s="141"/>
      <c r="P23" s="170"/>
      <c r="S23" s="169"/>
    </row>
    <row r="24" spans="1:19">
      <c r="A24" s="117"/>
      <c r="D24" s="134"/>
      <c r="E24" s="134"/>
      <c r="F24" s="134"/>
      <c r="G24" s="134"/>
      <c r="H24" s="134"/>
      <c r="I24" s="134"/>
      <c r="J24" s="134"/>
      <c r="K24" s="134"/>
      <c r="L24" s="134"/>
      <c r="N24" s="134"/>
      <c r="S24" s="118"/>
    </row>
    <row r="25" spans="1:19" ht="16.5" thickBot="1">
      <c r="A25" s="117">
        <v>4</v>
      </c>
      <c r="B25" s="13" t="s">
        <v>12</v>
      </c>
      <c r="D25" s="133">
        <f>SUM(D20:D24)</f>
        <v>314.16421999999989</v>
      </c>
      <c r="E25" s="134"/>
      <c r="F25" s="133">
        <f>SUM(F20:F24)</f>
        <v>348.13495999999998</v>
      </c>
      <c r="G25" s="134"/>
      <c r="H25" s="133">
        <f>SUM(H20:H24)</f>
        <v>319.9946799999999</v>
      </c>
      <c r="I25" s="134"/>
      <c r="J25" s="133">
        <f>SUM(J20:J24)</f>
        <v>333.52</v>
      </c>
      <c r="K25" s="134"/>
      <c r="L25" s="133">
        <f>SUM(L20:L24)</f>
        <v>315.791</v>
      </c>
      <c r="M25" s="135"/>
      <c r="N25" s="133">
        <f>H25-D25</f>
        <v>5.8304600000000164</v>
      </c>
      <c r="O25" s="136">
        <f>N25/D25</f>
        <v>1.8558637899631022E-2</v>
      </c>
      <c r="P25" s="113">
        <f>L25-H25</f>
        <v>-4.2036799999999062</v>
      </c>
      <c r="Q25" s="136">
        <f>P25/H25</f>
        <v>-1.3136718397943076E-2</v>
      </c>
      <c r="S25" s="171">
        <f>L25</f>
        <v>315.791</v>
      </c>
    </row>
    <row r="26" spans="1:19" ht="16.5" thickTop="1">
      <c r="A26" s="117"/>
      <c r="D26" s="134"/>
      <c r="E26" s="134"/>
      <c r="F26" s="134"/>
      <c r="G26" s="143"/>
      <c r="H26" s="134"/>
      <c r="I26" s="134"/>
      <c r="J26" s="134"/>
      <c r="K26" s="143"/>
      <c r="L26" s="134"/>
      <c r="M26" s="139"/>
      <c r="N26" s="134"/>
      <c r="O26" s="139"/>
      <c r="P26" s="139"/>
    </row>
    <row r="27" spans="1:19">
      <c r="A27" s="117"/>
      <c r="D27" s="134"/>
      <c r="E27" s="134"/>
      <c r="F27" s="134"/>
      <c r="G27" s="143"/>
      <c r="H27" s="134"/>
      <c r="I27" s="134"/>
      <c r="J27" s="134"/>
      <c r="K27" s="143"/>
      <c r="L27" s="134"/>
      <c r="M27" s="139"/>
      <c r="N27" s="134"/>
      <c r="O27" s="139"/>
      <c r="P27" s="139"/>
    </row>
    <row r="28" spans="1:19">
      <c r="A28" s="115" t="s">
        <v>49</v>
      </c>
      <c r="B28" s="115" t="s">
        <v>71</v>
      </c>
      <c r="D28" s="134"/>
      <c r="E28" s="134"/>
      <c r="F28" s="134"/>
      <c r="G28" s="143"/>
      <c r="H28" s="134"/>
      <c r="I28" s="134"/>
      <c r="J28" s="134"/>
      <c r="K28" s="143"/>
      <c r="L28" s="134"/>
      <c r="M28" s="139"/>
      <c r="N28" s="134"/>
      <c r="O28" s="139"/>
      <c r="P28" s="139"/>
    </row>
    <row r="29" spans="1:19">
      <c r="B29" s="115" t="s">
        <v>72</v>
      </c>
      <c r="D29" s="134"/>
      <c r="E29" s="134"/>
      <c r="F29" s="134"/>
      <c r="G29" s="143"/>
      <c r="H29" s="134"/>
      <c r="I29" s="134"/>
      <c r="J29" s="134"/>
      <c r="K29" s="143"/>
      <c r="L29" s="134"/>
      <c r="M29" s="139"/>
      <c r="N29" s="134"/>
      <c r="O29" s="139"/>
      <c r="P29" s="139"/>
    </row>
    <row r="30" spans="1:19">
      <c r="A30" s="117"/>
      <c r="D30" s="134"/>
      <c r="E30" s="134"/>
      <c r="F30" s="134"/>
      <c r="G30" s="143"/>
      <c r="H30" s="134"/>
      <c r="I30" s="134"/>
      <c r="J30" s="134"/>
      <c r="K30" s="143"/>
      <c r="L30" s="134"/>
      <c r="M30" s="139"/>
      <c r="N30" s="134"/>
      <c r="O30" s="139"/>
      <c r="P30" s="139"/>
    </row>
    <row r="31" spans="1:19">
      <c r="A31" s="117"/>
      <c r="D31" s="134"/>
      <c r="E31" s="134"/>
      <c r="F31" s="134"/>
      <c r="G31" s="143"/>
      <c r="H31" s="134"/>
      <c r="I31" s="134"/>
      <c r="J31" s="134"/>
      <c r="K31" s="143"/>
      <c r="L31" s="134"/>
      <c r="M31" s="139"/>
      <c r="N31" s="134"/>
      <c r="O31" s="139"/>
      <c r="P31" s="139"/>
    </row>
    <row r="32" spans="1:19">
      <c r="A32" s="117"/>
      <c r="D32" s="134"/>
      <c r="E32" s="134"/>
      <c r="F32" s="134"/>
      <c r="H32" s="134"/>
      <c r="I32" s="134"/>
      <c r="J32" s="134"/>
      <c r="L32" s="134"/>
      <c r="N32" s="134"/>
      <c r="O32" s="139"/>
      <c r="P32" s="139"/>
    </row>
    <row r="36" spans="4:11">
      <c r="D36" s="134"/>
      <c r="E36" s="134"/>
      <c r="F36" s="134"/>
      <c r="G36" s="134"/>
      <c r="H36" s="134"/>
      <c r="I36" s="134"/>
      <c r="J36" s="134"/>
      <c r="K36" s="134"/>
    </row>
    <row r="37" spans="4:11">
      <c r="D37" s="134"/>
      <c r="E37" s="134"/>
      <c r="F37" s="134"/>
      <c r="G37" s="134"/>
    </row>
    <row r="38" spans="4:11">
      <c r="D38" s="134"/>
      <c r="E38" s="134"/>
      <c r="F38" s="134"/>
      <c r="G38" s="134"/>
    </row>
    <row r="39" spans="4:11">
      <c r="D39" s="134"/>
      <c r="E39" s="134"/>
      <c r="F39" s="134"/>
      <c r="G39" s="134"/>
    </row>
    <row r="40" spans="4:11">
      <c r="D40" s="134"/>
      <c r="E40" s="134"/>
      <c r="F40" s="134"/>
      <c r="G40" s="134"/>
    </row>
    <row r="41" spans="4:11">
      <c r="D41" s="134"/>
      <c r="E41" s="134"/>
      <c r="F41" s="134"/>
      <c r="G41" s="134"/>
    </row>
    <row r="55" spans="1:16">
      <c r="H55" s="149"/>
      <c r="I55" s="149"/>
      <c r="J55" s="149"/>
      <c r="K55" s="149"/>
      <c r="L55" s="149"/>
      <c r="M55" s="149"/>
      <c r="N55" s="149"/>
      <c r="O55" s="149"/>
      <c r="P55" s="149" t="s">
        <v>96</v>
      </c>
    </row>
    <row r="56" spans="1:16">
      <c r="H56" s="149"/>
      <c r="I56" s="149"/>
      <c r="J56" s="149"/>
      <c r="K56" s="149"/>
      <c r="L56" s="149"/>
      <c r="M56" s="149"/>
      <c r="N56" s="149"/>
      <c r="O56" s="149"/>
      <c r="P56" s="149" t="s">
        <v>97</v>
      </c>
    </row>
    <row r="57" spans="1:16">
      <c r="H57" s="149"/>
      <c r="I57" s="149"/>
      <c r="J57" s="149"/>
      <c r="K57" s="149"/>
      <c r="L57" s="149"/>
      <c r="M57" s="149"/>
      <c r="N57" s="149"/>
      <c r="O57" s="149"/>
      <c r="P57" s="149" t="s">
        <v>51</v>
      </c>
    </row>
    <row r="58" spans="1:16">
      <c r="A58" s="115" t="s">
        <v>98</v>
      </c>
      <c r="H58" s="149"/>
      <c r="I58" s="149"/>
      <c r="J58" s="149"/>
      <c r="K58" s="149"/>
      <c r="L58" s="149"/>
      <c r="M58" s="149"/>
      <c r="N58" s="149"/>
      <c r="O58" s="149"/>
      <c r="P58" s="149" t="s">
        <v>99</v>
      </c>
    </row>
    <row r="60" spans="1:16">
      <c r="C60" s="150" t="s">
        <v>100</v>
      </c>
      <c r="D60" s="151">
        <f>D16+D25-([43]INPUT!C359)/1000</f>
        <v>0</v>
      </c>
      <c r="E60" s="152"/>
      <c r="F60" s="151">
        <f>F16+F25-('[43]Budget 2014'!O358)/1000</f>
        <v>0</v>
      </c>
      <c r="G60" s="152"/>
      <c r="H60" s="151">
        <f>H16+H25-([43]INPUT!E359)/1000</f>
        <v>0</v>
      </c>
      <c r="I60" s="152"/>
      <c r="J60" s="151">
        <f>J16+J25-([43]INPUT!D359)/1000</f>
        <v>0</v>
      </c>
      <c r="K60" s="152"/>
      <c r="L60" s="151">
        <f>L16+L25-([43]INPUT!F359)/1000</f>
        <v>0</v>
      </c>
    </row>
  </sheetData>
  <mergeCells count="5">
    <mergeCell ref="N10:Q10"/>
    <mergeCell ref="N11:O11"/>
    <mergeCell ref="P11:Q11"/>
    <mergeCell ref="N12:O12"/>
    <mergeCell ref="P12:Q12"/>
  </mergeCells>
  <pageMargins left="0.7" right="0.7" top="0.75" bottom="0.75" header="0.3" footer="0.3"/>
  <pageSetup scale="1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tabColor rgb="FF00EE6C"/>
    <pageSetUpPr fitToPage="1"/>
  </sheetPr>
  <dimension ref="A1:S60"/>
  <sheetViews>
    <sheetView zoomScaleNormal="100" workbookViewId="0">
      <selection activeCell="O37" sqref="O37"/>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6" style="115" bestFit="1" customWidth="1"/>
    <col min="16" max="16" width="12.42578125" style="115" bestFit="1" customWidth="1"/>
    <col min="17" max="17" width="6" style="115" customWidth="1"/>
    <col min="18" max="18" width="4.140625" style="115" customWidth="1"/>
    <col min="19" max="19" width="20.140625" style="115" customWidth="1"/>
    <col min="20" max="16384" width="9.140625" style="115"/>
  </cols>
  <sheetData>
    <row r="1" spans="1:19">
      <c r="A1" s="9" t="s">
        <v>8</v>
      </c>
      <c r="B1" s="114"/>
      <c r="C1" s="114"/>
      <c r="D1" s="114"/>
      <c r="E1" s="114"/>
      <c r="F1" s="114"/>
      <c r="G1" s="114"/>
      <c r="H1" s="114"/>
      <c r="I1" s="114"/>
      <c r="J1" s="114"/>
      <c r="K1" s="114"/>
      <c r="L1" s="114"/>
      <c r="M1" s="114"/>
      <c r="N1" s="114"/>
      <c r="O1" s="114"/>
      <c r="P1" s="114"/>
    </row>
    <row r="2" spans="1:19">
      <c r="A2" s="10" t="s">
        <v>9</v>
      </c>
      <c r="B2" s="114"/>
      <c r="C2" s="114"/>
      <c r="D2" s="114"/>
      <c r="E2" s="114"/>
      <c r="F2" s="114"/>
      <c r="G2" s="114"/>
      <c r="H2" s="114"/>
      <c r="I2" s="114"/>
      <c r="J2" s="114"/>
      <c r="K2" s="114"/>
      <c r="L2" s="114"/>
      <c r="M2" s="114"/>
      <c r="N2" s="114"/>
      <c r="O2" s="114"/>
      <c r="P2" s="114"/>
    </row>
    <row r="3" spans="1:19">
      <c r="A3" s="11" t="s">
        <v>127</v>
      </c>
      <c r="B3" s="114"/>
      <c r="C3" s="114"/>
      <c r="D3" s="114"/>
      <c r="E3" s="114"/>
      <c r="F3" s="114"/>
      <c r="G3" s="114"/>
      <c r="H3" s="114"/>
      <c r="I3" s="114"/>
      <c r="J3" s="114"/>
      <c r="K3" s="114"/>
      <c r="L3" s="114"/>
      <c r="M3" s="114"/>
      <c r="N3" s="114"/>
      <c r="O3" s="114"/>
      <c r="P3" s="114"/>
    </row>
    <row r="4" spans="1:19">
      <c r="A4" s="12" t="s">
        <v>92</v>
      </c>
      <c r="B4" s="114"/>
      <c r="C4" s="114"/>
      <c r="D4" s="114"/>
      <c r="E4" s="114"/>
      <c r="F4" s="114"/>
      <c r="G4" s="114"/>
      <c r="H4" s="114"/>
      <c r="I4" s="114"/>
      <c r="J4" s="114"/>
      <c r="K4" s="114"/>
      <c r="L4" s="114"/>
      <c r="M4" s="114"/>
      <c r="N4" s="114"/>
      <c r="O4" s="114"/>
      <c r="P4" s="114"/>
    </row>
    <row r="9" spans="1:19">
      <c r="F9" s="116" t="s">
        <v>152</v>
      </c>
      <c r="G9" s="117"/>
      <c r="H9" s="117"/>
      <c r="I9" s="117"/>
      <c r="J9" s="116" t="s">
        <v>152</v>
      </c>
      <c r="S9" s="116" t="s">
        <v>152</v>
      </c>
    </row>
    <row r="10" spans="1:19">
      <c r="N10" s="562" t="s">
        <v>36</v>
      </c>
      <c r="O10" s="562"/>
      <c r="P10" s="562"/>
      <c r="Q10" s="562"/>
      <c r="S10" s="118"/>
    </row>
    <row r="11" spans="1:19">
      <c r="B11" s="119" t="s">
        <v>128</v>
      </c>
      <c r="D11" s="120">
        <v>2014</v>
      </c>
      <c r="E11" s="121"/>
      <c r="F11" s="120">
        <v>2014</v>
      </c>
      <c r="G11" s="121"/>
      <c r="H11" s="120">
        <v>2015</v>
      </c>
      <c r="I11" s="121"/>
      <c r="J11" s="120">
        <v>2015</v>
      </c>
      <c r="L11" s="122" t="s">
        <v>153</v>
      </c>
      <c r="N11" s="563" t="str">
        <f>'25440'!N11:O11</f>
        <v>Réel 2014</v>
      </c>
      <c r="O11" s="563"/>
      <c r="P11" s="563" t="e">
        <f>'25440'!P11:Q11</f>
        <v>#VALUE!</v>
      </c>
      <c r="Q11" s="563"/>
      <c r="S11" s="123" t="s">
        <v>155</v>
      </c>
    </row>
    <row r="12" spans="1:19">
      <c r="D12" s="124" t="s">
        <v>27</v>
      </c>
      <c r="E12" s="121"/>
      <c r="F12" s="124" t="s">
        <v>28</v>
      </c>
      <c r="G12" s="121"/>
      <c r="H12" s="124" t="s">
        <v>94</v>
      </c>
      <c r="I12" s="121"/>
      <c r="J12" s="124" t="s">
        <v>28</v>
      </c>
      <c r="L12" s="125">
        <v>2016</v>
      </c>
      <c r="M12" s="125"/>
      <c r="N12" s="563" t="str">
        <f>'25440'!N12:O12</f>
        <v>vs Cause 2016</v>
      </c>
      <c r="O12" s="563"/>
      <c r="P12" s="563" t="e">
        <f>'25440'!P12:Q12</f>
        <v>#VALUE!</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200</v>
      </c>
      <c r="O14" s="130">
        <v>5</v>
      </c>
      <c r="P14" s="130" t="s">
        <v>158</v>
      </c>
      <c r="Q14" s="130">
        <v>7</v>
      </c>
      <c r="R14" s="131"/>
      <c r="S14" s="132">
        <v>8</v>
      </c>
    </row>
    <row r="15" spans="1:19">
      <c r="A15" s="117"/>
      <c r="S15" s="118"/>
    </row>
    <row r="16" spans="1:19" ht="16.5" thickBot="1">
      <c r="A16" s="117">
        <v>1</v>
      </c>
      <c r="B16" s="119" t="s">
        <v>0</v>
      </c>
      <c r="D16" s="133">
        <f>([44]INPUT!C66+[44]INPUT!C358)/1000</f>
        <v>0</v>
      </c>
      <c r="E16" s="134"/>
      <c r="F16" s="133">
        <f>'[44]Budget 2014'!O65/1000</f>
        <v>0</v>
      </c>
      <c r="G16" s="134"/>
      <c r="H16" s="133">
        <f>([44]INPUT!E66+[44]INPUT!E358)/1000</f>
        <v>0</v>
      </c>
      <c r="I16" s="134"/>
      <c r="J16" s="133">
        <f>[44]INPUT!D66/1000</f>
        <v>0</v>
      </c>
      <c r="K16" s="134"/>
      <c r="L16" s="133">
        <f>[44]INPUT!F66/1000</f>
        <v>0</v>
      </c>
      <c r="M16" s="135"/>
      <c r="N16" s="133">
        <f>H16-D16</f>
        <v>0</v>
      </c>
      <c r="O16" s="136">
        <f>IF(D16&gt;0,N16/D16*100,0)</f>
        <v>0</v>
      </c>
      <c r="P16" s="113">
        <f>L16-H16</f>
        <v>0</v>
      </c>
      <c r="Q16" s="136">
        <f>IF(H16&gt;0,P16/H16*100,0)</f>
        <v>0</v>
      </c>
      <c r="S16" s="137">
        <f>L16</f>
        <v>0</v>
      </c>
    </row>
    <row r="17" spans="1:19" ht="16.5" thickTop="1">
      <c r="A17" s="117"/>
      <c r="B17" s="119"/>
      <c r="D17" s="138"/>
      <c r="E17" s="134"/>
      <c r="F17" s="138"/>
      <c r="G17" s="134"/>
      <c r="H17" s="138"/>
      <c r="I17" s="134"/>
      <c r="J17" s="138"/>
      <c r="K17" s="134"/>
      <c r="L17" s="138"/>
      <c r="M17" s="139"/>
      <c r="N17" s="138"/>
      <c r="O17" s="139"/>
      <c r="P17" s="139"/>
      <c r="S17" s="140"/>
    </row>
    <row r="18" spans="1:19">
      <c r="A18" s="117"/>
      <c r="D18" s="134"/>
      <c r="E18" s="134"/>
      <c r="F18" s="134"/>
      <c r="G18" s="134"/>
      <c r="H18" s="134"/>
      <c r="I18" s="134"/>
      <c r="J18" s="134"/>
      <c r="K18" s="134"/>
      <c r="L18" s="134"/>
      <c r="N18" s="134"/>
      <c r="S18" s="140"/>
    </row>
    <row r="19" spans="1:19">
      <c r="A19" s="117"/>
      <c r="B19" s="13" t="s">
        <v>3</v>
      </c>
      <c r="D19" s="134"/>
      <c r="E19" s="134"/>
      <c r="F19" s="134"/>
      <c r="G19" s="134"/>
      <c r="H19" s="134"/>
      <c r="I19" s="134"/>
      <c r="J19" s="134"/>
      <c r="K19" s="134"/>
      <c r="L19" s="134"/>
      <c r="N19" s="134"/>
      <c r="S19" s="140"/>
    </row>
    <row r="20" spans="1:19">
      <c r="A20" s="117"/>
      <c r="D20" s="134"/>
      <c r="E20" s="134"/>
      <c r="F20" s="134"/>
      <c r="G20" s="134"/>
      <c r="H20" s="134"/>
      <c r="I20" s="134"/>
      <c r="J20" s="134"/>
      <c r="K20" s="134"/>
      <c r="L20" s="134"/>
      <c r="N20" s="134"/>
      <c r="S20" s="118"/>
    </row>
    <row r="21" spans="1:19">
      <c r="A21" s="117">
        <v>2</v>
      </c>
      <c r="B21" s="115" t="s">
        <v>95</v>
      </c>
      <c r="D21" s="134">
        <f>([44]INPUT!C359-[44]INPUT!C345)/1000</f>
        <v>71.374750000000006</v>
      </c>
      <c r="E21" s="134"/>
      <c r="F21" s="134">
        <f>('[44]Budget 2014'!O358-'[44]Budget 2014'!O344)/1000</f>
        <v>76.22508000000002</v>
      </c>
      <c r="G21" s="134"/>
      <c r="H21" s="134">
        <f>([44]INPUT!E359-[44]INPUT!E345)/1000</f>
        <v>77.595030000000023</v>
      </c>
      <c r="I21" s="134"/>
      <c r="J21" s="134">
        <f>([44]INPUT!D359-[44]INPUT!D345)/1000</f>
        <v>76.335999999999999</v>
      </c>
      <c r="K21" s="134"/>
      <c r="L21" s="134">
        <f>([44]INPUT!F359-[44]INPUT!F345)/1000</f>
        <v>92.22</v>
      </c>
      <c r="N21" s="134">
        <f>H21-D21</f>
        <v>6.2202800000000167</v>
      </c>
      <c r="O21" s="136">
        <f t="shared" ref="O21:O22" si="0">N21/D21</f>
        <v>8.7149587213965957E-2</v>
      </c>
      <c r="P21" s="134">
        <f>L21-H21</f>
        <v>14.624969999999976</v>
      </c>
      <c r="Q21" s="136">
        <f>P21/H21</f>
        <v>0.18847817959474947</v>
      </c>
      <c r="S21" s="140">
        <f>L21</f>
        <v>92.22</v>
      </c>
    </row>
    <row r="22" spans="1:19">
      <c r="A22" s="117">
        <v>3</v>
      </c>
      <c r="B22" s="115" t="s">
        <v>126</v>
      </c>
      <c r="D22" s="134">
        <f>[44]INPUT!C345/1000</f>
        <v>421.01173</v>
      </c>
      <c r="E22" s="134"/>
      <c r="F22" s="134">
        <f>'[44]Budget 2014'!O344/1000</f>
        <v>479.01779999999997</v>
      </c>
      <c r="G22" s="134"/>
      <c r="H22" s="134">
        <f>[44]INPUT!E345/1000</f>
        <v>593.50400000000002</v>
      </c>
      <c r="I22" s="134"/>
      <c r="J22" s="134">
        <f>[44]INPUT!D345/1000</f>
        <v>487.5</v>
      </c>
      <c r="K22" s="134"/>
      <c r="L22" s="134">
        <f>[44]INPUT!F345/1000</f>
        <v>651.15</v>
      </c>
      <c r="M22" s="139"/>
      <c r="N22" s="134">
        <f>H22-D22</f>
        <v>172.49227000000002</v>
      </c>
      <c r="O22" s="136">
        <f t="shared" si="0"/>
        <v>0.40970894088865417</v>
      </c>
      <c r="P22" s="134">
        <f>L22-H22</f>
        <v>57.645999999999958</v>
      </c>
      <c r="Q22" s="136">
        <f>P22/H22</f>
        <v>9.7128241764166637E-2</v>
      </c>
      <c r="S22" s="140">
        <f>L22</f>
        <v>651.15</v>
      </c>
    </row>
    <row r="23" spans="1:19">
      <c r="A23" s="117"/>
      <c r="D23" s="141"/>
      <c r="E23" s="134"/>
      <c r="F23" s="141"/>
      <c r="G23" s="134"/>
      <c r="H23" s="141"/>
      <c r="I23" s="134"/>
      <c r="J23" s="141"/>
      <c r="K23" s="134"/>
      <c r="L23" s="141"/>
      <c r="N23" s="141"/>
      <c r="P23" s="170"/>
      <c r="S23" s="169"/>
    </row>
    <row r="24" spans="1:19">
      <c r="A24" s="117"/>
      <c r="D24" s="134"/>
      <c r="E24" s="134"/>
      <c r="F24" s="134"/>
      <c r="G24" s="134"/>
      <c r="H24" s="134"/>
      <c r="I24" s="134"/>
      <c r="J24" s="134"/>
      <c r="K24" s="134"/>
      <c r="L24" s="134"/>
      <c r="N24" s="134"/>
      <c r="S24" s="118"/>
    </row>
    <row r="25" spans="1:19" ht="16.5" thickBot="1">
      <c r="A25" s="117">
        <v>4</v>
      </c>
      <c r="B25" s="13" t="s">
        <v>12</v>
      </c>
      <c r="D25" s="133">
        <f>SUM(D20:D24)</f>
        <v>492.38648000000001</v>
      </c>
      <c r="E25" s="134"/>
      <c r="F25" s="133">
        <f>SUM(F20:F24)</f>
        <v>555.24288000000001</v>
      </c>
      <c r="G25" s="134"/>
      <c r="H25" s="133">
        <f>SUM(H20:H24)</f>
        <v>671.09903000000008</v>
      </c>
      <c r="I25" s="134"/>
      <c r="J25" s="133">
        <f>SUM(J20:J24)</f>
        <v>563.83600000000001</v>
      </c>
      <c r="K25" s="134"/>
      <c r="L25" s="133">
        <f>SUM(L20:L24)</f>
        <v>743.37</v>
      </c>
      <c r="M25" s="135"/>
      <c r="N25" s="133">
        <f>H25-D25</f>
        <v>178.71255000000008</v>
      </c>
      <c r="O25" s="136">
        <f>N25/D25</f>
        <v>0.36295178129180167</v>
      </c>
      <c r="P25" s="113">
        <f>L25-H25</f>
        <v>72.27096999999992</v>
      </c>
      <c r="Q25" s="136">
        <f>P25/H25</f>
        <v>0.10769047006371013</v>
      </c>
      <c r="S25" s="171">
        <f>L25</f>
        <v>743.37</v>
      </c>
    </row>
    <row r="26" spans="1:19" ht="16.5" thickTop="1">
      <c r="A26" s="117"/>
      <c r="D26" s="134"/>
      <c r="E26" s="134"/>
      <c r="F26" s="134"/>
      <c r="G26" s="143"/>
      <c r="H26" s="134"/>
      <c r="I26" s="134"/>
      <c r="J26" s="134"/>
      <c r="K26" s="143"/>
      <c r="L26" s="134"/>
      <c r="M26" s="139"/>
      <c r="N26" s="134"/>
      <c r="O26" s="139"/>
      <c r="P26" s="139"/>
    </row>
    <row r="27" spans="1:19">
      <c r="A27" s="117"/>
      <c r="D27" s="134"/>
      <c r="E27" s="134"/>
      <c r="F27" s="134"/>
      <c r="G27" s="143"/>
      <c r="H27" s="134"/>
      <c r="I27" s="134"/>
      <c r="J27" s="134"/>
      <c r="K27" s="143"/>
      <c r="L27" s="134"/>
      <c r="M27" s="139"/>
      <c r="N27" s="134"/>
      <c r="O27" s="139"/>
      <c r="P27" s="139"/>
    </row>
    <row r="28" spans="1:19">
      <c r="A28" s="115" t="s">
        <v>49</v>
      </c>
      <c r="B28" s="115" t="s">
        <v>71</v>
      </c>
      <c r="D28" s="134"/>
      <c r="E28" s="134"/>
      <c r="F28" s="134"/>
      <c r="G28" s="143"/>
      <c r="H28" s="134"/>
      <c r="I28" s="134"/>
      <c r="J28" s="134"/>
      <c r="K28" s="143"/>
      <c r="L28" s="134"/>
      <c r="M28" s="139"/>
      <c r="N28" s="134"/>
      <c r="O28" s="139"/>
      <c r="P28" s="139"/>
    </row>
    <row r="29" spans="1:19">
      <c r="B29" s="115" t="s">
        <v>72</v>
      </c>
      <c r="D29" s="134"/>
      <c r="E29" s="134"/>
      <c r="F29" s="134"/>
      <c r="G29" s="143"/>
      <c r="H29" s="134"/>
      <c r="I29" s="134"/>
      <c r="J29" s="134"/>
      <c r="K29" s="143"/>
      <c r="L29" s="134"/>
      <c r="M29" s="139"/>
      <c r="N29" s="134"/>
      <c r="O29" s="139"/>
      <c r="P29" s="139"/>
    </row>
    <row r="30" spans="1:19">
      <c r="A30" s="117"/>
      <c r="D30" s="134"/>
      <c r="E30" s="134"/>
      <c r="F30" s="134"/>
      <c r="G30" s="143"/>
      <c r="H30" s="134"/>
      <c r="I30" s="134"/>
      <c r="J30" s="134"/>
      <c r="K30" s="143"/>
      <c r="L30" s="134"/>
      <c r="M30" s="139"/>
      <c r="N30" s="134"/>
      <c r="O30" s="139"/>
      <c r="P30" s="139"/>
    </row>
    <row r="31" spans="1:19">
      <c r="A31" s="117"/>
      <c r="D31" s="134"/>
      <c r="E31" s="134"/>
      <c r="F31" s="134"/>
      <c r="G31" s="143"/>
      <c r="H31" s="134"/>
      <c r="I31" s="134"/>
      <c r="J31" s="134"/>
      <c r="K31" s="143"/>
      <c r="L31" s="134"/>
      <c r="M31" s="139"/>
      <c r="N31" s="134"/>
      <c r="O31" s="139"/>
      <c r="P31" s="139"/>
    </row>
    <row r="32" spans="1:19">
      <c r="A32" s="117"/>
      <c r="D32" s="134"/>
      <c r="E32" s="134"/>
      <c r="F32" s="134"/>
      <c r="H32" s="134"/>
      <c r="I32" s="134"/>
      <c r="J32" s="134"/>
      <c r="L32" s="134"/>
      <c r="N32" s="134"/>
      <c r="O32" s="139"/>
      <c r="P32" s="139"/>
    </row>
    <row r="36" spans="4:11">
      <c r="D36" s="134"/>
      <c r="E36" s="134"/>
      <c r="F36" s="134"/>
      <c r="G36" s="134"/>
      <c r="H36" s="134"/>
      <c r="I36" s="134"/>
      <c r="J36" s="134"/>
      <c r="K36" s="134"/>
    </row>
    <row r="37" spans="4:11">
      <c r="D37" s="134"/>
      <c r="E37" s="134"/>
      <c r="F37" s="134"/>
      <c r="G37" s="134"/>
    </row>
    <row r="38" spans="4:11">
      <c r="D38" s="134"/>
      <c r="E38" s="134"/>
      <c r="F38" s="134"/>
      <c r="G38" s="134"/>
    </row>
    <row r="39" spans="4:11">
      <c r="D39" s="134"/>
      <c r="E39" s="134"/>
      <c r="F39" s="134"/>
      <c r="G39" s="134"/>
    </row>
    <row r="40" spans="4:11">
      <c r="D40" s="134"/>
      <c r="E40" s="134"/>
      <c r="F40" s="134"/>
      <c r="G40" s="134"/>
    </row>
    <row r="41" spans="4:11">
      <c r="D41" s="134"/>
      <c r="E41" s="134"/>
      <c r="F41" s="134"/>
      <c r="G41" s="134"/>
    </row>
    <row r="55" spans="1:16">
      <c r="H55" s="149"/>
      <c r="I55" s="149"/>
      <c r="J55" s="149"/>
      <c r="K55" s="149"/>
      <c r="L55" s="149"/>
      <c r="M55" s="149"/>
      <c r="N55" s="149"/>
      <c r="O55" s="149"/>
      <c r="P55" s="149" t="s">
        <v>96</v>
      </c>
    </row>
    <row r="56" spans="1:16">
      <c r="H56" s="149"/>
      <c r="I56" s="149"/>
      <c r="J56" s="149"/>
      <c r="K56" s="149"/>
      <c r="L56" s="149"/>
      <c r="M56" s="149"/>
      <c r="N56" s="149"/>
      <c r="O56" s="149"/>
      <c r="P56" s="149" t="s">
        <v>97</v>
      </c>
    </row>
    <row r="57" spans="1:16">
      <c r="H57" s="149"/>
      <c r="I57" s="149"/>
      <c r="J57" s="149"/>
      <c r="K57" s="149"/>
      <c r="L57" s="149"/>
      <c r="M57" s="149"/>
      <c r="N57" s="149"/>
      <c r="O57" s="149"/>
      <c r="P57" s="149" t="s">
        <v>51</v>
      </c>
    </row>
    <row r="58" spans="1:16">
      <c r="A58" s="115" t="s">
        <v>98</v>
      </c>
      <c r="H58" s="149"/>
      <c r="I58" s="149"/>
      <c r="J58" s="149"/>
      <c r="K58" s="149"/>
      <c r="L58" s="149"/>
      <c r="M58" s="149"/>
      <c r="N58" s="149"/>
      <c r="O58" s="149"/>
      <c r="P58" s="149" t="s">
        <v>99</v>
      </c>
    </row>
    <row r="60" spans="1:16">
      <c r="C60" s="150" t="s">
        <v>100</v>
      </c>
      <c r="D60" s="151">
        <f>D16+D25-([44]INPUT!C359)/1000</f>
        <v>0</v>
      </c>
      <c r="E60" s="152"/>
      <c r="F60" s="151">
        <f>F16+F25-('[44]Budget 2014'!O358)/1000</f>
        <v>0</v>
      </c>
      <c r="G60" s="152"/>
      <c r="H60" s="151">
        <f>H16+H25-([44]INPUT!E359)/1000</f>
        <v>0</v>
      </c>
      <c r="I60" s="152"/>
      <c r="J60" s="151">
        <f>J16+J25-([44]INPUT!D359)/1000</f>
        <v>0</v>
      </c>
      <c r="K60" s="152"/>
      <c r="L60" s="151">
        <f>L16+L25-([44]INPUT!F359)/1000</f>
        <v>0</v>
      </c>
    </row>
  </sheetData>
  <mergeCells count="5">
    <mergeCell ref="N10:Q10"/>
    <mergeCell ref="N11:O11"/>
    <mergeCell ref="P11:Q11"/>
    <mergeCell ref="N12:O12"/>
    <mergeCell ref="P12:Q12"/>
  </mergeCells>
  <pageMargins left="0.7" right="0.7" top="0.75" bottom="0.75" header="0.3" footer="0.3"/>
  <pageSetup scale="1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pageSetUpPr fitToPage="1"/>
  </sheetPr>
  <dimension ref="A1:O54"/>
  <sheetViews>
    <sheetView zoomScaleNormal="100" workbookViewId="0">
      <selection activeCell="Q38" sqref="Q38"/>
    </sheetView>
  </sheetViews>
  <sheetFormatPr baseColWidth="10" defaultColWidth="9.140625" defaultRowHeight="15.75"/>
  <cols>
    <col min="1" max="1" width="7.140625" style="17" customWidth="1"/>
    <col min="2" max="2" width="43.5703125" style="17" bestFit="1" customWidth="1"/>
    <col min="3" max="3" width="0" style="17" hidden="1" customWidth="1"/>
    <col min="4" max="4" width="3.85546875" style="17" hidden="1" customWidth="1"/>
    <col min="5" max="5" width="9.5703125" style="17" hidden="1" customWidth="1"/>
    <col min="6" max="6" width="9.5703125" style="17" customWidth="1"/>
    <col min="7" max="7" width="3.85546875" style="17" customWidth="1"/>
    <col min="8" max="8" width="9.140625" style="17"/>
    <col min="9" max="9" width="3.85546875" style="17" customWidth="1"/>
    <col min="10" max="10" width="0" style="17" hidden="1" customWidth="1"/>
    <col min="11" max="11" width="3.85546875" style="17" hidden="1" customWidth="1"/>
    <col min="12" max="12" width="5.42578125" style="17" hidden="1" customWidth="1"/>
    <col min="13" max="13" width="9.140625" style="17"/>
    <col min="14" max="14" width="6.7109375" style="17" customWidth="1"/>
    <col min="15" max="15" width="3.7109375" style="17" customWidth="1"/>
    <col min="16" max="16384" width="9.140625" style="17"/>
  </cols>
  <sheetData>
    <row r="1" spans="1:14">
      <c r="A1" s="558" t="s">
        <v>8</v>
      </c>
      <c r="B1" s="558"/>
      <c r="C1" s="558"/>
      <c r="D1" s="558"/>
      <c r="E1" s="558"/>
      <c r="F1" s="558"/>
      <c r="G1" s="558"/>
      <c r="H1" s="558"/>
      <c r="I1" s="558"/>
      <c r="J1" s="558"/>
      <c r="K1" s="558"/>
      <c r="L1" s="558"/>
      <c r="M1" s="558"/>
      <c r="N1" s="558"/>
    </row>
    <row r="2" spans="1:14">
      <c r="A2" s="559" t="s">
        <v>487</v>
      </c>
      <c r="B2" s="559"/>
      <c r="C2" s="559"/>
      <c r="D2" s="559"/>
      <c r="E2" s="559"/>
      <c r="F2" s="559"/>
      <c r="G2" s="559"/>
      <c r="H2" s="559"/>
      <c r="I2" s="559"/>
      <c r="J2" s="559"/>
      <c r="K2" s="559"/>
      <c r="L2" s="559"/>
      <c r="M2" s="559"/>
      <c r="N2" s="559"/>
    </row>
    <row r="3" spans="1:14">
      <c r="A3" s="560" t="s">
        <v>76</v>
      </c>
      <c r="B3" s="560"/>
      <c r="C3" s="560"/>
      <c r="D3" s="560"/>
      <c r="E3" s="560"/>
      <c r="F3" s="560"/>
      <c r="G3" s="560"/>
      <c r="H3" s="560"/>
      <c r="I3" s="560"/>
      <c r="J3" s="560"/>
      <c r="K3" s="560"/>
      <c r="L3" s="560"/>
      <c r="M3" s="560"/>
      <c r="N3" s="560"/>
    </row>
    <row r="4" spans="1:14">
      <c r="A4" s="561" t="s">
        <v>92</v>
      </c>
      <c r="B4" s="561"/>
      <c r="C4" s="561"/>
      <c r="D4" s="561"/>
      <c r="E4" s="561"/>
      <c r="F4" s="561"/>
      <c r="G4" s="561"/>
      <c r="H4" s="561"/>
      <c r="I4" s="561"/>
      <c r="J4" s="561"/>
      <c r="K4" s="561"/>
      <c r="L4" s="561"/>
      <c r="M4" s="561"/>
      <c r="N4" s="561"/>
    </row>
    <row r="8" spans="1:14">
      <c r="F8" s="158"/>
      <c r="J8" s="565" t="s">
        <v>36</v>
      </c>
      <c r="K8" s="565"/>
      <c r="L8" s="565"/>
      <c r="M8" s="565"/>
      <c r="N8" s="565"/>
    </row>
    <row r="9" spans="1:14">
      <c r="C9" s="157">
        <f>'GI-28 Doc 7.2'!D8</f>
        <v>2014</v>
      </c>
      <c r="D9" s="158"/>
      <c r="E9" s="157">
        <f>'GI-28 Doc 7.2'!H8</f>
        <v>2015</v>
      </c>
      <c r="F9" s="81" t="s">
        <v>153</v>
      </c>
      <c r="G9" s="158"/>
      <c r="H9" s="466" t="s">
        <v>153</v>
      </c>
      <c r="J9" s="564" t="s">
        <v>403</v>
      </c>
      <c r="K9" s="564"/>
      <c r="L9" s="564"/>
      <c r="M9" s="564" t="s">
        <v>156</v>
      </c>
      <c r="N9" s="564"/>
    </row>
    <row r="10" spans="1:14">
      <c r="C10" s="157" t="str">
        <f>'GI-28 Doc 7.2'!D9</f>
        <v>Réel</v>
      </c>
      <c r="D10" s="158"/>
      <c r="E10" s="157" t="str">
        <f>'GI-28 Doc 7.2'!H9</f>
        <v>(4+8)</v>
      </c>
      <c r="F10" s="84">
        <v>2005</v>
      </c>
      <c r="G10" s="158"/>
      <c r="H10" s="161">
        <v>2016</v>
      </c>
      <c r="I10" s="161"/>
      <c r="J10" s="564" t="s">
        <v>197</v>
      </c>
      <c r="K10" s="564"/>
      <c r="L10" s="564"/>
      <c r="M10" s="564" t="s">
        <v>489</v>
      </c>
      <c r="N10" s="564"/>
    </row>
    <row r="11" spans="1:14" ht="16.5" thickBot="1">
      <c r="C11" s="162" t="s">
        <v>31</v>
      </c>
      <c r="D11" s="158"/>
      <c r="E11" s="162" t="s">
        <v>31</v>
      </c>
      <c r="F11" s="86" t="s">
        <v>31</v>
      </c>
      <c r="G11" s="158"/>
      <c r="H11" s="163" t="s">
        <v>31</v>
      </c>
      <c r="I11" s="164"/>
      <c r="J11" s="165" t="s">
        <v>31</v>
      </c>
      <c r="K11" s="165"/>
      <c r="L11" s="165" t="s">
        <v>52</v>
      </c>
      <c r="M11" s="165" t="s">
        <v>31</v>
      </c>
      <c r="N11" s="165" t="s">
        <v>52</v>
      </c>
    </row>
    <row r="12" spans="1:14">
      <c r="C12" s="32">
        <v>1</v>
      </c>
      <c r="D12" s="32"/>
      <c r="E12" s="32">
        <v>2</v>
      </c>
      <c r="F12" s="531">
        <v>1</v>
      </c>
      <c r="G12" s="32"/>
      <c r="H12" s="32">
        <v>2</v>
      </c>
      <c r="I12" s="166"/>
      <c r="J12" s="166" t="s">
        <v>199</v>
      </c>
      <c r="K12" s="166"/>
      <c r="L12" s="166">
        <v>5</v>
      </c>
      <c r="M12" s="166" t="s">
        <v>488</v>
      </c>
      <c r="N12" s="166">
        <v>4</v>
      </c>
    </row>
    <row r="13" spans="1:14">
      <c r="C13" s="468"/>
      <c r="F13" s="158"/>
    </row>
    <row r="14" spans="1:14">
      <c r="A14" s="32">
        <v>1</v>
      </c>
      <c r="B14" s="55" t="s">
        <v>35</v>
      </c>
      <c r="C14" s="20">
        <f>'25450'!D35</f>
        <v>1176.2532200000001</v>
      </c>
      <c r="D14" s="20"/>
      <c r="E14" s="20">
        <f>'25450'!H35</f>
        <v>1340.654</v>
      </c>
      <c r="F14" s="354">
        <v>679.5</v>
      </c>
      <c r="G14" s="25"/>
      <c r="H14" s="20">
        <f>'25450'!L35</f>
        <v>1356.604</v>
      </c>
      <c r="J14" s="20">
        <f>E14-C14</f>
        <v>164.40077999999994</v>
      </c>
      <c r="K14" s="459" t="s">
        <v>38</v>
      </c>
      <c r="L14" s="108">
        <f>IF(C14&gt;0,J14/C14,0)</f>
        <v>0.13976648667537755</v>
      </c>
      <c r="M14" s="20">
        <f>H14-F14</f>
        <v>677.10400000000004</v>
      </c>
      <c r="N14" s="108">
        <f>IF(F14&gt;0,M14/F14,0)</f>
        <v>0.99647387785136132</v>
      </c>
    </row>
    <row r="15" spans="1:14">
      <c r="A15" s="32"/>
      <c r="B15" s="55"/>
      <c r="C15" s="20"/>
      <c r="D15" s="20"/>
      <c r="E15" s="20"/>
      <c r="F15" s="354"/>
      <c r="H15" s="20"/>
    </row>
    <row r="16" spans="1:14">
      <c r="A16" s="32">
        <v>2</v>
      </c>
      <c r="B16" s="55" t="s">
        <v>67</v>
      </c>
      <c r="C16" s="39">
        <f>'25440'!D22+'25441'!D22</f>
        <v>534.44005000000004</v>
      </c>
      <c r="D16" s="20"/>
      <c r="E16" s="39">
        <f>'25440'!H22+'25441'!H22</f>
        <v>695.91399999999999</v>
      </c>
      <c r="F16" s="509">
        <v>153.69999999999999</v>
      </c>
      <c r="G16" s="25"/>
      <c r="H16" s="39">
        <f>'25440'!L22+'25441'!L22</f>
        <v>733.42200000000003</v>
      </c>
      <c r="J16" s="20">
        <f>E16-C16</f>
        <v>161.47394999999995</v>
      </c>
      <c r="K16" s="459" t="s">
        <v>39</v>
      </c>
      <c r="L16" s="108">
        <f>IF(C16&gt;0,J16/C16,0)</f>
        <v>0.30213669428404538</v>
      </c>
      <c r="M16" s="20">
        <f>H16-F16</f>
        <v>579.72199999999998</v>
      </c>
      <c r="N16" s="108">
        <f>IF(F16&gt;0,M16/F16,0)</f>
        <v>3.7717761873780091</v>
      </c>
    </row>
    <row r="17" spans="1:15">
      <c r="A17" s="32"/>
      <c r="B17" s="55"/>
      <c r="C17" s="20"/>
      <c r="D17" s="20"/>
      <c r="E17" s="20"/>
      <c r="F17" s="354"/>
      <c r="H17" s="20"/>
    </row>
    <row r="18" spans="1:15">
      <c r="A18" s="32">
        <v>3</v>
      </c>
      <c r="B18" s="55" t="s">
        <v>387</v>
      </c>
      <c r="C18" s="518">
        <v>141.18</v>
      </c>
      <c r="D18" s="354"/>
      <c r="E18" s="518">
        <v>130.48599999999999</v>
      </c>
      <c r="F18" s="518">
        <f>686.4+26.5+69.5</f>
        <v>782.4</v>
      </c>
      <c r="G18" s="516"/>
      <c r="H18" s="518">
        <v>135.559</v>
      </c>
      <c r="J18" s="20">
        <f>E18-C18</f>
        <v>-10.694000000000017</v>
      </c>
      <c r="K18" s="459" t="s">
        <v>40</v>
      </c>
      <c r="L18" s="108">
        <f>IF(C18&gt;0,J18/C18,0)</f>
        <v>-7.5747272984842157E-2</v>
      </c>
      <c r="M18" s="20">
        <f>H18-F18</f>
        <v>-646.84100000000001</v>
      </c>
      <c r="N18" s="108">
        <f>IF(F18&gt;0,M18/F18,0)</f>
        <v>-0.82673951942740287</v>
      </c>
    </row>
    <row r="19" spans="1:15">
      <c r="A19" s="32"/>
      <c r="C19" s="20"/>
      <c r="D19" s="20"/>
      <c r="E19" s="20"/>
      <c r="F19" s="354"/>
      <c r="H19" s="20"/>
      <c r="J19" s="42"/>
      <c r="M19" s="42"/>
    </row>
    <row r="20" spans="1:15" ht="16.5" thickBot="1">
      <c r="A20" s="32">
        <v>4</v>
      </c>
      <c r="B20" s="158"/>
      <c r="C20" s="530">
        <f>SUM(C14:C18)</f>
        <v>1851.8732700000003</v>
      </c>
      <c r="D20" s="529"/>
      <c r="E20" s="530">
        <f>SUM(E14:E18)</f>
        <v>2167.0540000000001</v>
      </c>
      <c r="F20" s="547">
        <f>SUM(F14:F18)</f>
        <v>1615.6</v>
      </c>
      <c r="H20" s="31">
        <f>SUM(H14:H18)</f>
        <v>2225.585</v>
      </c>
      <c r="J20" s="31">
        <f>E20-C20</f>
        <v>315.18072999999981</v>
      </c>
      <c r="L20" s="108">
        <f>IF(C20&gt;0,J20/C20,0)</f>
        <v>0.17019562575143155</v>
      </c>
      <c r="M20" s="31">
        <f>H20-F20</f>
        <v>609.98500000000013</v>
      </c>
      <c r="N20" s="108">
        <f>IF(F20&gt;0,M20/F20,0)</f>
        <v>0.37755942064867554</v>
      </c>
      <c r="O20" s="459"/>
    </row>
    <row r="21" spans="1:15">
      <c r="A21" s="32"/>
      <c r="C21" s="20"/>
      <c r="D21" s="20"/>
      <c r="E21" s="20"/>
      <c r="F21" s="354"/>
      <c r="H21" s="20"/>
    </row>
    <row r="22" spans="1:15" ht="16.5" hidden="1" customHeight="1">
      <c r="A22" s="32"/>
      <c r="B22" s="55"/>
      <c r="C22" s="20"/>
      <c r="D22" s="20"/>
      <c r="E22" s="20"/>
      <c r="F22" s="354"/>
      <c r="H22" s="20"/>
    </row>
    <row r="23" spans="1:15" hidden="1">
      <c r="A23" s="32">
        <v>9</v>
      </c>
      <c r="B23" s="55" t="s">
        <v>32</v>
      </c>
      <c r="C23" s="30">
        <v>0</v>
      </c>
      <c r="D23" s="20"/>
      <c r="E23" s="30">
        <v>0</v>
      </c>
      <c r="F23" s="518"/>
      <c r="H23" s="30">
        <v>0</v>
      </c>
    </row>
    <row r="24" spans="1:15" hidden="1">
      <c r="A24" s="32"/>
      <c r="C24" s="20"/>
      <c r="D24" s="20"/>
      <c r="E24" s="20"/>
      <c r="F24" s="354"/>
      <c r="H24" s="20"/>
    </row>
    <row r="25" spans="1:15" hidden="1">
      <c r="A25" s="32">
        <v>10</v>
      </c>
      <c r="C25" s="39" t="e">
        <f>+#REF!-C23</f>
        <v>#REF!</v>
      </c>
      <c r="D25" s="20"/>
      <c r="E25" s="39" t="e">
        <f>+#REF!-E23</f>
        <v>#REF!</v>
      </c>
      <c r="F25" s="509"/>
      <c r="H25" s="39" t="e">
        <f>+#REF!-H23</f>
        <v>#REF!</v>
      </c>
    </row>
    <row r="26" spans="1:15">
      <c r="A26" s="32"/>
      <c r="C26" s="20"/>
      <c r="D26" s="20"/>
      <c r="E26" s="20"/>
      <c r="F26" s="354"/>
      <c r="H26" s="20"/>
    </row>
    <row r="27" spans="1:15">
      <c r="A27" s="32"/>
      <c r="B27" s="55" t="s">
        <v>57</v>
      </c>
      <c r="F27" s="158"/>
    </row>
    <row r="28" spans="1:15">
      <c r="A28" s="32">
        <v>5</v>
      </c>
      <c r="B28" s="55" t="s">
        <v>526</v>
      </c>
      <c r="C28" s="30">
        <v>-449.34</v>
      </c>
      <c r="D28" s="20"/>
      <c r="E28" s="30">
        <v>-555.01700000000005</v>
      </c>
      <c r="F28" s="518">
        <v>-284.89999999999998</v>
      </c>
      <c r="G28" s="459" t="s">
        <v>38</v>
      </c>
      <c r="H28" s="30">
        <v>-556.529</v>
      </c>
      <c r="I28" s="459" t="s">
        <v>40</v>
      </c>
      <c r="J28" s="20">
        <f>E28-C28</f>
        <v>-105.67700000000008</v>
      </c>
      <c r="L28" s="108">
        <f>J28/C28</f>
        <v>0.23518271242266453</v>
      </c>
      <c r="M28" s="20">
        <f>H28-F28</f>
        <v>-271.62900000000002</v>
      </c>
      <c r="N28" s="108">
        <f>M28/F28</f>
        <v>0.95341874341874355</v>
      </c>
    </row>
    <row r="29" spans="1:15">
      <c r="A29" s="32"/>
      <c r="C29" s="20"/>
      <c r="D29" s="20"/>
      <c r="E29" s="20"/>
      <c r="F29" s="354"/>
      <c r="H29" s="20"/>
      <c r="J29" s="42"/>
      <c r="M29" s="42"/>
    </row>
    <row r="30" spans="1:15">
      <c r="A30" s="32"/>
      <c r="B30" s="55" t="s">
        <v>77</v>
      </c>
      <c r="F30" s="158"/>
    </row>
    <row r="31" spans="1:15" ht="16.5" thickBot="1">
      <c r="A31" s="32">
        <v>6</v>
      </c>
      <c r="B31" s="55" t="s">
        <v>78</v>
      </c>
      <c r="C31" s="24">
        <f>C20+C28</f>
        <v>1402.5332700000004</v>
      </c>
      <c r="D31" s="20"/>
      <c r="E31" s="24">
        <f>E20+E28</f>
        <v>1612.037</v>
      </c>
      <c r="F31" s="24">
        <f>F20+F28</f>
        <v>1330.6999999999998</v>
      </c>
      <c r="G31" s="459" t="s">
        <v>39</v>
      </c>
      <c r="H31" s="24">
        <f>H20+H28</f>
        <v>1669.056</v>
      </c>
      <c r="I31" s="459" t="s">
        <v>41</v>
      </c>
      <c r="J31" s="24">
        <f>E31-C31</f>
        <v>209.50372999999968</v>
      </c>
      <c r="L31" s="108">
        <f>IF(C31&gt;0,J31/C31,0)</f>
        <v>0.1493752301505116</v>
      </c>
      <c r="M31" s="24">
        <f>H31-F31</f>
        <v>338.35600000000022</v>
      </c>
      <c r="N31" s="108">
        <f>IF(F31&gt;0,M31/F31,0)</f>
        <v>0.2542691816337268</v>
      </c>
    </row>
    <row r="32" spans="1:15" ht="16.5" thickTop="1">
      <c r="A32" s="32"/>
      <c r="C32" s="20"/>
      <c r="D32" s="20"/>
      <c r="F32" s="158"/>
    </row>
    <row r="33" spans="1:8">
      <c r="A33" s="32"/>
      <c r="C33" s="20"/>
      <c r="D33" s="20"/>
      <c r="F33" s="158"/>
      <c r="H33" s="20"/>
    </row>
    <row r="34" spans="1:8">
      <c r="A34" s="32"/>
      <c r="C34" s="20"/>
      <c r="D34" s="20"/>
      <c r="H34" s="20"/>
    </row>
    <row r="35" spans="1:8">
      <c r="A35" s="552" t="s">
        <v>49</v>
      </c>
      <c r="B35" s="551" t="s">
        <v>539</v>
      </c>
      <c r="C35" s="20"/>
      <c r="D35" s="20"/>
      <c r="H35" s="20"/>
    </row>
    <row r="36" spans="1:8">
      <c r="A36" s="552"/>
      <c r="B36" s="548" t="s">
        <v>530</v>
      </c>
      <c r="C36" s="20"/>
      <c r="D36" s="20"/>
      <c r="H36" s="20"/>
    </row>
    <row r="37" spans="1:8">
      <c r="A37" s="552"/>
      <c r="B37" s="548" t="s">
        <v>529</v>
      </c>
      <c r="C37" s="20"/>
      <c r="D37" s="20"/>
      <c r="H37" s="20"/>
    </row>
    <row r="38" spans="1:8">
      <c r="A38" s="552"/>
      <c r="B38" s="548" t="s">
        <v>552</v>
      </c>
      <c r="C38" s="20"/>
      <c r="D38" s="20"/>
      <c r="H38" s="20"/>
    </row>
    <row r="39" spans="1:8">
      <c r="A39" s="552"/>
      <c r="B39" s="549" t="s">
        <v>541</v>
      </c>
      <c r="C39" s="20"/>
      <c r="D39" s="20"/>
      <c r="H39" s="20"/>
    </row>
    <row r="40" spans="1:8">
      <c r="A40" s="552"/>
      <c r="B40" s="548" t="s">
        <v>527</v>
      </c>
      <c r="C40" s="20"/>
      <c r="D40" s="20"/>
    </row>
    <row r="41" spans="1:8">
      <c r="A41" s="552"/>
      <c r="B41" s="548" t="s">
        <v>528</v>
      </c>
      <c r="C41" s="20"/>
      <c r="D41" s="20"/>
    </row>
    <row r="42" spans="1:8">
      <c r="A42" s="32"/>
      <c r="C42" s="20"/>
      <c r="D42" s="20"/>
    </row>
    <row r="43" spans="1:8">
      <c r="A43" s="32"/>
    </row>
    <row r="44" spans="1:8">
      <c r="A44" s="32"/>
    </row>
    <row r="45" spans="1:8">
      <c r="A45" s="32"/>
    </row>
    <row r="46" spans="1:8">
      <c r="A46" s="32"/>
    </row>
    <row r="47" spans="1:8">
      <c r="A47" s="32"/>
    </row>
    <row r="48" spans="1:8">
      <c r="A48" s="32"/>
    </row>
    <row r="49" spans="1:14">
      <c r="A49" s="32"/>
    </row>
    <row r="51" spans="1:14">
      <c r="N51" s="15" t="s">
        <v>174</v>
      </c>
    </row>
    <row r="52" spans="1:14">
      <c r="N52" s="15" t="s">
        <v>509</v>
      </c>
    </row>
    <row r="53" spans="1:14">
      <c r="N53" s="15" t="s">
        <v>51</v>
      </c>
    </row>
    <row r="54" spans="1:14">
      <c r="A54" s="17" t="str">
        <f>'GI-28 Doc 1.1'!A68</f>
        <v>Original: 2015-09-09</v>
      </c>
      <c r="N54" s="15" t="str">
        <f>'GI-28 Doc 7.2'!S50</f>
        <v>Requête 3924-2015</v>
      </c>
    </row>
  </sheetData>
  <mergeCells count="9">
    <mergeCell ref="J9:L9"/>
    <mergeCell ref="M9:N9"/>
    <mergeCell ref="J10:L10"/>
    <mergeCell ref="M10:N10"/>
    <mergeCell ref="A1:N1"/>
    <mergeCell ref="A2:N2"/>
    <mergeCell ref="A3:N3"/>
    <mergeCell ref="A4:N4"/>
    <mergeCell ref="J8:N8"/>
  </mergeCells>
  <printOptions horizontalCentered="1"/>
  <pageMargins left="0.4" right="0.38" top="0.984251969" bottom="0.6" header="0.5" footer="0.35"/>
  <pageSetup scale="88" orientation="portrait" horizontalDpi="300" verticalDpi="300" r:id="rId1"/>
  <headerFooter alignWithMargins="0"/>
  <colBreaks count="1" manualBreakCount="1">
    <brk id="21" max="5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rgb="FF00B0F0"/>
    <pageSetUpPr fitToPage="1"/>
  </sheetPr>
  <dimension ref="A1:T56"/>
  <sheetViews>
    <sheetView zoomScaleNormal="100" workbookViewId="0">
      <selection activeCell="D48" sqref="D48"/>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2.28515625" style="115" customWidth="1"/>
    <col min="7" max="7" width="3.85546875" style="115" customWidth="1"/>
    <col min="8" max="8" width="12.28515625" style="115" customWidth="1"/>
    <col min="9" max="9" width="3.85546875" style="115" customWidth="1"/>
    <col min="10" max="10" width="12.28515625" style="115" customWidth="1"/>
    <col min="11" max="11" width="3.85546875" style="115" customWidth="1"/>
    <col min="12" max="12" width="11.28515625" style="115" customWidth="1"/>
    <col min="13" max="13" width="3.85546875" style="115" customWidth="1"/>
    <col min="14" max="14" width="12.28515625" style="115" customWidth="1"/>
    <col min="15" max="15" width="6.42578125" style="115" bestFit="1" customWidth="1"/>
    <col min="16" max="16" width="12.28515625" style="115" customWidth="1"/>
    <col min="17" max="17" width="6" style="115" bestFit="1" customWidth="1"/>
    <col min="18" max="18" width="3.7109375" style="115" customWidth="1"/>
    <col min="19" max="19" width="19.28515625" style="115" customWidth="1"/>
    <col min="20" max="16384" width="9.140625" style="115"/>
  </cols>
  <sheetData>
    <row r="1" spans="1:19">
      <c r="A1" s="9" t="s">
        <v>8</v>
      </c>
      <c r="B1" s="114"/>
      <c r="C1" s="114"/>
      <c r="D1" s="114"/>
      <c r="E1" s="114"/>
      <c r="F1" s="114"/>
      <c r="G1" s="114"/>
      <c r="H1" s="114"/>
      <c r="I1" s="114"/>
      <c r="J1" s="114"/>
      <c r="K1" s="114"/>
      <c r="L1" s="114"/>
      <c r="M1" s="114"/>
      <c r="N1" s="114"/>
      <c r="O1" s="114"/>
      <c r="P1" s="114"/>
      <c r="Q1" s="114"/>
    </row>
    <row r="2" spans="1:19">
      <c r="A2" s="10" t="s">
        <v>9</v>
      </c>
      <c r="B2" s="114"/>
      <c r="C2" s="114"/>
      <c r="D2" s="114"/>
      <c r="E2" s="114"/>
      <c r="F2" s="114"/>
      <c r="G2" s="114"/>
      <c r="H2" s="114"/>
      <c r="I2" s="114"/>
      <c r="J2" s="114"/>
      <c r="K2" s="114"/>
      <c r="L2" s="114"/>
      <c r="M2" s="114"/>
      <c r="N2" s="114"/>
      <c r="O2" s="114"/>
      <c r="P2" s="114"/>
      <c r="Q2" s="114"/>
    </row>
    <row r="3" spans="1:19">
      <c r="A3" s="11" t="s">
        <v>91</v>
      </c>
      <c r="B3" s="114"/>
      <c r="C3" s="114"/>
      <c r="D3" s="114"/>
      <c r="E3" s="114"/>
      <c r="F3" s="114"/>
      <c r="G3" s="114"/>
      <c r="H3" s="114"/>
      <c r="I3" s="114"/>
      <c r="J3" s="114"/>
      <c r="K3" s="114"/>
      <c r="L3" s="114"/>
      <c r="M3" s="114"/>
      <c r="N3" s="114"/>
      <c r="O3" s="114"/>
      <c r="P3" s="114"/>
      <c r="Q3" s="114"/>
    </row>
    <row r="4" spans="1:19">
      <c r="A4" s="12" t="s">
        <v>92</v>
      </c>
      <c r="B4" s="114"/>
      <c r="C4" s="114"/>
      <c r="D4" s="114"/>
      <c r="E4" s="114"/>
      <c r="F4" s="114"/>
      <c r="G4" s="114"/>
      <c r="H4" s="114"/>
      <c r="I4" s="114"/>
      <c r="J4" s="114"/>
      <c r="K4" s="114"/>
      <c r="L4" s="114"/>
      <c r="M4" s="114"/>
      <c r="N4" s="114"/>
      <c r="O4" s="114"/>
      <c r="P4" s="114"/>
      <c r="Q4" s="114"/>
    </row>
    <row r="9" spans="1:19">
      <c r="F9" s="116" t="s">
        <v>152</v>
      </c>
      <c r="G9" s="117"/>
      <c r="H9" s="117"/>
      <c r="I9" s="117"/>
      <c r="J9" s="116" t="s">
        <v>152</v>
      </c>
      <c r="S9" s="116" t="s">
        <v>152</v>
      </c>
    </row>
    <row r="10" spans="1:19">
      <c r="N10" s="562" t="s">
        <v>36</v>
      </c>
      <c r="O10" s="562"/>
      <c r="P10" s="562"/>
      <c r="Q10" s="562"/>
      <c r="S10" s="118"/>
    </row>
    <row r="11" spans="1:19">
      <c r="B11" s="119" t="s">
        <v>93</v>
      </c>
      <c r="D11" s="120">
        <v>2014</v>
      </c>
      <c r="E11" s="121"/>
      <c r="F11" s="120">
        <v>2014</v>
      </c>
      <c r="G11" s="121"/>
      <c r="H11" s="120">
        <v>2015</v>
      </c>
      <c r="I11" s="121"/>
      <c r="J11" s="120">
        <v>2015</v>
      </c>
      <c r="L11" s="122" t="s">
        <v>153</v>
      </c>
      <c r="N11" s="563" t="e">
        <f>'GI-28 Doc 2.2'!O7:Q7</f>
        <v>#VALUE!</v>
      </c>
      <c r="O11" s="563"/>
      <c r="P11" s="563" t="str">
        <f>'GI-28 Doc 2.2'!R7</f>
        <v>Cause 2016</v>
      </c>
      <c r="Q11" s="563"/>
      <c r="S11" s="123" t="s">
        <v>155</v>
      </c>
    </row>
    <row r="12" spans="1:19">
      <c r="D12" s="124" t="s">
        <v>27</v>
      </c>
      <c r="E12" s="121"/>
      <c r="F12" s="124" t="s">
        <v>28</v>
      </c>
      <c r="G12" s="121"/>
      <c r="H12" s="124" t="s">
        <v>94</v>
      </c>
      <c r="I12" s="121"/>
      <c r="J12" s="124" t="s">
        <v>28</v>
      </c>
      <c r="L12" s="125">
        <v>2016</v>
      </c>
      <c r="M12" s="125"/>
      <c r="N12" s="563" t="e">
        <f>'GI-28 Doc 2.2'!O8:Q8</f>
        <v>#VALUE!</v>
      </c>
      <c r="O12" s="563"/>
      <c r="P12" s="563" t="str">
        <f>'GI-28 Doc 2.2'!R8</f>
        <v>vs Cause 2005</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199</v>
      </c>
      <c r="O14" s="130">
        <v>5</v>
      </c>
      <c r="P14" s="130" t="s">
        <v>158</v>
      </c>
      <c r="Q14" s="130">
        <v>7</v>
      </c>
      <c r="R14" s="131"/>
      <c r="S14" s="132">
        <v>8</v>
      </c>
    </row>
    <row r="15" spans="1:19">
      <c r="A15" s="117"/>
      <c r="S15" s="118"/>
    </row>
    <row r="16" spans="1:19" ht="16.5" thickBot="1">
      <c r="A16" s="117">
        <v>1</v>
      </c>
      <c r="B16" s="119" t="s">
        <v>0</v>
      </c>
      <c r="D16" s="133">
        <f>[22]INPUT!C338/1000</f>
        <v>494.98131000000001</v>
      </c>
      <c r="E16" s="134"/>
      <c r="F16" s="133">
        <f>('[22]Budget 2014'!O41+'[22]Budget 2014'!O337)/1000</f>
        <v>587.38935000000015</v>
      </c>
      <c r="G16" s="134"/>
      <c r="H16" s="133">
        <f>([22]INPUT!E42+[22]INPUT!E338)/1000</f>
        <v>561.23872000000006</v>
      </c>
      <c r="I16" s="134"/>
      <c r="J16" s="133">
        <f>([22]INPUT!D42+[22]INPUT!D338)/1000</f>
        <v>618.42052999999999</v>
      </c>
      <c r="K16" s="134"/>
      <c r="L16" s="133">
        <f>([22]INPUT!F42+[22]INPUT!F338)/1000</f>
        <v>602.38507010577894</v>
      </c>
      <c r="M16" s="135"/>
      <c r="N16" s="133">
        <f>H16-D16</f>
        <v>66.25741000000005</v>
      </c>
      <c r="O16" s="136">
        <f>N16/D16</f>
        <v>0.13385840770432331</v>
      </c>
      <c r="P16" s="113">
        <f>L16-H16</f>
        <v>41.146350105778879</v>
      </c>
      <c r="Q16" s="136">
        <f>P16/H16</f>
        <v>7.3313455824606813E-2</v>
      </c>
      <c r="S16" s="137">
        <f>L16</f>
        <v>602.38507010577894</v>
      </c>
    </row>
    <row r="17" spans="1:19" ht="16.5" thickTop="1">
      <c r="A17" s="117"/>
      <c r="B17" s="119"/>
      <c r="D17" s="138"/>
      <c r="E17" s="134"/>
      <c r="F17" s="138"/>
      <c r="G17" s="134"/>
      <c r="H17" s="138"/>
      <c r="I17" s="134"/>
      <c r="J17" s="138"/>
      <c r="K17" s="134"/>
      <c r="L17" s="138"/>
      <c r="M17" s="139"/>
      <c r="N17" s="138"/>
      <c r="O17" s="139"/>
      <c r="P17" s="139"/>
      <c r="S17" s="140"/>
    </row>
    <row r="18" spans="1:19">
      <c r="A18" s="117"/>
      <c r="D18" s="134"/>
      <c r="E18" s="134"/>
      <c r="F18" s="134"/>
      <c r="G18" s="134"/>
      <c r="H18" s="134"/>
      <c r="I18" s="134"/>
      <c r="J18" s="134"/>
      <c r="K18" s="134"/>
      <c r="L18" s="134"/>
      <c r="N18" s="134"/>
      <c r="S18" s="140"/>
    </row>
    <row r="19" spans="1:19">
      <c r="A19" s="117"/>
      <c r="B19" s="13" t="s">
        <v>3</v>
      </c>
      <c r="D19" s="134"/>
      <c r="E19" s="134"/>
      <c r="F19" s="134"/>
      <c r="G19" s="134"/>
      <c r="H19" s="134"/>
      <c r="I19" s="134"/>
      <c r="J19" s="134"/>
      <c r="K19" s="134"/>
      <c r="L19" s="134"/>
      <c r="N19" s="134"/>
      <c r="S19" s="140"/>
    </row>
    <row r="20" spans="1:19">
      <c r="A20" s="117"/>
      <c r="D20" s="134"/>
      <c r="E20" s="134"/>
      <c r="F20" s="134"/>
      <c r="G20" s="134"/>
      <c r="H20" s="134"/>
      <c r="I20" s="134"/>
      <c r="J20" s="134"/>
      <c r="K20" s="134"/>
      <c r="L20" s="134"/>
      <c r="N20" s="134"/>
      <c r="S20" s="140"/>
    </row>
    <row r="21" spans="1:19">
      <c r="A21" s="117">
        <v>2</v>
      </c>
      <c r="B21" s="115" t="s">
        <v>95</v>
      </c>
      <c r="D21" s="134">
        <f>([22]INPUT!C359-[22]INPUT!C338-[22]INPUT!C66)/1000</f>
        <v>488.71156999999988</v>
      </c>
      <c r="E21" s="134"/>
      <c r="F21" s="134">
        <f>('[22]Budget 2014'!O358-'[22]Budget 2014'!O337-'[22]Budget 2014'!O65)/1000</f>
        <v>556.18937999999991</v>
      </c>
      <c r="G21" s="134"/>
      <c r="H21" s="134">
        <f>([22]INPUT!E359-[22]INPUT!E338-[22]INPUT!E66)/1000</f>
        <v>728.6090200000001</v>
      </c>
      <c r="I21" s="134"/>
      <c r="J21" s="134">
        <f>([22]INPUT!D359-[22]INPUT!D338-[22]INPUT!D66)/1000</f>
        <v>627.20517000000018</v>
      </c>
      <c r="K21" s="134"/>
      <c r="L21" s="134">
        <f>([22]INPUT!F359-[22]INPUT!F338-[22]INPUT!F66)/1000</f>
        <v>785.06194523999977</v>
      </c>
      <c r="M21" s="139"/>
      <c r="N21" s="134">
        <f>H21-D21</f>
        <v>239.89745000000022</v>
      </c>
      <c r="O21" s="136">
        <f>N21/D21</f>
        <v>0.49087736965179746</v>
      </c>
      <c r="P21" s="134">
        <f>L21-H21</f>
        <v>56.452925239999672</v>
      </c>
      <c r="Q21" s="136">
        <f>P21/H21</f>
        <v>7.7480409506870587E-2</v>
      </c>
      <c r="S21" s="140">
        <f>L21</f>
        <v>785.06194523999977</v>
      </c>
    </row>
    <row r="22" spans="1:19">
      <c r="A22" s="117"/>
      <c r="D22" s="141"/>
      <c r="E22" s="134"/>
      <c r="F22" s="141"/>
      <c r="G22" s="134"/>
      <c r="H22" s="141"/>
      <c r="I22" s="134"/>
      <c r="J22" s="141"/>
      <c r="K22" s="134"/>
      <c r="L22" s="141"/>
      <c r="N22" s="141"/>
      <c r="O22" s="136"/>
      <c r="P22" s="141"/>
      <c r="Q22" s="136"/>
      <c r="S22" s="142"/>
    </row>
    <row r="23" spans="1:19">
      <c r="A23" s="117"/>
      <c r="D23" s="134"/>
      <c r="E23" s="134"/>
      <c r="F23" s="134"/>
      <c r="G23" s="134"/>
      <c r="H23" s="134"/>
      <c r="I23" s="134"/>
      <c r="J23" s="134"/>
      <c r="K23" s="134"/>
      <c r="L23" s="134"/>
      <c r="N23" s="134"/>
      <c r="O23" s="136"/>
      <c r="P23" s="134"/>
      <c r="Q23" s="136"/>
      <c r="S23" s="140"/>
    </row>
    <row r="24" spans="1:19" ht="16.5" thickBot="1">
      <c r="A24" s="117">
        <v>3</v>
      </c>
      <c r="B24" s="13" t="s">
        <v>12</v>
      </c>
      <c r="D24" s="133">
        <f>SUM(D21:D23)</f>
        <v>488.71156999999988</v>
      </c>
      <c r="E24" s="134"/>
      <c r="F24" s="133">
        <f>SUM(F21:F23)</f>
        <v>556.18937999999991</v>
      </c>
      <c r="G24" s="134"/>
      <c r="H24" s="133">
        <f>SUM(H21:H23)</f>
        <v>728.6090200000001</v>
      </c>
      <c r="I24" s="134"/>
      <c r="J24" s="133">
        <f>SUM(J21:J23)</f>
        <v>627.20517000000018</v>
      </c>
      <c r="K24" s="134"/>
      <c r="L24" s="133">
        <f>SUM(L21:L23)</f>
        <v>785.06194523999977</v>
      </c>
      <c r="M24" s="135"/>
      <c r="N24" s="133">
        <f>SUM(N21:N23)</f>
        <v>239.89745000000022</v>
      </c>
      <c r="O24" s="136">
        <f>N24/D24</f>
        <v>0.49087736965179746</v>
      </c>
      <c r="P24" s="133">
        <f>SUM(P21:P23)</f>
        <v>56.452925239999672</v>
      </c>
      <c r="Q24" s="136">
        <f>P24/H24</f>
        <v>7.7480409506870587E-2</v>
      </c>
      <c r="S24" s="137">
        <f>SUM(S21:S23)</f>
        <v>785.06194523999977</v>
      </c>
    </row>
    <row r="25" spans="1:19" ht="16.5" thickTop="1">
      <c r="A25" s="117"/>
      <c r="D25" s="134"/>
      <c r="E25" s="134"/>
      <c r="F25" s="134"/>
      <c r="G25" s="143"/>
      <c r="H25" s="134"/>
      <c r="I25" s="134"/>
      <c r="J25" s="134"/>
      <c r="K25" s="143"/>
      <c r="L25" s="134"/>
      <c r="M25" s="139"/>
      <c r="N25" s="144"/>
      <c r="O25" s="145"/>
      <c r="P25" s="144"/>
      <c r="Q25" s="145"/>
      <c r="R25" s="121"/>
      <c r="S25" s="144"/>
    </row>
    <row r="26" spans="1:19">
      <c r="A26" s="117"/>
      <c r="D26" s="134"/>
      <c r="E26" s="134"/>
      <c r="F26" s="134"/>
      <c r="G26" s="143"/>
      <c r="H26" s="134"/>
      <c r="I26" s="134"/>
      <c r="J26" s="134"/>
      <c r="K26" s="143"/>
      <c r="L26" s="134"/>
      <c r="M26" s="139"/>
      <c r="N26" s="144"/>
      <c r="O26" s="145"/>
      <c r="P26" s="144"/>
      <c r="Q26" s="145"/>
      <c r="R26" s="121"/>
      <c r="S26" s="144"/>
    </row>
    <row r="27" spans="1:19">
      <c r="A27" s="117"/>
      <c r="D27" s="134"/>
      <c r="E27" s="134"/>
      <c r="F27" s="134"/>
      <c r="G27" s="143"/>
      <c r="H27" s="134"/>
      <c r="I27" s="134"/>
      <c r="J27" s="134"/>
      <c r="K27" s="143"/>
      <c r="L27" s="134"/>
      <c r="M27" s="139"/>
      <c r="N27" s="144"/>
      <c r="O27" s="145"/>
      <c r="P27" s="144"/>
      <c r="Q27" s="145"/>
      <c r="R27" s="121"/>
      <c r="S27" s="144"/>
    </row>
    <row r="28" spans="1:19">
      <c r="A28" s="115" t="s">
        <v>49</v>
      </c>
      <c r="B28" s="115" t="s">
        <v>71</v>
      </c>
      <c r="D28" s="134"/>
      <c r="E28" s="134"/>
      <c r="F28" s="134"/>
      <c r="G28" s="143"/>
      <c r="H28" s="134"/>
      <c r="I28" s="134"/>
      <c r="J28" s="134"/>
      <c r="K28" s="143"/>
      <c r="L28" s="134"/>
      <c r="M28" s="139"/>
      <c r="N28" s="144"/>
      <c r="O28" s="145"/>
      <c r="P28" s="144"/>
      <c r="Q28" s="145"/>
      <c r="R28" s="121"/>
      <c r="S28" s="144"/>
    </row>
    <row r="29" spans="1:19">
      <c r="B29" s="115" t="s">
        <v>72</v>
      </c>
      <c r="D29" s="134"/>
      <c r="E29" s="134"/>
      <c r="F29" s="134"/>
      <c r="G29" s="143"/>
      <c r="H29" s="134"/>
      <c r="I29" s="134"/>
      <c r="J29" s="134"/>
      <c r="K29" s="143"/>
      <c r="L29" s="134"/>
      <c r="M29" s="139"/>
      <c r="N29" s="144"/>
      <c r="O29" s="145"/>
      <c r="P29" s="144"/>
      <c r="Q29" s="145"/>
      <c r="R29" s="121"/>
      <c r="S29" s="144"/>
    </row>
    <row r="30" spans="1:19">
      <c r="A30" s="117"/>
      <c r="D30" s="134"/>
      <c r="E30" s="134"/>
      <c r="F30" s="134"/>
      <c r="G30" s="143"/>
      <c r="H30" s="134"/>
      <c r="I30" s="134"/>
      <c r="J30" s="134"/>
      <c r="K30" s="143"/>
      <c r="L30" s="134"/>
      <c r="M30" s="139"/>
      <c r="N30" s="144"/>
      <c r="O30" s="145"/>
      <c r="P30" s="144"/>
      <c r="Q30" s="145"/>
      <c r="R30" s="121"/>
      <c r="S30" s="144"/>
    </row>
    <row r="31" spans="1:19">
      <c r="A31" s="117"/>
      <c r="D31" s="134"/>
      <c r="E31" s="134"/>
      <c r="F31" s="134"/>
      <c r="H31" s="134"/>
      <c r="I31" s="134"/>
      <c r="J31" s="134"/>
      <c r="L31" s="134"/>
      <c r="N31" s="144"/>
      <c r="O31" s="145"/>
      <c r="P31" s="144"/>
      <c r="Q31" s="145"/>
      <c r="R31" s="121"/>
      <c r="S31" s="144"/>
    </row>
    <row r="32" spans="1:19">
      <c r="N32" s="144"/>
      <c r="O32" s="145"/>
      <c r="P32" s="144"/>
      <c r="Q32" s="145"/>
      <c r="R32" s="121"/>
      <c r="S32" s="144"/>
    </row>
    <row r="33" spans="4:20">
      <c r="N33" s="146"/>
      <c r="O33" s="145"/>
      <c r="P33" s="146"/>
      <c r="Q33" s="145"/>
      <c r="R33" s="147"/>
      <c r="S33" s="146"/>
      <c r="T33" s="148"/>
    </row>
    <row r="34" spans="4:20">
      <c r="N34" s="146"/>
      <c r="O34" s="147"/>
      <c r="P34" s="147"/>
      <c r="Q34" s="147"/>
      <c r="R34" s="147"/>
      <c r="S34" s="147"/>
      <c r="T34" s="148"/>
    </row>
    <row r="35" spans="4:20">
      <c r="D35" s="134"/>
      <c r="E35" s="134"/>
      <c r="F35" s="134"/>
      <c r="G35" s="134"/>
      <c r="H35" s="134"/>
      <c r="I35" s="134"/>
      <c r="J35" s="134"/>
      <c r="K35" s="134"/>
      <c r="N35" s="146"/>
      <c r="O35" s="147"/>
      <c r="P35" s="147"/>
      <c r="Q35" s="147"/>
      <c r="R35" s="147"/>
      <c r="S35" s="147"/>
      <c r="T35" s="148"/>
    </row>
    <row r="36" spans="4:20">
      <c r="D36" s="134"/>
      <c r="E36" s="134"/>
      <c r="F36" s="134"/>
      <c r="G36" s="134"/>
      <c r="N36" s="148"/>
      <c r="O36" s="148"/>
      <c r="P36" s="148"/>
      <c r="Q36" s="148"/>
      <c r="R36" s="148"/>
      <c r="S36" s="148"/>
      <c r="T36" s="148"/>
    </row>
    <row r="37" spans="4:20">
      <c r="D37" s="134"/>
      <c r="E37" s="134"/>
      <c r="F37" s="134"/>
      <c r="G37" s="134"/>
    </row>
    <row r="38" spans="4:20">
      <c r="D38" s="134"/>
      <c r="E38" s="134"/>
      <c r="F38" s="134"/>
      <c r="G38" s="134"/>
    </row>
    <row r="39" spans="4:20">
      <c r="D39" s="134"/>
      <c r="E39" s="134"/>
      <c r="F39" s="134"/>
      <c r="G39" s="134"/>
    </row>
    <row r="40" spans="4:20">
      <c r="D40" s="134"/>
      <c r="E40" s="134"/>
      <c r="F40" s="134"/>
      <c r="G40" s="134"/>
    </row>
    <row r="51" spans="1:17">
      <c r="H51" s="149"/>
      <c r="I51" s="149"/>
      <c r="J51" s="149"/>
      <c r="K51" s="149"/>
      <c r="L51" s="149"/>
      <c r="M51" s="149"/>
      <c r="N51" s="149"/>
      <c r="O51" s="149"/>
      <c r="P51" s="149"/>
      <c r="Q51" s="149" t="s">
        <v>96</v>
      </c>
    </row>
    <row r="52" spans="1:17">
      <c r="H52" s="149"/>
      <c r="I52" s="149"/>
      <c r="J52" s="149"/>
      <c r="K52" s="149"/>
      <c r="L52" s="149"/>
      <c r="M52" s="149"/>
      <c r="N52" s="149"/>
      <c r="O52" s="149"/>
      <c r="P52" s="149"/>
      <c r="Q52" s="149" t="s">
        <v>97</v>
      </c>
    </row>
    <row r="53" spans="1:17">
      <c r="H53" s="149"/>
      <c r="I53" s="149"/>
      <c r="J53" s="149"/>
      <c r="K53" s="149"/>
      <c r="L53" s="149"/>
      <c r="M53" s="149"/>
      <c r="N53" s="149"/>
      <c r="O53" s="149"/>
      <c r="P53" s="149"/>
      <c r="Q53" s="149" t="s">
        <v>51</v>
      </c>
    </row>
    <row r="54" spans="1:17">
      <c r="A54" s="115" t="s">
        <v>98</v>
      </c>
      <c r="H54" s="149"/>
      <c r="I54" s="149"/>
      <c r="J54" s="149"/>
      <c r="K54" s="149"/>
      <c r="L54" s="149"/>
      <c r="M54" s="149"/>
      <c r="N54" s="149"/>
      <c r="O54" s="149"/>
      <c r="P54" s="149"/>
      <c r="Q54" s="149" t="s">
        <v>99</v>
      </c>
    </row>
    <row r="56" spans="1:17">
      <c r="C56" s="150" t="s">
        <v>100</v>
      </c>
      <c r="D56" s="151">
        <f>D16+D24-([22]INPUT!C359)/1000</f>
        <v>0</v>
      </c>
      <c r="E56" s="152"/>
      <c r="F56" s="151">
        <f>F16+F24-('[22]Budget 2014'!O358)/1000</f>
        <v>0</v>
      </c>
      <c r="G56" s="152"/>
      <c r="H56" s="151">
        <f>H16+H24-([22]INPUT!E359)/1000</f>
        <v>0</v>
      </c>
      <c r="I56" s="152"/>
      <c r="J56" s="151">
        <f>J16+J24-([22]INPUT!D359)/1000</f>
        <v>0</v>
      </c>
      <c r="K56" s="152"/>
      <c r="L56" s="151">
        <f>L16+L24-([22]INPUT!F359)/1000</f>
        <v>0</v>
      </c>
    </row>
  </sheetData>
  <mergeCells count="5">
    <mergeCell ref="N10:Q10"/>
    <mergeCell ref="N11:O11"/>
    <mergeCell ref="P11:Q11"/>
    <mergeCell ref="N12:O12"/>
    <mergeCell ref="P12:Q12"/>
  </mergeCells>
  <pageMargins left="0.7" right="0.7" top="0.75" bottom="0.75" header="0.3" footer="0.3"/>
  <pageSetup scale="1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pageSetUpPr fitToPage="1"/>
  </sheetPr>
  <dimension ref="A1:AA64"/>
  <sheetViews>
    <sheetView topLeftCell="A19" zoomScale="80" zoomScaleNormal="80" workbookViewId="0">
      <selection activeCell="L39" sqref="L39"/>
    </sheetView>
  </sheetViews>
  <sheetFormatPr baseColWidth="10" defaultColWidth="9.140625" defaultRowHeight="15.75"/>
  <cols>
    <col min="1" max="1" width="3.28515625" style="17" customWidth="1"/>
    <col min="2" max="2" width="9.140625" style="17"/>
    <col min="3" max="3" width="14.140625" style="17" customWidth="1"/>
    <col min="4" max="11" width="9.140625" style="17"/>
    <col min="12" max="12" width="2.85546875" style="17" customWidth="1"/>
    <col min="13" max="16384" width="9.140625" style="17"/>
  </cols>
  <sheetData>
    <row r="1" spans="1:27">
      <c r="B1" s="9" t="s">
        <v>8</v>
      </c>
      <c r="C1" s="16"/>
      <c r="D1" s="16"/>
      <c r="E1" s="16"/>
      <c r="F1" s="16"/>
      <c r="G1" s="16"/>
      <c r="H1" s="16"/>
      <c r="I1" s="16"/>
      <c r="J1" s="16"/>
      <c r="K1" s="16"/>
      <c r="L1" s="16"/>
      <c r="M1" s="16"/>
      <c r="N1" s="16"/>
      <c r="R1" s="566"/>
      <c r="S1" s="566"/>
      <c r="T1" s="566"/>
      <c r="U1" s="566"/>
      <c r="V1" s="566"/>
      <c r="W1" s="566"/>
      <c r="X1" s="566"/>
      <c r="Y1" s="566"/>
      <c r="AA1" s="234"/>
    </row>
    <row r="2" spans="1:27">
      <c r="B2" s="10" t="s">
        <v>9</v>
      </c>
      <c r="C2" s="16"/>
      <c r="D2" s="16"/>
      <c r="E2" s="16"/>
      <c r="F2" s="16"/>
      <c r="G2" s="16"/>
      <c r="H2" s="16"/>
      <c r="I2" s="16"/>
      <c r="J2" s="16"/>
      <c r="K2" s="16"/>
      <c r="L2" s="16"/>
      <c r="M2" s="16"/>
      <c r="N2" s="16"/>
      <c r="R2" s="566"/>
      <c r="S2" s="566"/>
      <c r="T2" s="566"/>
      <c r="U2" s="566"/>
      <c r="V2" s="566"/>
      <c r="W2" s="566"/>
      <c r="X2" s="566"/>
      <c r="Y2" s="566"/>
      <c r="AA2" s="234"/>
    </row>
    <row r="3" spans="1:27">
      <c r="B3" s="11" t="s">
        <v>79</v>
      </c>
      <c r="C3" s="16"/>
      <c r="D3" s="16"/>
      <c r="E3" s="16"/>
      <c r="F3" s="16"/>
      <c r="G3" s="16"/>
      <c r="H3" s="16"/>
      <c r="I3" s="16"/>
      <c r="J3" s="16"/>
      <c r="K3" s="16"/>
      <c r="L3" s="16"/>
      <c r="M3" s="16"/>
      <c r="N3" s="16"/>
      <c r="R3" s="566"/>
      <c r="S3" s="566"/>
      <c r="T3" s="566"/>
      <c r="U3" s="566"/>
      <c r="V3" s="566"/>
      <c r="W3" s="566"/>
      <c r="X3" s="566"/>
      <c r="Y3" s="566"/>
      <c r="AA3" s="234"/>
    </row>
    <row r="4" spans="1:27">
      <c r="B4" s="12" t="s">
        <v>92</v>
      </c>
      <c r="C4" s="16"/>
      <c r="D4" s="16"/>
      <c r="E4" s="16"/>
      <c r="F4" s="16"/>
      <c r="G4" s="16"/>
      <c r="H4" s="16"/>
      <c r="I4" s="16"/>
      <c r="J4" s="16"/>
      <c r="K4" s="16"/>
      <c r="L4" s="16"/>
      <c r="M4" s="226"/>
      <c r="N4" s="16"/>
      <c r="AA4" s="234"/>
    </row>
    <row r="5" spans="1:27">
      <c r="AA5" s="234"/>
    </row>
    <row r="6" spans="1:27">
      <c r="AA6" s="234"/>
    </row>
    <row r="7" spans="1:27">
      <c r="A7" s="32"/>
      <c r="B7" s="276" t="s">
        <v>201</v>
      </c>
      <c r="AA7" s="234"/>
    </row>
    <row r="8" spans="1:27">
      <c r="A8" s="32"/>
    </row>
    <row r="9" spans="1:27">
      <c r="A9" s="32">
        <v>1</v>
      </c>
      <c r="B9" s="55" t="s">
        <v>35</v>
      </c>
    </row>
    <row r="10" spans="1:27">
      <c r="A10" s="32"/>
    </row>
    <row r="11" spans="1:27" ht="16.5" thickBot="1">
      <c r="A11" s="32"/>
      <c r="B11" s="17" t="s">
        <v>423</v>
      </c>
      <c r="N11" s="227">
        <v>164.4</v>
      </c>
    </row>
    <row r="12" spans="1:27" ht="16.5" thickTop="1">
      <c r="A12" s="32"/>
      <c r="B12" s="17" t="s">
        <v>479</v>
      </c>
    </row>
    <row r="13" spans="1:27">
      <c r="A13" s="32"/>
      <c r="B13" s="17" t="s">
        <v>471</v>
      </c>
    </row>
    <row r="14" spans="1:27">
      <c r="A14" s="32"/>
      <c r="B14" s="17" t="s">
        <v>424</v>
      </c>
    </row>
    <row r="15" spans="1:27">
      <c r="A15" s="32"/>
    </row>
    <row r="16" spans="1:27">
      <c r="A16" s="32"/>
    </row>
    <row r="17" spans="1:15">
      <c r="A17" s="32">
        <v>2</v>
      </c>
      <c r="B17" s="55" t="s">
        <v>67</v>
      </c>
    </row>
    <row r="18" spans="1:15">
      <c r="A18" s="32"/>
      <c r="B18" s="40"/>
      <c r="C18" s="40"/>
      <c r="D18" s="40"/>
      <c r="E18" s="40"/>
      <c r="F18" s="40"/>
      <c r="G18" s="40"/>
      <c r="H18" s="40"/>
      <c r="I18" s="40"/>
      <c r="J18" s="161"/>
      <c r="K18" s="40"/>
      <c r="L18" s="40"/>
      <c r="N18" s="161"/>
    </row>
    <row r="19" spans="1:15" ht="78" customHeight="1">
      <c r="A19" s="32"/>
      <c r="B19" s="626" t="s">
        <v>385</v>
      </c>
      <c r="C19" s="626"/>
      <c r="D19" s="626"/>
      <c r="E19" s="626"/>
      <c r="F19" s="626"/>
      <c r="G19" s="626"/>
      <c r="H19" s="626"/>
      <c r="I19" s="626"/>
      <c r="J19" s="626"/>
      <c r="K19" s="626"/>
      <c r="L19" s="517"/>
      <c r="M19" s="17">
        <f>95-39+34</f>
        <v>90</v>
      </c>
      <c r="N19" s="508"/>
    </row>
    <row r="20" spans="1:15">
      <c r="A20" s="32"/>
      <c r="B20" s="40"/>
      <c r="C20" s="40"/>
      <c r="D20" s="40"/>
      <c r="E20" s="40"/>
      <c r="F20" s="40"/>
      <c r="G20" s="40"/>
      <c r="H20" s="40"/>
      <c r="I20" s="40"/>
      <c r="J20" s="508"/>
      <c r="K20" s="40"/>
      <c r="L20" s="40"/>
      <c r="N20" s="508"/>
    </row>
    <row r="21" spans="1:15">
      <c r="A21" s="32"/>
      <c r="B21" s="626" t="s">
        <v>441</v>
      </c>
      <c r="C21" s="626"/>
      <c r="D21" s="626"/>
      <c r="E21" s="626"/>
      <c r="F21" s="626"/>
      <c r="G21" s="626"/>
      <c r="H21" s="626"/>
      <c r="I21" s="626"/>
      <c r="J21" s="626"/>
      <c r="K21" s="626"/>
      <c r="L21" s="40"/>
      <c r="M21" s="17">
        <v>38</v>
      </c>
      <c r="N21" s="508"/>
    </row>
    <row r="22" spans="1:15">
      <c r="A22" s="32"/>
      <c r="B22" s="40"/>
      <c r="C22" s="40"/>
      <c r="D22" s="40"/>
      <c r="E22" s="40"/>
      <c r="F22" s="40"/>
      <c r="G22" s="40"/>
      <c r="H22" s="40"/>
      <c r="I22" s="40"/>
      <c r="J22" s="508"/>
      <c r="K22" s="40"/>
      <c r="L22" s="40"/>
      <c r="N22" s="508"/>
    </row>
    <row r="23" spans="1:15">
      <c r="A23" s="32"/>
      <c r="B23" s="626" t="s">
        <v>442</v>
      </c>
      <c r="C23" s="626"/>
      <c r="D23" s="626"/>
      <c r="E23" s="626"/>
      <c r="F23" s="626"/>
      <c r="G23" s="626"/>
      <c r="H23" s="626"/>
      <c r="I23" s="626"/>
      <c r="J23" s="626"/>
      <c r="K23" s="626"/>
      <c r="L23" s="40"/>
      <c r="M23" s="17">
        <v>25</v>
      </c>
      <c r="N23" s="508"/>
    </row>
    <row r="24" spans="1:15">
      <c r="A24" s="32"/>
      <c r="B24" s="40"/>
      <c r="C24" s="40"/>
      <c r="D24" s="40"/>
      <c r="E24" s="40"/>
      <c r="F24" s="40"/>
      <c r="G24" s="40"/>
      <c r="H24" s="40"/>
      <c r="I24" s="40"/>
      <c r="J24" s="508"/>
      <c r="K24" s="40"/>
      <c r="L24" s="40"/>
      <c r="N24" s="508"/>
    </row>
    <row r="25" spans="1:15" ht="16.5" thickBot="1">
      <c r="B25" s="40" t="s">
        <v>443</v>
      </c>
      <c r="C25" s="40"/>
      <c r="D25" s="40"/>
      <c r="E25" s="40"/>
      <c r="F25" s="40"/>
      <c r="G25" s="40"/>
      <c r="H25" s="40"/>
      <c r="I25" s="40"/>
      <c r="J25" s="508"/>
      <c r="K25" s="40"/>
      <c r="L25" s="40"/>
      <c r="M25" s="17">
        <v>8.5</v>
      </c>
      <c r="N25" s="227">
        <f>SUM(M19:M25)</f>
        <v>161.5</v>
      </c>
    </row>
    <row r="26" spans="1:15" ht="16.5" thickTop="1">
      <c r="B26" s="40"/>
      <c r="C26" s="40"/>
      <c r="D26" s="40"/>
      <c r="E26" s="40"/>
      <c r="F26" s="40"/>
      <c r="G26" s="40"/>
      <c r="H26" s="40"/>
      <c r="I26" s="40"/>
      <c r="J26" s="521"/>
      <c r="K26" s="40"/>
      <c r="L26" s="40"/>
      <c r="N26" s="40"/>
    </row>
    <row r="27" spans="1:15">
      <c r="A27" s="32"/>
      <c r="B27" s="40"/>
      <c r="C27" s="40"/>
      <c r="D27" s="40"/>
      <c r="E27" s="40"/>
      <c r="F27" s="40"/>
      <c r="G27" s="40"/>
      <c r="H27" s="40"/>
      <c r="I27" s="40"/>
      <c r="J27" s="508"/>
      <c r="K27" s="40"/>
      <c r="L27" s="40"/>
      <c r="N27" s="508"/>
    </row>
    <row r="28" spans="1:15">
      <c r="A28" s="32">
        <v>3</v>
      </c>
      <c r="B28" s="55" t="s">
        <v>387</v>
      </c>
      <c r="C28" s="40"/>
      <c r="D28" s="40"/>
      <c r="E28" s="40"/>
      <c r="F28" s="40"/>
      <c r="G28" s="40"/>
      <c r="H28" s="40"/>
      <c r="I28" s="40"/>
      <c r="J28" s="236"/>
      <c r="K28" s="236"/>
      <c r="L28" s="236"/>
      <c r="M28" s="236"/>
    </row>
    <row r="29" spans="1:15">
      <c r="A29" s="32"/>
      <c r="B29" s="40"/>
      <c r="C29" s="40"/>
      <c r="D29" s="40"/>
      <c r="E29" s="40"/>
      <c r="F29" s="40"/>
      <c r="G29" s="40"/>
      <c r="H29" s="40"/>
      <c r="I29" s="40"/>
      <c r="J29" s="236"/>
      <c r="K29" s="236"/>
      <c r="L29" s="236"/>
      <c r="M29" s="236"/>
      <c r="N29" s="236"/>
    </row>
    <row r="30" spans="1:15" ht="48.75" customHeight="1" thickBot="1">
      <c r="A30" s="32"/>
      <c r="B30" s="626" t="s">
        <v>472</v>
      </c>
      <c r="C30" s="626"/>
      <c r="D30" s="626"/>
      <c r="E30" s="626"/>
      <c r="F30" s="626"/>
      <c r="G30" s="626"/>
      <c r="H30" s="626"/>
      <c r="I30" s="626"/>
      <c r="J30" s="626"/>
      <c r="K30" s="626"/>
      <c r="L30" s="236"/>
      <c r="M30" s="236">
        <v>-10.7</v>
      </c>
      <c r="N30" s="235">
        <v>-10.7</v>
      </c>
    </row>
    <row r="31" spans="1:15" ht="16.5" thickTop="1">
      <c r="A31" s="32"/>
      <c r="B31" s="40"/>
      <c r="C31" s="40"/>
      <c r="D31" s="40"/>
      <c r="E31" s="40"/>
      <c r="F31" s="40"/>
      <c r="G31" s="40"/>
      <c r="H31" s="40"/>
      <c r="I31" s="40"/>
      <c r="J31" s="236"/>
      <c r="K31" s="236"/>
      <c r="L31" s="236"/>
      <c r="M31" s="236"/>
      <c r="N31" s="236"/>
    </row>
    <row r="32" spans="1:15">
      <c r="A32" s="32"/>
      <c r="B32" s="40"/>
      <c r="C32" s="40"/>
      <c r="D32" s="40"/>
      <c r="E32" s="40"/>
      <c r="F32" s="40"/>
      <c r="G32" s="40"/>
      <c r="H32" s="40"/>
      <c r="I32" s="40"/>
      <c r="J32" s="236"/>
      <c r="K32" s="236"/>
      <c r="L32" s="236"/>
      <c r="M32" s="236"/>
      <c r="N32" s="236"/>
      <c r="O32" s="40"/>
    </row>
    <row r="33" spans="1:15">
      <c r="A33" s="32"/>
      <c r="B33" s="40"/>
      <c r="C33" s="40"/>
      <c r="D33" s="40"/>
      <c r="E33" s="40"/>
      <c r="F33" s="40"/>
      <c r="G33" s="40"/>
      <c r="H33" s="40"/>
      <c r="I33" s="40"/>
      <c r="J33" s="236"/>
      <c r="K33" s="236"/>
      <c r="L33" s="236"/>
      <c r="M33" s="236"/>
      <c r="N33" s="236"/>
      <c r="O33" s="40"/>
    </row>
    <row r="34" spans="1:15">
      <c r="A34" s="32"/>
      <c r="B34" s="40"/>
      <c r="C34" s="40"/>
      <c r="D34" s="40"/>
      <c r="E34" s="40"/>
      <c r="F34" s="40"/>
      <c r="G34" s="40"/>
      <c r="H34" s="40"/>
      <c r="I34" s="463"/>
      <c r="J34" s="236"/>
      <c r="K34" s="236"/>
      <c r="L34" s="236"/>
      <c r="M34" s="236"/>
      <c r="N34" s="236"/>
    </row>
    <row r="35" spans="1:15">
      <c r="A35" s="32"/>
      <c r="B35" s="276" t="s">
        <v>202</v>
      </c>
    </row>
    <row r="36" spans="1:15">
      <c r="A36" s="32"/>
    </row>
    <row r="37" spans="1:15">
      <c r="A37" s="32">
        <v>4</v>
      </c>
      <c r="B37" s="17" t="s">
        <v>420</v>
      </c>
    </row>
    <row r="38" spans="1:15">
      <c r="A38" s="32"/>
    </row>
    <row r="39" spans="1:15">
      <c r="A39" s="32"/>
      <c r="B39" s="17" t="s">
        <v>444</v>
      </c>
      <c r="M39" s="236">
        <f>-M23</f>
        <v>-25</v>
      </c>
    </row>
    <row r="40" spans="1:15">
      <c r="A40" s="32"/>
    </row>
    <row r="41" spans="1:15">
      <c r="A41" s="32"/>
      <c r="B41" s="17" t="s">
        <v>445</v>
      </c>
      <c r="M41" s="17">
        <v>57.6</v>
      </c>
    </row>
    <row r="42" spans="1:15">
      <c r="A42" s="32"/>
    </row>
    <row r="43" spans="1:15" ht="16.5" thickBot="1">
      <c r="A43" s="32"/>
      <c r="B43" s="40" t="s">
        <v>443</v>
      </c>
      <c r="M43" s="158">
        <v>25.9</v>
      </c>
      <c r="N43" s="235">
        <f>SUM(M39:M43)</f>
        <v>58.5</v>
      </c>
      <c r="O43" s="234"/>
    </row>
    <row r="44" spans="1:15" ht="16.5" thickTop="1">
      <c r="A44" s="32"/>
    </row>
    <row r="45" spans="1:15">
      <c r="A45" s="32"/>
      <c r="B45" s="40"/>
    </row>
    <row r="46" spans="1:15">
      <c r="A46" s="32"/>
      <c r="B46" s="40"/>
    </row>
    <row r="47" spans="1:15">
      <c r="A47" s="32"/>
      <c r="B47" s="40"/>
    </row>
    <row r="48" spans="1:15">
      <c r="A48" s="32"/>
      <c r="B48" s="40"/>
    </row>
    <row r="49" spans="1:14">
      <c r="A49" s="32"/>
      <c r="B49" s="40"/>
    </row>
    <row r="50" spans="1:14">
      <c r="A50" s="32"/>
      <c r="B50" s="40"/>
    </row>
    <row r="51" spans="1:14">
      <c r="A51" s="32"/>
      <c r="B51" s="40"/>
    </row>
    <row r="52" spans="1:14">
      <c r="A52" s="32"/>
      <c r="B52" s="40"/>
      <c r="N52" s="77" t="str">
        <f>'GI-28 Doc 8.3'!N51</f>
        <v>GI-28</v>
      </c>
    </row>
    <row r="53" spans="1:14">
      <c r="A53" s="32"/>
      <c r="N53" s="77" t="s">
        <v>171</v>
      </c>
    </row>
    <row r="54" spans="1:14">
      <c r="A54" s="32"/>
      <c r="N54" s="77" t="str">
        <f>'GI-28 Doc 8.3'!N53</f>
        <v>Page 1 de 1</v>
      </c>
    </row>
    <row r="55" spans="1:14">
      <c r="A55" s="32"/>
      <c r="B55" s="17" t="str">
        <f>'GI-28 Doc 8.3'!A54</f>
        <v>Original: 2015-09-09</v>
      </c>
      <c r="N55" s="77" t="str">
        <f>'GI-28 Doc 8.3'!N54</f>
        <v>Requête 3924-2015</v>
      </c>
    </row>
    <row r="56" spans="1:14">
      <c r="A56" s="32"/>
    </row>
    <row r="57" spans="1:14">
      <c r="A57" s="32"/>
    </row>
    <row r="58" spans="1:14">
      <c r="A58" s="32"/>
    </row>
    <row r="59" spans="1:14">
      <c r="A59" s="32"/>
    </row>
    <row r="60" spans="1:14">
      <c r="A60" s="32"/>
    </row>
    <row r="61" spans="1:14">
      <c r="A61" s="32"/>
    </row>
    <row r="62" spans="1:14">
      <c r="A62" s="32"/>
    </row>
    <row r="63" spans="1:14">
      <c r="A63" s="32"/>
    </row>
    <row r="64" spans="1:14">
      <c r="A64" s="32"/>
    </row>
  </sheetData>
  <mergeCells count="5">
    <mergeCell ref="R1:Y3"/>
    <mergeCell ref="B19:K19"/>
    <mergeCell ref="B21:K21"/>
    <mergeCell ref="B23:K23"/>
    <mergeCell ref="B30:K30"/>
  </mergeCells>
  <printOptions horizontalCentered="1"/>
  <pageMargins left="0.25" right="0.25" top="0.75" bottom="0.75" header="0.3" footer="0.3"/>
  <pageSetup scale="46" orientation="portrait"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rgb="FFFF0000"/>
    <pageSetUpPr fitToPage="1"/>
  </sheetPr>
  <dimension ref="A1:I61"/>
  <sheetViews>
    <sheetView zoomScaleNormal="100" workbookViewId="0">
      <selection activeCell="B6" sqref="B6"/>
    </sheetView>
  </sheetViews>
  <sheetFormatPr baseColWidth="10" defaultRowHeight="12.75"/>
  <cols>
    <col min="1" max="1" width="7.7109375" style="479" customWidth="1"/>
    <col min="2" max="2" width="67.28515625" style="479" customWidth="1"/>
    <col min="3" max="3" width="11.42578125" style="479" customWidth="1"/>
    <col min="4" max="4" width="3.7109375" style="479" customWidth="1"/>
    <col min="5" max="5" width="11.42578125" style="479" customWidth="1"/>
    <col min="6" max="6" width="3.7109375" style="479" customWidth="1"/>
    <col min="7" max="7" width="11.42578125" style="479" customWidth="1"/>
    <col min="8" max="8" width="5.85546875" style="479" customWidth="1"/>
    <col min="9" max="9" width="12.85546875" style="479" bestFit="1" customWidth="1"/>
    <col min="10" max="252" width="11.42578125" style="479" customWidth="1"/>
    <col min="253" max="16384" width="11.42578125" style="479"/>
  </cols>
  <sheetData>
    <row r="1" spans="1:9" ht="15.75">
      <c r="A1" s="556" t="s">
        <v>8</v>
      </c>
      <c r="B1" s="556"/>
      <c r="C1" s="556"/>
      <c r="D1" s="556"/>
      <c r="E1" s="556"/>
      <c r="F1" s="556"/>
      <c r="G1" s="556"/>
      <c r="H1" s="556"/>
    </row>
    <row r="2" spans="1:9" ht="15.75">
      <c r="A2" s="556" t="s">
        <v>395</v>
      </c>
      <c r="B2" s="556"/>
      <c r="C2" s="556"/>
      <c r="D2" s="556"/>
      <c r="E2" s="556"/>
      <c r="F2" s="556"/>
      <c r="G2" s="556"/>
      <c r="H2" s="556"/>
    </row>
    <row r="3" spans="1:9" ht="15.75">
      <c r="A3" s="556" t="s">
        <v>92</v>
      </c>
      <c r="B3" s="556"/>
      <c r="C3" s="556"/>
      <c r="D3" s="556"/>
      <c r="E3" s="556"/>
      <c r="F3" s="556"/>
      <c r="G3" s="556"/>
      <c r="H3" s="556"/>
    </row>
    <row r="4" spans="1:9" ht="15.75">
      <c r="B4" s="55"/>
    </row>
    <row r="5" spans="1:9" ht="15.75">
      <c r="B5" s="55"/>
      <c r="C5" s="483"/>
      <c r="D5" s="483"/>
      <c r="E5" s="483"/>
      <c r="F5" s="483"/>
      <c r="G5" s="483"/>
      <c r="H5" s="483"/>
      <c r="I5" s="483"/>
    </row>
    <row r="6" spans="1:9" ht="15.75">
      <c r="A6" s="32" t="s">
        <v>80</v>
      </c>
      <c r="B6" s="55"/>
      <c r="C6" s="157">
        <f>'GI-28 Doc 8.3'!C9</f>
        <v>2014</v>
      </c>
      <c r="D6" s="483"/>
      <c r="E6" s="157">
        <f>'GI-28 Doc 8.3'!E9</f>
        <v>2015</v>
      </c>
      <c r="F6" s="483"/>
      <c r="G6" s="467" t="s">
        <v>153</v>
      </c>
      <c r="H6" s="161"/>
      <c r="I6" s="483"/>
    </row>
    <row r="7" spans="1:9" ht="15.75">
      <c r="A7" s="480" t="s">
        <v>81</v>
      </c>
      <c r="C7" s="157" t="str">
        <f>'GI-28 Doc 8.3'!C10</f>
        <v>Réel</v>
      </c>
      <c r="D7" s="161"/>
      <c r="E7" s="157" t="str">
        <f>'GI-28 Doc 8.3'!E10</f>
        <v>(4+8)</v>
      </c>
      <c r="F7" s="161"/>
      <c r="G7" s="161">
        <v>2016</v>
      </c>
      <c r="H7" s="161"/>
      <c r="I7" s="483"/>
    </row>
    <row r="8" spans="1:9" ht="16.5" thickBot="1">
      <c r="C8" s="162" t="s">
        <v>31</v>
      </c>
      <c r="D8" s="161"/>
      <c r="E8" s="162" t="s">
        <v>31</v>
      </c>
      <c r="F8" s="161"/>
      <c r="G8" s="163" t="s">
        <v>31</v>
      </c>
      <c r="H8" s="484"/>
      <c r="I8" s="483"/>
    </row>
    <row r="9" spans="1:9" ht="15.75">
      <c r="B9" s="55"/>
      <c r="C9" s="164">
        <v>1</v>
      </c>
      <c r="D9" s="161"/>
      <c r="E9" s="32">
        <v>2</v>
      </c>
      <c r="F9" s="161"/>
      <c r="G9" s="32">
        <v>3</v>
      </c>
      <c r="H9" s="483"/>
      <c r="I9" s="483"/>
    </row>
    <row r="10" spans="1:9" ht="15.75">
      <c r="A10" s="32"/>
      <c r="B10" s="491" t="s">
        <v>480</v>
      </c>
      <c r="C10" s="497"/>
      <c r="D10" s="40"/>
      <c r="E10" s="40"/>
      <c r="F10" s="40"/>
      <c r="G10" s="40"/>
      <c r="H10" s="483"/>
      <c r="I10" s="483"/>
    </row>
    <row r="11" spans="1:9" ht="15.75">
      <c r="A11" s="32"/>
      <c r="B11" s="497"/>
      <c r="C11" s="497"/>
      <c r="D11" s="40"/>
      <c r="E11" s="40"/>
      <c r="F11" s="40"/>
      <c r="G11" s="40"/>
      <c r="H11" s="483"/>
      <c r="I11" s="483"/>
    </row>
    <row r="12" spans="1:9" ht="15.75">
      <c r="A12" s="32">
        <v>1</v>
      </c>
      <c r="B12" s="497" t="s">
        <v>397</v>
      </c>
      <c r="C12" s="496">
        <f>'GI-28 Doc 8.3'!C20</f>
        <v>1851.8732700000003</v>
      </c>
      <c r="D12" s="230"/>
      <c r="E12" s="496">
        <f>'GI-28 Doc 8.3'!E20</f>
        <v>2167.0540000000001</v>
      </c>
      <c r="F12" s="230"/>
      <c r="G12" s="496">
        <f>'GI-28 Doc 8.3'!H20</f>
        <v>2225.585</v>
      </c>
      <c r="H12" s="486"/>
      <c r="I12" s="524"/>
    </row>
    <row r="13" spans="1:9" ht="15.75">
      <c r="A13" s="32"/>
      <c r="B13" s="495" t="s">
        <v>398</v>
      </c>
      <c r="H13" s="488"/>
      <c r="I13" s="483"/>
    </row>
    <row r="14" spans="1:9" ht="15.75">
      <c r="A14" s="32">
        <v>2</v>
      </c>
      <c r="B14" s="495" t="s">
        <v>399</v>
      </c>
      <c r="C14" s="20">
        <v>-290</v>
      </c>
      <c r="D14" s="20"/>
      <c r="E14" s="20">
        <v>-371.91300000000001</v>
      </c>
      <c r="F14" s="20"/>
      <c r="G14" s="20">
        <v>-366.94799999999998</v>
      </c>
      <c r="H14" s="488"/>
      <c r="I14" s="524"/>
    </row>
    <row r="15" spans="1:9" ht="15.75">
      <c r="A15" s="32"/>
      <c r="B15" s="495"/>
      <c r="C15" s="496"/>
      <c r="D15" s="494"/>
      <c r="E15" s="496"/>
      <c r="F15" s="494"/>
      <c r="G15" s="496"/>
      <c r="H15" s="488"/>
      <c r="I15" s="524"/>
    </row>
    <row r="16" spans="1:9" ht="15.75">
      <c r="A16" s="32"/>
      <c r="B16" s="495"/>
      <c r="C16" s="493"/>
      <c r="D16" s="494"/>
      <c r="E16" s="493"/>
      <c r="F16" s="494"/>
      <c r="G16" s="493"/>
      <c r="H16" s="486"/>
      <c r="I16" s="483"/>
    </row>
    <row r="17" spans="1:9" ht="15.75">
      <c r="A17" s="32">
        <v>3</v>
      </c>
      <c r="B17" s="497" t="s">
        <v>392</v>
      </c>
      <c r="C17" s="496">
        <f>SUM(C12:C16)</f>
        <v>1561.8732700000003</v>
      </c>
      <c r="D17" s="494"/>
      <c r="E17" s="496">
        <f t="shared" ref="E17:G17" si="0">SUM(E12:E16)</f>
        <v>1795.1410000000001</v>
      </c>
      <c r="F17" s="494"/>
      <c r="G17" s="496">
        <f t="shared" si="0"/>
        <v>1858.6370000000002</v>
      </c>
      <c r="H17" s="488"/>
      <c r="I17" s="483"/>
    </row>
    <row r="18" spans="1:9" ht="15.75">
      <c r="A18" s="32">
        <v>4</v>
      </c>
      <c r="B18" s="497" t="s">
        <v>393</v>
      </c>
      <c r="C18" s="28">
        <v>0.10199999999999999</v>
      </c>
      <c r="D18" s="494"/>
      <c r="E18" s="28">
        <v>0.10199999999999999</v>
      </c>
      <c r="F18" s="494"/>
      <c r="G18" s="28">
        <v>0.10199999999999999</v>
      </c>
      <c r="H18" s="486"/>
      <c r="I18" s="483"/>
    </row>
    <row r="19" spans="1:9" ht="15.75">
      <c r="A19" s="32"/>
      <c r="B19" s="497"/>
      <c r="C19" s="493"/>
      <c r="D19" s="494"/>
      <c r="E19" s="493"/>
      <c r="F19" s="494"/>
      <c r="G19" s="493"/>
      <c r="H19" s="488"/>
      <c r="I19" s="483"/>
    </row>
    <row r="20" spans="1:9" ht="15.75">
      <c r="A20" s="32">
        <v>5</v>
      </c>
      <c r="B20" s="497"/>
      <c r="C20" s="496">
        <f>C17*C18</f>
        <v>159.31107354000002</v>
      </c>
      <c r="D20" s="494"/>
      <c r="E20" s="496">
        <f t="shared" ref="E20:G20" si="1">E17*E18</f>
        <v>183.10438199999999</v>
      </c>
      <c r="F20" s="494"/>
      <c r="G20" s="496">
        <f t="shared" si="1"/>
        <v>189.580974</v>
      </c>
      <c r="H20" s="488"/>
      <c r="I20" s="483"/>
    </row>
    <row r="21" spans="1:9" ht="15.75">
      <c r="A21" s="32">
        <v>6</v>
      </c>
      <c r="B21" s="495" t="s">
        <v>400</v>
      </c>
      <c r="C21" s="496">
        <f>-C14</f>
        <v>290</v>
      </c>
      <c r="D21" s="494"/>
      <c r="E21" s="496">
        <f>-E14</f>
        <v>371.91300000000001</v>
      </c>
      <c r="F21" s="494"/>
      <c r="G21" s="496">
        <f>-G14</f>
        <v>366.94799999999998</v>
      </c>
      <c r="H21" s="488"/>
      <c r="I21" s="483"/>
    </row>
    <row r="22" spans="1:9" ht="15.75">
      <c r="A22" s="32"/>
      <c r="B22" s="495"/>
      <c r="C22" s="496"/>
      <c r="D22" s="494"/>
      <c r="E22" s="496"/>
      <c r="F22" s="494"/>
      <c r="G22" s="496"/>
      <c r="H22" s="488"/>
      <c r="I22" s="483"/>
    </row>
    <row r="23" spans="1:9" ht="16.5" thickBot="1">
      <c r="A23" s="32">
        <v>7</v>
      </c>
      <c r="B23" s="497" t="s">
        <v>394</v>
      </c>
      <c r="C23" s="492">
        <f>SUM(C20:C21)</f>
        <v>449.31107354000005</v>
      </c>
      <c r="D23" s="494"/>
      <c r="E23" s="492">
        <f>SUM(E20:E21)</f>
        <v>555.017382</v>
      </c>
      <c r="F23" s="494"/>
      <c r="G23" s="492">
        <f>SUM(G20:G21)</f>
        <v>556.52897399999995</v>
      </c>
      <c r="H23" s="488"/>
      <c r="I23" s="483"/>
    </row>
    <row r="24" spans="1:9" ht="16.5" thickTop="1">
      <c r="A24" s="32"/>
      <c r="B24" s="497"/>
      <c r="C24" s="490"/>
      <c r="D24" s="494"/>
      <c r="E24" s="490"/>
      <c r="F24" s="494"/>
      <c r="G24" s="490"/>
      <c r="H24" s="488"/>
      <c r="I24" s="483"/>
    </row>
    <row r="25" spans="1:9" ht="15.75">
      <c r="A25" s="32"/>
      <c r="B25" s="497"/>
      <c r="C25" s="504"/>
      <c r="D25" s="494"/>
      <c r="E25" s="504"/>
      <c r="F25" s="494"/>
      <c r="G25" s="504"/>
      <c r="H25" s="488"/>
      <c r="I25" s="483"/>
    </row>
    <row r="26" spans="1:9">
      <c r="A26" s="488"/>
      <c r="B26" s="500"/>
      <c r="C26" s="499"/>
      <c r="D26" s="487"/>
      <c r="E26" s="487"/>
      <c r="F26" s="487"/>
      <c r="G26" s="487"/>
      <c r="H26" s="488"/>
      <c r="I26" s="483"/>
    </row>
    <row r="27" spans="1:9">
      <c r="A27" s="488"/>
      <c r="B27" s="500"/>
      <c r="C27" s="499"/>
      <c r="D27" s="487"/>
      <c r="E27" s="487"/>
      <c r="F27" s="487"/>
      <c r="G27" s="487"/>
      <c r="H27" s="488"/>
      <c r="I27" s="483"/>
    </row>
    <row r="28" spans="1:9" ht="15.75">
      <c r="A28" s="488"/>
      <c r="B28" s="499"/>
      <c r="C28" s="501"/>
      <c r="D28" s="485"/>
      <c r="E28" s="501"/>
      <c r="F28" s="485"/>
      <c r="G28" s="501"/>
      <c r="H28" s="486"/>
      <c r="I28" s="483"/>
    </row>
    <row r="29" spans="1:9">
      <c r="A29" s="488"/>
      <c r="B29" s="499"/>
      <c r="C29" s="501"/>
      <c r="D29" s="487"/>
      <c r="E29" s="501"/>
      <c r="F29" s="487"/>
      <c r="G29" s="501"/>
      <c r="H29" s="488"/>
      <c r="I29" s="483"/>
    </row>
    <row r="30" spans="1:9" ht="15.75">
      <c r="A30" s="32" t="s">
        <v>49</v>
      </c>
      <c r="B30" s="17" t="s">
        <v>413</v>
      </c>
      <c r="C30" s="501"/>
      <c r="D30" s="489"/>
      <c r="E30" s="501"/>
      <c r="F30" s="489"/>
      <c r="G30" s="501"/>
      <c r="H30" s="486"/>
      <c r="I30" s="483"/>
    </row>
    <row r="31" spans="1:9" ht="15.75">
      <c r="A31" s="488"/>
      <c r="B31" s="158" t="s">
        <v>486</v>
      </c>
      <c r="C31" s="526"/>
      <c r="D31" s="487"/>
      <c r="E31" s="501"/>
      <c r="F31" s="487"/>
      <c r="G31" s="501"/>
      <c r="H31" s="488"/>
      <c r="I31" s="483"/>
    </row>
    <row r="32" spans="1:9" ht="15.75">
      <c r="A32" s="488"/>
      <c r="B32" s="499"/>
      <c r="C32" s="501"/>
      <c r="D32" s="487"/>
      <c r="E32" s="501"/>
      <c r="F32" s="487"/>
      <c r="G32" s="501"/>
      <c r="H32" s="486"/>
      <c r="I32" s="483"/>
    </row>
    <row r="33" spans="1:9" ht="15.75">
      <c r="A33" s="488"/>
      <c r="B33" s="499"/>
      <c r="C33" s="503"/>
      <c r="D33" s="487"/>
      <c r="E33" s="503"/>
      <c r="F33" s="487"/>
      <c r="G33" s="503"/>
      <c r="H33" s="486"/>
      <c r="I33" s="483"/>
    </row>
    <row r="34" spans="1:9" ht="15.75">
      <c r="A34" s="488"/>
      <c r="B34" s="499"/>
      <c r="C34" s="503"/>
      <c r="D34" s="487"/>
      <c r="E34" s="503"/>
      <c r="F34" s="487"/>
      <c r="G34" s="503"/>
      <c r="H34" s="486"/>
      <c r="I34" s="483"/>
    </row>
    <row r="35" spans="1:9" ht="15.75">
      <c r="A35" s="483"/>
      <c r="B35" s="499"/>
      <c r="C35" s="501"/>
      <c r="D35" s="487"/>
      <c r="E35" s="501"/>
      <c r="F35" s="487"/>
      <c r="G35" s="501"/>
      <c r="H35" s="486"/>
      <c r="I35" s="483"/>
    </row>
    <row r="36" spans="1:9" ht="15.75">
      <c r="A36" s="483"/>
      <c r="B36" s="499"/>
      <c r="C36" s="501"/>
      <c r="D36" s="487"/>
      <c r="E36" s="501"/>
      <c r="F36" s="487"/>
      <c r="G36" s="501"/>
      <c r="H36" s="486"/>
      <c r="I36" s="483"/>
    </row>
    <row r="37" spans="1:9">
      <c r="A37" s="483"/>
      <c r="B37" s="499"/>
      <c r="C37" s="501"/>
      <c r="D37" s="487"/>
      <c r="E37" s="501"/>
      <c r="F37" s="487"/>
      <c r="G37" s="501"/>
    </row>
    <row r="38" spans="1:9">
      <c r="A38" s="483"/>
      <c r="B38" s="500"/>
      <c r="C38" s="499"/>
      <c r="D38" s="483"/>
      <c r="E38" s="483"/>
      <c r="F38" s="483"/>
      <c r="G38" s="483"/>
    </row>
    <row r="39" spans="1:9">
      <c r="A39" s="483"/>
      <c r="B39" s="499"/>
      <c r="C39" s="499"/>
      <c r="D39" s="483"/>
      <c r="E39" s="483"/>
      <c r="F39" s="483"/>
      <c r="G39" s="483"/>
    </row>
    <row r="40" spans="1:9">
      <c r="A40" s="483"/>
      <c r="B40" s="499"/>
      <c r="C40" s="501"/>
      <c r="D40" s="483"/>
      <c r="E40" s="483"/>
      <c r="F40" s="483"/>
      <c r="G40" s="483"/>
    </row>
    <row r="41" spans="1:9">
      <c r="A41" s="483"/>
      <c r="B41" s="498"/>
      <c r="C41" s="501"/>
      <c r="D41" s="483"/>
      <c r="E41" s="483"/>
      <c r="F41" s="483"/>
      <c r="G41" s="483"/>
    </row>
    <row r="42" spans="1:9">
      <c r="A42" s="483"/>
      <c r="B42" s="498"/>
      <c r="C42" s="501"/>
      <c r="D42" s="483"/>
      <c r="E42" s="483"/>
      <c r="F42" s="483"/>
      <c r="G42" s="483"/>
    </row>
    <row r="43" spans="1:9">
      <c r="A43" s="483"/>
      <c r="B43" s="499"/>
      <c r="C43" s="501"/>
      <c r="D43" s="483"/>
      <c r="E43" s="483"/>
      <c r="F43" s="483"/>
      <c r="G43" s="483"/>
    </row>
    <row r="44" spans="1:9">
      <c r="A44" s="483"/>
      <c r="B44" s="499"/>
      <c r="C44" s="503"/>
      <c r="D44" s="483"/>
      <c r="E44" s="483"/>
      <c r="F44" s="483"/>
      <c r="G44" s="483"/>
    </row>
    <row r="45" spans="1:9">
      <c r="A45" s="483"/>
      <c r="B45" s="499"/>
      <c r="C45" s="501"/>
      <c r="D45" s="483"/>
      <c r="E45" s="483"/>
      <c r="F45" s="483"/>
      <c r="G45" s="483"/>
    </row>
    <row r="46" spans="1:9">
      <c r="A46" s="483"/>
      <c r="B46" s="499"/>
      <c r="C46" s="501"/>
      <c r="D46" s="483"/>
      <c r="E46" s="483"/>
      <c r="F46" s="483"/>
      <c r="G46" s="483"/>
    </row>
    <row r="47" spans="1:9">
      <c r="B47" s="502"/>
      <c r="C47" s="502"/>
    </row>
    <row r="48" spans="1:9">
      <c r="C48" s="502"/>
    </row>
    <row r="49" spans="1:7">
      <c r="C49" s="502"/>
    </row>
    <row r="50" spans="1:7">
      <c r="C50" s="502"/>
    </row>
    <row r="58" spans="1:7" ht="15.75">
      <c r="A58" s="17"/>
      <c r="B58" s="17"/>
      <c r="C58" s="17"/>
      <c r="D58" s="17"/>
      <c r="E58" s="17"/>
      <c r="F58" s="17"/>
      <c r="G58" s="77" t="str">
        <f>'GI-28 Doc 1.1'!R65</f>
        <v>GI-28</v>
      </c>
    </row>
    <row r="59" spans="1:7" ht="15.75">
      <c r="A59" s="17"/>
      <c r="B59" s="17"/>
      <c r="C59" s="17"/>
      <c r="D59" s="17"/>
      <c r="E59" s="17"/>
      <c r="F59" s="17"/>
      <c r="G59" s="77" t="s">
        <v>396</v>
      </c>
    </row>
    <row r="60" spans="1:7" ht="15.75">
      <c r="A60" s="17"/>
      <c r="B60" s="17"/>
      <c r="C60" s="17"/>
      <c r="D60" s="17"/>
      <c r="E60" s="17"/>
      <c r="F60" s="17"/>
      <c r="G60" s="77" t="s">
        <v>51</v>
      </c>
    </row>
    <row r="61" spans="1:7" ht="15.75">
      <c r="A61" s="17" t="str">
        <f>'GI-28 Doc 8.3'!A54</f>
        <v>Original: 2015-09-09</v>
      </c>
      <c r="B61" s="17"/>
      <c r="C61" s="17"/>
      <c r="D61" s="17"/>
      <c r="E61" s="17"/>
      <c r="F61" s="17"/>
      <c r="G61" s="77" t="str">
        <f>'GI-28 Doc 1.1'!R68</f>
        <v>Requête 3924-2015</v>
      </c>
    </row>
  </sheetData>
  <mergeCells count="3">
    <mergeCell ref="A1:H1"/>
    <mergeCell ref="A2:H2"/>
    <mergeCell ref="A3:H3"/>
  </mergeCells>
  <pageMargins left="0.7" right="0.7" top="0.75" bottom="0.75" header="0.3" footer="0.3"/>
  <pageSetup scale="10" orientation="portrait"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8"/>
  <sheetViews>
    <sheetView zoomScaleNormal="100" workbookViewId="0">
      <selection activeCell="B5" sqref="B5"/>
    </sheetView>
  </sheetViews>
  <sheetFormatPr baseColWidth="10" defaultRowHeight="12.75" outlineLevelRow="1"/>
  <cols>
    <col min="1" max="1" width="7.28515625" style="532" customWidth="1"/>
    <col min="2" max="2" width="35.5703125" style="532" customWidth="1"/>
    <col min="3" max="5" width="13.85546875" style="532" customWidth="1"/>
    <col min="6" max="6" width="3.7109375" style="532" customWidth="1"/>
    <col min="7" max="7" width="13.85546875" style="532" customWidth="1"/>
    <col min="8" max="8" width="3.7109375" style="532" customWidth="1"/>
    <col min="9" max="9" width="13.85546875" style="532" customWidth="1"/>
    <col min="10" max="10" width="3.7109375" style="532" customWidth="1"/>
    <col min="11" max="11" width="12.85546875" style="532" bestFit="1" customWidth="1"/>
    <col min="12" max="254" width="11.42578125" style="532" customWidth="1"/>
    <col min="255" max="16384" width="11.42578125" style="532"/>
  </cols>
  <sheetData>
    <row r="1" spans="1:10" ht="15.75">
      <c r="A1" s="627" t="s">
        <v>8</v>
      </c>
      <c r="B1" s="627"/>
      <c r="C1" s="627"/>
      <c r="D1" s="627"/>
      <c r="E1" s="627"/>
      <c r="F1" s="627"/>
      <c r="G1" s="627"/>
      <c r="H1" s="627"/>
      <c r="I1" s="627"/>
      <c r="J1" s="627"/>
    </row>
    <row r="2" spans="1:10" ht="15.75">
      <c r="A2" s="627" t="s">
        <v>537</v>
      </c>
      <c r="B2" s="627"/>
      <c r="C2" s="627"/>
      <c r="D2" s="627"/>
      <c r="E2" s="627"/>
      <c r="F2" s="627"/>
      <c r="G2" s="627"/>
      <c r="H2" s="627"/>
      <c r="I2" s="627"/>
      <c r="J2" s="627"/>
    </row>
    <row r="3" spans="1:10" ht="15.75">
      <c r="A3" s="627" t="s">
        <v>92</v>
      </c>
      <c r="B3" s="627"/>
      <c r="C3" s="627"/>
      <c r="D3" s="627"/>
      <c r="E3" s="627"/>
      <c r="F3" s="627"/>
      <c r="G3" s="627"/>
      <c r="H3" s="627"/>
      <c r="I3" s="627"/>
      <c r="J3" s="627"/>
    </row>
    <row r="4" spans="1:10" ht="15.75">
      <c r="B4" s="278"/>
      <c r="C4" s="278"/>
      <c r="D4" s="278"/>
      <c r="E4" s="278"/>
      <c r="F4" s="278"/>
      <c r="G4" s="278"/>
      <c r="H4" s="278"/>
      <c r="I4" s="278"/>
      <c r="J4" s="278"/>
    </row>
    <row r="5" spans="1:10" ht="15.75">
      <c r="B5" s="278"/>
      <c r="C5" s="278"/>
      <c r="D5" s="278"/>
      <c r="E5" s="278"/>
      <c r="F5" s="278"/>
      <c r="G5" s="278"/>
      <c r="H5" s="278"/>
      <c r="I5" s="278"/>
      <c r="J5" s="278"/>
    </row>
    <row r="6" spans="1:10" ht="15.75">
      <c r="A6" s="277" t="s">
        <v>80</v>
      </c>
      <c r="B6" s="278"/>
      <c r="C6" s="278"/>
      <c r="D6" s="278"/>
      <c r="E6" s="278"/>
      <c r="F6" s="278"/>
      <c r="G6" s="278"/>
      <c r="H6" s="278"/>
      <c r="I6" s="278"/>
      <c r="J6" s="278"/>
    </row>
    <row r="7" spans="1:10" ht="15.75">
      <c r="A7" s="533" t="s">
        <v>81</v>
      </c>
      <c r="H7" s="628" t="s">
        <v>414</v>
      </c>
      <c r="I7" s="628"/>
      <c r="J7" s="628"/>
    </row>
    <row r="8" spans="1:10" ht="15.75">
      <c r="A8" s="534"/>
      <c r="H8" s="628"/>
      <c r="I8" s="628"/>
      <c r="J8" s="628"/>
    </row>
    <row r="9" spans="1:10" ht="15.75">
      <c r="E9" s="535">
        <v>2005</v>
      </c>
      <c r="G9" s="535">
        <v>2016</v>
      </c>
      <c r="I9" s="536" t="s">
        <v>531</v>
      </c>
    </row>
    <row r="10" spans="1:10">
      <c r="E10" s="537">
        <v>1</v>
      </c>
      <c r="F10" s="537"/>
      <c r="G10" s="537">
        <v>2</v>
      </c>
      <c r="H10" s="537"/>
      <c r="I10" s="537">
        <v>3</v>
      </c>
    </row>
    <row r="11" spans="1:10" ht="15.75">
      <c r="B11" s="278"/>
      <c r="C11" s="278"/>
      <c r="D11" s="278"/>
      <c r="E11" s="278"/>
      <c r="F11" s="278"/>
      <c r="G11" s="278"/>
      <c r="H11" s="278"/>
      <c r="I11" s="278"/>
      <c r="J11" s="278"/>
    </row>
    <row r="12" spans="1:10" ht="15.75">
      <c r="A12" s="537">
        <v>1</v>
      </c>
      <c r="B12" s="278" t="s">
        <v>82</v>
      </c>
      <c r="C12" s="278"/>
      <c r="D12" s="278"/>
      <c r="E12" s="278"/>
      <c r="F12" s="278"/>
      <c r="G12" s="278"/>
      <c r="H12" s="278"/>
      <c r="I12" s="278"/>
      <c r="J12" s="278"/>
    </row>
    <row r="13" spans="1:10">
      <c r="A13" s="537"/>
    </row>
    <row r="14" spans="1:10" ht="15.75">
      <c r="A14" s="537">
        <v>2</v>
      </c>
      <c r="B14" s="532" t="s">
        <v>83</v>
      </c>
      <c r="E14" s="538">
        <v>6392.4</v>
      </c>
      <c r="F14" s="539" t="s">
        <v>38</v>
      </c>
      <c r="G14" s="538">
        <v>13718</v>
      </c>
      <c r="H14" s="539" t="s">
        <v>40</v>
      </c>
      <c r="I14" s="481">
        <f>((1+(+G14-E14)/E14)^(1/11))-1</f>
        <v>7.1884265839561312E-2</v>
      </c>
    </row>
    <row r="15" spans="1:10">
      <c r="A15" s="537"/>
      <c r="E15" s="538"/>
      <c r="F15" s="538"/>
      <c r="G15" s="538"/>
    </row>
    <row r="16" spans="1:10" ht="15.75">
      <c r="A16" s="537">
        <v>3</v>
      </c>
      <c r="B16" s="532" t="s">
        <v>84</v>
      </c>
      <c r="E16" s="538">
        <v>29394</v>
      </c>
      <c r="F16" s="539" t="s">
        <v>39</v>
      </c>
      <c r="G16" s="538">
        <v>41851</v>
      </c>
      <c r="H16" s="539" t="s">
        <v>41</v>
      </c>
      <c r="I16" s="481">
        <f>((1+(+G16-E16)/E16)^(1/11))-1</f>
        <v>3.2641895453019654E-2</v>
      </c>
    </row>
    <row r="17" spans="1:10">
      <c r="A17" s="537"/>
    </row>
    <row r="18" spans="1:10" ht="15.75">
      <c r="A18" s="537">
        <v>4</v>
      </c>
      <c r="B18" s="532" t="s">
        <v>85</v>
      </c>
      <c r="E18" s="540">
        <f>E14/E16*1000</f>
        <v>217.47295366401306</v>
      </c>
      <c r="G18" s="540">
        <f>G14/G16*1000</f>
        <v>327.78189290578479</v>
      </c>
      <c r="I18" s="481">
        <f>((1+(+G18-E18)/E18)^(1/11))-1</f>
        <v>3.8001915823225429E-2</v>
      </c>
    </row>
    <row r="19" spans="1:10" ht="15.75">
      <c r="A19" s="537">
        <v>5</v>
      </c>
      <c r="B19" s="532" t="s">
        <v>86</v>
      </c>
      <c r="E19" s="532">
        <v>100</v>
      </c>
      <c r="G19" s="532">
        <f>100+1.68+1.56+2.08+0.62+1.23+3+2.08+0.75+1.43+1.9+2</f>
        <v>118.33000000000003</v>
      </c>
      <c r="H19" s="541"/>
      <c r="I19" s="481">
        <f>((1+(+G19-E19)/E19)^(1/11))-1</f>
        <v>1.541830381758702E-2</v>
      </c>
    </row>
    <row r="20" spans="1:10" ht="15.75">
      <c r="A20" s="537">
        <v>6</v>
      </c>
      <c r="B20" s="532" t="s">
        <v>87</v>
      </c>
      <c r="E20" s="540">
        <f>E18/E19*100</f>
        <v>217.47295366401306</v>
      </c>
      <c r="G20" s="540">
        <f>G18/G19*100</f>
        <v>277.0065857396981</v>
      </c>
      <c r="I20" s="481">
        <f>((1+(+G20-E20)/E20)^(1/11))-1</f>
        <v>2.2240698164227135E-2</v>
      </c>
    </row>
    <row r="21" spans="1:10" hidden="1" outlineLevel="1">
      <c r="A21" s="537"/>
    </row>
    <row r="22" spans="1:10" collapsed="1">
      <c r="A22" s="537"/>
    </row>
    <row r="23" spans="1:10">
      <c r="A23" s="537"/>
    </row>
    <row r="24" spans="1:10">
      <c r="A24" s="537"/>
    </row>
    <row r="25" spans="1:10" ht="15.75">
      <c r="A25" s="537"/>
      <c r="B25" s="278"/>
      <c r="C25" s="278"/>
      <c r="D25" s="278"/>
      <c r="E25" s="278"/>
      <c r="F25" s="278"/>
      <c r="G25" s="278"/>
      <c r="H25" s="278"/>
      <c r="I25" s="278"/>
      <c r="J25" s="278"/>
    </row>
    <row r="26" spans="1:10" ht="15.75">
      <c r="A26" s="537">
        <v>7</v>
      </c>
      <c r="B26" s="542" t="s">
        <v>88</v>
      </c>
      <c r="C26" s="542"/>
      <c r="D26" s="542"/>
      <c r="E26" s="542"/>
      <c r="F26" s="542"/>
      <c r="G26" s="542"/>
      <c r="H26" s="542"/>
      <c r="I26" s="542"/>
      <c r="J26" s="542"/>
    </row>
    <row r="27" spans="1:10">
      <c r="A27" s="537"/>
    </row>
    <row r="28" spans="1:10" ht="15.75">
      <c r="A28" s="537">
        <v>8</v>
      </c>
      <c r="B28" s="532" t="s">
        <v>83</v>
      </c>
      <c r="E28" s="538">
        <f>E14</f>
        <v>6392.4</v>
      </c>
      <c r="F28" s="538"/>
      <c r="G28" s="538">
        <f>G14</f>
        <v>13718</v>
      </c>
      <c r="I28" s="481">
        <f>((1+(+G28-E28)/E28)^(1/11))-1</f>
        <v>7.1884265839561312E-2</v>
      </c>
    </row>
    <row r="29" spans="1:10">
      <c r="A29" s="537"/>
      <c r="E29" s="538"/>
      <c r="F29" s="538"/>
      <c r="G29" s="538"/>
    </row>
    <row r="30" spans="1:10" ht="15.75">
      <c r="A30" s="537">
        <v>9</v>
      </c>
      <c r="B30" s="532" t="s">
        <v>84</v>
      </c>
      <c r="E30" s="538">
        <f>E16</f>
        <v>29394</v>
      </c>
      <c r="F30" s="538"/>
      <c r="G30" s="538">
        <f>G16</f>
        <v>41851</v>
      </c>
      <c r="I30" s="481">
        <f>((1+(+G30-E30)/E30)^(1/11))-1</f>
        <v>3.2641895453019654E-2</v>
      </c>
    </row>
    <row r="31" spans="1:10">
      <c r="A31" s="537"/>
    </row>
    <row r="32" spans="1:10" ht="15.75">
      <c r="A32" s="537">
        <v>10</v>
      </c>
      <c r="B32" s="532" t="s">
        <v>85</v>
      </c>
      <c r="E32" s="540">
        <f>E28/E30*1000</f>
        <v>217.47295366401306</v>
      </c>
      <c r="G32" s="540">
        <f>G28/G30*1000</f>
        <v>327.78189290578479</v>
      </c>
      <c r="I32" s="481">
        <f>((1+(+G32-E32)/E32)^(1/11))-1</f>
        <v>3.8001915823225429E-2</v>
      </c>
    </row>
    <row r="33" spans="1:10" ht="15.75">
      <c r="A33" s="537">
        <v>11</v>
      </c>
      <c r="B33" s="532" t="s">
        <v>86</v>
      </c>
      <c r="E33" s="543">
        <v>100</v>
      </c>
      <c r="G33" s="543">
        <f>100+1.8+1.8+2.1+2+1.7+2.3+2.4+1.9+1.7+1.9+2</f>
        <v>121.60000000000001</v>
      </c>
      <c r="I33" s="481">
        <f>((1+(+G33-E33)/E33)^(1/11))-1</f>
        <v>1.7937782123814694E-2</v>
      </c>
    </row>
    <row r="34" spans="1:10" ht="15.75">
      <c r="A34" s="537">
        <v>12</v>
      </c>
      <c r="B34" s="532" t="s">
        <v>87</v>
      </c>
      <c r="E34" s="540">
        <f>E32/E33*100</f>
        <v>217.47295366401306</v>
      </c>
      <c r="G34" s="540">
        <f>G32/G33*100</f>
        <v>269.55747771857301</v>
      </c>
      <c r="I34" s="481">
        <f>((1+(+G34-E34)/E34)^(1/11))-1</f>
        <v>1.9710569792928734E-2</v>
      </c>
    </row>
    <row r="35" spans="1:10" hidden="1" outlineLevel="1"/>
    <row r="36" spans="1:10" collapsed="1"/>
    <row r="39" spans="1:10" ht="15.75" customHeight="1"/>
    <row r="40" spans="1:10" ht="15.75" customHeight="1"/>
    <row r="41" spans="1:10" ht="15.75" customHeight="1"/>
    <row r="42" spans="1:10" ht="15.75" customHeight="1">
      <c r="B42" s="544"/>
      <c r="C42" s="544"/>
      <c r="D42" s="544"/>
      <c r="E42" s="544"/>
      <c r="F42" s="544"/>
      <c r="G42" s="544"/>
      <c r="H42" s="544"/>
      <c r="I42" s="544"/>
    </row>
    <row r="43" spans="1:10" ht="15.75" customHeight="1">
      <c r="A43" s="279" t="s">
        <v>49</v>
      </c>
      <c r="B43" s="545" t="s">
        <v>532</v>
      </c>
      <c r="C43" s="545"/>
      <c r="D43" s="545"/>
      <c r="E43" s="545"/>
      <c r="F43" s="545"/>
      <c r="G43" s="545"/>
      <c r="H43" s="545"/>
      <c r="I43" s="545"/>
      <c r="J43" s="279"/>
    </row>
    <row r="44" spans="1:10" ht="15.75" customHeight="1">
      <c r="A44" s="279"/>
      <c r="B44" s="279" t="s">
        <v>533</v>
      </c>
      <c r="C44" s="279"/>
      <c r="D44" s="279"/>
      <c r="E44" s="279"/>
      <c r="F44" s="279"/>
      <c r="G44" s="279"/>
      <c r="H44" s="279"/>
      <c r="I44" s="279"/>
      <c r="J44" s="279"/>
    </row>
    <row r="45" spans="1:10" ht="15.75" customHeight="1">
      <c r="A45" s="279"/>
      <c r="B45" s="279" t="s">
        <v>534</v>
      </c>
      <c r="C45" s="279"/>
      <c r="D45" s="279"/>
      <c r="E45" s="279"/>
      <c r="F45" s="279"/>
      <c r="G45" s="279"/>
      <c r="H45" s="279"/>
      <c r="I45" s="279"/>
      <c r="J45" s="279"/>
    </row>
    <row r="46" spans="1:10" ht="15.75" customHeight="1">
      <c r="A46" s="279"/>
      <c r="B46" s="279" t="s">
        <v>535</v>
      </c>
      <c r="C46" s="279"/>
      <c r="D46" s="279"/>
      <c r="E46" s="279"/>
      <c r="F46" s="279"/>
      <c r="G46" s="279"/>
      <c r="H46" s="279"/>
      <c r="I46" s="279"/>
      <c r="J46" s="279"/>
    </row>
    <row r="47" spans="1:10" ht="15.75" customHeight="1">
      <c r="A47" s="279"/>
      <c r="B47" s="279"/>
      <c r="C47" s="279"/>
      <c r="D47" s="279"/>
      <c r="E47" s="279"/>
      <c r="F47" s="279"/>
      <c r="G47" s="279"/>
      <c r="H47" s="279"/>
      <c r="I47" s="279"/>
      <c r="J47" s="279"/>
    </row>
    <row r="48" spans="1:10" ht="15.75" customHeight="1">
      <c r="A48" s="279"/>
      <c r="B48" s="279"/>
      <c r="C48" s="279"/>
      <c r="D48" s="279"/>
      <c r="E48" s="279"/>
      <c r="F48" s="279"/>
      <c r="G48" s="279"/>
      <c r="H48" s="279"/>
      <c r="I48" s="279"/>
      <c r="J48" s="279"/>
    </row>
    <row r="49" spans="1:10" ht="15.75" customHeight="1">
      <c r="A49" s="279"/>
      <c r="B49" s="279"/>
      <c r="C49" s="279"/>
      <c r="D49" s="279"/>
      <c r="E49" s="279"/>
      <c r="F49" s="279"/>
      <c r="G49" s="279"/>
      <c r="H49" s="279"/>
      <c r="I49" s="279"/>
      <c r="J49" s="279"/>
    </row>
    <row r="50" spans="1:10" ht="15.75" customHeight="1">
      <c r="A50" s="279"/>
      <c r="B50" s="279"/>
      <c r="C50" s="279"/>
      <c r="D50" s="279"/>
      <c r="E50" s="279"/>
      <c r="F50" s="279"/>
      <c r="G50" s="279"/>
      <c r="H50" s="279"/>
      <c r="I50" s="279"/>
      <c r="J50" s="279"/>
    </row>
    <row r="51" spans="1:10" ht="15.75" customHeight="1">
      <c r="A51" s="279"/>
      <c r="B51" s="279"/>
      <c r="C51" s="279"/>
      <c r="D51" s="279"/>
      <c r="E51" s="279"/>
      <c r="F51" s="279"/>
      <c r="G51" s="279"/>
      <c r="H51" s="279"/>
      <c r="I51" s="279"/>
      <c r="J51" s="279"/>
    </row>
    <row r="52" spans="1:10" ht="15.75" customHeight="1">
      <c r="A52" s="279"/>
      <c r="B52" s="279"/>
      <c r="C52" s="279"/>
      <c r="D52" s="279"/>
      <c r="E52" s="279"/>
      <c r="F52" s="279"/>
      <c r="G52" s="279"/>
      <c r="H52" s="279"/>
      <c r="I52" s="279"/>
      <c r="J52" s="279"/>
    </row>
    <row r="53" spans="1:10" ht="15.75" customHeight="1"/>
    <row r="54" spans="1:10" ht="15.75">
      <c r="B54" s="279"/>
      <c r="C54" s="279"/>
      <c r="D54" s="279"/>
      <c r="E54" s="279"/>
      <c r="F54" s="279"/>
      <c r="G54" s="279"/>
      <c r="H54" s="279"/>
      <c r="I54" s="546" t="s">
        <v>174</v>
      </c>
      <c r="J54" s="279"/>
    </row>
    <row r="55" spans="1:10" ht="15.75">
      <c r="B55" s="279"/>
      <c r="C55" s="279"/>
      <c r="D55" s="279"/>
      <c r="E55" s="279"/>
      <c r="F55" s="279"/>
      <c r="G55" s="279"/>
      <c r="H55" s="279"/>
      <c r="I55" s="546" t="s">
        <v>536</v>
      </c>
      <c r="J55" s="279"/>
    </row>
    <row r="56" spans="1:10" ht="15.75">
      <c r="B56" s="279"/>
      <c r="C56" s="279"/>
      <c r="D56" s="279"/>
      <c r="E56" s="279"/>
      <c r="F56" s="279"/>
      <c r="G56" s="279"/>
      <c r="H56" s="279"/>
      <c r="I56" s="546" t="s">
        <v>51</v>
      </c>
      <c r="J56" s="279"/>
    </row>
    <row r="57" spans="1:10" ht="15.75">
      <c r="B57" s="279" t="s">
        <v>491</v>
      </c>
      <c r="C57" s="279"/>
      <c r="D57" s="279"/>
      <c r="E57" s="279"/>
      <c r="F57" s="279"/>
      <c r="G57" s="279"/>
      <c r="H57" s="279"/>
      <c r="I57" s="445" t="s">
        <v>99</v>
      </c>
      <c r="J57" s="279"/>
    </row>
    <row r="58" spans="1:10" ht="15.75">
      <c r="C58" s="279"/>
      <c r="D58" s="279"/>
      <c r="E58" s="279"/>
      <c r="F58" s="279"/>
      <c r="G58" s="279"/>
      <c r="H58" s="279"/>
      <c r="I58" s="279"/>
      <c r="J58" s="279"/>
    </row>
  </sheetData>
  <mergeCells count="4">
    <mergeCell ref="A1:J1"/>
    <mergeCell ref="A2:J2"/>
    <mergeCell ref="A3:J3"/>
    <mergeCell ref="H7:J8"/>
  </mergeCells>
  <pageMargins left="0.25" right="0.25" top="0.75" bottom="0.75" header="0.3" footer="0.3"/>
  <pageSetup scale="84"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0B0F0"/>
    <pageSetUpPr fitToPage="1"/>
  </sheetPr>
  <dimension ref="A1:S59"/>
  <sheetViews>
    <sheetView zoomScaleNormal="100" workbookViewId="0">
      <selection activeCell="D48" sqref="D48"/>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6.42578125" style="115" bestFit="1" customWidth="1"/>
    <col min="16" max="16" width="12.42578125" style="115" bestFit="1" customWidth="1"/>
    <col min="17" max="17" width="9.140625" style="115"/>
    <col min="18" max="18" width="4" style="115" customWidth="1"/>
    <col min="19" max="19" width="20.28515625" style="115" customWidth="1"/>
    <col min="20" max="16384" width="9.140625" style="115"/>
  </cols>
  <sheetData>
    <row r="1" spans="1:19">
      <c r="A1" s="558" t="s">
        <v>8</v>
      </c>
      <c r="B1" s="558"/>
      <c r="C1" s="558"/>
      <c r="D1" s="558"/>
      <c r="E1" s="558"/>
      <c r="F1" s="558"/>
      <c r="G1" s="558"/>
      <c r="H1" s="558"/>
      <c r="I1" s="558"/>
      <c r="J1" s="558"/>
      <c r="K1" s="558"/>
      <c r="L1" s="558"/>
      <c r="M1" s="558"/>
      <c r="N1" s="558"/>
      <c r="O1" s="558"/>
      <c r="P1" s="558"/>
      <c r="Q1" s="558"/>
    </row>
    <row r="2" spans="1:19">
      <c r="A2" s="559" t="s">
        <v>9</v>
      </c>
      <c r="B2" s="559"/>
      <c r="C2" s="559"/>
      <c r="D2" s="559"/>
      <c r="E2" s="559"/>
      <c r="F2" s="559"/>
      <c r="G2" s="559"/>
      <c r="H2" s="559"/>
      <c r="I2" s="559"/>
      <c r="J2" s="559"/>
      <c r="K2" s="559"/>
      <c r="L2" s="559"/>
      <c r="M2" s="559"/>
      <c r="N2" s="559"/>
      <c r="O2" s="559"/>
      <c r="P2" s="559"/>
      <c r="Q2" s="559"/>
    </row>
    <row r="3" spans="1:19">
      <c r="A3" s="560" t="s">
        <v>101</v>
      </c>
      <c r="B3" s="560"/>
      <c r="C3" s="560"/>
      <c r="D3" s="560"/>
      <c r="E3" s="560"/>
      <c r="F3" s="560"/>
      <c r="G3" s="560"/>
      <c r="H3" s="560"/>
      <c r="I3" s="560"/>
      <c r="J3" s="560"/>
      <c r="K3" s="560"/>
      <c r="L3" s="560"/>
      <c r="M3" s="560"/>
      <c r="N3" s="560"/>
      <c r="O3" s="560"/>
      <c r="P3" s="560"/>
      <c r="Q3" s="560"/>
    </row>
    <row r="4" spans="1:19">
      <c r="A4" s="561" t="s">
        <v>92</v>
      </c>
      <c r="B4" s="561"/>
      <c r="C4" s="561"/>
      <c r="D4" s="561"/>
      <c r="E4" s="561"/>
      <c r="F4" s="561"/>
      <c r="G4" s="561"/>
      <c r="H4" s="561"/>
      <c r="I4" s="561"/>
      <c r="J4" s="561"/>
      <c r="K4" s="561"/>
      <c r="L4" s="561"/>
      <c r="M4" s="561"/>
      <c r="N4" s="561"/>
      <c r="O4" s="561"/>
      <c r="P4" s="561"/>
      <c r="Q4" s="561"/>
    </row>
    <row r="9" spans="1:19">
      <c r="F9" s="116" t="s">
        <v>152</v>
      </c>
      <c r="G9" s="117"/>
      <c r="H9" s="117"/>
      <c r="I9" s="117"/>
      <c r="J9" s="116" t="s">
        <v>152</v>
      </c>
      <c r="S9" s="116" t="s">
        <v>152</v>
      </c>
    </row>
    <row r="10" spans="1:19">
      <c r="N10" s="562" t="s">
        <v>36</v>
      </c>
      <c r="O10" s="562"/>
      <c r="P10" s="562"/>
      <c r="Q10" s="562"/>
      <c r="S10" s="118"/>
    </row>
    <row r="11" spans="1:19">
      <c r="B11" s="119" t="s">
        <v>102</v>
      </c>
      <c r="D11" s="120">
        <v>2014</v>
      </c>
      <c r="E11" s="121"/>
      <c r="F11" s="120">
        <v>2014</v>
      </c>
      <c r="G11" s="121"/>
      <c r="H11" s="120">
        <v>2015</v>
      </c>
      <c r="I11" s="121"/>
      <c r="J11" s="120">
        <v>2015</v>
      </c>
      <c r="L11" s="122" t="s">
        <v>153</v>
      </c>
      <c r="N11" s="563" t="e">
        <f>'25401'!N11:O11</f>
        <v>#VALUE!</v>
      </c>
      <c r="O11" s="563"/>
      <c r="P11" s="563" t="str">
        <f>'25401'!P11:Q11</f>
        <v>Cause 2016</v>
      </c>
      <c r="Q11" s="563"/>
      <c r="S11" s="123" t="s">
        <v>155</v>
      </c>
    </row>
    <row r="12" spans="1:19">
      <c r="D12" s="124" t="s">
        <v>27</v>
      </c>
      <c r="E12" s="121"/>
      <c r="F12" s="124" t="s">
        <v>28</v>
      </c>
      <c r="G12" s="121"/>
      <c r="H12" s="124" t="s">
        <v>94</v>
      </c>
      <c r="I12" s="121"/>
      <c r="J12" s="124" t="s">
        <v>28</v>
      </c>
      <c r="L12" s="125">
        <v>2016</v>
      </c>
      <c r="M12" s="125"/>
      <c r="N12" s="563" t="e">
        <f>'25401'!N12:O12</f>
        <v>#VALUE!</v>
      </c>
      <c r="O12" s="563"/>
      <c r="P12" s="563" t="str">
        <f>'25401'!P12:Q12</f>
        <v>vs Cause 2005</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199</v>
      </c>
      <c r="O14" s="130">
        <v>5</v>
      </c>
      <c r="P14" s="130" t="s">
        <v>158</v>
      </c>
      <c r="Q14" s="130">
        <v>7</v>
      </c>
      <c r="R14" s="131"/>
      <c r="S14" s="132">
        <v>8</v>
      </c>
    </row>
    <row r="15" spans="1:19">
      <c r="A15" s="117"/>
      <c r="S15" s="140"/>
    </row>
    <row r="16" spans="1:19" ht="16.5" thickBot="1">
      <c r="A16" s="117">
        <v>1</v>
      </c>
      <c r="B16" s="119" t="s">
        <v>0</v>
      </c>
      <c r="D16" s="133">
        <f>([23]INPUT!C66+[23]INPUT!C345)/1000</f>
        <v>46.477870000000003</v>
      </c>
      <c r="E16" s="134"/>
      <c r="F16" s="133">
        <f>('[23]Budget 2014'!O65)/1000</f>
        <v>60.603900000000003</v>
      </c>
      <c r="G16" s="134"/>
      <c r="H16" s="133">
        <f>([23]INPUT!E66+[23]INPUT!E345)/1000</f>
        <v>77.5160877</v>
      </c>
      <c r="I16" s="134"/>
      <c r="J16" s="133">
        <f>([23]INPUT!D66+[23]INPUT!D345)/1000</f>
        <v>47.551979999999993</v>
      </c>
      <c r="K16" s="135"/>
      <c r="L16" s="133">
        <f>([23]INPUT!F66+[23]INPUT!F345)/1000</f>
        <v>101.170073</v>
      </c>
      <c r="M16" s="135"/>
      <c r="N16" s="133">
        <f>H16-D16</f>
        <v>31.038217699999997</v>
      </c>
      <c r="O16" s="136">
        <f>N16/D16</f>
        <v>0.66780637107509433</v>
      </c>
      <c r="P16" s="113">
        <f>L16-H16</f>
        <v>23.653985300000002</v>
      </c>
      <c r="Q16" s="136">
        <f>P16/H16</f>
        <v>0.30514936965788075</v>
      </c>
      <c r="S16" s="137">
        <f>L16</f>
        <v>101.170073</v>
      </c>
    </row>
    <row r="17" spans="1:19" ht="16.5" thickTop="1">
      <c r="A17" s="117"/>
      <c r="B17" s="119"/>
      <c r="D17" s="138"/>
      <c r="E17" s="134"/>
      <c r="F17" s="138"/>
      <c r="G17" s="134"/>
      <c r="H17" s="138"/>
      <c r="I17" s="134"/>
      <c r="J17" s="138"/>
      <c r="K17" s="139"/>
      <c r="L17" s="138"/>
      <c r="M17" s="139"/>
      <c r="N17" s="138"/>
      <c r="O17" s="139"/>
      <c r="P17" s="139"/>
      <c r="S17" s="140"/>
    </row>
    <row r="18" spans="1:19">
      <c r="A18" s="117"/>
      <c r="D18" s="134"/>
      <c r="E18" s="134"/>
      <c r="F18" s="134"/>
      <c r="G18" s="134"/>
      <c r="H18" s="134"/>
      <c r="I18" s="134"/>
      <c r="J18" s="134"/>
      <c r="L18" s="134"/>
      <c r="N18" s="134"/>
      <c r="S18" s="140"/>
    </row>
    <row r="19" spans="1:19">
      <c r="A19" s="117"/>
      <c r="B19" s="13" t="s">
        <v>3</v>
      </c>
      <c r="D19" s="134"/>
      <c r="E19" s="134"/>
      <c r="F19" s="134"/>
      <c r="G19" s="134"/>
      <c r="H19" s="134"/>
      <c r="I19" s="134"/>
      <c r="J19" s="134"/>
      <c r="L19" s="134"/>
      <c r="N19" s="134"/>
      <c r="S19" s="140"/>
    </row>
    <row r="20" spans="1:19">
      <c r="A20" s="117"/>
      <c r="D20" s="134"/>
      <c r="E20" s="134"/>
      <c r="F20" s="134"/>
      <c r="G20" s="134"/>
      <c r="H20" s="134"/>
      <c r="I20" s="134"/>
      <c r="J20" s="134"/>
      <c r="L20" s="134"/>
      <c r="N20" s="134"/>
      <c r="S20" s="140"/>
    </row>
    <row r="21" spans="1:19">
      <c r="A21" s="117">
        <v>2</v>
      </c>
      <c r="B21" s="115" t="s">
        <v>95</v>
      </c>
      <c r="D21" s="134">
        <f>([23]INPUT!C359-[23]INPUT!C338-[23]INPUT!C66)/1000</f>
        <v>364.40787999999998</v>
      </c>
      <c r="E21" s="134"/>
      <c r="F21" s="134">
        <f>('[23]Budget 2014'!O358-'[23]Budget 2014'!O65)/1000</f>
        <v>383.14</v>
      </c>
      <c r="G21" s="134"/>
      <c r="H21" s="134">
        <f>([23]INPUT!E359-[23]INPUT!E338-[23]INPUT!E66)/1000</f>
        <v>463.48601199999996</v>
      </c>
      <c r="I21" s="134"/>
      <c r="J21" s="134">
        <f>([23]INPUT!D359-[23]INPUT!D338-[23]INPUT!D66)/1000</f>
        <v>402.94185099999999</v>
      </c>
      <c r="K21" s="139"/>
      <c r="L21" s="134">
        <f>([23]INPUT!F359-[23]INPUT!F338-[23]INPUT!F66)/1000</f>
        <v>445.70229370000004</v>
      </c>
      <c r="M21" s="139"/>
      <c r="N21" s="134">
        <f>H21-D21</f>
        <v>99.078131999999982</v>
      </c>
      <c r="O21" s="136">
        <f>N21/D21</f>
        <v>0.27188800637351745</v>
      </c>
      <c r="P21" s="134">
        <f>L21-H21</f>
        <v>-17.783718299999919</v>
      </c>
      <c r="Q21" s="136">
        <f>P21/H21</f>
        <v>-3.8369482227221821E-2</v>
      </c>
      <c r="S21" s="140">
        <f>L21</f>
        <v>445.70229370000004</v>
      </c>
    </row>
    <row r="22" spans="1:19">
      <c r="A22" s="117"/>
      <c r="D22" s="141"/>
      <c r="E22" s="134"/>
      <c r="F22" s="141"/>
      <c r="G22" s="134"/>
      <c r="H22" s="141"/>
      <c r="I22" s="134"/>
      <c r="J22" s="141"/>
      <c r="L22" s="141"/>
      <c r="N22" s="141"/>
      <c r="O22" s="136"/>
      <c r="P22" s="141"/>
      <c r="Q22" s="136"/>
      <c r="S22" s="142"/>
    </row>
    <row r="23" spans="1:19">
      <c r="A23" s="117"/>
      <c r="D23" s="134"/>
      <c r="E23" s="134"/>
      <c r="F23" s="134"/>
      <c r="G23" s="134"/>
      <c r="H23" s="134"/>
      <c r="I23" s="134"/>
      <c r="J23" s="134"/>
      <c r="L23" s="134"/>
      <c r="N23" s="134"/>
      <c r="O23" s="136"/>
      <c r="P23" s="134"/>
      <c r="Q23" s="136"/>
      <c r="S23" s="140"/>
    </row>
    <row r="24" spans="1:19" ht="16.5" thickBot="1">
      <c r="A24" s="117">
        <v>3</v>
      </c>
      <c r="B24" s="13" t="s">
        <v>12</v>
      </c>
      <c r="D24" s="133">
        <f>SUM(D21:D23)</f>
        <v>364.40787999999998</v>
      </c>
      <c r="E24" s="134"/>
      <c r="F24" s="133">
        <f>SUM(F21:F23)</f>
        <v>383.14</v>
      </c>
      <c r="G24" s="134"/>
      <c r="H24" s="133">
        <f>SUM(H21:H23)</f>
        <v>463.48601199999996</v>
      </c>
      <c r="I24" s="134"/>
      <c r="J24" s="133">
        <f>SUM(J21:J23)</f>
        <v>402.94185099999999</v>
      </c>
      <c r="K24" s="135"/>
      <c r="L24" s="133">
        <f>SUM(L21:L23)</f>
        <v>445.70229370000004</v>
      </c>
      <c r="M24" s="135"/>
      <c r="N24" s="133">
        <f>SUM(N21:N23)</f>
        <v>99.078131999999982</v>
      </c>
      <c r="O24" s="136">
        <f>N24/D24</f>
        <v>0.27188800637351745</v>
      </c>
      <c r="P24" s="133">
        <f>SUM(P21:P23)</f>
        <v>-17.783718299999919</v>
      </c>
      <c r="Q24" s="136">
        <f>P24/H24</f>
        <v>-3.8369482227221821E-2</v>
      </c>
      <c r="S24" s="137">
        <f>SUM(S21:S23)</f>
        <v>445.70229370000004</v>
      </c>
    </row>
    <row r="25" spans="1:19" ht="16.5" thickTop="1">
      <c r="A25" s="117"/>
      <c r="D25" s="134"/>
      <c r="E25" s="134"/>
      <c r="F25" s="134"/>
      <c r="G25" s="143"/>
      <c r="H25" s="134"/>
      <c r="I25" s="134"/>
      <c r="J25" s="134"/>
      <c r="K25" s="139"/>
      <c r="L25" s="134"/>
      <c r="M25" s="139"/>
      <c r="N25" s="134"/>
      <c r="O25" s="139"/>
      <c r="P25" s="139"/>
    </row>
    <row r="26" spans="1:19">
      <c r="A26" s="117"/>
      <c r="D26" s="134"/>
      <c r="E26" s="134"/>
      <c r="F26" s="134"/>
      <c r="G26" s="143"/>
      <c r="H26" s="134"/>
      <c r="I26" s="134"/>
      <c r="J26" s="134"/>
      <c r="K26" s="139"/>
      <c r="L26" s="134"/>
      <c r="M26" s="139"/>
      <c r="N26" s="134"/>
      <c r="O26" s="139"/>
      <c r="P26" s="139"/>
    </row>
    <row r="27" spans="1:19">
      <c r="A27" s="117"/>
      <c r="D27" s="134"/>
      <c r="E27" s="134"/>
      <c r="F27" s="134"/>
      <c r="G27" s="143"/>
      <c r="H27" s="134"/>
      <c r="I27" s="134"/>
      <c r="J27" s="134"/>
      <c r="K27" s="139"/>
      <c r="L27" s="134"/>
      <c r="M27" s="139"/>
      <c r="N27" s="134"/>
      <c r="O27" s="139"/>
      <c r="P27" s="139"/>
    </row>
    <row r="28" spans="1:19">
      <c r="A28" s="115" t="s">
        <v>49</v>
      </c>
      <c r="B28" s="115" t="s">
        <v>71</v>
      </c>
      <c r="D28" s="134"/>
      <c r="E28" s="134"/>
      <c r="F28" s="134"/>
      <c r="G28" s="143"/>
      <c r="H28" s="134"/>
      <c r="I28" s="134"/>
      <c r="J28" s="134"/>
      <c r="K28" s="139"/>
      <c r="L28" s="134"/>
      <c r="M28" s="139"/>
      <c r="N28" s="134"/>
      <c r="O28" s="139"/>
      <c r="P28" s="139"/>
    </row>
    <row r="29" spans="1:19">
      <c r="B29" s="115" t="s">
        <v>72</v>
      </c>
      <c r="D29" s="134"/>
      <c r="E29" s="134"/>
      <c r="F29" s="134"/>
      <c r="G29" s="143"/>
      <c r="H29" s="134"/>
      <c r="I29" s="134"/>
      <c r="J29" s="134"/>
      <c r="K29" s="139"/>
      <c r="L29" s="134"/>
      <c r="M29" s="139"/>
      <c r="N29" s="134"/>
      <c r="O29" s="139"/>
      <c r="P29" s="139"/>
    </row>
    <row r="30" spans="1:19">
      <c r="A30" s="117"/>
      <c r="D30" s="134"/>
      <c r="E30" s="134"/>
      <c r="F30" s="134"/>
      <c r="G30" s="143"/>
      <c r="H30" s="134"/>
      <c r="I30" s="134"/>
      <c r="J30" s="134"/>
      <c r="K30" s="139"/>
      <c r="L30" s="134"/>
      <c r="M30" s="139"/>
      <c r="N30" s="134"/>
      <c r="O30" s="139"/>
      <c r="P30" s="139"/>
    </row>
    <row r="31" spans="1:19">
      <c r="A31" s="117"/>
      <c r="D31" s="134"/>
      <c r="E31" s="134"/>
      <c r="F31" s="134"/>
      <c r="H31" s="134"/>
      <c r="I31" s="134"/>
      <c r="J31" s="134"/>
      <c r="L31" s="134"/>
      <c r="N31" s="134"/>
      <c r="O31" s="139"/>
      <c r="P31" s="139"/>
    </row>
    <row r="35" spans="4:10">
      <c r="D35" s="134"/>
      <c r="E35" s="134"/>
      <c r="F35" s="134"/>
      <c r="G35" s="134"/>
      <c r="H35" s="134"/>
      <c r="I35" s="134"/>
      <c r="J35" s="134"/>
    </row>
    <row r="36" spans="4:10">
      <c r="D36" s="134"/>
      <c r="E36" s="134"/>
      <c r="F36" s="134"/>
      <c r="G36" s="134"/>
    </row>
    <row r="37" spans="4:10">
      <c r="D37" s="134"/>
      <c r="E37" s="134"/>
      <c r="F37" s="134"/>
      <c r="G37" s="134"/>
    </row>
    <row r="38" spans="4:10">
      <c r="D38" s="134"/>
      <c r="E38" s="134"/>
      <c r="F38" s="134"/>
      <c r="G38" s="134"/>
    </row>
    <row r="39" spans="4:10">
      <c r="D39" s="134"/>
      <c r="E39" s="134"/>
      <c r="F39" s="134"/>
      <c r="G39" s="134"/>
    </row>
    <row r="40" spans="4:10">
      <c r="D40" s="134"/>
      <c r="E40" s="134"/>
      <c r="F40" s="134"/>
      <c r="G40" s="134"/>
    </row>
    <row r="54" spans="1:17">
      <c r="H54" s="149"/>
      <c r="I54" s="149"/>
      <c r="J54" s="149"/>
      <c r="K54" s="149"/>
      <c r="L54" s="149"/>
      <c r="M54" s="149"/>
      <c r="N54" s="149"/>
      <c r="O54" s="149"/>
      <c r="Q54" s="149" t="s">
        <v>96</v>
      </c>
    </row>
    <row r="55" spans="1:17">
      <c r="H55" s="149"/>
      <c r="I55" s="149"/>
      <c r="J55" s="149"/>
      <c r="K55" s="149"/>
      <c r="L55" s="149"/>
      <c r="M55" s="149"/>
      <c r="N55" s="149"/>
      <c r="O55" s="149"/>
      <c r="Q55" s="149" t="s">
        <v>97</v>
      </c>
    </row>
    <row r="56" spans="1:17">
      <c r="H56" s="149"/>
      <c r="I56" s="149"/>
      <c r="J56" s="149"/>
      <c r="K56" s="149"/>
      <c r="L56" s="149"/>
      <c r="M56" s="149"/>
      <c r="N56" s="149"/>
      <c r="O56" s="149"/>
      <c r="Q56" s="149" t="s">
        <v>51</v>
      </c>
    </row>
    <row r="57" spans="1:17">
      <c r="A57" s="115" t="s">
        <v>98</v>
      </c>
      <c r="H57" s="149"/>
      <c r="I57" s="149"/>
      <c r="J57" s="149"/>
      <c r="K57" s="149"/>
      <c r="L57" s="149"/>
      <c r="M57" s="149"/>
      <c r="N57" s="149"/>
      <c r="O57" s="149"/>
      <c r="Q57" s="149" t="s">
        <v>99</v>
      </c>
    </row>
    <row r="59" spans="1:17">
      <c r="C59" s="150" t="s">
        <v>100</v>
      </c>
      <c r="D59" s="151">
        <f>D16+D24-([23]INPUT!C359)/1000</f>
        <v>0</v>
      </c>
      <c r="E59" s="152"/>
      <c r="F59" s="151">
        <f>F16+F24-('[23]Budget 2014'!O358)/1000</f>
        <v>0</v>
      </c>
      <c r="G59" s="152"/>
      <c r="H59" s="151">
        <f>H16+H24-([23]INPUT!E359)/1000</f>
        <v>0</v>
      </c>
      <c r="I59" s="152"/>
      <c r="J59" s="151">
        <f>J16+J24-([23]INPUT!D359)/1000</f>
        <v>0</v>
      </c>
      <c r="K59" s="152"/>
      <c r="L59" s="151">
        <f>L16+L24-([23]INPUT!F359)/1000</f>
        <v>0</v>
      </c>
    </row>
  </sheetData>
  <mergeCells count="9">
    <mergeCell ref="N12:O12"/>
    <mergeCell ref="P12:Q12"/>
    <mergeCell ref="A1:Q1"/>
    <mergeCell ref="A2:Q2"/>
    <mergeCell ref="A3:Q3"/>
    <mergeCell ref="A4:Q4"/>
    <mergeCell ref="N10:Q10"/>
    <mergeCell ref="N11:O11"/>
    <mergeCell ref="P11:Q11"/>
  </mergeCells>
  <pageMargins left="0.7" right="0.7" top="0.75" bottom="0.75" header="0.3" footer="0.3"/>
  <pageSetup scale="1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F0"/>
    <pageSetUpPr fitToPage="1"/>
  </sheetPr>
  <dimension ref="A1:S59"/>
  <sheetViews>
    <sheetView zoomScaleNormal="100" workbookViewId="0">
      <selection activeCell="D48" sqref="D48"/>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6.42578125" style="115" bestFit="1" customWidth="1"/>
    <col min="16" max="16" width="12.42578125" style="115" bestFit="1" customWidth="1"/>
    <col min="17" max="17" width="9.140625" style="115"/>
    <col min="18" max="18" width="4" style="115" customWidth="1"/>
    <col min="19" max="19" width="20.140625" style="115" customWidth="1"/>
    <col min="20" max="16384" width="9.140625" style="115"/>
  </cols>
  <sheetData>
    <row r="1" spans="1:19">
      <c r="A1" s="558" t="s">
        <v>8</v>
      </c>
      <c r="B1" s="558"/>
      <c r="C1" s="558"/>
      <c r="D1" s="558"/>
      <c r="E1" s="558"/>
      <c r="F1" s="558"/>
      <c r="G1" s="558"/>
      <c r="H1" s="558"/>
      <c r="I1" s="558"/>
      <c r="J1" s="558"/>
      <c r="K1" s="558"/>
      <c r="L1" s="558"/>
      <c r="M1" s="558"/>
      <c r="N1" s="558"/>
      <c r="O1" s="558"/>
      <c r="P1" s="558"/>
      <c r="Q1" s="558"/>
    </row>
    <row r="2" spans="1:19">
      <c r="A2" s="559" t="s">
        <v>9</v>
      </c>
      <c r="B2" s="559"/>
      <c r="C2" s="559"/>
      <c r="D2" s="559"/>
      <c r="E2" s="559"/>
      <c r="F2" s="559"/>
      <c r="G2" s="559"/>
      <c r="H2" s="559"/>
      <c r="I2" s="559"/>
      <c r="J2" s="559"/>
      <c r="K2" s="559"/>
      <c r="L2" s="559"/>
      <c r="M2" s="559"/>
      <c r="N2" s="559"/>
      <c r="O2" s="559"/>
      <c r="P2" s="559"/>
      <c r="Q2" s="559"/>
    </row>
    <row r="3" spans="1:19">
      <c r="A3" s="560" t="s">
        <v>103</v>
      </c>
      <c r="B3" s="560"/>
      <c r="C3" s="560"/>
      <c r="D3" s="560"/>
      <c r="E3" s="560"/>
      <c r="F3" s="560"/>
      <c r="G3" s="560"/>
      <c r="H3" s="560"/>
      <c r="I3" s="560"/>
      <c r="J3" s="560"/>
      <c r="K3" s="560"/>
      <c r="L3" s="560"/>
      <c r="M3" s="560"/>
      <c r="N3" s="560"/>
      <c r="O3" s="560"/>
      <c r="P3" s="560"/>
      <c r="Q3" s="560"/>
    </row>
    <row r="4" spans="1:19">
      <c r="A4" s="561" t="s">
        <v>92</v>
      </c>
      <c r="B4" s="561"/>
      <c r="C4" s="561"/>
      <c r="D4" s="561"/>
      <c r="E4" s="561"/>
      <c r="F4" s="561"/>
      <c r="G4" s="561"/>
      <c r="H4" s="561"/>
      <c r="I4" s="561"/>
      <c r="J4" s="561"/>
      <c r="K4" s="561"/>
      <c r="L4" s="561"/>
      <c r="M4" s="561"/>
      <c r="N4" s="561"/>
      <c r="O4" s="561"/>
      <c r="P4" s="561"/>
      <c r="Q4" s="561"/>
    </row>
    <row r="9" spans="1:19">
      <c r="F9" s="116" t="s">
        <v>152</v>
      </c>
      <c r="G9" s="117"/>
      <c r="H9" s="117"/>
      <c r="I9" s="117"/>
      <c r="J9" s="116" t="s">
        <v>152</v>
      </c>
      <c r="S9" s="116" t="s">
        <v>152</v>
      </c>
    </row>
    <row r="10" spans="1:19">
      <c r="N10" s="562" t="s">
        <v>36</v>
      </c>
      <c r="O10" s="562"/>
      <c r="P10" s="562"/>
      <c r="Q10" s="562"/>
      <c r="S10" s="118"/>
    </row>
    <row r="11" spans="1:19">
      <c r="B11" s="119" t="s">
        <v>104</v>
      </c>
      <c r="D11" s="120">
        <v>2014</v>
      </c>
      <c r="E11" s="121"/>
      <c r="F11" s="120">
        <v>2014</v>
      </c>
      <c r="G11" s="121"/>
      <c r="H11" s="120">
        <v>2015</v>
      </c>
      <c r="I11" s="121"/>
      <c r="J11" s="120">
        <v>2015</v>
      </c>
      <c r="L11" s="122" t="s">
        <v>153</v>
      </c>
      <c r="N11" s="563" t="e">
        <f>'25404'!N11:O11</f>
        <v>#VALUE!</v>
      </c>
      <c r="O11" s="563"/>
      <c r="P11" s="563" t="str">
        <f>'25404'!P11:Q11</f>
        <v>Cause 2016</v>
      </c>
      <c r="Q11" s="563"/>
      <c r="S11" s="123" t="s">
        <v>155</v>
      </c>
    </row>
    <row r="12" spans="1:19">
      <c r="D12" s="124" t="s">
        <v>27</v>
      </c>
      <c r="E12" s="121"/>
      <c r="F12" s="124" t="s">
        <v>28</v>
      </c>
      <c r="G12" s="121"/>
      <c r="H12" s="124" t="s">
        <v>94</v>
      </c>
      <c r="I12" s="121"/>
      <c r="J12" s="124" t="s">
        <v>28</v>
      </c>
      <c r="L12" s="125">
        <v>2016</v>
      </c>
      <c r="M12" s="125"/>
      <c r="N12" s="563" t="e">
        <f>'25404'!N12:O12</f>
        <v>#VALUE!</v>
      </c>
      <c r="O12" s="563"/>
      <c r="P12" s="563" t="str">
        <f>'25404'!P12:Q12</f>
        <v>vs Cause 2005</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200</v>
      </c>
      <c r="O14" s="130">
        <v>5</v>
      </c>
      <c r="P14" s="130" t="s">
        <v>158</v>
      </c>
      <c r="Q14" s="130">
        <v>7</v>
      </c>
      <c r="R14" s="131"/>
      <c r="S14" s="132">
        <v>8</v>
      </c>
    </row>
    <row r="15" spans="1:19">
      <c r="A15" s="117"/>
      <c r="S15" s="118"/>
    </row>
    <row r="16" spans="1:19" ht="16.5" thickBot="1">
      <c r="A16" s="117">
        <v>1</v>
      </c>
      <c r="B16" s="119" t="s">
        <v>0</v>
      </c>
      <c r="D16" s="133">
        <f>[24]INPUT!C338/1000</f>
        <v>1.0989100000000001</v>
      </c>
      <c r="E16" s="134"/>
      <c r="F16" s="133">
        <f>'[24]Budget 2014'!O337/1000</f>
        <v>1.6591600000000002</v>
      </c>
      <c r="G16" s="134"/>
      <c r="H16" s="133">
        <f>[24]INPUT!E338/1000</f>
        <v>1.1255299999999999</v>
      </c>
      <c r="I16" s="134"/>
      <c r="J16" s="133">
        <f>[24]INPUT!D338/1000</f>
        <v>1.4027100000000001</v>
      </c>
      <c r="K16" s="134"/>
      <c r="L16" s="133">
        <f>[24]INPUT!F338/1000</f>
        <v>1.2530699999999999</v>
      </c>
      <c r="M16" s="135"/>
      <c r="N16" s="133">
        <f>H16-D16</f>
        <v>2.6619999999999866E-2</v>
      </c>
      <c r="O16" s="108">
        <f>IF(D16&gt;0,N16/D16,0)</f>
        <v>2.4224003785569215E-2</v>
      </c>
      <c r="P16" s="113">
        <f>L16-H16</f>
        <v>0.12753999999999999</v>
      </c>
      <c r="Q16" s="136">
        <f>P16/H16</f>
        <v>0.11331550469556564</v>
      </c>
      <c r="S16" s="137">
        <f>L16</f>
        <v>1.2530699999999999</v>
      </c>
    </row>
    <row r="17" spans="1:19" ht="16.5" thickTop="1">
      <c r="A17" s="117"/>
      <c r="B17" s="119"/>
      <c r="D17" s="138"/>
      <c r="E17" s="134"/>
      <c r="F17" s="138"/>
      <c r="G17" s="134"/>
      <c r="H17" s="138"/>
      <c r="I17" s="134"/>
      <c r="J17" s="138"/>
      <c r="K17" s="134"/>
      <c r="L17" s="138"/>
      <c r="M17" s="139"/>
      <c r="N17" s="138"/>
      <c r="O17" s="139"/>
      <c r="P17" s="139"/>
      <c r="S17" s="140"/>
    </row>
    <row r="18" spans="1:19">
      <c r="A18" s="117"/>
      <c r="D18" s="134"/>
      <c r="E18" s="134"/>
      <c r="F18" s="134"/>
      <c r="G18" s="134"/>
      <c r="H18" s="134"/>
      <c r="I18" s="134"/>
      <c r="J18" s="134"/>
      <c r="K18" s="134"/>
      <c r="L18" s="134"/>
      <c r="N18" s="134"/>
      <c r="O18" s="244"/>
      <c r="S18" s="140"/>
    </row>
    <row r="19" spans="1:19">
      <c r="A19" s="117"/>
      <c r="B19" s="13" t="s">
        <v>3</v>
      </c>
      <c r="D19" s="134"/>
      <c r="E19" s="134"/>
      <c r="F19" s="134"/>
      <c r="G19" s="134"/>
      <c r="H19" s="134"/>
      <c r="I19" s="134"/>
      <c r="J19" s="134"/>
      <c r="K19" s="134"/>
      <c r="L19" s="134"/>
      <c r="N19" s="134"/>
      <c r="S19" s="140"/>
    </row>
    <row r="20" spans="1:19">
      <c r="A20" s="117"/>
      <c r="D20" s="134"/>
      <c r="E20" s="134"/>
      <c r="F20" s="134"/>
      <c r="G20" s="134"/>
      <c r="H20" s="134"/>
      <c r="I20" s="134"/>
      <c r="J20" s="134"/>
      <c r="K20" s="134"/>
      <c r="L20" s="134"/>
      <c r="N20" s="134"/>
      <c r="S20" s="140"/>
    </row>
    <row r="21" spans="1:19">
      <c r="A21" s="117">
        <v>2</v>
      </c>
      <c r="B21" s="115" t="s">
        <v>95</v>
      </c>
      <c r="D21" s="134">
        <f>([24]INPUT!C359-[24]INPUT!C345)/1000</f>
        <v>33.134089999999993</v>
      </c>
      <c r="E21" s="134"/>
      <c r="F21" s="134">
        <f>('[24]Budget 2014'!O358-'[24]Budget 2014'!O337)/1000</f>
        <v>33.152999999999999</v>
      </c>
      <c r="G21" s="134"/>
      <c r="H21" s="134">
        <f>([24]INPUT!E359-[24]INPUT!E345)/1000</f>
        <v>34.000279999999997</v>
      </c>
      <c r="I21" s="134"/>
      <c r="J21" s="134">
        <f>([24]INPUT!D359-[24]INPUT!D345)/1000</f>
        <v>33.23903</v>
      </c>
      <c r="K21" s="134"/>
      <c r="L21" s="134">
        <f>([24]INPUT!F359-[24]INPUT!F345)/1000</f>
        <v>35.239108600000009</v>
      </c>
      <c r="M21" s="139"/>
      <c r="N21" s="134">
        <f>H21-D21</f>
        <v>0.86619000000000312</v>
      </c>
      <c r="O21" s="136">
        <f>N21/D21</f>
        <v>2.6141958327511133E-2</v>
      </c>
      <c r="P21" s="134">
        <f>L21-H21</f>
        <v>1.2388286000000122</v>
      </c>
      <c r="Q21" s="136">
        <f>P21/H21</f>
        <v>3.6435835234298435E-2</v>
      </c>
      <c r="S21" s="140">
        <f>L21</f>
        <v>35.239108600000009</v>
      </c>
    </row>
    <row r="22" spans="1:19">
      <c r="A22" s="117"/>
      <c r="D22" s="141"/>
      <c r="E22" s="134"/>
      <c r="F22" s="141"/>
      <c r="G22" s="134"/>
      <c r="H22" s="141"/>
      <c r="I22" s="134"/>
      <c r="J22" s="141"/>
      <c r="K22" s="134"/>
      <c r="L22" s="141"/>
      <c r="N22" s="141"/>
      <c r="O22" s="136"/>
      <c r="P22" s="141"/>
      <c r="Q22" s="136"/>
      <c r="S22" s="142"/>
    </row>
    <row r="23" spans="1:19">
      <c r="A23" s="117"/>
      <c r="D23" s="134"/>
      <c r="E23" s="134"/>
      <c r="F23" s="134"/>
      <c r="G23" s="134"/>
      <c r="H23" s="134"/>
      <c r="I23" s="134"/>
      <c r="J23" s="134"/>
      <c r="K23" s="134"/>
      <c r="L23" s="134"/>
      <c r="N23" s="134"/>
      <c r="O23" s="136"/>
      <c r="P23" s="134"/>
      <c r="Q23" s="136"/>
      <c r="S23" s="140"/>
    </row>
    <row r="24" spans="1:19" ht="16.5" thickBot="1">
      <c r="A24" s="117">
        <v>3</v>
      </c>
      <c r="B24" s="13" t="s">
        <v>12</v>
      </c>
      <c r="D24" s="133">
        <f>SUM(D21:D23)</f>
        <v>33.134089999999993</v>
      </c>
      <c r="E24" s="134"/>
      <c r="F24" s="133">
        <f>SUM(F21:F23)</f>
        <v>33.152999999999999</v>
      </c>
      <c r="G24" s="134"/>
      <c r="H24" s="133">
        <f>SUM(H21:H23)</f>
        <v>34.000279999999997</v>
      </c>
      <c r="I24" s="134"/>
      <c r="J24" s="133">
        <f>SUM(J21:J23)</f>
        <v>33.23903</v>
      </c>
      <c r="K24" s="134"/>
      <c r="L24" s="133">
        <f>SUM(L21:L23)</f>
        <v>35.239108600000009</v>
      </c>
      <c r="M24" s="135"/>
      <c r="N24" s="133">
        <f>SUM(N21:N23)</f>
        <v>0.86619000000000312</v>
      </c>
      <c r="O24" s="136">
        <f>N24/D24</f>
        <v>2.6141958327511133E-2</v>
      </c>
      <c r="P24" s="133">
        <f>SUM(P21:P23)</f>
        <v>1.2388286000000122</v>
      </c>
      <c r="Q24" s="136">
        <f>P24/H24</f>
        <v>3.6435835234298435E-2</v>
      </c>
      <c r="S24" s="137">
        <f>SUM(S21:S23)</f>
        <v>35.239108600000009</v>
      </c>
    </row>
    <row r="25" spans="1:19" ht="16.5" thickTop="1">
      <c r="A25" s="117"/>
      <c r="D25" s="134"/>
      <c r="E25" s="134"/>
      <c r="F25" s="134"/>
      <c r="G25" s="143"/>
      <c r="H25" s="134"/>
      <c r="I25" s="134"/>
      <c r="J25" s="134"/>
      <c r="K25" s="143"/>
      <c r="L25" s="134"/>
      <c r="M25" s="139"/>
      <c r="N25" s="134"/>
      <c r="O25" s="139"/>
      <c r="P25" s="139"/>
    </row>
    <row r="26" spans="1:19">
      <c r="A26" s="117"/>
      <c r="D26" s="134"/>
      <c r="E26" s="134"/>
      <c r="F26" s="134"/>
      <c r="G26" s="143"/>
      <c r="H26" s="134"/>
      <c r="I26" s="134"/>
      <c r="J26" s="134"/>
      <c r="K26" s="143"/>
      <c r="L26" s="134"/>
      <c r="M26" s="139"/>
      <c r="N26" s="134"/>
      <c r="O26" s="139"/>
      <c r="P26" s="139"/>
    </row>
    <row r="27" spans="1:19">
      <c r="A27" s="117"/>
      <c r="D27" s="134"/>
      <c r="E27" s="134"/>
      <c r="F27" s="134"/>
      <c r="G27" s="143"/>
      <c r="H27" s="134"/>
      <c r="I27" s="134"/>
      <c r="J27" s="134"/>
      <c r="K27" s="143"/>
      <c r="L27" s="134"/>
      <c r="M27" s="139"/>
      <c r="N27" s="134"/>
      <c r="O27" s="139"/>
      <c r="P27" s="139"/>
    </row>
    <row r="28" spans="1:19">
      <c r="A28" s="115" t="s">
        <v>49</v>
      </c>
      <c r="B28" s="115" t="s">
        <v>71</v>
      </c>
      <c r="D28" s="134"/>
      <c r="E28" s="134"/>
      <c r="F28" s="134"/>
      <c r="G28" s="143"/>
      <c r="H28" s="134"/>
      <c r="I28" s="134"/>
      <c r="J28" s="134"/>
      <c r="K28" s="143"/>
      <c r="L28" s="134"/>
      <c r="M28" s="139"/>
      <c r="N28" s="134"/>
      <c r="O28" s="139"/>
      <c r="P28" s="139"/>
    </row>
    <row r="29" spans="1:19">
      <c r="B29" s="115" t="s">
        <v>72</v>
      </c>
      <c r="D29" s="134"/>
      <c r="E29" s="134"/>
      <c r="F29" s="134"/>
      <c r="G29" s="143"/>
      <c r="H29" s="134"/>
      <c r="I29" s="134"/>
      <c r="J29" s="134"/>
      <c r="K29" s="143"/>
      <c r="L29" s="134"/>
      <c r="M29" s="139"/>
      <c r="N29" s="134"/>
      <c r="O29" s="139"/>
      <c r="P29" s="139"/>
    </row>
    <row r="30" spans="1:19">
      <c r="A30" s="117"/>
      <c r="D30" s="134"/>
      <c r="E30" s="134"/>
      <c r="F30" s="134"/>
      <c r="G30" s="143"/>
      <c r="H30" s="134"/>
      <c r="I30" s="134"/>
      <c r="J30" s="134"/>
      <c r="K30" s="143"/>
      <c r="L30" s="134"/>
      <c r="M30" s="139"/>
      <c r="N30" s="134"/>
      <c r="O30" s="139"/>
      <c r="P30" s="139"/>
    </row>
    <row r="31" spans="1:19">
      <c r="A31" s="117"/>
      <c r="D31" s="134"/>
      <c r="E31" s="134"/>
      <c r="F31" s="134"/>
      <c r="H31" s="134"/>
      <c r="I31" s="134"/>
      <c r="J31" s="134"/>
      <c r="L31" s="134"/>
      <c r="N31" s="134"/>
      <c r="O31" s="139"/>
      <c r="P31" s="139"/>
    </row>
    <row r="35" spans="4:11">
      <c r="D35" s="134"/>
      <c r="E35" s="134"/>
      <c r="F35" s="134"/>
      <c r="G35" s="134"/>
      <c r="H35" s="134"/>
      <c r="I35" s="134"/>
      <c r="J35" s="134"/>
      <c r="K35" s="134"/>
    </row>
    <row r="36" spans="4:11">
      <c r="D36" s="134"/>
      <c r="E36" s="134"/>
      <c r="F36" s="134"/>
      <c r="G36" s="134"/>
    </row>
    <row r="37" spans="4:11">
      <c r="D37" s="134"/>
      <c r="E37" s="134"/>
      <c r="F37" s="134"/>
      <c r="G37" s="134"/>
    </row>
    <row r="38" spans="4:11">
      <c r="D38" s="134"/>
      <c r="E38" s="134"/>
      <c r="F38" s="134"/>
      <c r="G38" s="134"/>
    </row>
    <row r="39" spans="4:11">
      <c r="D39" s="134"/>
      <c r="E39" s="134"/>
      <c r="F39" s="134"/>
      <c r="G39" s="134"/>
    </row>
    <row r="40" spans="4:11">
      <c r="D40" s="134"/>
      <c r="E40" s="134"/>
      <c r="F40" s="134"/>
      <c r="G40" s="134"/>
    </row>
    <row r="54" spans="1:17">
      <c r="H54" s="149"/>
      <c r="I54" s="149"/>
      <c r="J54" s="149"/>
      <c r="K54" s="149"/>
      <c r="L54" s="149"/>
      <c r="M54" s="149"/>
      <c r="N54" s="149"/>
      <c r="O54" s="149"/>
      <c r="Q54" s="149" t="s">
        <v>96</v>
      </c>
    </row>
    <row r="55" spans="1:17">
      <c r="H55" s="149"/>
      <c r="I55" s="149"/>
      <c r="J55" s="149"/>
      <c r="K55" s="149"/>
      <c r="L55" s="149"/>
      <c r="M55" s="149"/>
      <c r="N55" s="149"/>
      <c r="O55" s="149"/>
      <c r="Q55" s="149" t="s">
        <v>97</v>
      </c>
    </row>
    <row r="56" spans="1:17">
      <c r="H56" s="149"/>
      <c r="I56" s="149"/>
      <c r="J56" s="149"/>
      <c r="K56" s="149"/>
      <c r="L56" s="149"/>
      <c r="M56" s="149"/>
      <c r="N56" s="149"/>
      <c r="O56" s="149"/>
      <c r="Q56" s="149" t="s">
        <v>51</v>
      </c>
    </row>
    <row r="57" spans="1:17">
      <c r="A57" s="115" t="s">
        <v>98</v>
      </c>
      <c r="H57" s="149"/>
      <c r="I57" s="149"/>
      <c r="J57" s="149"/>
      <c r="K57" s="149"/>
      <c r="L57" s="149"/>
      <c r="M57" s="149"/>
      <c r="N57" s="149"/>
      <c r="O57" s="149"/>
      <c r="Q57" s="149" t="s">
        <v>99</v>
      </c>
    </row>
    <row r="59" spans="1:17">
      <c r="C59" s="150" t="s">
        <v>100</v>
      </c>
      <c r="D59" s="151">
        <f>D16+D24-([24]INPUT!C359)/1000</f>
        <v>0</v>
      </c>
      <c r="E59" s="152"/>
      <c r="F59" s="151">
        <f>F16+F24-('[24]Budget 2014'!O358)/1000</f>
        <v>0</v>
      </c>
      <c r="G59" s="152"/>
      <c r="H59" s="151">
        <f>H16+H24-([24]INPUT!E359)/1000</f>
        <v>0</v>
      </c>
      <c r="I59" s="152"/>
      <c r="J59" s="151">
        <f>J16+J24-([24]INPUT!D359)/1000</f>
        <v>0</v>
      </c>
      <c r="K59" s="152"/>
      <c r="L59" s="151">
        <f>L16+L24-([24]INPUT!F359)/1000</f>
        <v>0</v>
      </c>
    </row>
  </sheetData>
  <mergeCells count="9">
    <mergeCell ref="N12:O12"/>
    <mergeCell ref="P12:Q12"/>
    <mergeCell ref="A1:Q1"/>
    <mergeCell ref="A2:Q2"/>
    <mergeCell ref="A3:Q3"/>
    <mergeCell ref="A4:Q4"/>
    <mergeCell ref="N10:Q10"/>
    <mergeCell ref="N11:O11"/>
    <mergeCell ref="P11:Q11"/>
  </mergeCells>
  <pageMargins left="0.7" right="0.7" top="0.75" bottom="0.75" header="0.3" footer="0.3"/>
  <pageSetup scale="1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0B0F0"/>
    <pageSetUpPr fitToPage="1"/>
  </sheetPr>
  <dimension ref="A1:S59"/>
  <sheetViews>
    <sheetView zoomScaleNormal="100" workbookViewId="0">
      <selection activeCell="D48" sqref="D48"/>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8.140625" style="115" bestFit="1" customWidth="1"/>
    <col min="16" max="16" width="12.42578125" style="115" bestFit="1" customWidth="1"/>
    <col min="17" max="17" width="9.140625" style="115"/>
    <col min="18" max="18" width="3.28515625" style="115" customWidth="1"/>
    <col min="19" max="19" width="19.7109375" style="115" customWidth="1"/>
    <col min="20" max="16384" width="9.140625" style="115"/>
  </cols>
  <sheetData>
    <row r="1" spans="1:19">
      <c r="A1" s="558" t="s">
        <v>8</v>
      </c>
      <c r="B1" s="558"/>
      <c r="C1" s="558"/>
      <c r="D1" s="558"/>
      <c r="E1" s="558"/>
      <c r="F1" s="558"/>
      <c r="G1" s="558"/>
      <c r="H1" s="558"/>
      <c r="I1" s="558"/>
      <c r="J1" s="558"/>
      <c r="K1" s="558"/>
      <c r="L1" s="558"/>
      <c r="M1" s="558"/>
      <c r="N1" s="558"/>
      <c r="O1" s="558"/>
      <c r="P1" s="558"/>
      <c r="Q1" s="558"/>
    </row>
    <row r="2" spans="1:19">
      <c r="A2" s="559" t="s">
        <v>9</v>
      </c>
      <c r="B2" s="559"/>
      <c r="C2" s="559"/>
      <c r="D2" s="559"/>
      <c r="E2" s="559"/>
      <c r="F2" s="559"/>
      <c r="G2" s="559"/>
      <c r="H2" s="559"/>
      <c r="I2" s="559"/>
      <c r="J2" s="559"/>
      <c r="K2" s="559"/>
      <c r="L2" s="559"/>
      <c r="M2" s="559"/>
      <c r="N2" s="559"/>
      <c r="O2" s="559"/>
      <c r="P2" s="559"/>
      <c r="Q2" s="559"/>
    </row>
    <row r="3" spans="1:19">
      <c r="A3" s="560" t="s">
        <v>105</v>
      </c>
      <c r="B3" s="560"/>
      <c r="C3" s="560"/>
      <c r="D3" s="560"/>
      <c r="E3" s="560"/>
      <c r="F3" s="560"/>
      <c r="G3" s="560"/>
      <c r="H3" s="560"/>
      <c r="I3" s="560"/>
      <c r="J3" s="560"/>
      <c r="K3" s="560"/>
      <c r="L3" s="560"/>
      <c r="M3" s="560"/>
      <c r="N3" s="560"/>
      <c r="O3" s="560"/>
      <c r="P3" s="560"/>
      <c r="Q3" s="560"/>
    </row>
    <row r="4" spans="1:19">
      <c r="A4" s="561" t="s">
        <v>92</v>
      </c>
      <c r="B4" s="561"/>
      <c r="C4" s="561"/>
      <c r="D4" s="561"/>
      <c r="E4" s="561"/>
      <c r="F4" s="561"/>
      <c r="G4" s="561"/>
      <c r="H4" s="561"/>
      <c r="I4" s="561"/>
      <c r="J4" s="561"/>
      <c r="K4" s="561"/>
      <c r="L4" s="561"/>
      <c r="M4" s="561"/>
      <c r="N4" s="561"/>
      <c r="O4" s="561"/>
      <c r="P4" s="561"/>
      <c r="Q4" s="561"/>
    </row>
    <row r="9" spans="1:19">
      <c r="F9" s="116" t="s">
        <v>152</v>
      </c>
      <c r="G9" s="117"/>
      <c r="H9" s="117"/>
      <c r="I9" s="117"/>
      <c r="J9" s="116" t="s">
        <v>152</v>
      </c>
      <c r="S9" s="116" t="s">
        <v>152</v>
      </c>
    </row>
    <row r="10" spans="1:19">
      <c r="N10" s="562" t="s">
        <v>36</v>
      </c>
      <c r="O10" s="562"/>
      <c r="P10" s="562"/>
      <c r="Q10" s="562"/>
      <c r="S10" s="118"/>
    </row>
    <row r="11" spans="1:19">
      <c r="B11" s="153" t="s">
        <v>106</v>
      </c>
      <c r="D11" s="120">
        <v>2014</v>
      </c>
      <c r="E11" s="121"/>
      <c r="F11" s="120">
        <v>2014</v>
      </c>
      <c r="G11" s="121"/>
      <c r="H11" s="120">
        <v>2015</v>
      </c>
      <c r="I11" s="121"/>
      <c r="J11" s="120">
        <v>2015</v>
      </c>
      <c r="L11" s="122" t="s">
        <v>153</v>
      </c>
      <c r="N11" s="563" t="e">
        <f>'25406'!N11:O11</f>
        <v>#VALUE!</v>
      </c>
      <c r="O11" s="563"/>
      <c r="P11" s="563" t="str">
        <f>'25406'!P11:Q11</f>
        <v>Cause 2016</v>
      </c>
      <c r="Q11" s="563"/>
      <c r="S11" s="123" t="s">
        <v>155</v>
      </c>
    </row>
    <row r="12" spans="1:19">
      <c r="D12" s="124" t="s">
        <v>27</v>
      </c>
      <c r="E12" s="121"/>
      <c r="F12" s="124" t="s">
        <v>28</v>
      </c>
      <c r="G12" s="121"/>
      <c r="H12" s="124" t="s">
        <v>94</v>
      </c>
      <c r="I12" s="121"/>
      <c r="J12" s="124" t="s">
        <v>28</v>
      </c>
      <c r="L12" s="125">
        <v>2016</v>
      </c>
      <c r="M12" s="125"/>
      <c r="N12" s="563" t="e">
        <f>'25406'!N12:O12</f>
        <v>#VALUE!</v>
      </c>
      <c r="O12" s="563"/>
      <c r="P12" s="563" t="str">
        <f>'25406'!P12:Q12</f>
        <v>vs Cause 2005</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199</v>
      </c>
      <c r="O14" s="130">
        <v>5</v>
      </c>
      <c r="P14" s="130" t="s">
        <v>158</v>
      </c>
      <c r="Q14" s="130">
        <v>7</v>
      </c>
      <c r="R14" s="131"/>
      <c r="S14" s="132">
        <v>8</v>
      </c>
    </row>
    <row r="15" spans="1:19">
      <c r="A15" s="117"/>
      <c r="O15" s="143"/>
      <c r="S15" s="118"/>
    </row>
    <row r="16" spans="1:19" ht="16.5" thickBot="1">
      <c r="A16" s="117">
        <v>1</v>
      </c>
      <c r="B16" s="119" t="s">
        <v>0</v>
      </c>
      <c r="D16" s="133">
        <v>0</v>
      </c>
      <c r="E16" s="134"/>
      <c r="F16" s="133">
        <v>0</v>
      </c>
      <c r="G16" s="134"/>
      <c r="H16" s="133">
        <v>0</v>
      </c>
      <c r="I16" s="134"/>
      <c r="J16" s="133">
        <v>0</v>
      </c>
      <c r="K16" s="134"/>
      <c r="L16" s="133">
        <v>0</v>
      </c>
      <c r="M16" s="135"/>
      <c r="N16" s="133">
        <f>H16-D16</f>
        <v>0</v>
      </c>
      <c r="O16" s="136">
        <f>IF(D16&gt;0,N16/D16,0)</f>
        <v>0</v>
      </c>
      <c r="P16" s="113">
        <f>L16-H16</f>
        <v>0</v>
      </c>
      <c r="Q16" s="136">
        <f>IF(H16&gt;0,P16/H16,0)</f>
        <v>0</v>
      </c>
      <c r="S16" s="137">
        <f>L16</f>
        <v>0</v>
      </c>
    </row>
    <row r="17" spans="1:19" ht="16.5" thickTop="1">
      <c r="A17" s="117"/>
      <c r="B17" s="119"/>
      <c r="D17" s="138"/>
      <c r="E17" s="134"/>
      <c r="F17" s="138"/>
      <c r="G17" s="134"/>
      <c r="H17" s="138"/>
      <c r="I17" s="134"/>
      <c r="J17" s="138"/>
      <c r="K17" s="134"/>
      <c r="L17" s="138"/>
      <c r="M17" s="139"/>
      <c r="N17" s="138"/>
      <c r="O17" s="139"/>
      <c r="P17" s="139"/>
      <c r="S17" s="140"/>
    </row>
    <row r="18" spans="1:19">
      <c r="A18" s="117"/>
      <c r="D18" s="134"/>
      <c r="E18" s="134"/>
      <c r="F18" s="134"/>
      <c r="G18" s="134"/>
      <c r="H18" s="134"/>
      <c r="I18" s="134"/>
      <c r="J18" s="134"/>
      <c r="K18" s="134"/>
      <c r="L18" s="134"/>
      <c r="N18" s="134"/>
      <c r="O18" s="143"/>
      <c r="Q18" s="154"/>
      <c r="S18" s="140"/>
    </row>
    <row r="19" spans="1:19">
      <c r="A19" s="117"/>
      <c r="B19" s="13" t="s">
        <v>3</v>
      </c>
      <c r="D19" s="134"/>
      <c r="E19" s="134"/>
      <c r="F19" s="134"/>
      <c r="G19" s="134"/>
      <c r="H19" s="134"/>
      <c r="I19" s="134"/>
      <c r="J19" s="134"/>
      <c r="K19" s="134"/>
      <c r="L19" s="134"/>
      <c r="N19" s="134"/>
      <c r="S19" s="140"/>
    </row>
    <row r="20" spans="1:19">
      <c r="A20" s="117"/>
      <c r="D20" s="134"/>
      <c r="E20" s="134"/>
      <c r="F20" s="134"/>
      <c r="G20" s="134"/>
      <c r="H20" s="134"/>
      <c r="I20" s="134"/>
      <c r="J20" s="134"/>
      <c r="K20" s="134"/>
      <c r="L20" s="134"/>
      <c r="N20" s="134"/>
      <c r="S20" s="140"/>
    </row>
    <row r="21" spans="1:19">
      <c r="A21" s="117">
        <v>2</v>
      </c>
      <c r="B21" s="115" t="s">
        <v>95</v>
      </c>
      <c r="D21" s="134">
        <f>[25]INPUT!C359/1000</f>
        <v>4.2859999999999996</v>
      </c>
      <c r="E21" s="134"/>
      <c r="F21" s="134">
        <f>'[25]Budget 2014'!O358/1000</f>
        <v>14.081</v>
      </c>
      <c r="G21" s="134"/>
      <c r="H21" s="134">
        <f>[25]INPUT!E359/1000</f>
        <v>9.0616099999999999</v>
      </c>
      <c r="I21" s="134"/>
      <c r="J21" s="134">
        <f>[25]INPUT!D359/1000</f>
        <v>9.508280000000001</v>
      </c>
      <c r="K21" s="134"/>
      <c r="L21" s="134">
        <f>[25]INPUT!F359/1000</f>
        <v>9.7174600000000009</v>
      </c>
      <c r="M21" s="139"/>
      <c r="N21" s="134">
        <f>H21-D21</f>
        <v>4.7756100000000004</v>
      </c>
      <c r="O21" s="136">
        <f>N21/D21</f>
        <v>1.1142347176854879</v>
      </c>
      <c r="P21" s="134">
        <f>L21-H21</f>
        <v>0.65585000000000093</v>
      </c>
      <c r="Q21" s="136">
        <f>P21/H21</f>
        <v>7.2376763069697425E-2</v>
      </c>
      <c r="S21" s="140">
        <f>L21</f>
        <v>9.7174600000000009</v>
      </c>
    </row>
    <row r="22" spans="1:19">
      <c r="A22" s="117"/>
      <c r="D22" s="141"/>
      <c r="E22" s="134"/>
      <c r="F22" s="141"/>
      <c r="G22" s="134"/>
      <c r="H22" s="141"/>
      <c r="I22" s="134"/>
      <c r="J22" s="141"/>
      <c r="K22" s="134"/>
      <c r="L22" s="141"/>
      <c r="N22" s="141"/>
      <c r="O22" s="136"/>
      <c r="P22" s="141"/>
      <c r="Q22" s="136"/>
      <c r="S22" s="142"/>
    </row>
    <row r="23" spans="1:19">
      <c r="A23" s="117"/>
      <c r="D23" s="134"/>
      <c r="E23" s="134"/>
      <c r="F23" s="134"/>
      <c r="G23" s="134"/>
      <c r="H23" s="134"/>
      <c r="I23" s="134"/>
      <c r="J23" s="134"/>
      <c r="K23" s="134"/>
      <c r="L23" s="134"/>
      <c r="N23" s="134"/>
      <c r="O23" s="136"/>
      <c r="P23" s="134"/>
      <c r="Q23" s="136"/>
      <c r="S23" s="140"/>
    </row>
    <row r="24" spans="1:19" ht="16.5" thickBot="1">
      <c r="A24" s="117">
        <v>3</v>
      </c>
      <c r="B24" s="13" t="s">
        <v>12</v>
      </c>
      <c r="D24" s="133">
        <f>SUM(D21:D23)</f>
        <v>4.2859999999999996</v>
      </c>
      <c r="E24" s="134"/>
      <c r="F24" s="133">
        <f>SUM(F21:F23)</f>
        <v>14.081</v>
      </c>
      <c r="G24" s="134"/>
      <c r="H24" s="133">
        <f>SUM(H21:H23)</f>
        <v>9.0616099999999999</v>
      </c>
      <c r="I24" s="134"/>
      <c r="J24" s="133">
        <f>SUM(J21:J23)</f>
        <v>9.508280000000001</v>
      </c>
      <c r="K24" s="134"/>
      <c r="L24" s="133">
        <f>SUM(L21:L23)</f>
        <v>9.7174600000000009</v>
      </c>
      <c r="M24" s="135"/>
      <c r="N24" s="133">
        <f>SUM(N21:N23)</f>
        <v>4.7756100000000004</v>
      </c>
      <c r="O24" s="136">
        <f>N24/D24</f>
        <v>1.1142347176854879</v>
      </c>
      <c r="P24" s="133">
        <f>SUM(P21:P23)</f>
        <v>0.65585000000000093</v>
      </c>
      <c r="Q24" s="136">
        <f>P24/H24</f>
        <v>7.2376763069697425E-2</v>
      </c>
      <c r="S24" s="137">
        <f>SUM(S21:S23)</f>
        <v>9.7174600000000009</v>
      </c>
    </row>
    <row r="25" spans="1:19" ht="16.5" thickTop="1">
      <c r="A25" s="117"/>
      <c r="D25" s="134"/>
      <c r="E25" s="134"/>
      <c r="F25" s="134"/>
      <c r="G25" s="143"/>
      <c r="H25" s="134"/>
      <c r="I25" s="134"/>
      <c r="J25" s="134"/>
      <c r="K25" s="143"/>
      <c r="L25" s="134"/>
      <c r="M25" s="139"/>
      <c r="N25" s="134"/>
      <c r="O25" s="139"/>
      <c r="P25" s="139"/>
    </row>
    <row r="26" spans="1:19">
      <c r="A26" s="117"/>
      <c r="D26" s="134"/>
      <c r="E26" s="134"/>
      <c r="F26" s="134"/>
      <c r="G26" s="143"/>
      <c r="H26" s="134"/>
      <c r="I26" s="134"/>
      <c r="J26" s="134"/>
      <c r="K26" s="143"/>
      <c r="L26" s="134"/>
      <c r="M26" s="139"/>
      <c r="N26" s="134"/>
      <c r="O26" s="139"/>
      <c r="P26" s="139"/>
    </row>
    <row r="27" spans="1:19">
      <c r="A27" s="117"/>
      <c r="D27" s="134"/>
      <c r="E27" s="134"/>
      <c r="F27" s="134"/>
      <c r="G27" s="143"/>
      <c r="H27" s="134"/>
      <c r="I27" s="134"/>
      <c r="J27" s="134"/>
      <c r="K27" s="143"/>
      <c r="L27" s="134"/>
      <c r="M27" s="139"/>
      <c r="N27" s="134"/>
      <c r="O27" s="139"/>
      <c r="P27" s="139"/>
    </row>
    <row r="28" spans="1:19">
      <c r="A28" s="115" t="s">
        <v>49</v>
      </c>
      <c r="B28" s="115" t="s">
        <v>71</v>
      </c>
      <c r="D28" s="134"/>
      <c r="E28" s="134"/>
      <c r="F28" s="134"/>
      <c r="G28" s="143"/>
      <c r="H28" s="134"/>
      <c r="I28" s="134"/>
      <c r="J28" s="134"/>
      <c r="K28" s="143"/>
      <c r="L28" s="134"/>
      <c r="M28" s="139"/>
      <c r="N28" s="134"/>
      <c r="O28" s="139"/>
      <c r="P28" s="139"/>
    </row>
    <row r="29" spans="1:19">
      <c r="B29" s="115" t="s">
        <v>72</v>
      </c>
      <c r="D29" s="134"/>
      <c r="E29" s="134"/>
      <c r="F29" s="134"/>
      <c r="G29" s="143"/>
      <c r="H29" s="134"/>
      <c r="I29" s="134"/>
      <c r="J29" s="134"/>
      <c r="K29" s="143"/>
      <c r="L29" s="134"/>
      <c r="M29" s="139"/>
      <c r="N29" s="134"/>
      <c r="O29" s="139"/>
      <c r="P29" s="139"/>
    </row>
    <row r="30" spans="1:19">
      <c r="A30" s="117"/>
      <c r="D30" s="134"/>
      <c r="E30" s="134"/>
      <c r="F30" s="134"/>
      <c r="G30" s="143"/>
      <c r="H30" s="134"/>
      <c r="I30" s="134"/>
      <c r="J30" s="134"/>
      <c r="K30" s="143"/>
      <c r="L30" s="134"/>
      <c r="M30" s="139"/>
      <c r="N30" s="134"/>
      <c r="O30" s="139"/>
      <c r="P30" s="139"/>
    </row>
    <row r="31" spans="1:19">
      <c r="A31" s="117"/>
      <c r="D31" s="134"/>
      <c r="E31" s="134"/>
      <c r="F31" s="134"/>
      <c r="H31" s="134"/>
      <c r="I31" s="134"/>
      <c r="J31" s="134"/>
      <c r="L31" s="134"/>
      <c r="N31" s="134"/>
      <c r="O31" s="139"/>
      <c r="P31" s="139"/>
    </row>
    <row r="35" spans="4:11">
      <c r="D35" s="134"/>
      <c r="E35" s="134"/>
      <c r="F35" s="134"/>
      <c r="G35" s="134"/>
      <c r="H35" s="134"/>
      <c r="I35" s="134"/>
      <c r="J35" s="134"/>
      <c r="K35" s="134"/>
    </row>
    <row r="36" spans="4:11">
      <c r="D36" s="134"/>
      <c r="E36" s="134"/>
      <c r="F36" s="134"/>
      <c r="G36" s="134"/>
    </row>
    <row r="37" spans="4:11">
      <c r="D37" s="134"/>
      <c r="E37" s="134"/>
      <c r="F37" s="134"/>
      <c r="G37" s="134"/>
    </row>
    <row r="38" spans="4:11">
      <c r="D38" s="134"/>
      <c r="E38" s="134"/>
      <c r="F38" s="134"/>
      <c r="G38" s="134"/>
    </row>
    <row r="39" spans="4:11">
      <c r="D39" s="134"/>
      <c r="E39" s="134"/>
      <c r="F39" s="134"/>
      <c r="G39" s="134"/>
    </row>
    <row r="40" spans="4:11">
      <c r="D40" s="134"/>
      <c r="E40" s="134"/>
      <c r="F40" s="134"/>
      <c r="G40" s="134"/>
    </row>
    <row r="54" spans="1:17">
      <c r="H54" s="149"/>
      <c r="I54" s="149"/>
      <c r="J54" s="149"/>
      <c r="K54" s="149"/>
      <c r="L54" s="149"/>
      <c r="M54" s="149"/>
      <c r="N54" s="149"/>
      <c r="O54" s="149"/>
      <c r="Q54" s="149" t="s">
        <v>96</v>
      </c>
    </row>
    <row r="55" spans="1:17">
      <c r="H55" s="149"/>
      <c r="I55" s="149"/>
      <c r="J55" s="149"/>
      <c r="K55" s="149"/>
      <c r="L55" s="149"/>
      <c r="M55" s="149"/>
      <c r="N55" s="149"/>
      <c r="O55" s="149"/>
      <c r="Q55" s="149" t="s">
        <v>97</v>
      </c>
    </row>
    <row r="56" spans="1:17">
      <c r="H56" s="149"/>
      <c r="I56" s="149"/>
      <c r="J56" s="149"/>
      <c r="K56" s="149"/>
      <c r="L56" s="149"/>
      <c r="M56" s="149"/>
      <c r="N56" s="149"/>
      <c r="O56" s="149"/>
      <c r="Q56" s="149" t="s">
        <v>51</v>
      </c>
    </row>
    <row r="57" spans="1:17">
      <c r="A57" s="115" t="s">
        <v>98</v>
      </c>
      <c r="H57" s="149"/>
      <c r="I57" s="149"/>
      <c r="J57" s="149"/>
      <c r="K57" s="149"/>
      <c r="L57" s="149"/>
      <c r="M57" s="149"/>
      <c r="N57" s="149"/>
      <c r="O57" s="149"/>
      <c r="Q57" s="149" t="s">
        <v>99</v>
      </c>
    </row>
    <row r="59" spans="1:17">
      <c r="C59" s="150" t="s">
        <v>100</v>
      </c>
      <c r="D59" s="151">
        <f>D16+D24-([25]INPUT!C359)/1000</f>
        <v>0</v>
      </c>
      <c r="E59" s="152"/>
      <c r="F59" s="151">
        <f>F16+F24-('[25]Budget 2014'!O358)/1000</f>
        <v>0</v>
      </c>
      <c r="G59" s="152"/>
      <c r="H59" s="151">
        <f>H16+H24-([25]INPUT!E359)/1000</f>
        <v>0</v>
      </c>
      <c r="I59" s="152"/>
      <c r="J59" s="151">
        <f>J16+J24-([25]INPUT!D359)/1000</f>
        <v>0</v>
      </c>
      <c r="K59" s="152"/>
      <c r="L59" s="151">
        <f>L16+L24-([25]INPUT!F359)/1000</f>
        <v>0</v>
      </c>
    </row>
  </sheetData>
  <mergeCells count="9">
    <mergeCell ref="N12:O12"/>
    <mergeCell ref="P12:Q12"/>
    <mergeCell ref="A1:Q1"/>
    <mergeCell ref="A2:Q2"/>
    <mergeCell ref="A3:Q3"/>
    <mergeCell ref="A4:Q4"/>
    <mergeCell ref="N10:Q10"/>
    <mergeCell ref="N11:O11"/>
    <mergeCell ref="P11:Q11"/>
  </mergeCells>
  <pageMargins left="0.7" right="0.7" top="0.75" bottom="0.75" header="0.3" footer="0.3"/>
  <pageSetup scale="1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00B0F0"/>
    <pageSetUpPr fitToPage="1"/>
  </sheetPr>
  <dimension ref="A1:S59"/>
  <sheetViews>
    <sheetView zoomScaleNormal="100" workbookViewId="0">
      <selection activeCell="D48" sqref="D48"/>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6.42578125" style="115" bestFit="1" customWidth="1"/>
    <col min="16" max="16" width="12.42578125" style="115" bestFit="1" customWidth="1"/>
    <col min="17" max="17" width="9.140625" style="115"/>
    <col min="18" max="18" width="3.28515625" style="115" customWidth="1"/>
    <col min="19" max="19" width="20.5703125" style="115" customWidth="1"/>
    <col min="20" max="16384" width="9.140625" style="115"/>
  </cols>
  <sheetData>
    <row r="1" spans="1:19">
      <c r="A1" s="558" t="s">
        <v>8</v>
      </c>
      <c r="B1" s="558"/>
      <c r="C1" s="558"/>
      <c r="D1" s="558"/>
      <c r="E1" s="558"/>
      <c r="F1" s="558"/>
      <c r="G1" s="558"/>
      <c r="H1" s="558"/>
      <c r="I1" s="558"/>
      <c r="J1" s="558"/>
      <c r="K1" s="558"/>
      <c r="L1" s="558"/>
      <c r="M1" s="558"/>
      <c r="N1" s="558"/>
      <c r="O1" s="558"/>
      <c r="P1" s="558"/>
      <c r="Q1" s="558"/>
    </row>
    <row r="2" spans="1:19">
      <c r="A2" s="559" t="s">
        <v>9</v>
      </c>
      <c r="B2" s="559"/>
      <c r="C2" s="559"/>
      <c r="D2" s="559"/>
      <c r="E2" s="559"/>
      <c r="F2" s="559"/>
      <c r="G2" s="559"/>
      <c r="H2" s="559"/>
      <c r="I2" s="559"/>
      <c r="J2" s="559"/>
      <c r="K2" s="559"/>
      <c r="L2" s="559"/>
      <c r="M2" s="559"/>
      <c r="N2" s="559"/>
      <c r="O2" s="559"/>
      <c r="P2" s="559"/>
      <c r="Q2" s="559"/>
    </row>
    <row r="3" spans="1:19">
      <c r="A3" s="560" t="s">
        <v>107</v>
      </c>
      <c r="B3" s="560"/>
      <c r="C3" s="560"/>
      <c r="D3" s="560"/>
      <c r="E3" s="560"/>
      <c r="F3" s="560"/>
      <c r="G3" s="560"/>
      <c r="H3" s="560"/>
      <c r="I3" s="560"/>
      <c r="J3" s="560"/>
      <c r="K3" s="560"/>
      <c r="L3" s="560"/>
      <c r="M3" s="560"/>
      <c r="N3" s="560"/>
      <c r="O3" s="560"/>
      <c r="P3" s="560"/>
      <c r="Q3" s="560"/>
    </row>
    <row r="4" spans="1:19">
      <c r="A4" s="561" t="s">
        <v>92</v>
      </c>
      <c r="B4" s="561"/>
      <c r="C4" s="561"/>
      <c r="D4" s="561"/>
      <c r="E4" s="561"/>
      <c r="F4" s="561"/>
      <c r="G4" s="561"/>
      <c r="H4" s="561"/>
      <c r="I4" s="561"/>
      <c r="J4" s="561"/>
      <c r="K4" s="561"/>
      <c r="L4" s="561"/>
      <c r="M4" s="561"/>
      <c r="N4" s="561"/>
      <c r="O4" s="561"/>
      <c r="P4" s="561"/>
      <c r="Q4" s="561"/>
    </row>
    <row r="9" spans="1:19">
      <c r="F9" s="116" t="s">
        <v>152</v>
      </c>
      <c r="G9" s="117"/>
      <c r="H9" s="117"/>
      <c r="I9" s="117"/>
      <c r="J9" s="116" t="s">
        <v>152</v>
      </c>
      <c r="S9" s="116" t="s">
        <v>152</v>
      </c>
    </row>
    <row r="10" spans="1:19">
      <c r="N10" s="562" t="s">
        <v>36</v>
      </c>
      <c r="O10" s="562"/>
      <c r="P10" s="562"/>
      <c r="Q10" s="562"/>
      <c r="S10" s="118"/>
    </row>
    <row r="11" spans="1:19">
      <c r="B11" s="119" t="s">
        <v>108</v>
      </c>
      <c r="D11" s="120">
        <v>2014</v>
      </c>
      <c r="E11" s="121"/>
      <c r="F11" s="120">
        <v>2014</v>
      </c>
      <c r="G11" s="121"/>
      <c r="H11" s="120">
        <v>2015</v>
      </c>
      <c r="I11" s="121"/>
      <c r="J11" s="120">
        <v>2015</v>
      </c>
      <c r="L11" s="122" t="s">
        <v>153</v>
      </c>
      <c r="N11" s="563" t="e">
        <f>'25408'!N11:O11</f>
        <v>#VALUE!</v>
      </c>
      <c r="O11" s="563"/>
      <c r="P11" s="563" t="str">
        <f>'25408'!P11:Q11</f>
        <v>Cause 2016</v>
      </c>
      <c r="Q11" s="563"/>
      <c r="S11" s="123" t="s">
        <v>155</v>
      </c>
    </row>
    <row r="12" spans="1:19">
      <c r="D12" s="124" t="s">
        <v>27</v>
      </c>
      <c r="E12" s="121"/>
      <c r="F12" s="124" t="s">
        <v>28</v>
      </c>
      <c r="G12" s="121"/>
      <c r="H12" s="124" t="s">
        <v>94</v>
      </c>
      <c r="I12" s="121"/>
      <c r="J12" s="124" t="s">
        <v>28</v>
      </c>
      <c r="L12" s="125">
        <v>2016</v>
      </c>
      <c r="M12" s="125"/>
      <c r="N12" s="563" t="e">
        <f>'25408'!N12:O12</f>
        <v>#VALUE!</v>
      </c>
      <c r="O12" s="563"/>
      <c r="P12" s="563" t="str">
        <f>'25408'!P12:Q12</f>
        <v>vs Cause 2005</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199</v>
      </c>
      <c r="O14" s="130">
        <v>5</v>
      </c>
      <c r="P14" s="130" t="s">
        <v>158</v>
      </c>
      <c r="Q14" s="130">
        <v>7</v>
      </c>
      <c r="R14" s="131"/>
      <c r="S14" s="132">
        <v>8</v>
      </c>
    </row>
    <row r="15" spans="1:19">
      <c r="A15" s="117"/>
      <c r="S15" s="118"/>
    </row>
    <row r="16" spans="1:19" ht="16.5" thickBot="1">
      <c r="A16" s="117">
        <v>1</v>
      </c>
      <c r="B16" s="119" t="s">
        <v>0</v>
      </c>
      <c r="D16" s="133">
        <f>([26]INPUT!C338+[26]INPUT!C66)/1000</f>
        <v>437.85005000000001</v>
      </c>
      <c r="E16" s="134"/>
      <c r="F16" s="133">
        <f>('[26]Budget 2014'!O337+'[26]Budget 2014'!O65)/1000</f>
        <v>409.78167000000002</v>
      </c>
      <c r="G16" s="134"/>
      <c r="H16" s="133">
        <f>([26]INPUT!E338+[26]INPUT!E66)/1000</f>
        <v>414.49446</v>
      </c>
      <c r="I16" s="134"/>
      <c r="J16" s="133">
        <f>([26]INPUT!D338+[26]INPUT!D66)/1000</f>
        <v>430.49802</v>
      </c>
      <c r="K16" s="135"/>
      <c r="L16" s="133">
        <f>([26]INPUT!F338+[26]INPUT!F66)/1000</f>
        <v>464.23068000000001</v>
      </c>
      <c r="M16" s="135"/>
      <c r="N16" s="133">
        <f>H16-D16</f>
        <v>-23.355590000000007</v>
      </c>
      <c r="O16" s="136">
        <f>N16/D16</f>
        <v>-5.3341526396993688E-2</v>
      </c>
      <c r="P16" s="113">
        <f>L16-H16</f>
        <v>49.736220000000003</v>
      </c>
      <c r="Q16" s="136">
        <f>P16/H16</f>
        <v>0.11999248433863266</v>
      </c>
      <c r="S16" s="137">
        <f>L16</f>
        <v>464.23068000000001</v>
      </c>
    </row>
    <row r="17" spans="1:19" ht="16.5" thickTop="1">
      <c r="A17" s="117"/>
      <c r="B17" s="119"/>
      <c r="D17" s="138"/>
      <c r="E17" s="134"/>
      <c r="F17" s="138"/>
      <c r="G17" s="134"/>
      <c r="H17" s="138"/>
      <c r="I17" s="134"/>
      <c r="J17" s="138"/>
      <c r="K17" s="139"/>
      <c r="L17" s="138"/>
      <c r="M17" s="139"/>
      <c r="N17" s="138"/>
      <c r="O17" s="139"/>
      <c r="P17" s="139"/>
      <c r="S17" s="140"/>
    </row>
    <row r="18" spans="1:19">
      <c r="A18" s="117"/>
      <c r="D18" s="134"/>
      <c r="E18" s="134"/>
      <c r="F18" s="134"/>
      <c r="G18" s="134"/>
      <c r="H18" s="134"/>
      <c r="I18" s="134"/>
      <c r="J18" s="134"/>
      <c r="L18" s="134"/>
      <c r="N18" s="134"/>
      <c r="S18" s="140"/>
    </row>
    <row r="19" spans="1:19">
      <c r="A19" s="117"/>
      <c r="B19" s="13" t="s">
        <v>3</v>
      </c>
      <c r="D19" s="134"/>
      <c r="E19" s="134"/>
      <c r="F19" s="134"/>
      <c r="G19" s="134"/>
      <c r="H19" s="134"/>
      <c r="I19" s="134"/>
      <c r="J19" s="134"/>
      <c r="L19" s="134"/>
      <c r="N19" s="134"/>
      <c r="S19" s="140"/>
    </row>
    <row r="20" spans="1:19">
      <c r="A20" s="117"/>
      <c r="D20" s="134"/>
      <c r="E20" s="134"/>
      <c r="F20" s="134"/>
      <c r="G20" s="134"/>
      <c r="H20" s="134"/>
      <c r="I20" s="134"/>
      <c r="J20" s="134"/>
      <c r="L20" s="134"/>
      <c r="N20" s="134"/>
      <c r="S20" s="140"/>
    </row>
    <row r="21" spans="1:19">
      <c r="A21" s="117">
        <v>2</v>
      </c>
      <c r="B21" s="115" t="s">
        <v>95</v>
      </c>
      <c r="D21" s="134">
        <f>([26]INPUT!C359-[26]INPUT!C345-[26]INPUT!C66)/1000</f>
        <v>366.52188000000007</v>
      </c>
      <c r="E21" s="134"/>
      <c r="F21" s="134">
        <f>('[26]Budget 2014'!O358-'[26]Budget 2014'!O337-'[26]Budget 2014'!O65)/1000</f>
        <v>258.0859999999999</v>
      </c>
      <c r="G21" s="134"/>
      <c r="H21" s="134">
        <f>([26]INPUT!E359-[26]INPUT!E345-[26]INPUT!E66)/1000</f>
        <v>450.01475910000011</v>
      </c>
      <c r="I21" s="134"/>
      <c r="J21" s="134">
        <f>([26]INPUT!D359-[26]INPUT!D345-[26]INPUT!D66)/1000</f>
        <v>356.71819999999997</v>
      </c>
      <c r="K21" s="139"/>
      <c r="L21" s="134">
        <f>([26]INPUT!F359-[26]INPUT!F345-[26]INPUT!F66)/1000</f>
        <v>466.68809912000035</v>
      </c>
      <c r="M21" s="139"/>
      <c r="N21" s="134">
        <f>H21-D21</f>
        <v>83.492879100000039</v>
      </c>
      <c r="O21" s="136">
        <f>N21/D21</f>
        <v>0.22779780323073762</v>
      </c>
      <c r="P21" s="134">
        <f>L21-H21</f>
        <v>16.673340020000239</v>
      </c>
      <c r="Q21" s="136">
        <f>P21/H21</f>
        <v>3.7050651523842952E-2</v>
      </c>
      <c r="S21" s="140">
        <f>L21</f>
        <v>466.68809912000035</v>
      </c>
    </row>
    <row r="22" spans="1:19">
      <c r="A22" s="117"/>
      <c r="D22" s="141"/>
      <c r="E22" s="134"/>
      <c r="F22" s="141"/>
      <c r="G22" s="134"/>
      <c r="H22" s="141"/>
      <c r="I22" s="134"/>
      <c r="J22" s="141"/>
      <c r="L22" s="141"/>
      <c r="N22" s="141"/>
      <c r="O22" s="136"/>
      <c r="P22" s="141"/>
      <c r="Q22" s="136"/>
      <c r="S22" s="142"/>
    </row>
    <row r="23" spans="1:19">
      <c r="A23" s="117"/>
      <c r="D23" s="134"/>
      <c r="E23" s="134"/>
      <c r="F23" s="134"/>
      <c r="G23" s="134"/>
      <c r="H23" s="134"/>
      <c r="I23" s="134"/>
      <c r="J23" s="134"/>
      <c r="L23" s="134"/>
      <c r="N23" s="134"/>
      <c r="O23" s="136"/>
      <c r="P23" s="134"/>
      <c r="Q23" s="136"/>
      <c r="S23" s="140"/>
    </row>
    <row r="24" spans="1:19" ht="16.5" thickBot="1">
      <c r="A24" s="117">
        <v>3</v>
      </c>
      <c r="B24" s="13" t="s">
        <v>12</v>
      </c>
      <c r="D24" s="133">
        <f>SUM(D21:D23)</f>
        <v>366.52188000000007</v>
      </c>
      <c r="E24" s="134"/>
      <c r="F24" s="133">
        <f>SUM(F21:F23)</f>
        <v>258.0859999999999</v>
      </c>
      <c r="G24" s="134"/>
      <c r="H24" s="133">
        <f>SUM(H21:H23)</f>
        <v>450.01475910000011</v>
      </c>
      <c r="I24" s="134"/>
      <c r="J24" s="133">
        <f>SUM(J21:J23)</f>
        <v>356.71819999999997</v>
      </c>
      <c r="K24" s="135"/>
      <c r="L24" s="133">
        <f>SUM(L21:L23)</f>
        <v>466.68809912000035</v>
      </c>
      <c r="M24" s="135"/>
      <c r="N24" s="133">
        <f>SUM(N21:N23)</f>
        <v>83.492879100000039</v>
      </c>
      <c r="O24" s="136">
        <f>N24/D24</f>
        <v>0.22779780323073762</v>
      </c>
      <c r="P24" s="133">
        <f>SUM(P21:P23)</f>
        <v>16.673340020000239</v>
      </c>
      <c r="Q24" s="136">
        <f>P24/H24</f>
        <v>3.7050651523842952E-2</v>
      </c>
      <c r="S24" s="137">
        <f>SUM(S21:S23)</f>
        <v>466.68809912000035</v>
      </c>
    </row>
    <row r="25" spans="1:19" ht="16.5" thickTop="1">
      <c r="A25" s="117"/>
      <c r="D25" s="134"/>
      <c r="E25" s="134"/>
      <c r="F25" s="134"/>
      <c r="G25" s="143"/>
      <c r="H25" s="134"/>
      <c r="I25" s="134"/>
      <c r="J25" s="134"/>
      <c r="K25" s="139"/>
      <c r="L25" s="134"/>
      <c r="M25" s="139"/>
      <c r="N25" s="144"/>
      <c r="O25" s="145"/>
      <c r="P25" s="144"/>
      <c r="Q25" s="145"/>
      <c r="R25" s="121"/>
      <c r="S25" s="144"/>
    </row>
    <row r="26" spans="1:19">
      <c r="A26" s="117"/>
      <c r="D26" s="134"/>
      <c r="E26" s="134"/>
      <c r="F26" s="134"/>
      <c r="G26" s="134"/>
      <c r="H26" s="134"/>
      <c r="I26" s="134"/>
      <c r="J26" s="134"/>
      <c r="K26" s="134"/>
      <c r="L26" s="134"/>
      <c r="M26" s="139"/>
      <c r="N26" s="134"/>
      <c r="O26" s="139"/>
      <c r="P26" s="139"/>
    </row>
    <row r="27" spans="1:19">
      <c r="A27" s="117"/>
      <c r="D27" s="134"/>
      <c r="E27" s="134"/>
      <c r="F27" s="134"/>
      <c r="G27" s="143"/>
      <c r="H27" s="134"/>
      <c r="I27" s="134"/>
      <c r="J27" s="134"/>
      <c r="K27" s="139"/>
      <c r="L27" s="134"/>
      <c r="M27" s="139"/>
      <c r="N27" s="134"/>
      <c r="O27" s="139"/>
      <c r="P27" s="139"/>
    </row>
    <row r="28" spans="1:19">
      <c r="A28" s="115" t="s">
        <v>49</v>
      </c>
      <c r="B28" s="115" t="s">
        <v>71</v>
      </c>
      <c r="D28" s="134"/>
      <c r="E28" s="134"/>
      <c r="F28" s="134"/>
      <c r="G28" s="143"/>
      <c r="H28" s="134"/>
      <c r="I28" s="134"/>
      <c r="J28" s="134"/>
      <c r="K28" s="139"/>
      <c r="L28" s="134"/>
      <c r="M28" s="139"/>
      <c r="N28" s="134"/>
      <c r="O28" s="139"/>
      <c r="P28" s="139"/>
    </row>
    <row r="29" spans="1:19">
      <c r="B29" s="115" t="s">
        <v>72</v>
      </c>
      <c r="D29" s="134"/>
      <c r="E29" s="134"/>
      <c r="F29" s="134"/>
      <c r="G29" s="143"/>
      <c r="H29" s="134"/>
      <c r="I29" s="134"/>
      <c r="J29" s="134"/>
      <c r="K29" s="139"/>
      <c r="L29" s="134"/>
      <c r="M29" s="139"/>
      <c r="N29" s="134"/>
      <c r="O29" s="139"/>
      <c r="P29" s="139"/>
    </row>
    <row r="30" spans="1:19">
      <c r="A30" s="117"/>
      <c r="D30" s="134"/>
      <c r="E30" s="134"/>
      <c r="F30" s="134"/>
      <c r="G30" s="143"/>
      <c r="H30" s="134"/>
      <c r="I30" s="134"/>
      <c r="J30" s="134"/>
      <c r="K30" s="139"/>
      <c r="L30" s="134"/>
      <c r="M30" s="139"/>
      <c r="N30" s="134"/>
      <c r="O30" s="139"/>
      <c r="P30" s="139"/>
    </row>
    <row r="31" spans="1:19">
      <c r="A31" s="117"/>
      <c r="D31" s="134"/>
      <c r="E31" s="134"/>
      <c r="F31" s="134"/>
      <c r="H31" s="134"/>
      <c r="I31" s="134"/>
      <c r="J31" s="134"/>
      <c r="L31" s="134"/>
      <c r="N31" s="134"/>
      <c r="O31" s="139"/>
      <c r="P31" s="139"/>
    </row>
    <row r="35" spans="4:10">
      <c r="D35" s="134"/>
      <c r="E35" s="134"/>
      <c r="F35" s="134"/>
      <c r="G35" s="134"/>
      <c r="H35" s="134"/>
      <c r="I35" s="134"/>
      <c r="J35" s="134"/>
    </row>
    <row r="36" spans="4:10">
      <c r="D36" s="134"/>
      <c r="E36" s="134"/>
      <c r="F36" s="134"/>
      <c r="G36" s="134"/>
    </row>
    <row r="37" spans="4:10">
      <c r="D37" s="134"/>
      <c r="E37" s="134"/>
      <c r="F37" s="134"/>
      <c r="G37" s="134"/>
    </row>
    <row r="38" spans="4:10">
      <c r="D38" s="134"/>
      <c r="E38" s="134"/>
      <c r="F38" s="134"/>
      <c r="G38" s="134"/>
    </row>
    <row r="39" spans="4:10">
      <c r="D39" s="134"/>
      <c r="E39" s="134"/>
      <c r="F39" s="134"/>
      <c r="G39" s="134"/>
    </row>
    <row r="40" spans="4:10">
      <c r="D40" s="134"/>
      <c r="E40" s="134"/>
      <c r="F40" s="134"/>
      <c r="G40" s="134"/>
    </row>
    <row r="54" spans="1:17">
      <c r="H54" s="149"/>
      <c r="I54" s="149"/>
      <c r="J54" s="149"/>
      <c r="K54" s="149"/>
      <c r="L54" s="149"/>
      <c r="M54" s="149"/>
      <c r="N54" s="149"/>
      <c r="O54" s="149"/>
      <c r="Q54" s="149" t="s">
        <v>96</v>
      </c>
    </row>
    <row r="55" spans="1:17">
      <c r="H55" s="149"/>
      <c r="I55" s="149"/>
      <c r="J55" s="149"/>
      <c r="K55" s="149"/>
      <c r="L55" s="149"/>
      <c r="M55" s="149"/>
      <c r="N55" s="149"/>
      <c r="O55" s="149"/>
      <c r="Q55" s="149" t="s">
        <v>97</v>
      </c>
    </row>
    <row r="56" spans="1:17">
      <c r="H56" s="149"/>
      <c r="I56" s="149"/>
      <c r="J56" s="149"/>
      <c r="K56" s="149"/>
      <c r="L56" s="149"/>
      <c r="M56" s="149"/>
      <c r="N56" s="149"/>
      <c r="O56" s="149"/>
      <c r="Q56" s="149" t="s">
        <v>51</v>
      </c>
    </row>
    <row r="57" spans="1:17">
      <c r="A57" s="115" t="s">
        <v>98</v>
      </c>
      <c r="H57" s="149"/>
      <c r="I57" s="149"/>
      <c r="J57" s="149"/>
      <c r="K57" s="149"/>
      <c r="L57" s="149"/>
      <c r="M57" s="149"/>
      <c r="N57" s="149"/>
      <c r="O57" s="149"/>
      <c r="Q57" s="149" t="s">
        <v>99</v>
      </c>
    </row>
    <row r="59" spans="1:17">
      <c r="C59" s="150" t="s">
        <v>100</v>
      </c>
      <c r="D59" s="151">
        <f>D16+D24-([26]INPUT!C359)/1000</f>
        <v>0</v>
      </c>
      <c r="E59" s="152"/>
      <c r="F59" s="151">
        <f>F16+F24-('[26]Budget 2014'!O358)/1000</f>
        <v>0</v>
      </c>
      <c r="G59" s="152"/>
      <c r="H59" s="151">
        <f>H16+H24-([26]INPUT!E359)/1000</f>
        <v>0</v>
      </c>
      <c r="I59" s="152"/>
      <c r="J59" s="151">
        <f>J16+J24-([26]INPUT!D359)/1000</f>
        <v>0</v>
      </c>
      <c r="K59" s="152"/>
      <c r="L59" s="151">
        <f>L16+L24-([26]INPUT!F359)/1000</f>
        <v>0</v>
      </c>
    </row>
  </sheetData>
  <mergeCells count="9">
    <mergeCell ref="N12:O12"/>
    <mergeCell ref="P12:Q12"/>
    <mergeCell ref="A1:Q1"/>
    <mergeCell ref="A2:Q2"/>
    <mergeCell ref="A3:Q3"/>
    <mergeCell ref="A4:Q4"/>
    <mergeCell ref="N10:Q10"/>
    <mergeCell ref="N11:O11"/>
    <mergeCell ref="P11:Q11"/>
  </mergeCells>
  <pageMargins left="0.7" right="0.7" top="0.75" bottom="0.75" header="0.3" footer="0.3"/>
  <pageSetup scale="1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F0"/>
    <pageSetUpPr fitToPage="1"/>
  </sheetPr>
  <dimension ref="A1:S59"/>
  <sheetViews>
    <sheetView zoomScaleNormal="100" workbookViewId="0">
      <selection activeCell="D48" sqref="D48"/>
    </sheetView>
  </sheetViews>
  <sheetFormatPr baseColWidth="10" defaultColWidth="9.140625" defaultRowHeight="15.75"/>
  <cols>
    <col min="1" max="1" width="9.42578125" style="115" bestFit="1" customWidth="1"/>
    <col min="2" max="2" width="38.7109375" style="115" customWidth="1"/>
    <col min="3" max="3" width="9.140625" style="115"/>
    <col min="4" max="4" width="12.28515625" style="115" bestFit="1" customWidth="1"/>
    <col min="5" max="5" width="3.85546875" style="115" customWidth="1"/>
    <col min="6" max="6" width="13.5703125" style="115" bestFit="1" customWidth="1"/>
    <col min="7" max="7" width="3.85546875" style="115" customWidth="1"/>
    <col min="8" max="8" width="10" style="115" bestFit="1" customWidth="1"/>
    <col min="9" max="9" width="3.85546875" style="115" customWidth="1"/>
    <col min="10" max="10" width="13.28515625" style="115" bestFit="1" customWidth="1"/>
    <col min="11" max="11" width="3.85546875" style="115" customWidth="1"/>
    <col min="12" max="12" width="9.42578125" style="115" bestFit="1" customWidth="1"/>
    <col min="13" max="13" width="3.85546875" style="115" customWidth="1"/>
    <col min="14" max="14" width="14" style="115" bestFit="1" customWidth="1"/>
    <col min="15" max="15" width="6.42578125" style="115" bestFit="1" customWidth="1"/>
    <col min="16" max="16" width="12.42578125" style="115" bestFit="1" customWidth="1"/>
    <col min="17" max="17" width="9.140625" style="115"/>
    <col min="18" max="18" width="3.42578125" style="115" customWidth="1"/>
    <col min="19" max="19" width="21.7109375" style="115" customWidth="1"/>
    <col min="20" max="16384" width="9.140625" style="115"/>
  </cols>
  <sheetData>
    <row r="1" spans="1:19">
      <c r="A1" s="558" t="s">
        <v>8</v>
      </c>
      <c r="B1" s="558"/>
      <c r="C1" s="558"/>
      <c r="D1" s="558"/>
      <c r="E1" s="558"/>
      <c r="F1" s="558"/>
      <c r="G1" s="558"/>
      <c r="H1" s="558"/>
      <c r="I1" s="558"/>
      <c r="J1" s="558"/>
      <c r="K1" s="558"/>
      <c r="L1" s="558"/>
      <c r="M1" s="558"/>
      <c r="N1" s="558"/>
      <c r="O1" s="558"/>
      <c r="P1" s="558"/>
      <c r="Q1" s="558"/>
    </row>
    <row r="2" spans="1:19">
      <c r="A2" s="559" t="s">
        <v>9</v>
      </c>
      <c r="B2" s="559"/>
      <c r="C2" s="559"/>
      <c r="D2" s="559"/>
      <c r="E2" s="559"/>
      <c r="F2" s="559"/>
      <c r="G2" s="559"/>
      <c r="H2" s="559"/>
      <c r="I2" s="559"/>
      <c r="J2" s="559"/>
      <c r="K2" s="559"/>
      <c r="L2" s="559"/>
      <c r="M2" s="559"/>
      <c r="N2" s="559"/>
      <c r="O2" s="559"/>
      <c r="P2" s="559"/>
      <c r="Q2" s="559"/>
    </row>
    <row r="3" spans="1:19">
      <c r="A3" s="560" t="s">
        <v>109</v>
      </c>
      <c r="B3" s="560"/>
      <c r="C3" s="560"/>
      <c r="D3" s="560"/>
      <c r="E3" s="560"/>
      <c r="F3" s="560"/>
      <c r="G3" s="560"/>
      <c r="H3" s="560"/>
      <c r="I3" s="560"/>
      <c r="J3" s="560"/>
      <c r="K3" s="560"/>
      <c r="L3" s="560"/>
      <c r="M3" s="560"/>
      <c r="N3" s="560"/>
      <c r="O3" s="560"/>
      <c r="P3" s="560"/>
      <c r="Q3" s="560"/>
    </row>
    <row r="4" spans="1:19">
      <c r="A4" s="561" t="s">
        <v>92</v>
      </c>
      <c r="B4" s="561"/>
      <c r="C4" s="561"/>
      <c r="D4" s="561"/>
      <c r="E4" s="561"/>
      <c r="F4" s="561"/>
      <c r="G4" s="561"/>
      <c r="H4" s="561"/>
      <c r="I4" s="561"/>
      <c r="J4" s="561"/>
      <c r="K4" s="561"/>
      <c r="L4" s="561"/>
      <c r="M4" s="561"/>
      <c r="N4" s="561"/>
      <c r="O4" s="561"/>
      <c r="P4" s="561"/>
      <c r="Q4" s="561"/>
    </row>
    <row r="9" spans="1:19">
      <c r="F9" s="116" t="s">
        <v>152</v>
      </c>
      <c r="G9" s="117"/>
      <c r="H9" s="117"/>
      <c r="I9" s="117"/>
      <c r="J9" s="116" t="s">
        <v>152</v>
      </c>
      <c r="S9" s="116" t="s">
        <v>152</v>
      </c>
    </row>
    <row r="10" spans="1:19">
      <c r="N10" s="562" t="s">
        <v>36</v>
      </c>
      <c r="O10" s="562"/>
      <c r="P10" s="562"/>
      <c r="Q10" s="562"/>
      <c r="S10" s="118"/>
    </row>
    <row r="11" spans="1:19">
      <c r="B11" s="119" t="s">
        <v>110</v>
      </c>
      <c r="D11" s="120">
        <v>2014</v>
      </c>
      <c r="E11" s="121"/>
      <c r="F11" s="120">
        <v>2014</v>
      </c>
      <c r="G11" s="121"/>
      <c r="H11" s="120">
        <v>2015</v>
      </c>
      <c r="I11" s="121"/>
      <c r="J11" s="120">
        <v>2015</v>
      </c>
      <c r="L11" s="122" t="s">
        <v>153</v>
      </c>
      <c r="N11" s="563" t="e">
        <f>'25411'!N11:O11</f>
        <v>#VALUE!</v>
      </c>
      <c r="O11" s="563"/>
      <c r="P11" s="563" t="str">
        <f>'25411'!P11:Q11</f>
        <v>Cause 2016</v>
      </c>
      <c r="Q11" s="563"/>
      <c r="S11" s="123" t="s">
        <v>155</v>
      </c>
    </row>
    <row r="12" spans="1:19">
      <c r="D12" s="124" t="s">
        <v>27</v>
      </c>
      <c r="E12" s="121"/>
      <c r="F12" s="124" t="s">
        <v>28</v>
      </c>
      <c r="G12" s="121"/>
      <c r="H12" s="124" t="s">
        <v>94</v>
      </c>
      <c r="I12" s="121"/>
      <c r="J12" s="124" t="s">
        <v>28</v>
      </c>
      <c r="L12" s="125">
        <v>2016</v>
      </c>
      <c r="M12" s="125"/>
      <c r="N12" s="563" t="e">
        <f>'25411'!N12:O12</f>
        <v>#VALUE!</v>
      </c>
      <c r="O12" s="563"/>
      <c r="P12" s="563" t="str">
        <f>'25411'!P12:Q12</f>
        <v>vs Cause 2005</v>
      </c>
      <c r="Q12" s="563"/>
      <c r="S12" s="123" t="s">
        <v>156</v>
      </c>
    </row>
    <row r="13" spans="1:19" ht="16.5" thickBot="1">
      <c r="D13" s="126" t="s">
        <v>31</v>
      </c>
      <c r="E13" s="121"/>
      <c r="F13" s="126" t="s">
        <v>31</v>
      </c>
      <c r="G13" s="121"/>
      <c r="H13" s="126" t="s">
        <v>31</v>
      </c>
      <c r="I13" s="121"/>
      <c r="J13" s="126" t="s">
        <v>31</v>
      </c>
      <c r="L13" s="127" t="s">
        <v>31</v>
      </c>
      <c r="M13" s="128"/>
      <c r="N13" s="129" t="s">
        <v>31</v>
      </c>
      <c r="O13" s="129" t="s">
        <v>52</v>
      </c>
      <c r="P13" s="129" t="s">
        <v>31</v>
      </c>
      <c r="Q13" s="129" t="s">
        <v>52</v>
      </c>
      <c r="S13" s="129" t="s">
        <v>31</v>
      </c>
    </row>
    <row r="14" spans="1:19">
      <c r="D14" s="117">
        <v>1</v>
      </c>
      <c r="E14" s="117"/>
      <c r="F14" s="117"/>
      <c r="G14" s="117"/>
      <c r="H14" s="117">
        <v>2</v>
      </c>
      <c r="I14" s="117"/>
      <c r="J14" s="117"/>
      <c r="K14" s="117"/>
      <c r="L14" s="117">
        <v>3</v>
      </c>
      <c r="M14" s="130"/>
      <c r="N14" s="130" t="s">
        <v>157</v>
      </c>
      <c r="O14" s="130">
        <v>5</v>
      </c>
      <c r="P14" s="130" t="s">
        <v>158</v>
      </c>
      <c r="Q14" s="130">
        <v>7</v>
      </c>
      <c r="R14" s="131"/>
      <c r="S14" s="132">
        <v>8</v>
      </c>
    </row>
    <row r="15" spans="1:19">
      <c r="A15" s="117"/>
      <c r="S15" s="118"/>
    </row>
    <row r="16" spans="1:19" ht="16.5" thickBot="1">
      <c r="A16" s="117">
        <v>1</v>
      </c>
      <c r="B16" s="119" t="s">
        <v>0</v>
      </c>
      <c r="D16" s="133">
        <f>[27]INPUT!C345/1000</f>
        <v>1.1444100000000001</v>
      </c>
      <c r="E16" s="134"/>
      <c r="F16" s="133">
        <f>'[27]Budget 2014'!O344/1000</f>
        <v>0</v>
      </c>
      <c r="G16" s="134"/>
      <c r="H16" s="133">
        <f>[27]INPUT!E345/1000</f>
        <v>0.40314</v>
      </c>
      <c r="I16" s="134"/>
      <c r="J16" s="133">
        <f>[27]INPUT!D345/1000</f>
        <v>0.40314</v>
      </c>
      <c r="K16" s="135"/>
      <c r="L16" s="133">
        <f>[27]INPUT!F345/1000</f>
        <v>0.41200900000000001</v>
      </c>
      <c r="M16" s="135"/>
      <c r="N16" s="133">
        <f>L16-D16</f>
        <v>-0.73240100000000008</v>
      </c>
      <c r="O16" s="136">
        <f>N16/D16</f>
        <v>-0.63998130040807055</v>
      </c>
      <c r="P16" s="113">
        <f>L16-H16</f>
        <v>8.8690000000000158E-3</v>
      </c>
      <c r="Q16" s="136">
        <f>P16/H16</f>
        <v>2.1999801557771533E-2</v>
      </c>
      <c r="S16" s="137">
        <f>L16</f>
        <v>0.41200900000000001</v>
      </c>
    </row>
    <row r="17" spans="1:19" ht="16.5" thickTop="1">
      <c r="A17" s="117"/>
      <c r="B17" s="119"/>
      <c r="D17" s="138"/>
      <c r="E17" s="134"/>
      <c r="F17" s="138"/>
      <c r="G17" s="134"/>
      <c r="H17" s="138"/>
      <c r="I17" s="134"/>
      <c r="J17" s="138"/>
      <c r="K17" s="139"/>
      <c r="L17" s="138"/>
      <c r="M17" s="139"/>
      <c r="N17" s="138"/>
      <c r="O17" s="139"/>
      <c r="P17" s="139"/>
      <c r="S17" s="140"/>
    </row>
    <row r="18" spans="1:19">
      <c r="A18" s="117"/>
      <c r="D18" s="134"/>
      <c r="E18" s="134"/>
      <c r="F18" s="134"/>
      <c r="G18" s="134"/>
      <c r="H18" s="134"/>
      <c r="I18" s="134"/>
      <c r="J18" s="134"/>
      <c r="L18" s="134"/>
      <c r="N18" s="134"/>
      <c r="S18" s="140"/>
    </row>
    <row r="19" spans="1:19">
      <c r="A19" s="117"/>
      <c r="B19" s="13" t="s">
        <v>3</v>
      </c>
      <c r="D19" s="134"/>
      <c r="E19" s="134"/>
      <c r="F19" s="134"/>
      <c r="G19" s="134"/>
      <c r="H19" s="134"/>
      <c r="I19" s="134"/>
      <c r="J19" s="134"/>
      <c r="L19" s="134"/>
      <c r="N19" s="134"/>
      <c r="S19" s="140"/>
    </row>
    <row r="20" spans="1:19">
      <c r="A20" s="117"/>
      <c r="D20" s="134"/>
      <c r="E20" s="134"/>
      <c r="F20" s="134"/>
      <c r="G20" s="134"/>
      <c r="H20" s="134"/>
      <c r="I20" s="134"/>
      <c r="J20" s="134"/>
      <c r="L20" s="134"/>
      <c r="N20" s="134"/>
      <c r="S20" s="140"/>
    </row>
    <row r="21" spans="1:19">
      <c r="A21" s="117">
        <v>2</v>
      </c>
      <c r="B21" s="115" t="s">
        <v>95</v>
      </c>
      <c r="D21" s="134">
        <f>([27]INPUT!C359-[27]INPUT!C345)/1000</f>
        <v>77.638069999999999</v>
      </c>
      <c r="E21" s="134"/>
      <c r="F21" s="134">
        <f>('[27]Budget 2014'!O358-'[27]Budget 2014'!O344)/1000</f>
        <v>90.805000000000007</v>
      </c>
      <c r="G21" s="134"/>
      <c r="H21" s="134">
        <f>([27]INPUT!E359-[27]INPUT!E345)/1000</f>
        <v>91.538450000000012</v>
      </c>
      <c r="I21" s="134"/>
      <c r="J21" s="134">
        <f>([27]INPUT!D359-[27]INPUT!D345)/1000</f>
        <v>98.370329999999996</v>
      </c>
      <c r="K21" s="139"/>
      <c r="L21" s="134">
        <f>([27]INPUT!F359-[27]INPUT!F345)/1000</f>
        <v>95.645561599999979</v>
      </c>
      <c r="M21" s="139"/>
      <c r="N21" s="134">
        <f>L21-D21</f>
        <v>18.00749159999998</v>
      </c>
      <c r="O21" s="136">
        <f>N21/D21</f>
        <v>0.2319415152901145</v>
      </c>
      <c r="P21" s="134">
        <f>L21-H21</f>
        <v>4.1071115999999677</v>
      </c>
      <c r="Q21" s="136">
        <f>P21/H21</f>
        <v>4.4867611369866618E-2</v>
      </c>
      <c r="S21" s="140">
        <f>L21</f>
        <v>95.645561599999979</v>
      </c>
    </row>
    <row r="22" spans="1:19">
      <c r="A22" s="117"/>
      <c r="D22" s="141"/>
      <c r="E22" s="134"/>
      <c r="F22" s="141"/>
      <c r="G22" s="134"/>
      <c r="H22" s="141"/>
      <c r="I22" s="134"/>
      <c r="J22" s="141"/>
      <c r="L22" s="141"/>
      <c r="N22" s="141"/>
      <c r="O22" s="136"/>
      <c r="P22" s="141"/>
      <c r="Q22" s="136"/>
      <c r="S22" s="142"/>
    </row>
    <row r="23" spans="1:19">
      <c r="A23" s="117"/>
      <c r="D23" s="134"/>
      <c r="E23" s="134"/>
      <c r="F23" s="134"/>
      <c r="G23" s="134"/>
      <c r="H23" s="134"/>
      <c r="I23" s="134"/>
      <c r="J23" s="134"/>
      <c r="L23" s="134"/>
      <c r="N23" s="134"/>
      <c r="O23" s="136"/>
      <c r="P23" s="134"/>
      <c r="Q23" s="136"/>
      <c r="S23" s="140"/>
    </row>
    <row r="24" spans="1:19" ht="16.5" thickBot="1">
      <c r="A24" s="117">
        <v>3</v>
      </c>
      <c r="B24" s="13" t="s">
        <v>12</v>
      </c>
      <c r="D24" s="133">
        <f>SUM(D21:D23)</f>
        <v>77.638069999999999</v>
      </c>
      <c r="E24" s="134"/>
      <c r="F24" s="133">
        <f>SUM(F21:F23)</f>
        <v>90.805000000000007</v>
      </c>
      <c r="G24" s="134"/>
      <c r="H24" s="133">
        <f>SUM(H21:H23)</f>
        <v>91.538450000000012</v>
      </c>
      <c r="I24" s="134"/>
      <c r="J24" s="133">
        <f>SUM(J21:J23)</f>
        <v>98.370329999999996</v>
      </c>
      <c r="K24" s="135"/>
      <c r="L24" s="133">
        <f>SUM(L21:L23)</f>
        <v>95.645561599999979</v>
      </c>
      <c r="M24" s="135"/>
      <c r="N24" s="133">
        <f>SUM(N21:N23)</f>
        <v>18.00749159999998</v>
      </c>
      <c r="O24" s="136">
        <f>N24/D24</f>
        <v>0.2319415152901145</v>
      </c>
      <c r="P24" s="133">
        <f>SUM(P21:P23)</f>
        <v>4.1071115999999677</v>
      </c>
      <c r="Q24" s="136">
        <f>P24/H24</f>
        <v>4.4867611369866618E-2</v>
      </c>
      <c r="S24" s="137">
        <f>SUM(S21:S23)</f>
        <v>95.645561599999979</v>
      </c>
    </row>
    <row r="25" spans="1:19" ht="16.5" thickTop="1">
      <c r="A25" s="117"/>
      <c r="D25" s="134"/>
      <c r="E25" s="134"/>
      <c r="F25" s="134"/>
      <c r="G25" s="143"/>
      <c r="H25" s="134"/>
      <c r="I25" s="134"/>
      <c r="J25" s="134"/>
      <c r="K25" s="139"/>
      <c r="L25" s="134"/>
      <c r="M25" s="139"/>
      <c r="N25" s="134"/>
      <c r="O25" s="139"/>
      <c r="P25" s="139"/>
    </row>
    <row r="26" spans="1:19">
      <c r="A26" s="117"/>
      <c r="D26" s="134"/>
      <c r="E26" s="134"/>
      <c r="F26" s="134"/>
      <c r="G26" s="143"/>
      <c r="H26" s="134"/>
      <c r="I26" s="134"/>
      <c r="J26" s="134"/>
      <c r="K26" s="139"/>
      <c r="L26" s="134"/>
      <c r="M26" s="139"/>
      <c r="N26" s="134"/>
      <c r="O26" s="139"/>
      <c r="P26" s="139"/>
    </row>
    <row r="27" spans="1:19">
      <c r="A27" s="117"/>
      <c r="D27" s="134"/>
      <c r="E27" s="134"/>
      <c r="F27" s="134"/>
      <c r="G27" s="143"/>
      <c r="H27" s="134"/>
      <c r="I27" s="134"/>
      <c r="J27" s="134"/>
      <c r="K27" s="139"/>
      <c r="L27" s="134"/>
      <c r="M27" s="139"/>
      <c r="N27" s="134"/>
      <c r="O27" s="139"/>
      <c r="P27" s="139"/>
    </row>
    <row r="28" spans="1:19">
      <c r="A28" s="115" t="s">
        <v>49</v>
      </c>
      <c r="B28" s="115" t="s">
        <v>71</v>
      </c>
      <c r="D28" s="134"/>
      <c r="E28" s="134"/>
      <c r="F28" s="134"/>
      <c r="G28" s="143"/>
      <c r="H28" s="134"/>
      <c r="I28" s="134"/>
      <c r="J28" s="134"/>
      <c r="K28" s="139"/>
      <c r="L28" s="134"/>
      <c r="M28" s="139"/>
      <c r="N28" s="134"/>
      <c r="O28" s="139"/>
      <c r="P28" s="139"/>
    </row>
    <row r="29" spans="1:19">
      <c r="B29" s="115" t="s">
        <v>72</v>
      </c>
      <c r="D29" s="134"/>
      <c r="E29" s="134"/>
      <c r="F29" s="134"/>
      <c r="G29" s="143"/>
      <c r="H29" s="134"/>
      <c r="I29" s="134"/>
      <c r="J29" s="134"/>
      <c r="K29" s="139"/>
      <c r="L29" s="134"/>
      <c r="M29" s="139"/>
      <c r="N29" s="134"/>
      <c r="O29" s="139"/>
      <c r="P29" s="139"/>
    </row>
    <row r="30" spans="1:19">
      <c r="A30" s="117"/>
      <c r="D30" s="134"/>
      <c r="E30" s="134"/>
      <c r="F30" s="134"/>
      <c r="G30" s="143"/>
      <c r="H30" s="134"/>
      <c r="I30" s="134"/>
      <c r="J30" s="134"/>
      <c r="K30" s="139"/>
      <c r="L30" s="134"/>
      <c r="M30" s="139"/>
      <c r="N30" s="134"/>
      <c r="O30" s="139"/>
      <c r="P30" s="139"/>
    </row>
    <row r="31" spans="1:19">
      <c r="A31" s="117"/>
      <c r="D31" s="134"/>
      <c r="E31" s="134"/>
      <c r="F31" s="134"/>
      <c r="H31" s="134"/>
      <c r="I31" s="134"/>
      <c r="J31" s="134"/>
      <c r="L31" s="134"/>
      <c r="N31" s="134"/>
      <c r="O31" s="139"/>
      <c r="P31" s="139"/>
    </row>
    <row r="35" spans="4:10">
      <c r="D35" s="134"/>
      <c r="E35" s="134"/>
      <c r="F35" s="134"/>
      <c r="G35" s="134"/>
      <c r="H35" s="134"/>
      <c r="I35" s="134"/>
      <c r="J35" s="134"/>
    </row>
    <row r="36" spans="4:10">
      <c r="D36" s="134"/>
      <c r="E36" s="134"/>
      <c r="F36" s="134"/>
      <c r="G36" s="134"/>
    </row>
    <row r="37" spans="4:10">
      <c r="D37" s="134"/>
      <c r="E37" s="134"/>
      <c r="F37" s="134"/>
      <c r="G37" s="134"/>
    </row>
    <row r="38" spans="4:10">
      <c r="D38" s="134"/>
      <c r="E38" s="134"/>
      <c r="F38" s="134"/>
      <c r="G38" s="134"/>
    </row>
    <row r="39" spans="4:10">
      <c r="D39" s="134"/>
      <c r="E39" s="134"/>
      <c r="F39" s="134"/>
      <c r="G39" s="134"/>
    </row>
    <row r="40" spans="4:10">
      <c r="D40" s="134"/>
      <c r="E40" s="134"/>
      <c r="F40" s="134"/>
      <c r="G40" s="134"/>
    </row>
    <row r="54" spans="1:17">
      <c r="H54" s="149"/>
      <c r="I54" s="149"/>
      <c r="J54" s="149"/>
      <c r="K54" s="149"/>
      <c r="L54" s="149"/>
      <c r="M54" s="149"/>
      <c r="N54" s="149"/>
      <c r="O54" s="149"/>
      <c r="Q54" s="149" t="s">
        <v>96</v>
      </c>
    </row>
    <row r="55" spans="1:17">
      <c r="H55" s="149"/>
      <c r="I55" s="149"/>
      <c r="J55" s="149"/>
      <c r="K55" s="149"/>
      <c r="L55" s="149"/>
      <c r="M55" s="149"/>
      <c r="N55" s="149"/>
      <c r="O55" s="149"/>
      <c r="Q55" s="149" t="s">
        <v>97</v>
      </c>
    </row>
    <row r="56" spans="1:17">
      <c r="H56" s="149"/>
      <c r="I56" s="149"/>
      <c r="J56" s="149"/>
      <c r="K56" s="149"/>
      <c r="L56" s="149"/>
      <c r="M56" s="149"/>
      <c r="N56" s="149"/>
      <c r="O56" s="149"/>
      <c r="Q56" s="149" t="s">
        <v>51</v>
      </c>
    </row>
    <row r="57" spans="1:17">
      <c r="A57" s="115" t="s">
        <v>98</v>
      </c>
      <c r="H57" s="149"/>
      <c r="I57" s="149"/>
      <c r="J57" s="149"/>
      <c r="K57" s="149"/>
      <c r="L57" s="149"/>
      <c r="M57" s="149"/>
      <c r="N57" s="149"/>
      <c r="O57" s="149"/>
      <c r="Q57" s="149" t="s">
        <v>99</v>
      </c>
    </row>
    <row r="59" spans="1:17">
      <c r="C59" s="150" t="s">
        <v>100</v>
      </c>
      <c r="D59" s="151">
        <f>D16+D24-([27]INPUT!C359)/1000</f>
        <v>0</v>
      </c>
      <c r="E59" s="152"/>
      <c r="F59" s="151">
        <f>F16+F24-('[27]Budget 2014'!O358)/1000</f>
        <v>0</v>
      </c>
      <c r="G59" s="152"/>
      <c r="H59" s="151">
        <f>H16+H24-([27]INPUT!E359)/1000</f>
        <v>0</v>
      </c>
      <c r="I59" s="152"/>
      <c r="J59" s="151">
        <f>J16+J24-([27]INPUT!D359)/1000</f>
        <v>0</v>
      </c>
      <c r="K59" s="152"/>
      <c r="L59" s="151">
        <f>L16+L24-([27]INPUT!F359)/1000</f>
        <v>0</v>
      </c>
    </row>
  </sheetData>
  <mergeCells count="9">
    <mergeCell ref="N12:O12"/>
    <mergeCell ref="P12:Q12"/>
    <mergeCell ref="A1:Q1"/>
    <mergeCell ref="A2:Q2"/>
    <mergeCell ref="A3:Q3"/>
    <mergeCell ref="A4:Q4"/>
    <mergeCell ref="N10:Q10"/>
    <mergeCell ref="N11:O11"/>
    <mergeCell ref="P11:Q11"/>
  </mergeCells>
  <pageMargins left="0.7" right="0.7" top="0.75" bottom="0.75" header="0.3" footer="0.3"/>
  <pageSetup scale="1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Phase xmlns="a091097b-8ae3-4832-a2b2-51f9a78aeacd">3</Phase>
    <Sujet xmlns="a091097b-8ae3-4832-a2b2-51f9a78aeacd">GI-28 Doc 1.1 à Doc 9.1 - Fichiers Excel</Sujet>
    <Confidentiel xmlns="a091097b-8ae3-4832-a2b2-51f9a78aeacd">3</Confidentiel>
    <Projet xmlns="a091097b-8ae3-4832-a2b2-51f9a78aeacd">752</Projet>
    <Provenance xmlns="a091097b-8ae3-4832-a2b2-51f9a78aeacd">1</Provenance>
    <Hidden_UploadedAt xmlns="a091097b-8ae3-4832-a2b2-51f9a78aeacd">2023-02-08T00:24:35+00:00</Hidden_UploadedAt>
    <Accés_x0020_restreint xmlns="a091097b-8ae3-4832-a2b2-51f9a78aeacd">false</Accés_x0020_restreint>
    <Précision_x0020_de_x0020_document xmlns="a091097b-8ae3-4832-a2b2-51f9a78aeacd" xsi:nil="true"/>
    <Déposant xmlns="a091097b-8ae3-4832-a2b2-51f9a78aeacd">69</Déposant>
    <Sous-catégorie xmlns="a091097b-8ae3-4832-a2b2-51f9a78aeacd" xsi:nil="true"/>
    <Copie_x0020_papier_x0020_reçue xmlns="a091097b-8ae3-4832-a2b2-51f9a78aeacd">false</Copie_x0020_papier_x0020_reçue>
    <Cote_x0020_de_x0020_déposant xmlns="a091097b-8ae3-4832-a2b2-51f9a78aeacd">GI-28 Doc 1.1 à Doc 9.1 - Fichiers Excel</Cote_x0020_de_x0020_déposant>
    <Inscrit_x0020_au_x0020_plumitif xmlns="a091097b-8ae3-4832-a2b2-51f9a78aeacd">true</Inscrit_x0020_au_x0020_plumitif>
    <Numéro_x0020_plumitif xmlns="a091097b-8ae3-4832-a2b2-51f9a78aeacd">282</Numéro_x0020_plumitif>
    <Hidden_UploadedBy xmlns="a091097b-8ae3-4832-a2b2-51f9a78aeacd" xsi:nil="true"/>
    <Hidden_ApprovedBy xmlns="a091097b-8ae3-4832-a2b2-51f9a78aeacd" xsi:nil="true"/>
    <Statut xmlns="a091097b-8ae3-4832-a2b2-51f9a78aeacd" xsi:nil="true"/>
    <Catégorie_x0020_de_x0020_document xmlns="a091097b-8ae3-4832-a2b2-51f9a78aeacd">15</Catégorie_x0020_de_x0020_document>
    <Date_x0020_de_x0020_confidentialité_x0020_relevée xmlns="a091097b-8ae3-4832-a2b2-51f9a78aeacd" xsi:nil="true"/>
    <Hidden_ApprovedAt xmlns="a091097b-8ae3-4832-a2b2-51f9a78aeacd">2023-02-08T00:24:35+00:00</Hidden_ApprovedAt>
    <Cote_x0020_de_x0020_piéce xmlns="a091097b-8ae3-4832-a2b2-51f9a78aeacd">B-0228</Cote_x0020_de_x0020_piéce>
    <Diffusable_x0020_sur_x0020_le_x0020_Web xmlns="a091097b-8ae3-4832-a2b2-51f9a78aeacd">true</Diffusable_x0020_sur_x0020_le_x0020_Web>
    <Date_x0020_de_x0020_réception_x0020_copie_x0020_papier xmlns="a091097b-8ae3-4832-a2b2-51f9a78aeacd" xsi:nil="true"/>
    <Ne_x0020_pas_x0020_envoyer_x0020_d_x0027_alerte xmlns="a091097b-8ae3-4832-a2b2-51f9a78aeacd">false</Ne_x0020_pas_x0020_envoyer_x0020_d_x0027_alerte>
    <_dlc_DocId xmlns="a84ed267-86d5-4fa1-a3cb-2fed497fe84f">W2HFWTQUJJY6-1651953253-409</_dlc_DocId>
    <_dlc_DocIdUrl xmlns="a84ed267-86d5-4fa1-a3cb-2fed497fe84f">
      <Url>http://s10mtlweb:8081/752/_layouts/15/DocIdRedir.aspx?ID=W2HFWTQUJJY6-1651953253-409</Url>
      <Description>W2HFWTQUJJY6-1651953253-409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E5F468B1997F134CB6C6EAAC69D2DBE7" ma:contentTypeVersion="0" ma:contentTypeDescription="" ma:contentTypeScope="" ma:versionID="0d3127273217b02da6f3df09a01cd2f7">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b7e9dbe386427f7c04dd1b10a57eb55d"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64FCD4-EF3B-4096-9A16-5C5AF434B40F}"/>
</file>

<file path=customXml/itemProps2.xml><?xml version="1.0" encoding="utf-8"?>
<ds:datastoreItem xmlns:ds="http://schemas.openxmlformats.org/officeDocument/2006/customXml" ds:itemID="{70EC9842-AA16-4FB0-93B4-5FB258F43A51}"/>
</file>

<file path=customXml/itemProps3.xml><?xml version="1.0" encoding="utf-8"?>
<ds:datastoreItem xmlns:ds="http://schemas.openxmlformats.org/officeDocument/2006/customXml" ds:itemID="{74E2E8E0-09AA-44F0-A9B6-8DEA5F6BFA06}"/>
</file>

<file path=customXml/itemProps4.xml><?xml version="1.0" encoding="utf-8"?>
<ds:datastoreItem xmlns:ds="http://schemas.openxmlformats.org/officeDocument/2006/customXml" ds:itemID="{74836D02-703B-4ABA-B922-A55BD5BB1E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42</vt:i4>
      </vt:variant>
      <vt:variant>
        <vt:lpstr>Plages nommées</vt:lpstr>
      </vt:variant>
      <vt:variant>
        <vt:i4>41</vt:i4>
      </vt:variant>
    </vt:vector>
  </HeadingPairs>
  <TitlesOfParts>
    <vt:vector size="83" baseType="lpstr">
      <vt:lpstr>GI-28 Doc 1.1</vt:lpstr>
      <vt:lpstr>GI-28 Doc 2.2</vt:lpstr>
      <vt:lpstr>GI-28 Doc 2.1</vt:lpstr>
      <vt:lpstr>25401</vt:lpstr>
      <vt:lpstr>25404</vt:lpstr>
      <vt:lpstr>25406</vt:lpstr>
      <vt:lpstr>25408</vt:lpstr>
      <vt:lpstr>25411</vt:lpstr>
      <vt:lpstr>25413</vt:lpstr>
      <vt:lpstr>GI-28 Doc 3.2</vt:lpstr>
      <vt:lpstr>GI-28 Doc 3.1</vt:lpstr>
      <vt:lpstr>25430</vt:lpstr>
      <vt:lpstr>25432</vt:lpstr>
      <vt:lpstr>25434</vt:lpstr>
      <vt:lpstr>25436</vt:lpstr>
      <vt:lpstr>25451</vt:lpstr>
      <vt:lpstr>GI-28 Doc 4.2</vt:lpstr>
      <vt:lpstr>GI-28 Doc 4.1</vt:lpstr>
      <vt:lpstr>Récap autres charges</vt:lpstr>
      <vt:lpstr>Rcap salaires</vt:lpstr>
      <vt:lpstr>25442</vt:lpstr>
      <vt:lpstr>25444</vt:lpstr>
      <vt:lpstr>25446</vt:lpstr>
      <vt:lpstr>25448</vt:lpstr>
      <vt:lpstr>25449</vt:lpstr>
      <vt:lpstr>GI-28 Doc 5.2</vt:lpstr>
      <vt:lpstr>GI-28 Doc 5 de travail</vt:lpstr>
      <vt:lpstr>GI-28 Doc 5.1</vt:lpstr>
      <vt:lpstr>25450</vt:lpstr>
      <vt:lpstr>GI-28 Doc 6.2</vt:lpstr>
      <vt:lpstr>GI-28 Doc 6.1</vt:lpstr>
      <vt:lpstr>25452</vt:lpstr>
      <vt:lpstr>GI-28 Doc 7.2</vt:lpstr>
      <vt:lpstr>GI-28 Doc 7 de travail</vt:lpstr>
      <vt:lpstr>GI-28 Doc 7.1</vt:lpstr>
      <vt:lpstr>GI-28 Doc 7.1 V de travail</vt:lpstr>
      <vt:lpstr>25440</vt:lpstr>
      <vt:lpstr>25441</vt:lpstr>
      <vt:lpstr>GI-28 Doc 8.3</vt:lpstr>
      <vt:lpstr>GI-28 Doc 8.1</vt:lpstr>
      <vt:lpstr>GI-28 Doc 8.2</vt:lpstr>
      <vt:lpstr>GI-28 Doc 9.1</vt:lpstr>
      <vt:lpstr>'25401'!Print_Area</vt:lpstr>
      <vt:lpstr>'25404'!Print_Area</vt:lpstr>
      <vt:lpstr>'25406'!Print_Area</vt:lpstr>
      <vt:lpstr>'25408'!Print_Area</vt:lpstr>
      <vt:lpstr>'25411'!Print_Area</vt:lpstr>
      <vt:lpstr>'25413'!Print_Area</vt:lpstr>
      <vt:lpstr>'25430'!Print_Area</vt:lpstr>
      <vt:lpstr>'25434'!Print_Area</vt:lpstr>
      <vt:lpstr>'25436'!Print_Area</vt:lpstr>
      <vt:lpstr>'25440'!Print_Area</vt:lpstr>
      <vt:lpstr>'25441'!Print_Area</vt:lpstr>
      <vt:lpstr>'25442'!Print_Area</vt:lpstr>
      <vt:lpstr>'25444'!Print_Area</vt:lpstr>
      <vt:lpstr>'25446'!Print_Area</vt:lpstr>
      <vt:lpstr>'25448'!Print_Area</vt:lpstr>
      <vt:lpstr>'25449'!Print_Area</vt:lpstr>
      <vt:lpstr>'25450'!Print_Area</vt:lpstr>
      <vt:lpstr>'25451'!Print_Area</vt:lpstr>
      <vt:lpstr>'25452'!Print_Area</vt:lpstr>
      <vt:lpstr>'GI-28 Doc 1.1'!Print_Area</vt:lpstr>
      <vt:lpstr>'GI-28 Doc 2.1'!Print_Area</vt:lpstr>
      <vt:lpstr>'GI-28 Doc 2.2'!Print_Area</vt:lpstr>
      <vt:lpstr>'GI-28 Doc 3.1'!Print_Area</vt:lpstr>
      <vt:lpstr>'GI-28 Doc 3.2'!Print_Area</vt:lpstr>
      <vt:lpstr>'GI-28 Doc 4.1'!Print_Area</vt:lpstr>
      <vt:lpstr>'GI-28 Doc 4.2'!Print_Area</vt:lpstr>
      <vt:lpstr>'GI-28 Doc 5 de travail'!Print_Area</vt:lpstr>
      <vt:lpstr>'GI-28 Doc 5.1'!Print_Area</vt:lpstr>
      <vt:lpstr>'GI-28 Doc 5.2'!Print_Area</vt:lpstr>
      <vt:lpstr>'GI-28 Doc 6.1'!Print_Area</vt:lpstr>
      <vt:lpstr>'GI-28 Doc 6.2'!Print_Area</vt:lpstr>
      <vt:lpstr>'GI-28 Doc 7 de travail'!Print_Area</vt:lpstr>
      <vt:lpstr>'GI-28 Doc 7.1'!Print_Area</vt:lpstr>
      <vt:lpstr>'GI-28 Doc 7.1 V de travail'!Print_Area</vt:lpstr>
      <vt:lpstr>'GI-28 Doc 7.2'!Print_Area</vt:lpstr>
      <vt:lpstr>'GI-28 Doc 8.1'!Print_Area</vt:lpstr>
      <vt:lpstr>'GI-28 Doc 8.2'!Print_Area</vt:lpstr>
      <vt:lpstr>'GI-28 Doc 8.3'!Print_Area</vt:lpstr>
      <vt:lpstr>'GI-28 Doc 9.1'!Print_Area</vt:lpstr>
      <vt:lpstr>'Rcap salaires'!Print_Area</vt:lpstr>
      <vt:lpstr>'Récap autres charges'!Print_Area</vt:lpstr>
    </vt:vector>
  </TitlesOfParts>
  <Company>Enbridge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GI-28 Doc 1.1 à Doc 9.1 - Fichiers Excel</dc:subject>
  <dc:creator>Enbridge</dc:creator>
  <cp:lastModifiedBy>Mariane Bilodeau</cp:lastModifiedBy>
  <cp:lastPrinted>2015-09-08T20:33:55Z</cp:lastPrinted>
  <dcterms:created xsi:type="dcterms:W3CDTF">2004-08-11T15:47:36Z</dcterms:created>
  <dcterms:modified xsi:type="dcterms:W3CDTF">2015-09-09T15:13:53Z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0x010100F6681E3BDF397F418586AC591ADC81BB00E5F468B1997F134CB6C6EAAC69D2DBE7</vt:lpwstr>
  </property>
  <property fmtid="{D5CDD505-2E9C-101B-9397-08002B2CF9AE}" pid="4" name="Order">
    <vt:r8>1642700</vt:r8>
  </property>
  <property fmtid="{D5CDD505-2E9C-101B-9397-08002B2CF9AE}" pid="5" name="_dlc_DocIdItemGuid">
    <vt:lpwstr>88869278-649c-45ee-a90b-d84f910d1103</vt:lpwstr>
  </property>
</Properties>
</file>