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ustom.xml" ContentType="application/vnd.openxmlformats-officedocument.custom-properti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585" windowWidth="14715" windowHeight="7875" firstSheet="4" activeTab="4"/>
  </bookViews>
  <sheets>
    <sheet name="Coût de serv-sensi -10%-pr pres" sheetId="39" state="hidden" r:id="rId1"/>
    <sheet name="Coût de serv-sensi +10%-pr pres" sheetId="38" state="hidden" r:id="rId2"/>
    <sheet name="Coût de service-sensi +10%" sheetId="36" state="hidden" r:id="rId3"/>
    <sheet name="Coût de service-sensi -10%" sheetId="37" state="hidden" r:id="rId4"/>
    <sheet name="GI-34 doc 3 page 1 de 2" sheetId="3" r:id="rId5"/>
    <sheet name="Depreciation 2015" sheetId="26" state="hidden" r:id="rId6"/>
    <sheet name="GI-34 doc 3 page 2 de 2" sheetId="31" r:id="rId7"/>
    <sheet name="Depreciation 2017" sheetId="32" state="hidden" r:id="rId8"/>
    <sheet name="Depreciation 2018" sheetId="33" state="hidden" r:id="rId9"/>
    <sheet name="Depreciation 2019" sheetId="34" state="hidden" r:id="rId10"/>
    <sheet name="Depreciation 2020" sheetId="41" state="hidden" r:id="rId11"/>
    <sheet name="Depreciation 2021" sheetId="42" state="hidden" r:id="rId12"/>
    <sheet name="Feuil1" sheetId="40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 localSheetId="2">#REF!</definedName>
    <definedName name="\b" localSheetId="3">#REF!</definedName>
    <definedName name="\b" localSheetId="1">#REF!</definedName>
    <definedName name="\b" localSheetId="0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6">#REF!</definedName>
    <definedName name="\b">#REF!</definedName>
    <definedName name="\c" localSheetId="2">#REF!</definedName>
    <definedName name="\c" localSheetId="3">#REF!</definedName>
    <definedName name="\c" localSheetId="1">#REF!</definedName>
    <definedName name="\c" localSheetId="0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6">#REF!</definedName>
    <definedName name="\c">#REF!</definedName>
    <definedName name="\e" localSheetId="2">[1]mensuelle!#REF!</definedName>
    <definedName name="\e" localSheetId="3">[1]mensuelle!#REF!</definedName>
    <definedName name="\e" localSheetId="1">[1]mensuelle!#REF!</definedName>
    <definedName name="\e" localSheetId="0">[1]mensuelle!#REF!</definedName>
    <definedName name="\e" localSheetId="7">[1]mensuelle!#REF!</definedName>
    <definedName name="\e" localSheetId="8">[1]mensuelle!#REF!</definedName>
    <definedName name="\e" localSheetId="9">[1]mensuelle!#REF!</definedName>
    <definedName name="\e" localSheetId="10">[1]mensuelle!#REF!</definedName>
    <definedName name="\e" localSheetId="11">[1]mensuelle!#REF!</definedName>
    <definedName name="\e" localSheetId="6">[1]mensuelle!#REF!</definedName>
    <definedName name="\e">[1]mensuelle!#REF!</definedName>
    <definedName name="\f" localSheetId="2">[1]mensuelle!#REF!</definedName>
    <definedName name="\f" localSheetId="3">[1]mensuelle!#REF!</definedName>
    <definedName name="\f" localSheetId="1">[1]mensuelle!#REF!</definedName>
    <definedName name="\f" localSheetId="0">[1]mensuelle!#REF!</definedName>
    <definedName name="\f" localSheetId="7">[1]mensuelle!#REF!</definedName>
    <definedName name="\f" localSheetId="8">[1]mensuelle!#REF!</definedName>
    <definedName name="\f" localSheetId="9">[1]mensuelle!#REF!</definedName>
    <definedName name="\f" localSheetId="10">[1]mensuelle!#REF!</definedName>
    <definedName name="\f" localSheetId="11">[1]mensuelle!#REF!</definedName>
    <definedName name="\f" localSheetId="6">[1]mensuelle!#REF!</definedName>
    <definedName name="\f">[1]mensuelle!#REF!</definedName>
    <definedName name="\i" localSheetId="2">'[2]Exh 1'!#REF!</definedName>
    <definedName name="\i" localSheetId="3">'[2]Exh 1'!#REF!</definedName>
    <definedName name="\i" localSheetId="1">'[2]Exh 1'!#REF!</definedName>
    <definedName name="\i" localSheetId="0">'[2]Exh 1'!#REF!</definedName>
    <definedName name="\i" localSheetId="7">'[2]Exh 1'!#REF!</definedName>
    <definedName name="\i" localSheetId="8">'[2]Exh 1'!#REF!</definedName>
    <definedName name="\i" localSheetId="9">'[2]Exh 1'!#REF!</definedName>
    <definedName name="\i" localSheetId="10">'[2]Exh 1'!#REF!</definedName>
    <definedName name="\i" localSheetId="11">'[2]Exh 1'!#REF!</definedName>
    <definedName name="\i" localSheetId="6">'[2]Exh 1'!#REF!</definedName>
    <definedName name="\i">'[2]Exh 1'!#REF!</definedName>
    <definedName name="\k" localSheetId="2">#REF!</definedName>
    <definedName name="\k" localSheetId="3">#REF!</definedName>
    <definedName name="\k" localSheetId="1">#REF!</definedName>
    <definedName name="\k" localSheetId="0">#REF!</definedName>
    <definedName name="\k" localSheetId="7">#REF!</definedName>
    <definedName name="\k" localSheetId="8">#REF!</definedName>
    <definedName name="\k" localSheetId="9">#REF!</definedName>
    <definedName name="\k" localSheetId="10">#REF!</definedName>
    <definedName name="\k" localSheetId="11">#REF!</definedName>
    <definedName name="\k" localSheetId="6">#REF!</definedName>
    <definedName name="\k">#REF!</definedName>
    <definedName name="\o" localSheetId="2">#REF!</definedName>
    <definedName name="\o" localSheetId="3">#REF!</definedName>
    <definedName name="\o" localSheetId="1">#REF!</definedName>
    <definedName name="\o" localSheetId="0">#REF!</definedName>
    <definedName name="\o" localSheetId="7">#REF!</definedName>
    <definedName name="\o" localSheetId="8">#REF!</definedName>
    <definedName name="\o" localSheetId="9">#REF!</definedName>
    <definedName name="\o" localSheetId="10">#REF!</definedName>
    <definedName name="\o" localSheetId="11">#REF!</definedName>
    <definedName name="\o" localSheetId="6">#REF!</definedName>
    <definedName name="\o">#REF!</definedName>
    <definedName name="\p" localSheetId="2">[1]mensuelle!#REF!</definedName>
    <definedName name="\p" localSheetId="3">[1]mensuelle!#REF!</definedName>
    <definedName name="\p" localSheetId="1">[1]mensuelle!#REF!</definedName>
    <definedName name="\p" localSheetId="0">[1]mensuelle!#REF!</definedName>
    <definedName name="\p" localSheetId="7">[1]mensuelle!#REF!</definedName>
    <definedName name="\p" localSheetId="8">[1]mensuelle!#REF!</definedName>
    <definedName name="\p" localSheetId="9">[1]mensuelle!#REF!</definedName>
    <definedName name="\p" localSheetId="10">[1]mensuelle!#REF!</definedName>
    <definedName name="\p" localSheetId="11">[1]mensuelle!#REF!</definedName>
    <definedName name="\p" localSheetId="6">[1]mensuelle!#REF!</definedName>
    <definedName name="\p">[1]mensuelle!#REF!</definedName>
    <definedName name="\t">#REF!</definedName>
    <definedName name="\u">#REF!</definedName>
    <definedName name="\x" localSheetId="2">'[2]Exh 1'!#REF!</definedName>
    <definedName name="\x" localSheetId="3">'[2]Exh 1'!#REF!</definedName>
    <definedName name="\x" localSheetId="1">'[2]Exh 1'!#REF!</definedName>
    <definedName name="\x" localSheetId="0">'[2]Exh 1'!#REF!</definedName>
    <definedName name="\x" localSheetId="7">'[2]Exh 1'!#REF!</definedName>
    <definedName name="\x" localSheetId="8">'[2]Exh 1'!#REF!</definedName>
    <definedName name="\x" localSheetId="9">'[2]Exh 1'!#REF!</definedName>
    <definedName name="\x" localSheetId="10">'[2]Exh 1'!#REF!</definedName>
    <definedName name="\x" localSheetId="11">'[2]Exh 1'!#REF!</definedName>
    <definedName name="\x" localSheetId="6">'[2]Exh 1'!#REF!</definedName>
    <definedName name="\x">'[2]Exh 1'!#REF!</definedName>
    <definedName name="_8586">#REF!</definedName>
    <definedName name="_Fill" localSheetId="2" hidden="1">'[3]2001(5+7)'!#REF!</definedName>
    <definedName name="_Fill" localSheetId="3" hidden="1">'[3]2001(5+7)'!#REF!</definedName>
    <definedName name="_Fill" localSheetId="1" hidden="1">'[3]2001(5+7)'!#REF!</definedName>
    <definedName name="_Fill" localSheetId="0" hidden="1">'[3]2001(5+7)'!#REF!</definedName>
    <definedName name="_Fill" localSheetId="7" hidden="1">'[3]2001(5+7)'!#REF!</definedName>
    <definedName name="_Fill" localSheetId="8" hidden="1">'[3]2001(5+7)'!#REF!</definedName>
    <definedName name="_Fill" localSheetId="9" hidden="1">'[3]2001(5+7)'!#REF!</definedName>
    <definedName name="_Fill" localSheetId="10" hidden="1">'[3]2001(5+7)'!#REF!</definedName>
    <definedName name="_Fill" localSheetId="11" hidden="1">'[3]2001(5+7)'!#REF!</definedName>
    <definedName name="_Fill" localSheetId="6" hidden="1">'[3]2001(5+7)'!#REF!</definedName>
    <definedName name="_Fill" hidden="1">'[3]2001(5+7)'!#REF!</definedName>
    <definedName name="_GAS96">#REF!</definedName>
    <definedName name="_Key1" hidden="1">#REF!</definedName>
    <definedName name="_MSG1">#REF!</definedName>
    <definedName name="_Order1" hidden="1">255</definedName>
    <definedName name="_Regression_Int" localSheetId="5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_Regression_Int" localSheetId="10" hidden="1">1</definedName>
    <definedName name="_Regression_Int" localSheetId="11" hidden="1">1</definedName>
    <definedName name="_Regression_Int" localSheetId="6" hidden="1">1</definedName>
    <definedName name="_run1998">#REF!</definedName>
    <definedName name="_RUN1999">#REF!</definedName>
    <definedName name="_Sort" hidden="1">#REF!</definedName>
    <definedName name="A">[4]ETATS95!$FU$400:$GF$440</definedName>
    <definedName name="ACTUAL">#REF!</definedName>
    <definedName name="ACwvu.acc97E." localSheetId="5" hidden="1">'Depreciation 2015'!#REF!</definedName>
    <definedName name="ACwvu.acc97E." localSheetId="7" hidden="1">'Depreciation 2017'!#REF!</definedName>
    <definedName name="ACwvu.acc97E." localSheetId="8" hidden="1">'Depreciation 2018'!#REF!</definedName>
    <definedName name="ACwvu.acc97E." localSheetId="9" hidden="1">'Depreciation 2019'!#REF!</definedName>
    <definedName name="ACwvu.acc97E." localSheetId="10" hidden="1">'Depreciation 2020'!#REF!</definedName>
    <definedName name="ACwvu.acc97E." localSheetId="11" hidden="1">'Depreciation 2021'!#REF!</definedName>
    <definedName name="ACwvu.acc97E." localSheetId="6" hidden="1">'GI-34 doc 3 page 2 de 2'!#REF!</definedName>
    <definedName name="ACwvu.acc98B." localSheetId="5" hidden="1">'Depreciation 2015'!$I$160</definedName>
    <definedName name="ACwvu.acc98B." localSheetId="7" hidden="1">'Depreciation 2017'!$I$160</definedName>
    <definedName name="ACwvu.acc98B." localSheetId="8" hidden="1">'Depreciation 2018'!$I$160</definedName>
    <definedName name="ACwvu.acc98B." localSheetId="9" hidden="1">'Depreciation 2019'!$I$160</definedName>
    <definedName name="ACwvu.acc98B." localSheetId="10" hidden="1">'Depreciation 2020'!$I$160</definedName>
    <definedName name="ACwvu.acc98B." localSheetId="11" hidden="1">'Depreciation 2021'!$I$160</definedName>
    <definedName name="ACwvu.acc98B." localSheetId="6" hidden="1">'GI-34 doc 3 page 2 de 2'!$I$156</definedName>
    <definedName name="ACwvu.acc99b." localSheetId="5" hidden="1">'Depreciation 2015'!$I$160</definedName>
    <definedName name="ACwvu.acc99b." localSheetId="7" hidden="1">'Depreciation 2017'!$I$160</definedName>
    <definedName name="ACwvu.acc99b." localSheetId="8" hidden="1">'Depreciation 2018'!$I$160</definedName>
    <definedName name="ACwvu.acc99b." localSheetId="9" hidden="1">'Depreciation 2019'!$I$160</definedName>
    <definedName name="ACwvu.acc99b." localSheetId="10" hidden="1">'Depreciation 2020'!$I$160</definedName>
    <definedName name="ACwvu.acc99b." localSheetId="11" hidden="1">'Depreciation 2021'!$I$160</definedName>
    <definedName name="ACwvu.acc99b." localSheetId="6" hidden="1">'GI-34 doc 3 page 2 de 2'!$I$156</definedName>
    <definedName name="ACwvu.addcap96e." localSheetId="5" hidden="1">'Depreciation 2015'!#REF!</definedName>
    <definedName name="ACwvu.addcap96e." localSheetId="7" hidden="1">'Depreciation 2017'!#REF!</definedName>
    <definedName name="ACwvu.addcap96e." localSheetId="8" hidden="1">'Depreciation 2018'!#REF!</definedName>
    <definedName name="ACwvu.addcap96e." localSheetId="9" hidden="1">'Depreciation 2019'!#REF!</definedName>
    <definedName name="ACwvu.addcap96e." localSheetId="10" hidden="1">'Depreciation 2020'!#REF!</definedName>
    <definedName name="ACwvu.addcap96e." localSheetId="11" hidden="1">'Depreciation 2021'!#REF!</definedName>
    <definedName name="ACwvu.addcap96e." localSheetId="6" hidden="1">'GI-34 doc 3 page 2 de 2'!#REF!</definedName>
    <definedName name="ACwvu.capadd97." localSheetId="5" hidden="1">'Depreciation 2015'!$B$1:$R$70</definedName>
    <definedName name="ACwvu.capadd97." localSheetId="7" hidden="1">'Depreciation 2017'!$B$1:$R$70</definedName>
    <definedName name="ACwvu.capadd97." localSheetId="8" hidden="1">'Depreciation 2018'!$B$1:$R$70</definedName>
    <definedName name="ACwvu.capadd97." localSheetId="9" hidden="1">'Depreciation 2019'!$B$1:$R$70</definedName>
    <definedName name="ACwvu.capadd97." localSheetId="10" hidden="1">'Depreciation 2020'!$B$1:$R$70</definedName>
    <definedName name="ACwvu.capadd97." localSheetId="11" hidden="1">'Depreciation 2021'!$B$1:$R$70</definedName>
    <definedName name="ACwvu.capadd97." localSheetId="6" hidden="1">'GI-34 doc 3 page 2 de 2'!$B$1:$R$68</definedName>
    <definedName name="amelior" localSheetId="5" hidden="1">{"Year 2 Page 1",#N/A,FALSE,"Bu9457AVE";"Year 2 Balance",#N/A,FALSE,"Bu9457AVE"}</definedName>
    <definedName name="amelior" localSheetId="7" hidden="1">{"Year 2 Page 1",#N/A,FALSE,"Bu9457AVE";"Year 2 Balance",#N/A,FALSE,"Bu9457AVE"}</definedName>
    <definedName name="amelior" localSheetId="8" hidden="1">{"Year 2 Page 1",#N/A,FALSE,"Bu9457AVE";"Year 2 Balance",#N/A,FALSE,"Bu9457AVE"}</definedName>
    <definedName name="amelior" localSheetId="9" hidden="1">{"Year 2 Page 1",#N/A,FALSE,"Bu9457AVE";"Year 2 Balance",#N/A,FALSE,"Bu9457AVE"}</definedName>
    <definedName name="amelior" localSheetId="10" hidden="1">{"Year 2 Page 1",#N/A,FALSE,"Bu9457AVE";"Year 2 Balance",#N/A,FALSE,"Bu9457AVE"}</definedName>
    <definedName name="amelior" localSheetId="11" hidden="1">{"Year 2 Page 1",#N/A,FALSE,"Bu9457AVE";"Year 2 Balance",#N/A,FALSE,"Bu9457AVE"}</definedName>
    <definedName name="amelior" localSheetId="6" hidden="1">{"Year 2 Page 1",#N/A,FALSE,"Bu9457AVE";"Year 2 Balance",#N/A,FALSE,"Bu9457AVE"}</definedName>
    <definedName name="amelior" hidden="1">{"Year 2 Page 1",#N/A,FALSE,"Bu9457AVE";"Year 2 Balance",#N/A,FALSE,"Bu9457AVE"}</definedName>
    <definedName name="amort1" localSheetId="5">'Depreciation 2015'!#REF!</definedName>
    <definedName name="amort1" localSheetId="7">'Depreciation 2017'!#REF!</definedName>
    <definedName name="amort1" localSheetId="8">'Depreciation 2018'!#REF!</definedName>
    <definedName name="amort1" localSheetId="9">'Depreciation 2019'!#REF!</definedName>
    <definedName name="amort1" localSheetId="10">'Depreciation 2020'!#REF!</definedName>
    <definedName name="amort1" localSheetId="11">'Depreciation 2021'!#REF!</definedName>
    <definedName name="amort1" localSheetId="6">'GI-34 doc 3 page 2 de 2'!#REF!</definedName>
    <definedName name="amort1">#REF!</definedName>
    <definedName name="AMORT2" localSheetId="5">'Depreciation 2015'!$B$1:$R$90</definedName>
    <definedName name="AMORT2" localSheetId="7">'Depreciation 2017'!$B$1:$R$90</definedName>
    <definedName name="AMORT2" localSheetId="8">'Depreciation 2018'!$B$1:$R$90</definedName>
    <definedName name="AMORT2" localSheetId="9">'Depreciation 2019'!$B$1:$R$90</definedName>
    <definedName name="AMORT2" localSheetId="10">'Depreciation 2020'!$B$1:$R$90</definedName>
    <definedName name="AMORT2" localSheetId="11">'Depreciation 2021'!$B$1:$R$90</definedName>
    <definedName name="AMORT2" localSheetId="6">'GI-34 doc 3 page 2 de 2'!$B$1:$R$86</definedName>
    <definedName name="AMORT2">#REF!</definedName>
    <definedName name="ANAL1">#REF!</definedName>
    <definedName name="ANALYSIS">#REF!</definedName>
    <definedName name="AOU">#REF!</definedName>
    <definedName name="apr">#REF!</definedName>
    <definedName name="BACKUP">#REF!</definedName>
    <definedName name="bankingavenor">#REF!</definedName>
    <definedName name="bankingdeschenes">#REF!</definedName>
    <definedName name="bankingeddy">#REF!</definedName>
    <definedName name="bankingeddy120">#REF!</definedName>
    <definedName name="bankingmaclaren">#REF!</definedName>
    <definedName name="BCOL">#REF!</definedName>
    <definedName name="blabla" hidden="1">{#N/A,#N/A,FALSE,"ETATS95"}</definedName>
    <definedName name="blabla2" hidden="1">{"Detailed Income",#N/A,FALSE,"ETATS95"}</definedName>
    <definedName name="BLOCKVOL">#REF!</definedName>
    <definedName name="bu95rev" localSheetId="5" hidden="1">{"Year 2 Page 1",#N/A,FALSE,"Bu9457AVE";"Year 2 Balance",#N/A,FALSE,"Bu9457AVE"}</definedName>
    <definedName name="bu95rev" localSheetId="7" hidden="1">{"Year 2 Page 1",#N/A,FALSE,"Bu9457AVE";"Year 2 Balance",#N/A,FALSE,"Bu9457AVE"}</definedName>
    <definedName name="bu95rev" localSheetId="8" hidden="1">{"Year 2 Page 1",#N/A,FALSE,"Bu9457AVE";"Year 2 Balance",#N/A,FALSE,"Bu9457AVE"}</definedName>
    <definedName name="bu95rev" localSheetId="9" hidden="1">{"Year 2 Page 1",#N/A,FALSE,"Bu9457AVE";"Year 2 Balance",#N/A,FALSE,"Bu9457AVE"}</definedName>
    <definedName name="bu95rev" localSheetId="10" hidden="1">{"Year 2 Page 1",#N/A,FALSE,"Bu9457AVE";"Year 2 Balance",#N/A,FALSE,"Bu9457AVE"}</definedName>
    <definedName name="bu95rev" localSheetId="11" hidden="1">{"Year 2 Page 1",#N/A,FALSE,"Bu9457AVE";"Year 2 Balance",#N/A,FALSE,"Bu9457AVE"}</definedName>
    <definedName name="bu95rev" localSheetId="6" hidden="1">{"Year 2 Page 1",#N/A,FALSE,"Bu9457AVE";"Year 2 Balance",#N/A,FALSE,"Bu9457AVE"}</definedName>
    <definedName name="bu95rev" hidden="1">{"Year 2 Page 1",#N/A,FALSE,"Bu9457AVE";"Year 2 Balance",#N/A,FALSE,"Bu9457AVE"}</definedName>
    <definedName name="BUDGAS">#REF!</definedName>
    <definedName name="BUDGET">#REF!</definedName>
    <definedName name="BUDNAME">#REF!</definedName>
    <definedName name="BUDVOL">#N/A</definedName>
    <definedName name="CAP_TAX_RATE">[5]WFeasoParam!$B$6</definedName>
    <definedName name="CHANGE">#REF!</definedName>
    <definedName name="CHANGERATE">#REF!</definedName>
    <definedName name="CODE">#REF!</definedName>
    <definedName name="CONSTRUCTION_1">[5]WFeasoParam!$B$9</definedName>
    <definedName name="COP">#REF!</definedName>
    <definedName name="CORNER">#REF!</definedName>
    <definedName name="COUTMOYENAVENOR">#REF!</definedName>
    <definedName name="COUTMOYENDESCHENES">#REF!</definedName>
    <definedName name="COUTMOYENEDDY">#REF!</definedName>
    <definedName name="COUTMOYENEDDY120">#REF!</definedName>
    <definedName name="coutmoyenmaclaren">#REF!</definedName>
    <definedName name="CURTAILACT">#REF!</definedName>
    <definedName name="CURTAILBUD">#REF!</definedName>
    <definedName name="CURVOL">#REF!</definedName>
    <definedName name="D">#REF!</definedName>
    <definedName name="DEC">#REF!</definedName>
    <definedName name="DEGREE" localSheetId="5">#REF!</definedName>
    <definedName name="DEGREE" localSheetId="7">#REF!</definedName>
    <definedName name="DEGREE" localSheetId="8">#REF!</definedName>
    <definedName name="DEGREE" localSheetId="9">#REF!</definedName>
    <definedName name="DEGREE" localSheetId="10">#REF!</definedName>
    <definedName name="DEGREE" localSheetId="11">#REF!</definedName>
    <definedName name="DEGREE" localSheetId="6">#REF!</definedName>
    <definedName name="DEGREE">#REF!</definedName>
    <definedName name="DEMAND">#REF!</definedName>
    <definedName name="DMDINPUT">#REF!</definedName>
    <definedName name="E" localSheetId="2">[4]ETATS95!#REF!</definedName>
    <definedName name="E" localSheetId="3">[4]ETATS95!#REF!</definedName>
    <definedName name="E" localSheetId="1">[4]ETATS95!#REF!</definedName>
    <definedName name="E" localSheetId="0">[4]ETATS95!#REF!</definedName>
    <definedName name="E" localSheetId="7">[4]ETATS95!#REF!</definedName>
    <definedName name="E" localSheetId="8">[4]ETATS95!#REF!</definedName>
    <definedName name="E" localSheetId="9">[4]ETATS95!#REF!</definedName>
    <definedName name="E" localSheetId="10">[4]ETATS95!#REF!</definedName>
    <definedName name="E" localSheetId="11">[4]ETATS95!#REF!</definedName>
    <definedName name="E" localSheetId="6">[4]ETATS95!#REF!</definedName>
    <definedName name="E">[4]ETATS95!#REF!</definedName>
    <definedName name="EB_Eddy">#REF!</definedName>
    <definedName name="ef" hidden="1">{"Assets w.s.",#N/A,FALSE,"ETATS95";"Liabilities W.S.",#N/A,FALSE,"ETATS95";"Income Statement W.",#N/A,FALSE,"ETATS95";"bALANCE Sheet",#N/A,FALSE,"ETATS95";"Retained Earnings",#N/A,FALSE,"ETATS95";"Summarised Income",#N/A,FALSE,"ETATS95";"Details",#N/A,FALSE,"ETATS95";"Detailed Income",#N/A,FALSE,"ETATS95";"Detailed Income with percentage",#N/A,FALSE,"ETATS95";"Notes",#N/A,FALSE,"ETATS95";"Cost per customer",#N/A,FALSE,"ETATS95";"Change in financial position",#N/A,FALSE,"ETATS95"}</definedName>
    <definedName name="ETAT" localSheetId="2">[1]mensuelle!#REF!</definedName>
    <definedName name="ETAT" localSheetId="3">[1]mensuelle!#REF!</definedName>
    <definedName name="ETAT" localSheetId="1">[1]mensuelle!#REF!</definedName>
    <definedName name="ETAT" localSheetId="0">[1]mensuelle!#REF!</definedName>
    <definedName name="ETAT" localSheetId="7">[1]mensuelle!#REF!</definedName>
    <definedName name="ETAT" localSheetId="8">[1]mensuelle!#REF!</definedName>
    <definedName name="ETAT" localSheetId="9">[1]mensuelle!#REF!</definedName>
    <definedName name="ETAT" localSheetId="10">[1]mensuelle!#REF!</definedName>
    <definedName name="ETAT" localSheetId="11">[1]mensuelle!#REF!</definedName>
    <definedName name="ETAT" localSheetId="6">[1]mensuelle!#REF!</definedName>
    <definedName name="ETAT">[1]mensuelle!#REF!</definedName>
    <definedName name="ETAT2">#N/A</definedName>
    <definedName name="Exhibit7">#REF!</definedName>
    <definedName name="F">#REF!</definedName>
    <definedName name="FEV">#REF!</definedName>
    <definedName name="FORGAS">#N/A</definedName>
    <definedName name="GAS">#REF!</definedName>
    <definedName name="GASCOST86">#N/A</definedName>
    <definedName name="GASCOST87">#N/A</definedName>
    <definedName name="GAZVOL">#N/A</definedName>
    <definedName name="GC_LAG">[5]WFeasoParam!$B$17</definedName>
    <definedName name="INPUTVOL">#REF!</definedName>
    <definedName name="JAN">#REF!</definedName>
    <definedName name="JUL">#REF!</definedName>
    <definedName name="JUN">#REF!</definedName>
    <definedName name="MAI">#REF!</definedName>
    <definedName name="MAR">#REF!</definedName>
    <definedName name="Month">#REF!</definedName>
    <definedName name="MUNI_TAX_RATE">[5]WFeasoParam!$B$5</definedName>
    <definedName name="NOV">#REF!</definedName>
    <definedName name="NPV_IND_CUSTOMERS">#REF!</definedName>
    <definedName name="O_M_LEAD">[5]WFeasoParam!$B$16</definedName>
    <definedName name="OCT">#REF!</definedName>
    <definedName name="OPAUTRESCHARGES">#REF!</definedName>
    <definedName name="OPERATION1">#REF!</definedName>
    <definedName name="OPERATION2">#REF!</definedName>
    <definedName name="OPSALAIRES">#REF!</definedName>
    <definedName name="OVEREARD" localSheetId="2">[6]CLOBOOK.XLS!#REF!</definedName>
    <definedName name="OVEREARD" localSheetId="3">[6]CLOBOOK.XLS!#REF!</definedName>
    <definedName name="OVEREARD" localSheetId="1">[6]CLOBOOK.XLS!#REF!</definedName>
    <definedName name="OVEREARD" localSheetId="0">[6]CLOBOOK.XLS!#REF!</definedName>
    <definedName name="OVEREARD" localSheetId="7">[6]CLOBOOK.XLS!#REF!</definedName>
    <definedName name="OVEREARD" localSheetId="8">[6]CLOBOOK.XLS!#REF!</definedName>
    <definedName name="OVEREARD" localSheetId="9">[6]CLOBOOK.XLS!#REF!</definedName>
    <definedName name="OVEREARD" localSheetId="10">[6]CLOBOOK.XLS!#REF!</definedName>
    <definedName name="OVEREARD" localSheetId="11">[6]CLOBOOK.XLS!#REF!</definedName>
    <definedName name="OVEREARD" localSheetId="6">[6]CLOBOOK.XLS!#REF!</definedName>
    <definedName name="OVEREARD">[6]CLOBOOK.XLS!#REF!</definedName>
    <definedName name="OVEREARN" localSheetId="2">[6]CLOBOOK.XLS!#REF!</definedName>
    <definedName name="OVEREARN" localSheetId="3">[6]CLOBOOK.XLS!#REF!</definedName>
    <definedName name="OVEREARN" localSheetId="1">[6]CLOBOOK.XLS!#REF!</definedName>
    <definedName name="OVEREARN" localSheetId="0">[6]CLOBOOK.XLS!#REF!</definedName>
    <definedName name="OVEREARN" localSheetId="7">[6]CLOBOOK.XLS!#REF!</definedName>
    <definedName name="OVEREARN" localSheetId="8">[6]CLOBOOK.XLS!#REF!</definedName>
    <definedName name="OVEREARN" localSheetId="9">[6]CLOBOOK.XLS!#REF!</definedName>
    <definedName name="OVEREARN" localSheetId="10">[6]CLOBOOK.XLS!#REF!</definedName>
    <definedName name="OVEREARN" localSheetId="11">[6]CLOBOOK.XLS!#REF!</definedName>
    <definedName name="OVEREARN" localSheetId="6">[6]CLOBOOK.XLS!#REF!</definedName>
    <definedName name="OVEREARN">[6]CLOBOOK.XLS!#REF!</definedName>
    <definedName name="PAGE1">#N/A</definedName>
    <definedName name="PAGE2">#N/A</definedName>
    <definedName name="PAGE3">#N/A</definedName>
    <definedName name="PAGE4">#N/A</definedName>
    <definedName name="PAGE5">#N/A</definedName>
    <definedName name="POINTER">#REF!</definedName>
    <definedName name="Print_Area" localSheetId="2">'Coût de service-sensi +10%'!$A$1:$AG$137</definedName>
    <definedName name="Print_Area" localSheetId="3">'Coût de service-sensi -10%'!$A$1:$AG$137</definedName>
    <definedName name="Print_Area" localSheetId="1">'Coût de serv-sensi +10%-pr pres'!$A$1:$T$86</definedName>
    <definedName name="Print_Area" localSheetId="0">'Coût de serv-sensi -10%-pr pres'!$A$1:$T$86</definedName>
    <definedName name="Print_Area" localSheetId="5">'Depreciation 2015'!$A$3:$V$103</definedName>
    <definedName name="Print_Area" localSheetId="7">'Depreciation 2017'!$A$3:$V$103</definedName>
    <definedName name="Print_Area" localSheetId="8">'Depreciation 2018'!$A$3:$V$103</definedName>
    <definedName name="Print_Area" localSheetId="9">'Depreciation 2019'!$A$3:$V$103</definedName>
    <definedName name="Print_Area" localSheetId="10">'Depreciation 2020'!$A$3:$V$103</definedName>
    <definedName name="Print_Area" localSheetId="11">'Depreciation 2021'!$A$3:$V$103</definedName>
    <definedName name="Print_Area" localSheetId="4">'GI-34 doc 3 page 1 de 2'!$A$1:$T$83</definedName>
    <definedName name="Print_Area" localSheetId="6">'GI-34 doc 3 page 2 de 2'!$A$3:$S$99</definedName>
    <definedName name="Print_Area_MI" localSheetId="5">'Depreciation 2015'!#REF!</definedName>
    <definedName name="Print_Area_MI" localSheetId="7">'Depreciation 2017'!#REF!</definedName>
    <definedName name="Print_Area_MI" localSheetId="8">'Depreciation 2018'!#REF!</definedName>
    <definedName name="Print_Area_MI" localSheetId="9">'Depreciation 2019'!#REF!</definedName>
    <definedName name="Print_Area_MI" localSheetId="10">'Depreciation 2020'!#REF!</definedName>
    <definedName name="Print_Area_MI" localSheetId="11">'Depreciation 2021'!#REF!</definedName>
    <definedName name="Print_Area_MI" localSheetId="6">'GI-34 doc 3 page 2 de 2'!#REF!</definedName>
    <definedName name="Print_Area_MI">#REF!</definedName>
    <definedName name="PRINT_TITLES_MI" localSheetId="2">[7]Unit_Rates!#REF!</definedName>
    <definedName name="PRINT_TITLES_MI" localSheetId="3">[7]Unit_Rates!#REF!</definedName>
    <definedName name="PRINT_TITLES_MI" localSheetId="1">[7]Unit_Rates!#REF!</definedName>
    <definedName name="PRINT_TITLES_MI" localSheetId="0">[7]Unit_Rates!#REF!</definedName>
    <definedName name="PRINT_TITLES_MI" localSheetId="7">[7]Unit_Rates!#REF!</definedName>
    <definedName name="PRINT_TITLES_MI" localSheetId="8">[7]Unit_Rates!#REF!</definedName>
    <definedName name="PRINT_TITLES_MI" localSheetId="9">[7]Unit_Rates!#REF!</definedName>
    <definedName name="PRINT_TITLES_MI" localSheetId="10">[7]Unit_Rates!#REF!</definedName>
    <definedName name="PRINT_TITLES_MI" localSheetId="11">[7]Unit_Rates!#REF!</definedName>
    <definedName name="PRINT_TITLES_MI" localSheetId="6">[7]Unit_Rates!#REF!</definedName>
    <definedName name="PRINT_TITLES_MI">[7]Unit_Rates!#REF!</definedName>
    <definedName name="PRINT1">#REF!</definedName>
    <definedName name="RANGE">#REF!</definedName>
    <definedName name="RATEACTUAL">#REF!</definedName>
    <definedName name="RATEBASB" localSheetId="2">[6]CLOBOOK.XLS!#REF!</definedName>
    <definedName name="RATEBASB" localSheetId="3">[6]CLOBOOK.XLS!#REF!</definedName>
    <definedName name="RATEBASB" localSheetId="1">[6]CLOBOOK.XLS!#REF!</definedName>
    <definedName name="RATEBASB" localSheetId="0">[6]CLOBOOK.XLS!#REF!</definedName>
    <definedName name="RATEBASB" localSheetId="7">[6]CLOBOOK.XLS!#REF!</definedName>
    <definedName name="RATEBASB" localSheetId="8">[6]CLOBOOK.XLS!#REF!</definedName>
    <definedName name="RATEBASB" localSheetId="9">[6]CLOBOOK.XLS!#REF!</definedName>
    <definedName name="RATEBASB" localSheetId="10">[6]CLOBOOK.XLS!#REF!</definedName>
    <definedName name="RATEBASB" localSheetId="11">[6]CLOBOOK.XLS!#REF!</definedName>
    <definedName name="RATEBASB" localSheetId="6">[6]CLOBOOK.XLS!#REF!</definedName>
    <definedName name="RATEBASB">[6]CLOBOOK.XLS!#REF!</definedName>
    <definedName name="RATEBASE" localSheetId="2">[6]CLOBOOK.XLS!#REF!</definedName>
    <definedName name="RATEBASE" localSheetId="3">[6]CLOBOOK.XLS!#REF!</definedName>
    <definedName name="RATEBASE" localSheetId="1">[6]CLOBOOK.XLS!#REF!</definedName>
    <definedName name="RATEBASE" localSheetId="0">[6]CLOBOOK.XLS!#REF!</definedName>
    <definedName name="RATEBASE" localSheetId="7">[6]CLOBOOK.XLS!#REF!</definedName>
    <definedName name="RATEBASE" localSheetId="8">[6]CLOBOOK.XLS!#REF!</definedName>
    <definedName name="RATEBASE" localSheetId="9">[6]CLOBOOK.XLS!#REF!</definedName>
    <definedName name="RATEBASE" localSheetId="10">[6]CLOBOOK.XLS!#REF!</definedName>
    <definedName name="RATEBASE" localSheetId="11">[6]CLOBOOK.XLS!#REF!</definedName>
    <definedName name="RATEBASE" localSheetId="6">[6]CLOBOOK.XLS!#REF!</definedName>
    <definedName name="RATEBASE">[6]CLOBOOK.XLS!#REF!</definedName>
    <definedName name="RATEBUDGET">#REF!</definedName>
    <definedName name="RATES">#REF!</definedName>
    <definedName name="RATETYPE">#REF!</definedName>
    <definedName name="REGINC" localSheetId="2">[6]CLOBOOK.XLS!#REF!</definedName>
    <definedName name="REGINC" localSheetId="3">[6]CLOBOOK.XLS!#REF!</definedName>
    <definedName name="REGINC" localSheetId="1">[6]CLOBOOK.XLS!#REF!</definedName>
    <definedName name="REGINC" localSheetId="0">[6]CLOBOOK.XLS!#REF!</definedName>
    <definedName name="REGINC" localSheetId="7">[6]CLOBOOK.XLS!#REF!</definedName>
    <definedName name="REGINC" localSheetId="8">[6]CLOBOOK.XLS!#REF!</definedName>
    <definedName name="REGINC" localSheetId="9">[6]CLOBOOK.XLS!#REF!</definedName>
    <definedName name="REGINC" localSheetId="10">[6]CLOBOOK.XLS!#REF!</definedName>
    <definedName name="REGINC" localSheetId="11">[6]CLOBOOK.XLS!#REF!</definedName>
    <definedName name="REGINC" localSheetId="6">[6]CLOBOOK.XLS!#REF!</definedName>
    <definedName name="REGINC">[6]CLOBOOK.XLS!#REF!</definedName>
    <definedName name="REGINCA" localSheetId="2">[6]CLOBOOK.XLS!#REF!</definedName>
    <definedName name="REGINCA" localSheetId="3">[6]CLOBOOK.XLS!#REF!</definedName>
    <definedName name="REGINCA" localSheetId="1">[6]CLOBOOK.XLS!#REF!</definedName>
    <definedName name="REGINCA" localSheetId="0">[6]CLOBOOK.XLS!#REF!</definedName>
    <definedName name="REGINCA" localSheetId="7">[6]CLOBOOK.XLS!#REF!</definedName>
    <definedName name="REGINCA" localSheetId="8">[6]CLOBOOK.XLS!#REF!</definedName>
    <definedName name="REGINCA" localSheetId="9">[6]CLOBOOK.XLS!#REF!</definedName>
    <definedName name="REGINCA" localSheetId="10">[6]CLOBOOK.XLS!#REF!</definedName>
    <definedName name="REGINCA" localSheetId="11">[6]CLOBOOK.XLS!#REF!</definedName>
    <definedName name="REGINCA" localSheetId="6">[6]CLOBOOK.XLS!#REF!</definedName>
    <definedName name="REGINCA">[6]CLOBOOK.XLS!#REF!</definedName>
    <definedName name="REPORT">#REF!</definedName>
    <definedName name="RETAIN">#REF!</definedName>
    <definedName name="RETEARN" localSheetId="2">[6]CLOBOOK.XLS!#REF!</definedName>
    <definedName name="RETEARN" localSheetId="3">[6]CLOBOOK.XLS!#REF!</definedName>
    <definedName name="RETEARN" localSheetId="1">[6]CLOBOOK.XLS!#REF!</definedName>
    <definedName name="RETEARN" localSheetId="0">[6]CLOBOOK.XLS!#REF!</definedName>
    <definedName name="RETEARN" localSheetId="7">[6]CLOBOOK.XLS!#REF!</definedName>
    <definedName name="RETEARN" localSheetId="8">[6]CLOBOOK.XLS!#REF!</definedName>
    <definedName name="RETEARN" localSheetId="9">[6]CLOBOOK.XLS!#REF!</definedName>
    <definedName name="RETEARN" localSheetId="10">[6]CLOBOOK.XLS!#REF!</definedName>
    <definedName name="RETEARN" localSheetId="11">[6]CLOBOOK.XLS!#REF!</definedName>
    <definedName name="RETEARN" localSheetId="6">[6]CLOBOOK.XLS!#REF!</definedName>
    <definedName name="RETEARN">[6]CLOBOOK.XLS!#REF!</definedName>
    <definedName name="rev97E">#REF!</definedName>
    <definedName name="REVENUE">#N/A</definedName>
    <definedName name="SALES" localSheetId="2">[6]CLOBOOK.XLS!#REF!</definedName>
    <definedName name="SALES" localSheetId="3">[6]CLOBOOK.XLS!#REF!</definedName>
    <definedName name="SALES" localSheetId="1">[6]CLOBOOK.XLS!#REF!</definedName>
    <definedName name="SALES" localSheetId="0">[6]CLOBOOK.XLS!#REF!</definedName>
    <definedName name="SALES" localSheetId="7">[6]CLOBOOK.XLS!#REF!</definedName>
    <definedName name="SALES" localSheetId="8">[6]CLOBOOK.XLS!#REF!</definedName>
    <definedName name="SALES" localSheetId="9">[6]CLOBOOK.XLS!#REF!</definedName>
    <definedName name="SALES" localSheetId="10">[6]CLOBOOK.XLS!#REF!</definedName>
    <definedName name="SALES" localSheetId="11">[6]CLOBOOK.XLS!#REF!</definedName>
    <definedName name="SALES" localSheetId="6">[6]CLOBOOK.XLS!#REF!</definedName>
    <definedName name="SALES">[6]CLOBOOK.XLS!#REF!</definedName>
    <definedName name="SEP">#REF!</definedName>
    <definedName name="SLOT">#REF!</definedName>
    <definedName name="SLOT1">#REF!</definedName>
    <definedName name="SLOT2">#REF!</definedName>
    <definedName name="SLOT3">#REF!</definedName>
    <definedName name="START">#REF!</definedName>
    <definedName name="STATS">#REF!</definedName>
    <definedName name="SUMMAR">#REF!</definedName>
    <definedName name="SUMMARY">#REF!</definedName>
    <definedName name="Swvu.acc97E." localSheetId="5" hidden="1">'Depreciation 2015'!#REF!</definedName>
    <definedName name="Swvu.acc97E." localSheetId="7" hidden="1">'Depreciation 2017'!#REF!</definedName>
    <definedName name="Swvu.acc97E." localSheetId="8" hidden="1">'Depreciation 2018'!#REF!</definedName>
    <definedName name="Swvu.acc97E." localSheetId="9" hidden="1">'Depreciation 2019'!#REF!</definedName>
    <definedName name="Swvu.acc97E." localSheetId="10" hidden="1">'Depreciation 2020'!#REF!</definedName>
    <definedName name="Swvu.acc97E." localSheetId="11" hidden="1">'Depreciation 2021'!#REF!</definedName>
    <definedName name="Swvu.acc97E." localSheetId="6" hidden="1">'GI-34 doc 3 page 2 de 2'!#REF!</definedName>
    <definedName name="Swvu.acc98B." localSheetId="5" hidden="1">'Depreciation 2015'!$I$160</definedName>
    <definedName name="Swvu.acc98B." localSheetId="7" hidden="1">'Depreciation 2017'!$I$160</definedName>
    <definedName name="Swvu.acc98B." localSheetId="8" hidden="1">'Depreciation 2018'!$I$160</definedName>
    <definedName name="Swvu.acc98B." localSheetId="9" hidden="1">'Depreciation 2019'!$I$160</definedName>
    <definedName name="Swvu.acc98B." localSheetId="10" hidden="1">'Depreciation 2020'!$I$160</definedName>
    <definedName name="Swvu.acc98B." localSheetId="11" hidden="1">'Depreciation 2021'!$I$160</definedName>
    <definedName name="Swvu.acc98B." localSheetId="6" hidden="1">'GI-34 doc 3 page 2 de 2'!$I$156</definedName>
    <definedName name="Swvu.acc99b." localSheetId="5" hidden="1">'Depreciation 2015'!$I$160</definedName>
    <definedName name="Swvu.acc99b." localSheetId="7" hidden="1">'Depreciation 2017'!$I$160</definedName>
    <definedName name="Swvu.acc99b." localSheetId="8" hidden="1">'Depreciation 2018'!$I$160</definedName>
    <definedName name="Swvu.acc99b." localSheetId="9" hidden="1">'Depreciation 2019'!$I$160</definedName>
    <definedName name="Swvu.acc99b." localSheetId="10" hidden="1">'Depreciation 2020'!$I$160</definedName>
    <definedName name="Swvu.acc99b." localSheetId="11" hidden="1">'Depreciation 2021'!$I$160</definedName>
    <definedName name="Swvu.acc99b." localSheetId="6" hidden="1">'GI-34 doc 3 page 2 de 2'!$I$156</definedName>
    <definedName name="Swvu.addcap96e." localSheetId="5" hidden="1">'Depreciation 2015'!#REF!</definedName>
    <definedName name="Swvu.addcap96e." localSheetId="7" hidden="1">'Depreciation 2017'!#REF!</definedName>
    <definedName name="Swvu.addcap96e." localSheetId="8" hidden="1">'Depreciation 2018'!#REF!</definedName>
    <definedName name="Swvu.addcap96e." localSheetId="9" hidden="1">'Depreciation 2019'!#REF!</definedName>
    <definedName name="Swvu.addcap96e." localSheetId="10" hidden="1">'Depreciation 2020'!#REF!</definedName>
    <definedName name="Swvu.addcap96e." localSheetId="11" hidden="1">'Depreciation 2021'!#REF!</definedName>
    <definedName name="Swvu.addcap96e." localSheetId="6" hidden="1">'GI-34 doc 3 page 2 de 2'!#REF!</definedName>
    <definedName name="Swvu.capadd97." localSheetId="5" hidden="1">'Depreciation 2015'!$B$1:$R$70</definedName>
    <definedName name="Swvu.capadd97." localSheetId="7" hidden="1">'Depreciation 2017'!$B$1:$R$70</definedName>
    <definedName name="Swvu.capadd97." localSheetId="8" hidden="1">'Depreciation 2018'!$B$1:$R$70</definedName>
    <definedName name="Swvu.capadd97." localSheetId="9" hidden="1">'Depreciation 2019'!$B$1:$R$70</definedName>
    <definedName name="Swvu.capadd97." localSheetId="10" hidden="1">'Depreciation 2020'!$B$1:$R$70</definedName>
    <definedName name="Swvu.capadd97." localSheetId="11" hidden="1">'Depreciation 2021'!$B$1:$R$70</definedName>
    <definedName name="Swvu.capadd97." localSheetId="6" hidden="1">'GI-34 doc 3 page 2 de 2'!$B$1:$R$68</definedName>
    <definedName name="TACTUAL">#REF!</definedName>
    <definedName name="TAX_RATE">[5]WFeasoParam!$B$4</definedName>
    <definedName name="TBUDGET">#REF!</definedName>
    <definedName name="THEKEY">#REF!</definedName>
    <definedName name="TOGGLE">#REF!</definedName>
    <definedName name="ttt" localSheetId="5" hidden="1">{"acc95e",#N/A,FALSE,"DEP95EST";"ACC96",#N/A,FALSE,"DEP95EST"}</definedName>
    <definedName name="ttt" localSheetId="7" hidden="1">{"acc95e",#N/A,FALSE,"DEP95EST";"ACC96",#N/A,FALSE,"DEP95EST"}</definedName>
    <definedName name="ttt" localSheetId="8" hidden="1">{"acc95e",#N/A,FALSE,"DEP95EST";"ACC96",#N/A,FALSE,"DEP95EST"}</definedName>
    <definedName name="ttt" localSheetId="9" hidden="1">{"acc95e",#N/A,FALSE,"DEP95EST";"ACC96",#N/A,FALSE,"DEP95EST"}</definedName>
    <definedName name="ttt" localSheetId="10" hidden="1">{"acc95e",#N/A,FALSE,"DEP95EST";"ACC96",#N/A,FALSE,"DEP95EST"}</definedName>
    <definedName name="ttt" localSheetId="11" hidden="1">{"acc95e",#N/A,FALSE,"DEP95EST";"ACC96",#N/A,FALSE,"DEP95EST"}</definedName>
    <definedName name="ttt" localSheetId="6" hidden="1">{"acc95e",#N/A,FALSE,"DEP95EST";"ACC96",#N/A,FALSE,"DEP95EST"}</definedName>
    <definedName name="ttt" hidden="1">{"acc95e",#N/A,FALSE,"DEP95EST";"ACC96",#N/A,FALSE,"DEP95EST"}</definedName>
    <definedName name="unbilferm">#REF!</definedName>
    <definedName name="UNBILLED">#REF!</definedName>
    <definedName name="UPDATE">#REF!</definedName>
    <definedName name="UpdateDoc">#REF!</definedName>
    <definedName name="VOLUME">#REF!</definedName>
    <definedName name="VOLUMES">#REF!</definedName>
    <definedName name="WACC">[5]WFeasoParam!$B$1</definedName>
    <definedName name="wrn.ACC." hidden="1">{"acc95e",#N/A,FALSE,"DEP95EST";"ACC96",#N/A,FALSE,"DEP95EST"}</definedName>
    <definedName name="wrn.ALL._.SCHEDULES." hidden="1">{"RATE 1",#N/A,FALSE,"RATE 1";"RATE 6",#N/A,FALSE,"RATE 6";"RATE 9",#N/A,FALSE,"RATE 9";"RATE 100 PAGE 1",#N/A,FALSE,"RATE 100";"RATE 100 PAGE 2",#N/A,FALSE,"RATE 100";"RATE 110 PAGE 1",#N/A,FALSE,"RATE 110";"RATE 110 PAGE 2",#N/A,FALSE,"RATE 110";"RATE 115 PAGE 1",#N/A,FALSE,"RATE 115";"RATE 115 PAGE 2",#N/A,FALSE,"RATE 115";"RATE 125 PAGE 1",#N/A,FALSE,"RATE 125";"RATE 125 PAGE 2",#N/A,FALSE,"RATE 125";"RATE 135 PAGE 1",#N/A,FALSE,"RATE 135";"RATE 135 PAGE 2",#N/A,FALSE,"RATE 135";"RATE 145 PAGE 1",#N/A,FALSE,"RATE 145";"RATE 145 PAGE 2",#N/A,FALSE,"RATE 145";"RATE 170 PAGE 1",#N/A,FALSE,"RATE 170";"RATE 170 PAGE 2",#N/A,FALSE,"RATE 170";"RATE 200 PAGE 1",#N/A,FALSE,"RATE 200";"RATE 200 PAGE 2",#N/A,FALSE,"RATE 200";"RATE 300 PAGE 1",#N/A,FALSE,"RATE 300";"RATE 300 PAGE 2",#N/A,FALSE,"RATE 300";"RATE 300 PAGE 3",#N/A,FALSE,"RATE 300";"RATE 305 PAGE 1",#N/A,FALSE,"RATE 305";"RATE 305 PAGE 2",#N/A,FALSE,"RATE 305";"RATE 305 PAGE 3",#N/A,FALSE,"RATE 305";"RATE 310 PAGE 1",#N/A,FALSE,"RATE 310";"RATE 310 PAGE 2",#N/A,FALSE,"RATE 310";"RATE 315 PAGE 1",#N/A,FALSE,"RATE 315";"RATE 315 PAGE 2",#N/A,FALSE,"RATE 315";"RATE 320 PAGE 1",#N/A,FALSE,"RATE 320";"RATE 325 PAGE 1",#N/A,FALSE,"RATE 325";"RATE 325 PAGE 2",#N/A,FALSE,"RATE 325";"RATE 325 PAGE 3",#N/A,FALSE,"RATE 325";"RATE 330 PAGE 1",#N/A,FALSE,"RATE 330";"RATE 330 PAGE 2",#N/A,FALSE,"RATE 330";"RATE 331 PAGE 1",#N/A,FALSE,"RATE 331";"APPENDIX  A",#N/A,FALSE,"APPENDIX  A";"RIDER A PAGE 1",#N/A,FALSE,"RIDER A";"RIDER A PAGE 2",#N/A,FALSE,"RIDER A";"RIDER B PAGE 1",#N/A,FALSE,"RIDER B";"RIDER C PAGE 1",#N/A,FALSE,"RIDER C";"RIDER D PAGE 1",#N/A,FALSE,"RIDER D";"RIDER F PAGE 1",#N/A,FALSE,"RIDER F"}</definedName>
    <definedName name="wrn.ASSETS._.WORKSHEET." hidden="1">{#N/A,#N/A,FALSE,"ETATS95"}</definedName>
    <definedName name="wrn.balance." hidden="1">{"balance",#N/A,FALSE,"worksheets"}</definedName>
    <definedName name="wrn.CAPITAL." hidden="1">{"addcap95e",#N/A,FALSE,"DEP95EST";"addcap96",#N/A,FALSE,"DEP95EST"}</definedName>
    <definedName name="wrn.cash." hidden="1">{"cash",#N/A,FALSE,"CASH96"}</definedName>
    <definedName name="wrn.deftaxes." hidden="1">{"deftaxes",#N/A,FALSE,"worksheets"}</definedName>
    <definedName name="wrn.DETAILED._.INCOME." hidden="1">{"Detailed Income",#N/A,FALSE,"ETATS95"}</definedName>
    <definedName name="wrn.etat." hidden="1">{"etat",#N/A,FALSE,"CASH96"}</definedName>
    <definedName name="wrn.Etats._.financiers." hidden="1">{"Assets w.s.",#N/A,FALSE,"ETATS95";"Liabilities W.S.",#N/A,FALSE,"ETATS95";"Income Statement W.",#N/A,FALSE,"ETATS95";"bALANCE Sheet",#N/A,FALSE,"ETATS95";"Retained Earnings",#N/A,FALSE,"ETATS95";"Summarised Income",#N/A,FALSE,"ETATS95";"Details",#N/A,FALSE,"ETATS95";"Detailed Income",#N/A,FALSE,"ETATS95";"Detailed Income with percentage",#N/A,FALSE,"ETATS95";"Notes",#N/A,FALSE,"ETATS95";"Cost per customer",#N/A,FALSE,"ETATS95";"Change in financial position",#N/A,FALSE,"ETATS95"}</definedName>
    <definedName name="wrn.Exhibit_A." hidden="1">{"Page1",#N/A,FALSE,"Class_Def"}</definedName>
    <definedName name="wrn.Exhibit_All." hidden="1">{"Exhibit_Unit_Rate",#N/A,FALSE,"Unit_Rates";"Page1",#N/A,FALSE,"Class_Def";"Exhibit_Redesign",#N/A,FALSE,"Redesign (2)"}</definedName>
    <definedName name="wrn.expenses." hidden="1">{"expenses",#N/A,FALSE,"worksheets"}</definedName>
    <definedName name="wrn.Full." hidden="1">{"Page1",#N/A,TRUE,"Class_Def";"Detail",#N/A,TRUE,"Class_Def"}</definedName>
    <definedName name="wrn.GAZ." localSheetId="5" hidden="1">{"gascost",#N/A,FALSE,"GC96BUDHIST";"page 1",#N/A,FALSE,"GC96BUDHIST"}</definedName>
    <definedName name="wrn.GAZ." localSheetId="7" hidden="1">{"gascost",#N/A,FALSE,"GC96BUDHIST";"page 1",#N/A,FALSE,"GC96BUDHIST"}</definedName>
    <definedName name="wrn.GAZ." localSheetId="8" hidden="1">{"gascost",#N/A,FALSE,"GC96BUDHIST";"page 1",#N/A,FALSE,"GC96BUDHIST"}</definedName>
    <definedName name="wrn.GAZ." localSheetId="9" hidden="1">{"gascost",#N/A,FALSE,"GC96BUDHIST";"page 1",#N/A,FALSE,"GC96BUDHIST"}</definedName>
    <definedName name="wrn.GAZ." localSheetId="10" hidden="1">{"gascost",#N/A,FALSE,"GC96BUDHIST";"page 1",#N/A,FALSE,"GC96BUDHIST"}</definedName>
    <definedName name="wrn.GAZ." localSheetId="11" hidden="1">{"gascost",#N/A,FALSE,"GC96BUDHIST";"page 1",#N/A,FALSE,"GC96BUDHIST"}</definedName>
    <definedName name="wrn.GAZ." localSheetId="6" hidden="1">{"gascost",#N/A,FALSE,"GC96BUDHIST";"page 1",#N/A,FALSE,"GC96BUDHIST"}</definedName>
    <definedName name="wrn.GAZ." hidden="1">{"gascost",#N/A,FALSE,"GC96BUDHIST";"page 1",#N/A,FALSE,"GC96BUDHIST"}</definedName>
    <definedName name="wrn.intercomp." hidden="1">{"intercomp",#N/A,FALSE,"worksheets"}</definedName>
    <definedName name="wrn.payables." hidden="1">{"payables",#N/A,FALSE,"worksheets"}</definedName>
    <definedName name="wrn.PCC." hidden="1">{"INPUTS",#N/A,TRUE,"PCC";"RESULTS1",#N/A,TRUE,"PCC";"RESULTS2",#N/A,TRUE,"PCC"}</definedName>
    <definedName name="wrn.plant." hidden="1">{"plant",#N/A,FALSE,"worksheets"}</definedName>
    <definedName name="wrn.ratestab." hidden="1">{"ratestab",#N/A,FALSE,"worksheets"}</definedName>
    <definedName name="wrn.receivables." hidden="1">{"receivables",#N/A,FALSE,"worksheets"}</definedName>
    <definedName name="wrn.Report." hidden="1">{"output",#N/A,FALSE}</definedName>
    <definedName name="wrn.river95." hidden="1">{"SHEET1",#N/A,FALSE,"river95"}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TAB._.1._.EXH." hidden="1">{"Schedule 1 P 1",#N/A,FALSE,"Tab 1 Exh";"Schedule 2 P 1",#N/A,FALSE,"Tab 1 Exh 2"}</definedName>
    <definedName name="wrn.TAB._.2._.EXH." hidden="1">{"Schedule 1 P 1",#N/A,FALSE,"Tab 2 Exh";"Schedule 1 P 2",#N/A,FALSE,"Tab 2 Exh"}</definedName>
    <definedName name="wrn.TAB._.3._.GS._.RATES." hidden="1">{"Schedule 1 P 1",#N/A,FALSE,"Tab 3 Exh"}</definedName>
    <definedName name="wrn.TAB._.3._.LV._.RATES." hidden="1">{"Schedule 1 P 2",#N/A,FALSE,"Tab 3 Exh";"Schedule 1 P 3",#N/A,FALSE,"Tab 3 Exh";"Schedule 1 P 4",#N/A,FALSE,"Tab 3 Exh";"Schedule 1 P 5",#N/A,FALSE,"Tab 3 Exh";"Schedule 1 P 6",#N/A,FALSE,"Tab 3 Exh"}</definedName>
    <definedName name="wrn.TAB._.6._.GS._.EXH." hidden="1">{"Rate 1",#N/A,FALSE,"Tab 6 Exh";"Rate 6",#N/A,FALSE,"Tab 6 Exh";"Rate 9",#N/A,FALSE,"Tab 6 Exh"}</definedName>
    <definedName name="wrn.TAB._.6._.LV._.EXH." hidden="1">{"Rate 100",#N/A,FALSE,"Tab 6 Exh";"Rate 110",#N/A,FALSE,"Tab 6 Exh";"Rate 115",#N/A,FALSE,"Tab 6 Exh";"Rate 135",#N/A,FALSE,"Tab 6 Exh";"Rate 145",#N/A,FALSE,"Tab 6 Exh";"Rate 170",#N/A,FALSE,"Tab 6 Exh";"Rate 180",#N/A,FALSE,"Tab 6 Exh";"Rate 200",#N/A,FALSE,"Tab 6 Exh";"Rate 300",#N/A,FALSE,"Tab 6 Exh"}</definedName>
    <definedName name="wrn.taxpayable." hidden="1">{"taxpayable",#N/A,FALSE,"worksheets"}</definedName>
    <definedName name="wrn.unitrate." hidden="1">{"Unitrate",#N/A,TRUE,"Class_Def"}</definedName>
    <definedName name="wvu.acc97E." localSheetId="5" hidden="1">{TRUE,TRUE,1,1,479.25,261,FALSE,TRUE,TRUE,TRUE,0,1,#N/A,477,#N/A,6.92857142857143,16.7647058823529,1,FALSE,FALSE,1,TRUE,1,FALSE,100,"Swvu.acc97E.","ACwvu.acc97E.",1,FALSE,FALSE,0,0.21,0.5,0.52,2,"","&amp;L&amp;""MS Sans Serif,Regular""Bud98\&amp;F\&amp;A&amp;R&amp;""MS Sans Serif,Regular""&amp;D",FALSE,FALSE,FALSE,FALSE,1,70,#N/A,#N/A,"=R483C1:R621C17",FALSE,#N/A,#N/A,FALSE,FALSE,FALSE,1,65532,65532,FALSE,FALSE,TRUE,TRUE,TRUE}</definedName>
    <definedName name="wvu.acc97E." localSheetId="7" hidden="1">{TRUE,TRUE,1,1,479.25,261,FALSE,TRUE,TRUE,TRUE,0,1,#N/A,477,#N/A,6.92857142857143,16.7647058823529,1,FALSE,FALSE,1,TRUE,1,FALSE,100,"Swvu.acc97E.","ACwvu.acc97E.",1,FALSE,FALSE,0,0.21,0.5,0.52,2,"","&amp;L&amp;""MS Sans Serif,Regular""Bud98\&amp;F\&amp;A&amp;R&amp;""MS Sans Serif,Regular""&amp;D",FALSE,FALSE,FALSE,FALSE,1,70,#N/A,#N/A,"=R483C1:R621C17",FALSE,#N/A,#N/A,FALSE,FALSE,FALSE,1,65532,65532,FALSE,FALSE,TRUE,TRUE,TRUE}</definedName>
    <definedName name="wvu.acc97E." localSheetId="8" hidden="1">{TRUE,TRUE,1,1,479.25,261,FALSE,TRUE,TRUE,TRUE,0,1,#N/A,477,#N/A,6.92857142857143,16.7647058823529,1,FALSE,FALSE,1,TRUE,1,FALSE,100,"Swvu.acc97E.","ACwvu.acc97E.",1,FALSE,FALSE,0,0.21,0.5,0.52,2,"","&amp;L&amp;""MS Sans Serif,Regular""Bud98\&amp;F\&amp;A&amp;R&amp;""MS Sans Serif,Regular""&amp;D",FALSE,FALSE,FALSE,FALSE,1,70,#N/A,#N/A,"=R483C1:R621C17",FALSE,#N/A,#N/A,FALSE,FALSE,FALSE,1,65532,65532,FALSE,FALSE,TRUE,TRUE,TRUE}</definedName>
    <definedName name="wvu.acc97E." localSheetId="9" hidden="1">{TRUE,TRUE,1,1,479.25,261,FALSE,TRUE,TRUE,TRUE,0,1,#N/A,477,#N/A,6.92857142857143,16.7647058823529,1,FALSE,FALSE,1,TRUE,1,FALSE,100,"Swvu.acc97E.","ACwvu.acc97E.",1,FALSE,FALSE,0,0.21,0.5,0.52,2,"","&amp;L&amp;""MS Sans Serif,Regular""Bud98\&amp;F\&amp;A&amp;R&amp;""MS Sans Serif,Regular""&amp;D",FALSE,FALSE,FALSE,FALSE,1,70,#N/A,#N/A,"=R483C1:R621C17",FALSE,#N/A,#N/A,FALSE,FALSE,FALSE,1,65532,65532,FALSE,FALSE,TRUE,TRUE,TRUE}</definedName>
    <definedName name="wvu.acc97E." localSheetId="10" hidden="1">{TRUE,TRUE,1,1,479.25,261,FALSE,TRUE,TRUE,TRUE,0,1,#N/A,477,#N/A,6.92857142857143,16.7647058823529,1,FALSE,FALSE,1,TRUE,1,FALSE,100,"Swvu.acc97E.","ACwvu.acc97E.",1,FALSE,FALSE,0,0.21,0.5,0.52,2,"","&amp;L&amp;""MS Sans Serif,Regular""Bud98\&amp;F\&amp;A&amp;R&amp;""MS Sans Serif,Regular""&amp;D",FALSE,FALSE,FALSE,FALSE,1,70,#N/A,#N/A,"=R483C1:R621C17",FALSE,#N/A,#N/A,FALSE,FALSE,FALSE,1,65532,65532,FALSE,FALSE,TRUE,TRUE,TRUE}</definedName>
    <definedName name="wvu.acc97E." localSheetId="11" hidden="1">{TRUE,TRUE,1,1,479.25,261,FALSE,TRUE,TRUE,TRUE,0,1,#N/A,477,#N/A,6.92857142857143,16.7647058823529,1,FALSE,FALSE,1,TRUE,1,FALSE,100,"Swvu.acc97E.","ACwvu.acc97E.",1,FALSE,FALSE,0,0.21,0.5,0.52,2,"","&amp;L&amp;""MS Sans Serif,Regular""Bud98\&amp;F\&amp;A&amp;R&amp;""MS Sans Serif,Regular""&amp;D",FALSE,FALSE,FALSE,FALSE,1,70,#N/A,#N/A,"=R483C1:R621C17",FALSE,#N/A,#N/A,FALSE,FALSE,FALSE,1,65532,65532,FALSE,FALSE,TRUE,TRUE,TRUE}</definedName>
    <definedName name="wvu.acc97E." localSheetId="6" hidden="1">{TRUE,TRUE,1,1,479.25,261,FALSE,TRUE,TRUE,TRUE,0,1,#N/A,477,#N/A,6.92857142857143,16.7647058823529,1,FALSE,FALSE,1,TRUE,1,FALSE,100,"Swvu.acc97E.","ACwvu.acc97E.",1,FALSE,FALSE,0,0.21,0.5,0.52,2,"","&amp;L&amp;""MS Sans Serif,Regular""Bud98\&amp;F\&amp;A&amp;R&amp;""MS Sans Serif,Regular""&amp;D",FALSE,FALSE,FALSE,FALSE,1,70,#N/A,#N/A,"=R483C1:R621C17",FALSE,#N/A,#N/A,FALSE,FALSE,FALSE,1,65532,65532,FALSE,FALSE,TRUE,TRUE,TRUE}</definedName>
    <definedName name="wvu.acc98B." localSheetId="5" hidden="1">{TRUE,TRUE,-1.25,-15.5,484.5,253.5,FALSE,TRUE,TRUE,TRUE,0,19,#N/A,477,#N/A,5.84415584415584,16.1764705882353,1,FALSE,FALSE,3,TRUE,1,FALSE,100,"Swvu.acc98B.","ACwvu.acc98B.",1,FALSE,FALSE,0,0.21,0.5,0.52,2,"","&amp;L&amp;""MS Sans Serif,Regular""Bud98\&amp;F\&amp;A&amp;R&amp;""MS Sans Serif,Regular""&amp;D",FALSE,FALSE,FALSE,FALSE,1,70,#N/A,#N/A,"=R483C19:R610C35",FALSE,#N/A,#N/A,FALSE,FALSE,FALSE,1,65532,65532,FALSE,FALSE,TRUE,TRUE,TRUE}</definedName>
    <definedName name="wvu.acc98B." localSheetId="7" hidden="1">{TRUE,TRUE,-1.25,-15.5,484.5,253.5,FALSE,TRUE,TRUE,TRUE,0,19,#N/A,477,#N/A,5.84415584415584,16.1764705882353,1,FALSE,FALSE,3,TRUE,1,FALSE,100,"Swvu.acc98B.","ACwvu.acc98B.",1,FALSE,FALSE,0,0.21,0.5,0.52,2,"","&amp;L&amp;""MS Sans Serif,Regular""Bud98\&amp;F\&amp;A&amp;R&amp;""MS Sans Serif,Regular""&amp;D",FALSE,FALSE,FALSE,FALSE,1,70,#N/A,#N/A,"=R483C19:R610C35",FALSE,#N/A,#N/A,FALSE,FALSE,FALSE,1,65532,65532,FALSE,FALSE,TRUE,TRUE,TRUE}</definedName>
    <definedName name="wvu.acc98B." localSheetId="8" hidden="1">{TRUE,TRUE,-1.25,-15.5,484.5,253.5,FALSE,TRUE,TRUE,TRUE,0,19,#N/A,477,#N/A,5.84415584415584,16.1764705882353,1,FALSE,FALSE,3,TRUE,1,FALSE,100,"Swvu.acc98B.","ACwvu.acc98B.",1,FALSE,FALSE,0,0.21,0.5,0.52,2,"","&amp;L&amp;""MS Sans Serif,Regular""Bud98\&amp;F\&amp;A&amp;R&amp;""MS Sans Serif,Regular""&amp;D",FALSE,FALSE,FALSE,FALSE,1,70,#N/A,#N/A,"=R483C19:R610C35",FALSE,#N/A,#N/A,FALSE,FALSE,FALSE,1,65532,65532,FALSE,FALSE,TRUE,TRUE,TRUE}</definedName>
    <definedName name="wvu.acc98B." localSheetId="9" hidden="1">{TRUE,TRUE,-1.25,-15.5,484.5,253.5,FALSE,TRUE,TRUE,TRUE,0,19,#N/A,477,#N/A,5.84415584415584,16.1764705882353,1,FALSE,FALSE,3,TRUE,1,FALSE,100,"Swvu.acc98B.","ACwvu.acc98B.",1,FALSE,FALSE,0,0.21,0.5,0.52,2,"","&amp;L&amp;""MS Sans Serif,Regular""Bud98\&amp;F\&amp;A&amp;R&amp;""MS Sans Serif,Regular""&amp;D",FALSE,FALSE,FALSE,FALSE,1,70,#N/A,#N/A,"=R483C19:R610C35",FALSE,#N/A,#N/A,FALSE,FALSE,FALSE,1,65532,65532,FALSE,FALSE,TRUE,TRUE,TRUE}</definedName>
    <definedName name="wvu.acc98B." localSheetId="10" hidden="1">{TRUE,TRUE,-1.25,-15.5,484.5,253.5,FALSE,TRUE,TRUE,TRUE,0,19,#N/A,477,#N/A,5.84415584415584,16.1764705882353,1,FALSE,FALSE,3,TRUE,1,FALSE,100,"Swvu.acc98B.","ACwvu.acc98B.",1,FALSE,FALSE,0,0.21,0.5,0.52,2,"","&amp;L&amp;""MS Sans Serif,Regular""Bud98\&amp;F\&amp;A&amp;R&amp;""MS Sans Serif,Regular""&amp;D",FALSE,FALSE,FALSE,FALSE,1,70,#N/A,#N/A,"=R483C19:R610C35",FALSE,#N/A,#N/A,FALSE,FALSE,FALSE,1,65532,65532,FALSE,FALSE,TRUE,TRUE,TRUE}</definedName>
    <definedName name="wvu.acc98B." localSheetId="11" hidden="1">{TRUE,TRUE,-1.25,-15.5,484.5,253.5,FALSE,TRUE,TRUE,TRUE,0,19,#N/A,477,#N/A,5.84415584415584,16.1764705882353,1,FALSE,FALSE,3,TRUE,1,FALSE,100,"Swvu.acc98B.","ACwvu.acc98B.",1,FALSE,FALSE,0,0.21,0.5,0.52,2,"","&amp;L&amp;""MS Sans Serif,Regular""Bud98\&amp;F\&amp;A&amp;R&amp;""MS Sans Serif,Regular""&amp;D",FALSE,FALSE,FALSE,FALSE,1,70,#N/A,#N/A,"=R483C19:R610C35",FALSE,#N/A,#N/A,FALSE,FALSE,FALSE,1,65532,65532,FALSE,FALSE,TRUE,TRUE,TRUE}</definedName>
    <definedName name="wvu.acc98B." localSheetId="6" hidden="1">{TRUE,TRUE,-1.25,-15.5,484.5,253.5,FALSE,TRUE,TRUE,TRUE,0,19,#N/A,477,#N/A,5.84415584415584,16.1764705882353,1,FALSE,FALSE,3,TRUE,1,FALSE,100,"Swvu.acc98B.","ACwvu.acc98B.",1,FALSE,FALSE,0,0.21,0.5,0.52,2,"","&amp;L&amp;""MS Sans Serif,Regular""Bud98\&amp;F\&amp;A&amp;R&amp;""MS Sans Serif,Regular""&amp;D",FALSE,FALSE,FALSE,FALSE,1,70,#N/A,#N/A,"=R483C19:R610C35",FALSE,#N/A,#N/A,FALSE,FALSE,FALSE,1,65532,65532,FALSE,FALSE,TRUE,TRUE,TRUE}</definedName>
    <definedName name="wvu.acc99b." localSheetId="5" hidden="1">{TRUE,TRUE,-1.25,-15.5,484.5,253.5,FALSE,TRUE,TRUE,TRUE,0,19,#N/A,483,#N/A,5.84415584415584,16.1764705882353,1,FALSE,FALSE,3,TRUE,1,FALSE,100,"Swvu.acc99b.","ACwvu.acc99b.",1,FALSE,FALSE,0,0.21,0.5,0.52,2,"","&amp;L&amp;""MS Sans Serif,Regular""s:\budadmin\Bud98\&amp;F\&amp;A&amp;R&amp;""MS Sans Serif,Regular""&amp;D",FALSE,FALSE,FALSE,FALSE,1,70,#N/A,#N/A,"=R483C19:R619C35",FALSE,#N/A,#N/A,FALSE,FALSE,FALSE,1,65532,65532,FALSE,FALSE,TRUE,TRUE,TRUE}</definedName>
    <definedName name="wvu.acc99b." localSheetId="7" hidden="1">{TRUE,TRUE,-1.25,-15.5,484.5,253.5,FALSE,TRUE,TRUE,TRUE,0,19,#N/A,483,#N/A,5.84415584415584,16.1764705882353,1,FALSE,FALSE,3,TRUE,1,FALSE,100,"Swvu.acc99b.","ACwvu.acc99b.",1,FALSE,FALSE,0,0.21,0.5,0.52,2,"","&amp;L&amp;""MS Sans Serif,Regular""s:\budadmin\Bud98\&amp;F\&amp;A&amp;R&amp;""MS Sans Serif,Regular""&amp;D",FALSE,FALSE,FALSE,FALSE,1,70,#N/A,#N/A,"=R483C19:R619C35",FALSE,#N/A,#N/A,FALSE,FALSE,FALSE,1,65532,65532,FALSE,FALSE,TRUE,TRUE,TRUE}</definedName>
    <definedName name="wvu.acc99b." localSheetId="8" hidden="1">{TRUE,TRUE,-1.25,-15.5,484.5,253.5,FALSE,TRUE,TRUE,TRUE,0,19,#N/A,483,#N/A,5.84415584415584,16.1764705882353,1,FALSE,FALSE,3,TRUE,1,FALSE,100,"Swvu.acc99b.","ACwvu.acc99b.",1,FALSE,FALSE,0,0.21,0.5,0.52,2,"","&amp;L&amp;""MS Sans Serif,Regular""s:\budadmin\Bud98\&amp;F\&amp;A&amp;R&amp;""MS Sans Serif,Regular""&amp;D",FALSE,FALSE,FALSE,FALSE,1,70,#N/A,#N/A,"=R483C19:R619C35",FALSE,#N/A,#N/A,FALSE,FALSE,FALSE,1,65532,65532,FALSE,FALSE,TRUE,TRUE,TRUE}</definedName>
    <definedName name="wvu.acc99b." localSheetId="9" hidden="1">{TRUE,TRUE,-1.25,-15.5,484.5,253.5,FALSE,TRUE,TRUE,TRUE,0,19,#N/A,483,#N/A,5.84415584415584,16.1764705882353,1,FALSE,FALSE,3,TRUE,1,FALSE,100,"Swvu.acc99b.","ACwvu.acc99b.",1,FALSE,FALSE,0,0.21,0.5,0.52,2,"","&amp;L&amp;""MS Sans Serif,Regular""s:\budadmin\Bud98\&amp;F\&amp;A&amp;R&amp;""MS Sans Serif,Regular""&amp;D",FALSE,FALSE,FALSE,FALSE,1,70,#N/A,#N/A,"=R483C19:R619C35",FALSE,#N/A,#N/A,FALSE,FALSE,FALSE,1,65532,65532,FALSE,FALSE,TRUE,TRUE,TRUE}</definedName>
    <definedName name="wvu.acc99b." localSheetId="10" hidden="1">{TRUE,TRUE,-1.25,-15.5,484.5,253.5,FALSE,TRUE,TRUE,TRUE,0,19,#N/A,483,#N/A,5.84415584415584,16.1764705882353,1,FALSE,FALSE,3,TRUE,1,FALSE,100,"Swvu.acc99b.","ACwvu.acc99b.",1,FALSE,FALSE,0,0.21,0.5,0.52,2,"","&amp;L&amp;""MS Sans Serif,Regular""s:\budadmin\Bud98\&amp;F\&amp;A&amp;R&amp;""MS Sans Serif,Regular""&amp;D",FALSE,FALSE,FALSE,FALSE,1,70,#N/A,#N/A,"=R483C19:R619C35",FALSE,#N/A,#N/A,FALSE,FALSE,FALSE,1,65532,65532,FALSE,FALSE,TRUE,TRUE,TRUE}</definedName>
    <definedName name="wvu.acc99b." localSheetId="11" hidden="1">{TRUE,TRUE,-1.25,-15.5,484.5,253.5,FALSE,TRUE,TRUE,TRUE,0,19,#N/A,483,#N/A,5.84415584415584,16.1764705882353,1,FALSE,FALSE,3,TRUE,1,FALSE,100,"Swvu.acc99b.","ACwvu.acc99b.",1,FALSE,FALSE,0,0.21,0.5,0.52,2,"","&amp;L&amp;""MS Sans Serif,Regular""s:\budadmin\Bud98\&amp;F\&amp;A&amp;R&amp;""MS Sans Serif,Regular""&amp;D",FALSE,FALSE,FALSE,FALSE,1,70,#N/A,#N/A,"=R483C19:R619C35",FALSE,#N/A,#N/A,FALSE,FALSE,FALSE,1,65532,65532,FALSE,FALSE,TRUE,TRUE,TRUE}</definedName>
    <definedName name="wvu.acc99b." localSheetId="6" hidden="1">{TRUE,TRUE,-1.25,-15.5,484.5,253.5,FALSE,TRUE,TRUE,TRUE,0,19,#N/A,483,#N/A,5.84415584415584,16.1764705882353,1,FALSE,FALSE,3,TRUE,1,FALSE,100,"Swvu.acc99b.","ACwvu.acc99b.",1,FALSE,FALSE,0,0.21,0.5,0.52,2,"","&amp;L&amp;""MS Sans Serif,Regular""s:\budadmin\Bud98\&amp;F\&amp;A&amp;R&amp;""MS Sans Serif,Regular""&amp;D",FALSE,FALSE,FALSE,FALSE,1,70,#N/A,#N/A,"=R483C19:R619C35",FALSE,#N/A,#N/A,FALSE,FALSE,FALSE,1,65532,65532,FALSE,FALSE,TRUE,TRUE,TRUE}</definedName>
    <definedName name="wvu.addcap96e." localSheetId="5" hidden="1">{TRUE,TRUE,1,1,479.25,261,FALSE,TRUE,TRUE,TRUE,0,1,#N/A,1,#N/A,5.81481481481481,16.5882352941176,1,FALSE,FALSE,1,TRUE,1,FALSE,100,"Swvu.addcap96e.","ACwvu.addcap96e.",1,FALSE,FALSE,0,0,0.5,0.5,2,"&amp;L&amp;""MS Sans Serif,Regular""&amp;8 1995\&amp;F\&amp;A&amp;R&amp;""MS Sans Serif,Regular""&amp;8&amp;D","&amp;R
",TRUE,FALSE,FALSE,FALSE,1,70,#N/A,#N/A,"=R1C1:R474C17",FALSE,#N/A,#N/A,FALSE,FALSE,FALSE,1,65532,65532,FALSE,FALSE,TRUE,TRUE,TRUE}</definedName>
    <definedName name="wvu.addcap96e." localSheetId="7" hidden="1">{TRUE,TRUE,1,1,479.25,261,FALSE,TRUE,TRUE,TRUE,0,1,#N/A,1,#N/A,5.81481481481481,16.5882352941176,1,FALSE,FALSE,1,TRUE,1,FALSE,100,"Swvu.addcap96e.","ACwvu.addcap96e.",1,FALSE,FALSE,0,0,0.5,0.5,2,"&amp;L&amp;""MS Sans Serif,Regular""&amp;8 1995\&amp;F\&amp;A&amp;R&amp;""MS Sans Serif,Regular""&amp;8&amp;D","&amp;R
",TRUE,FALSE,FALSE,FALSE,1,70,#N/A,#N/A,"=R1C1:R474C17",FALSE,#N/A,#N/A,FALSE,FALSE,FALSE,1,65532,65532,FALSE,FALSE,TRUE,TRUE,TRUE}</definedName>
    <definedName name="wvu.addcap96e." localSheetId="8" hidden="1">{TRUE,TRUE,1,1,479.25,261,FALSE,TRUE,TRUE,TRUE,0,1,#N/A,1,#N/A,5.81481481481481,16.5882352941176,1,FALSE,FALSE,1,TRUE,1,FALSE,100,"Swvu.addcap96e.","ACwvu.addcap96e.",1,FALSE,FALSE,0,0,0.5,0.5,2,"&amp;L&amp;""MS Sans Serif,Regular""&amp;8 1995\&amp;F\&amp;A&amp;R&amp;""MS Sans Serif,Regular""&amp;8&amp;D","&amp;R
",TRUE,FALSE,FALSE,FALSE,1,70,#N/A,#N/A,"=R1C1:R474C17",FALSE,#N/A,#N/A,FALSE,FALSE,FALSE,1,65532,65532,FALSE,FALSE,TRUE,TRUE,TRUE}</definedName>
    <definedName name="wvu.addcap96e." localSheetId="9" hidden="1">{TRUE,TRUE,1,1,479.25,261,FALSE,TRUE,TRUE,TRUE,0,1,#N/A,1,#N/A,5.81481481481481,16.5882352941176,1,FALSE,FALSE,1,TRUE,1,FALSE,100,"Swvu.addcap96e.","ACwvu.addcap96e.",1,FALSE,FALSE,0,0,0.5,0.5,2,"&amp;L&amp;""MS Sans Serif,Regular""&amp;8 1995\&amp;F\&amp;A&amp;R&amp;""MS Sans Serif,Regular""&amp;8&amp;D","&amp;R
",TRUE,FALSE,FALSE,FALSE,1,70,#N/A,#N/A,"=R1C1:R474C17",FALSE,#N/A,#N/A,FALSE,FALSE,FALSE,1,65532,65532,FALSE,FALSE,TRUE,TRUE,TRUE}</definedName>
    <definedName name="wvu.addcap96e." localSheetId="10" hidden="1">{TRUE,TRUE,1,1,479.25,261,FALSE,TRUE,TRUE,TRUE,0,1,#N/A,1,#N/A,5.81481481481481,16.5882352941176,1,FALSE,FALSE,1,TRUE,1,FALSE,100,"Swvu.addcap96e.","ACwvu.addcap96e.",1,FALSE,FALSE,0,0,0.5,0.5,2,"&amp;L&amp;""MS Sans Serif,Regular""&amp;8 1995\&amp;F\&amp;A&amp;R&amp;""MS Sans Serif,Regular""&amp;8&amp;D","&amp;R
",TRUE,FALSE,FALSE,FALSE,1,70,#N/A,#N/A,"=R1C1:R474C17",FALSE,#N/A,#N/A,FALSE,FALSE,FALSE,1,65532,65532,FALSE,FALSE,TRUE,TRUE,TRUE}</definedName>
    <definedName name="wvu.addcap96e." localSheetId="11" hidden="1">{TRUE,TRUE,1,1,479.25,261,FALSE,TRUE,TRUE,TRUE,0,1,#N/A,1,#N/A,5.81481481481481,16.5882352941176,1,FALSE,FALSE,1,TRUE,1,FALSE,100,"Swvu.addcap96e.","ACwvu.addcap96e.",1,FALSE,FALSE,0,0,0.5,0.5,2,"&amp;L&amp;""MS Sans Serif,Regular""&amp;8 1995\&amp;F\&amp;A&amp;R&amp;""MS Sans Serif,Regular""&amp;8&amp;D","&amp;R
",TRUE,FALSE,FALSE,FALSE,1,70,#N/A,#N/A,"=R1C1:R474C17",FALSE,#N/A,#N/A,FALSE,FALSE,FALSE,1,65532,65532,FALSE,FALSE,TRUE,TRUE,TRUE}</definedName>
    <definedName name="wvu.addcap96e." localSheetId="6" hidden="1">{TRUE,TRUE,1,1,479.25,261,FALSE,TRUE,TRUE,TRUE,0,1,#N/A,1,#N/A,5.81481481481481,16.5882352941176,1,FALSE,FALSE,1,TRUE,1,FALSE,100,"Swvu.addcap96e.","ACwvu.addcap96e.",1,FALSE,FALSE,0,0,0.5,0.5,2,"&amp;L&amp;""MS Sans Serif,Regular""&amp;8 1995\&amp;F\&amp;A&amp;R&amp;""MS Sans Serif,Regular""&amp;8&amp;D","&amp;R
",TRUE,FALSE,FALSE,FALSE,1,70,#N/A,#N/A,"=R1C1:R474C17",FALSE,#N/A,#N/A,FALSE,FALSE,FALSE,1,65532,65532,FALSE,FALSE,TRUE,TRUE,TRUE}</definedName>
    <definedName name="wvu.capadd97." localSheetId="5" hidden="1">{TRUE,TRUE,1,1,479.25,261,FALSE,TRUE,TRUE,TRUE,0,20,#N/A,1,#N/A,8.01428571428571,16.5882352941176,1,FALSE,FALSE,1,TRUE,1,FALSE,100,"Swvu.capadd97.","ACwvu.capadd97.",1,FALSE,FALSE,0,0,0.5,0.5,2,"&amp;L&amp;""MS Sans Serif,Regular""&amp;8 capital\&amp;F\&amp;A&amp;R&amp;""MS Sans Serif,Regular""&amp;8&amp;D","&amp;R
",TRUE,FALSE,FALSE,FALSE,1,70,#N/A,#N/A,"=R1C19:R474C35",FALSE,#N/A,#N/A,FALSE,FALSE,FALSE,1,65532,65532,FALSE,FALSE,TRUE,TRUE,TRUE}</definedName>
    <definedName name="wvu.capadd97." localSheetId="7" hidden="1">{TRUE,TRUE,1,1,479.25,261,FALSE,TRUE,TRUE,TRUE,0,20,#N/A,1,#N/A,8.01428571428571,16.5882352941176,1,FALSE,FALSE,1,TRUE,1,FALSE,100,"Swvu.capadd97.","ACwvu.capadd97.",1,FALSE,FALSE,0,0,0.5,0.5,2,"&amp;L&amp;""MS Sans Serif,Regular""&amp;8 capital\&amp;F\&amp;A&amp;R&amp;""MS Sans Serif,Regular""&amp;8&amp;D","&amp;R
",TRUE,FALSE,FALSE,FALSE,1,70,#N/A,#N/A,"=R1C19:R474C35",FALSE,#N/A,#N/A,FALSE,FALSE,FALSE,1,65532,65532,FALSE,FALSE,TRUE,TRUE,TRUE}</definedName>
    <definedName name="wvu.capadd97." localSheetId="8" hidden="1">{TRUE,TRUE,1,1,479.25,261,FALSE,TRUE,TRUE,TRUE,0,20,#N/A,1,#N/A,8.01428571428571,16.5882352941176,1,FALSE,FALSE,1,TRUE,1,FALSE,100,"Swvu.capadd97.","ACwvu.capadd97.",1,FALSE,FALSE,0,0,0.5,0.5,2,"&amp;L&amp;""MS Sans Serif,Regular""&amp;8 capital\&amp;F\&amp;A&amp;R&amp;""MS Sans Serif,Regular""&amp;8&amp;D","&amp;R
",TRUE,FALSE,FALSE,FALSE,1,70,#N/A,#N/A,"=R1C19:R474C35",FALSE,#N/A,#N/A,FALSE,FALSE,FALSE,1,65532,65532,FALSE,FALSE,TRUE,TRUE,TRUE}</definedName>
    <definedName name="wvu.capadd97." localSheetId="9" hidden="1">{TRUE,TRUE,1,1,479.25,261,FALSE,TRUE,TRUE,TRUE,0,20,#N/A,1,#N/A,8.01428571428571,16.5882352941176,1,FALSE,FALSE,1,TRUE,1,FALSE,100,"Swvu.capadd97.","ACwvu.capadd97.",1,FALSE,FALSE,0,0,0.5,0.5,2,"&amp;L&amp;""MS Sans Serif,Regular""&amp;8 capital\&amp;F\&amp;A&amp;R&amp;""MS Sans Serif,Regular""&amp;8&amp;D","&amp;R
",TRUE,FALSE,FALSE,FALSE,1,70,#N/A,#N/A,"=R1C19:R474C35",FALSE,#N/A,#N/A,FALSE,FALSE,FALSE,1,65532,65532,FALSE,FALSE,TRUE,TRUE,TRUE}</definedName>
    <definedName name="wvu.capadd97." localSheetId="10" hidden="1">{TRUE,TRUE,1,1,479.25,261,FALSE,TRUE,TRUE,TRUE,0,20,#N/A,1,#N/A,8.01428571428571,16.5882352941176,1,FALSE,FALSE,1,TRUE,1,FALSE,100,"Swvu.capadd97.","ACwvu.capadd97.",1,FALSE,FALSE,0,0,0.5,0.5,2,"&amp;L&amp;""MS Sans Serif,Regular""&amp;8 capital\&amp;F\&amp;A&amp;R&amp;""MS Sans Serif,Regular""&amp;8&amp;D","&amp;R
",TRUE,FALSE,FALSE,FALSE,1,70,#N/A,#N/A,"=R1C19:R474C35",FALSE,#N/A,#N/A,FALSE,FALSE,FALSE,1,65532,65532,FALSE,FALSE,TRUE,TRUE,TRUE}</definedName>
    <definedName name="wvu.capadd97." localSheetId="11" hidden="1">{TRUE,TRUE,1,1,479.25,261,FALSE,TRUE,TRUE,TRUE,0,20,#N/A,1,#N/A,8.01428571428571,16.5882352941176,1,FALSE,FALSE,1,TRUE,1,FALSE,100,"Swvu.capadd97.","ACwvu.capadd97.",1,FALSE,FALSE,0,0,0.5,0.5,2,"&amp;L&amp;""MS Sans Serif,Regular""&amp;8 capital\&amp;F\&amp;A&amp;R&amp;""MS Sans Serif,Regular""&amp;8&amp;D","&amp;R
",TRUE,FALSE,FALSE,FALSE,1,70,#N/A,#N/A,"=R1C19:R474C35",FALSE,#N/A,#N/A,FALSE,FALSE,FALSE,1,65532,65532,FALSE,FALSE,TRUE,TRUE,TRUE}</definedName>
    <definedName name="wvu.capadd97." localSheetId="6" hidden="1">{TRUE,TRUE,1,1,479.25,261,FALSE,TRUE,TRUE,TRUE,0,20,#N/A,1,#N/A,8.01428571428571,16.5882352941176,1,FALSE,FALSE,1,TRUE,1,FALSE,100,"Swvu.capadd97.","ACwvu.capadd97.",1,FALSE,FALSE,0,0,0.5,0.5,2,"&amp;L&amp;""MS Sans Serif,Regular""&amp;8 capital\&amp;F\&amp;A&amp;R&amp;""MS Sans Serif,Regular""&amp;8&amp;D","&amp;R
",TRUE,FALSE,FALSE,FALSE,1,70,#N/A,#N/A,"=R1C19:R474C35",FALSE,#N/A,#N/A,FALSE,FALSE,FALSE,1,65532,65532,FALSE,FALSE,TRUE,TRUE,TRUE}</definedName>
    <definedName name="wvu.OUTPUT." hidden="1">{TRUE,TRUE,-1.25,-15.5,484.5,301.5,FALSE,TRUE,TRUE,TRUE,0,1,#N/A,95,#N/A,4.80152671755725,20.7647058823529,1,FALSE,FALSE,3,TRUE,1,FALSE,100,"Swvu.OUTPUT.","ACwvu.OUTPUT.",1,FALSE,FALSE,0.75,0.75,0.25,0.27,2,"","",FALSE,FALSE,FALSE,FALSE,1,87,#N/A,#N/A,"=R103C1:R186C16","=R103:R109","Rwvu.OUTPUT.",#N/A,FALSE,FALSE}</definedName>
    <definedName name="Z_0F59E1A1_797D_11D2_A37A_0006291345B5_.wvu.PrintArea" localSheetId="5" hidden="1">'Depreciation 2015'!#REF!</definedName>
    <definedName name="Z_0F59E1A1_797D_11D2_A37A_0006291345B5_.wvu.PrintArea" localSheetId="7" hidden="1">'Depreciation 2017'!#REF!</definedName>
    <definedName name="Z_0F59E1A1_797D_11D2_A37A_0006291345B5_.wvu.PrintArea" localSheetId="8" hidden="1">'Depreciation 2018'!#REF!</definedName>
    <definedName name="Z_0F59E1A1_797D_11D2_A37A_0006291345B5_.wvu.PrintArea" localSheetId="9" hidden="1">'Depreciation 2019'!#REF!</definedName>
    <definedName name="Z_0F59E1A1_797D_11D2_A37A_0006291345B5_.wvu.PrintArea" localSheetId="10" hidden="1">'Depreciation 2020'!#REF!</definedName>
    <definedName name="Z_0F59E1A1_797D_11D2_A37A_0006291345B5_.wvu.PrintArea" localSheetId="11" hidden="1">'Depreciation 2021'!#REF!</definedName>
    <definedName name="Z_0F59E1A1_797D_11D2_A37A_0006291345B5_.wvu.PrintArea" localSheetId="6" hidden="1">'GI-34 doc 3 page 2 de 2'!#REF!</definedName>
    <definedName name="Z_0F59E1A2_797D_11D2_A37A_0006291345B5_.wvu.PrintArea" localSheetId="5" hidden="1">'Depreciation 2015'!$B$91:$R$171</definedName>
    <definedName name="Z_0F59E1A2_797D_11D2_A37A_0006291345B5_.wvu.PrintArea" localSheetId="7" hidden="1">'Depreciation 2017'!$B$91:$R$171</definedName>
    <definedName name="Z_0F59E1A2_797D_11D2_A37A_0006291345B5_.wvu.PrintArea" localSheetId="8" hidden="1">'Depreciation 2018'!$B$91:$R$171</definedName>
    <definedName name="Z_0F59E1A2_797D_11D2_A37A_0006291345B5_.wvu.PrintArea" localSheetId="9" hidden="1">'Depreciation 2019'!$B$91:$R$171</definedName>
    <definedName name="Z_0F59E1A2_797D_11D2_A37A_0006291345B5_.wvu.PrintArea" localSheetId="10" hidden="1">'Depreciation 2020'!$B$91:$R$171</definedName>
    <definedName name="Z_0F59E1A2_797D_11D2_A37A_0006291345B5_.wvu.PrintArea" localSheetId="11" hidden="1">'Depreciation 2021'!$B$91:$R$171</definedName>
    <definedName name="Z_0F59E1A2_797D_11D2_A37A_0006291345B5_.wvu.PrintArea" localSheetId="6" hidden="1">'GI-34 doc 3 page 2 de 2'!$B$87:$R$167</definedName>
    <definedName name="Z_0F59E1A3_797D_11D2_A37A_0006291345B5_.wvu.PrintArea" localSheetId="5" hidden="1">'Depreciation 2015'!$B$91:$R$180</definedName>
    <definedName name="Z_0F59E1A3_797D_11D2_A37A_0006291345B5_.wvu.PrintArea" localSheetId="7" hidden="1">'Depreciation 2017'!$B$91:$R$180</definedName>
    <definedName name="Z_0F59E1A3_797D_11D2_A37A_0006291345B5_.wvu.PrintArea" localSheetId="8" hidden="1">'Depreciation 2018'!$B$91:$R$180</definedName>
    <definedName name="Z_0F59E1A3_797D_11D2_A37A_0006291345B5_.wvu.PrintArea" localSheetId="9" hidden="1">'Depreciation 2019'!$B$91:$R$180</definedName>
    <definedName name="Z_0F59E1A3_797D_11D2_A37A_0006291345B5_.wvu.PrintArea" localSheetId="10" hidden="1">'Depreciation 2020'!$B$91:$R$180</definedName>
    <definedName name="Z_0F59E1A3_797D_11D2_A37A_0006291345B5_.wvu.PrintArea" localSheetId="11" hidden="1">'Depreciation 2021'!$B$91:$R$180</definedName>
    <definedName name="Z_0F59E1A3_797D_11D2_A37A_0006291345B5_.wvu.PrintArea" localSheetId="6" hidden="1">'GI-34 doc 3 page 2 de 2'!$B$87:$R$176</definedName>
    <definedName name="Z_0F59E1A4_797D_11D2_A37A_0006291345B5_.wvu.PrintArea" localSheetId="5" hidden="1">'Depreciation 2015'!#REF!</definedName>
    <definedName name="Z_0F59E1A4_797D_11D2_A37A_0006291345B5_.wvu.PrintArea" localSheetId="7" hidden="1">'Depreciation 2017'!#REF!</definedName>
    <definedName name="Z_0F59E1A4_797D_11D2_A37A_0006291345B5_.wvu.PrintArea" localSheetId="8" hidden="1">'Depreciation 2018'!#REF!</definedName>
    <definedName name="Z_0F59E1A4_797D_11D2_A37A_0006291345B5_.wvu.PrintArea" localSheetId="9" hidden="1">'Depreciation 2019'!#REF!</definedName>
    <definedName name="Z_0F59E1A4_797D_11D2_A37A_0006291345B5_.wvu.PrintArea" localSheetId="10" hidden="1">'Depreciation 2020'!#REF!</definedName>
    <definedName name="Z_0F59E1A4_797D_11D2_A37A_0006291345B5_.wvu.PrintArea" localSheetId="11" hidden="1">'Depreciation 2021'!#REF!</definedName>
    <definedName name="Z_0F59E1A4_797D_11D2_A37A_0006291345B5_.wvu.PrintArea" localSheetId="6" hidden="1">'GI-34 doc 3 page 2 de 2'!#REF!</definedName>
    <definedName name="Z_0F59E1A5_797D_11D2_A37A_0006291345B5_.wvu.PrintArea" localSheetId="5" hidden="1">'Depreciation 2015'!$B$1:$R$70</definedName>
    <definedName name="Z_0F59E1A5_797D_11D2_A37A_0006291345B5_.wvu.PrintArea" localSheetId="7" hidden="1">'Depreciation 2017'!$B$1:$R$70</definedName>
    <definedName name="Z_0F59E1A5_797D_11D2_A37A_0006291345B5_.wvu.PrintArea" localSheetId="8" hidden="1">'Depreciation 2018'!$B$1:$R$70</definedName>
    <definedName name="Z_0F59E1A5_797D_11D2_A37A_0006291345B5_.wvu.PrintArea" localSheetId="9" hidden="1">'Depreciation 2019'!$B$1:$R$70</definedName>
    <definedName name="Z_0F59E1A5_797D_11D2_A37A_0006291345B5_.wvu.PrintArea" localSheetId="10" hidden="1">'Depreciation 2020'!$B$1:$R$70</definedName>
    <definedName name="Z_0F59E1A5_797D_11D2_A37A_0006291345B5_.wvu.PrintArea" localSheetId="11" hidden="1">'Depreciation 2021'!$B$1:$R$70</definedName>
    <definedName name="Z_0F59E1A5_797D_11D2_A37A_0006291345B5_.wvu.PrintArea" localSheetId="6" hidden="1">'GI-34 doc 3 page 2 de 2'!$B$1:$R$68</definedName>
    <definedName name="Z_20041AA2_022A_11D3_A38C_0006291345B5_.wvu.PrintArea" localSheetId="5" hidden="1">'Depreciation 2015'!#REF!</definedName>
    <definedName name="Z_20041AA2_022A_11D3_A38C_0006291345B5_.wvu.PrintArea" localSheetId="7" hidden="1">'Depreciation 2017'!#REF!</definedName>
    <definedName name="Z_20041AA2_022A_11D3_A38C_0006291345B5_.wvu.PrintArea" localSheetId="8" hidden="1">'Depreciation 2018'!#REF!</definedName>
    <definedName name="Z_20041AA2_022A_11D3_A38C_0006291345B5_.wvu.PrintArea" localSheetId="9" hidden="1">'Depreciation 2019'!#REF!</definedName>
    <definedName name="Z_20041AA2_022A_11D3_A38C_0006291345B5_.wvu.PrintArea" localSheetId="10" hidden="1">'Depreciation 2020'!#REF!</definedName>
    <definedName name="Z_20041AA2_022A_11D3_A38C_0006291345B5_.wvu.PrintArea" localSheetId="11" hidden="1">'Depreciation 2021'!#REF!</definedName>
    <definedName name="Z_20041AA2_022A_11D3_A38C_0006291345B5_.wvu.PrintArea" localSheetId="6" hidden="1">'GI-34 doc 3 page 2 de 2'!#REF!</definedName>
    <definedName name="Z_602575D0_5EAA_11D2_A37B_0006291345B5_.wvu.PrintArea" localSheetId="5" hidden="1">'Depreciation 2015'!#REF!</definedName>
    <definedName name="Z_602575D0_5EAA_11D2_A37B_0006291345B5_.wvu.PrintArea" localSheetId="7" hidden="1">'Depreciation 2017'!#REF!</definedName>
    <definedName name="Z_602575D0_5EAA_11D2_A37B_0006291345B5_.wvu.PrintArea" localSheetId="8" hidden="1">'Depreciation 2018'!#REF!</definedName>
    <definedName name="Z_602575D0_5EAA_11D2_A37B_0006291345B5_.wvu.PrintArea" localSheetId="9" hidden="1">'Depreciation 2019'!#REF!</definedName>
    <definedName name="Z_602575D0_5EAA_11D2_A37B_0006291345B5_.wvu.PrintArea" localSheetId="10" hidden="1">'Depreciation 2020'!#REF!</definedName>
    <definedName name="Z_602575D0_5EAA_11D2_A37B_0006291345B5_.wvu.PrintArea" localSheetId="11" hidden="1">'Depreciation 2021'!#REF!</definedName>
    <definedName name="Z_602575D0_5EAA_11D2_A37B_0006291345B5_.wvu.PrintArea" localSheetId="6" hidden="1">'GI-34 doc 3 page 2 de 2'!#REF!</definedName>
    <definedName name="Z_602575D1_5EAA_11D2_A37B_0006291345B5_.wvu.PrintArea" localSheetId="5" hidden="1">'Depreciation 2015'!$B$91:$R$171</definedName>
    <definedName name="Z_602575D1_5EAA_11D2_A37B_0006291345B5_.wvu.PrintArea" localSheetId="7" hidden="1">'Depreciation 2017'!$B$91:$R$171</definedName>
    <definedName name="Z_602575D1_5EAA_11D2_A37B_0006291345B5_.wvu.PrintArea" localSheetId="8" hidden="1">'Depreciation 2018'!$B$91:$R$171</definedName>
    <definedName name="Z_602575D1_5EAA_11D2_A37B_0006291345B5_.wvu.PrintArea" localSheetId="9" hidden="1">'Depreciation 2019'!$B$91:$R$171</definedName>
    <definedName name="Z_602575D1_5EAA_11D2_A37B_0006291345B5_.wvu.PrintArea" localSheetId="10" hidden="1">'Depreciation 2020'!$B$91:$R$171</definedName>
    <definedName name="Z_602575D1_5EAA_11D2_A37B_0006291345B5_.wvu.PrintArea" localSheetId="11" hidden="1">'Depreciation 2021'!$B$91:$R$171</definedName>
    <definedName name="Z_602575D1_5EAA_11D2_A37B_0006291345B5_.wvu.PrintArea" localSheetId="6" hidden="1">'GI-34 doc 3 page 2 de 2'!$B$87:$R$167</definedName>
    <definedName name="Z_602575D2_5EAA_11D2_A37B_0006291345B5_.wvu.PrintArea" localSheetId="5" hidden="1">'Depreciation 2015'!$B$91:$R$180</definedName>
    <definedName name="Z_602575D2_5EAA_11D2_A37B_0006291345B5_.wvu.PrintArea" localSheetId="7" hidden="1">'Depreciation 2017'!$B$91:$R$180</definedName>
    <definedName name="Z_602575D2_5EAA_11D2_A37B_0006291345B5_.wvu.PrintArea" localSheetId="8" hidden="1">'Depreciation 2018'!$B$91:$R$180</definedName>
    <definedName name="Z_602575D2_5EAA_11D2_A37B_0006291345B5_.wvu.PrintArea" localSheetId="9" hidden="1">'Depreciation 2019'!$B$91:$R$180</definedName>
    <definedName name="Z_602575D2_5EAA_11D2_A37B_0006291345B5_.wvu.PrintArea" localSheetId="10" hidden="1">'Depreciation 2020'!$B$91:$R$180</definedName>
    <definedName name="Z_602575D2_5EAA_11D2_A37B_0006291345B5_.wvu.PrintArea" localSheetId="11" hidden="1">'Depreciation 2021'!$B$91:$R$180</definedName>
    <definedName name="Z_602575D2_5EAA_11D2_A37B_0006291345B5_.wvu.PrintArea" localSheetId="6" hidden="1">'GI-34 doc 3 page 2 de 2'!$B$87:$R$176</definedName>
    <definedName name="Z_602575D3_5EAA_11D2_A37B_0006291345B5_.wvu.PrintArea" localSheetId="5" hidden="1">'Depreciation 2015'!#REF!</definedName>
    <definedName name="Z_602575D3_5EAA_11D2_A37B_0006291345B5_.wvu.PrintArea" localSheetId="7" hidden="1">'Depreciation 2017'!#REF!</definedName>
    <definedName name="Z_602575D3_5EAA_11D2_A37B_0006291345B5_.wvu.PrintArea" localSheetId="8" hidden="1">'Depreciation 2018'!#REF!</definedName>
    <definedName name="Z_602575D3_5EAA_11D2_A37B_0006291345B5_.wvu.PrintArea" localSheetId="9" hidden="1">'Depreciation 2019'!#REF!</definedName>
    <definedName name="Z_602575D3_5EAA_11D2_A37B_0006291345B5_.wvu.PrintArea" localSheetId="10" hidden="1">'Depreciation 2020'!#REF!</definedName>
    <definedName name="Z_602575D3_5EAA_11D2_A37B_0006291345B5_.wvu.PrintArea" localSheetId="11" hidden="1">'Depreciation 2021'!#REF!</definedName>
    <definedName name="Z_602575D3_5EAA_11D2_A37B_0006291345B5_.wvu.PrintArea" localSheetId="6" hidden="1">'GI-34 doc 3 page 2 de 2'!#REF!</definedName>
    <definedName name="Z_602575D4_5EAA_11D2_A37B_0006291345B5_.wvu.PrintArea" localSheetId="5" hidden="1">'Depreciation 2015'!$B$1:$R$70</definedName>
    <definedName name="Z_602575D4_5EAA_11D2_A37B_0006291345B5_.wvu.PrintArea" localSheetId="7" hidden="1">'Depreciation 2017'!$B$1:$R$70</definedName>
    <definedName name="Z_602575D4_5EAA_11D2_A37B_0006291345B5_.wvu.PrintArea" localSheetId="8" hidden="1">'Depreciation 2018'!$B$1:$R$70</definedName>
    <definedName name="Z_602575D4_5EAA_11D2_A37B_0006291345B5_.wvu.PrintArea" localSheetId="9" hidden="1">'Depreciation 2019'!$B$1:$R$70</definedName>
    <definedName name="Z_602575D4_5EAA_11D2_A37B_0006291345B5_.wvu.PrintArea" localSheetId="10" hidden="1">'Depreciation 2020'!$B$1:$R$70</definedName>
    <definedName name="Z_602575D4_5EAA_11D2_A37B_0006291345B5_.wvu.PrintArea" localSheetId="11" hidden="1">'Depreciation 2021'!$B$1:$R$70</definedName>
    <definedName name="Z_602575D4_5EAA_11D2_A37B_0006291345B5_.wvu.PrintArea" localSheetId="6" hidden="1">'GI-34 doc 3 page 2 de 2'!$B$1:$R$68</definedName>
    <definedName name="Z_6CCF8AF1_0247_11D3_A38C_0006291345B5_.wvu.PrintArea" localSheetId="5" hidden="1">'Depreciation 2015'!#REF!</definedName>
    <definedName name="Z_6CCF8AF1_0247_11D3_A38C_0006291345B5_.wvu.PrintArea" localSheetId="7" hidden="1">'Depreciation 2017'!#REF!</definedName>
    <definedName name="Z_6CCF8AF1_0247_11D3_A38C_0006291345B5_.wvu.PrintArea" localSheetId="8" hidden="1">'Depreciation 2018'!#REF!</definedName>
    <definedName name="Z_6CCF8AF1_0247_11D3_A38C_0006291345B5_.wvu.PrintArea" localSheetId="9" hidden="1">'Depreciation 2019'!#REF!</definedName>
    <definedName name="Z_6CCF8AF1_0247_11D3_A38C_0006291345B5_.wvu.PrintArea" localSheetId="10" hidden="1">'Depreciation 2020'!#REF!</definedName>
    <definedName name="Z_6CCF8AF1_0247_11D3_A38C_0006291345B5_.wvu.PrintArea" localSheetId="11" hidden="1">'Depreciation 2021'!#REF!</definedName>
    <definedName name="Z_6CCF8AF1_0247_11D3_A38C_0006291345B5_.wvu.PrintArea" localSheetId="6" hidden="1">'GI-34 doc 3 page 2 de 2'!#REF!</definedName>
    <definedName name="Z_97DFD3A1_1299_11D3_A38F_0006291345B5_.wvu.PrintArea" localSheetId="5" hidden="1">'Depreciation 2015'!$B$1:$R$89</definedName>
    <definedName name="Z_97DFD3A1_1299_11D3_A38F_0006291345B5_.wvu.PrintArea" localSheetId="7" hidden="1">'Depreciation 2017'!$B$1:$R$89</definedName>
    <definedName name="Z_97DFD3A1_1299_11D3_A38F_0006291345B5_.wvu.PrintArea" localSheetId="8" hidden="1">'Depreciation 2018'!$B$1:$R$89</definedName>
    <definedName name="Z_97DFD3A1_1299_11D3_A38F_0006291345B5_.wvu.PrintArea" localSheetId="9" hidden="1">'Depreciation 2019'!$B$1:$R$89</definedName>
    <definedName name="Z_97DFD3A1_1299_11D3_A38F_0006291345B5_.wvu.PrintArea" localSheetId="10" hidden="1">'Depreciation 2020'!$B$1:$R$89</definedName>
    <definedName name="Z_97DFD3A1_1299_11D3_A38F_0006291345B5_.wvu.PrintArea" localSheetId="11" hidden="1">'Depreciation 2021'!$B$1:$R$89</definedName>
    <definedName name="Z_97DFD3A1_1299_11D3_A38F_0006291345B5_.wvu.PrintArea" localSheetId="6" hidden="1">'GI-34 doc 3 page 2 de 2'!$B$1:$R$85</definedName>
    <definedName name="Z_D1623C01_7D51_11D2_A37B_0006291345B5_.wvu.PrintArea" localSheetId="5" hidden="1">'Depreciation 2015'!$B$1:$R$88</definedName>
    <definedName name="Z_D1623C01_7D51_11D2_A37B_0006291345B5_.wvu.PrintArea" localSheetId="7" hidden="1">'Depreciation 2017'!$B$1:$R$88</definedName>
    <definedName name="Z_D1623C01_7D51_11D2_A37B_0006291345B5_.wvu.PrintArea" localSheetId="8" hidden="1">'Depreciation 2018'!$B$1:$R$88</definedName>
    <definedName name="Z_D1623C01_7D51_11D2_A37B_0006291345B5_.wvu.PrintArea" localSheetId="9" hidden="1">'Depreciation 2019'!$B$1:$R$88</definedName>
    <definedName name="Z_D1623C01_7D51_11D2_A37B_0006291345B5_.wvu.PrintArea" localSheetId="10" hidden="1">'Depreciation 2020'!$B$1:$R$88</definedName>
    <definedName name="Z_D1623C01_7D51_11D2_A37B_0006291345B5_.wvu.PrintArea" localSheetId="11" hidden="1">'Depreciation 2021'!$B$1:$R$88</definedName>
    <definedName name="Z_D1623C01_7D51_11D2_A37B_0006291345B5_.wvu.PrintArea" localSheetId="6" hidden="1">'GI-34 doc 3 page 2 de 2'!$B$1:$R$84</definedName>
    <definedName name="Z_D758A124_7B2B_11D2_A37B_0006291345B5_.wvu.PrintArea" localSheetId="5" hidden="1">'Depreciation 2015'!$B$91:$R$180</definedName>
    <definedName name="Z_D758A124_7B2B_11D2_A37B_0006291345B5_.wvu.PrintArea" localSheetId="7" hidden="1">'Depreciation 2017'!$B$91:$R$180</definedName>
    <definedName name="Z_D758A124_7B2B_11D2_A37B_0006291345B5_.wvu.PrintArea" localSheetId="8" hidden="1">'Depreciation 2018'!$B$91:$R$180</definedName>
    <definedName name="Z_D758A124_7B2B_11D2_A37B_0006291345B5_.wvu.PrintArea" localSheetId="9" hidden="1">'Depreciation 2019'!$B$91:$R$180</definedName>
    <definedName name="Z_D758A124_7B2B_11D2_A37B_0006291345B5_.wvu.PrintArea" localSheetId="10" hidden="1">'Depreciation 2020'!$B$91:$R$180</definedName>
    <definedName name="Z_D758A124_7B2B_11D2_A37B_0006291345B5_.wvu.PrintArea" localSheetId="11" hidden="1">'Depreciation 2021'!$B$91:$R$180</definedName>
    <definedName name="Z_D758A124_7B2B_11D2_A37B_0006291345B5_.wvu.PrintArea" localSheetId="6" hidden="1">'GI-34 doc 3 page 2 de 2'!$B$87:$R$176</definedName>
    <definedName name="Z_D758A125_7B2B_11D2_A37B_0006291345B5_.wvu.PrintArea" localSheetId="5" hidden="1">'Depreciation 2015'!#REF!</definedName>
    <definedName name="Z_D758A125_7B2B_11D2_A37B_0006291345B5_.wvu.PrintArea" localSheetId="7" hidden="1">'Depreciation 2017'!#REF!</definedName>
    <definedName name="Z_D758A125_7B2B_11D2_A37B_0006291345B5_.wvu.PrintArea" localSheetId="8" hidden="1">'Depreciation 2018'!#REF!</definedName>
    <definedName name="Z_D758A125_7B2B_11D2_A37B_0006291345B5_.wvu.PrintArea" localSheetId="9" hidden="1">'Depreciation 2019'!#REF!</definedName>
    <definedName name="Z_D758A125_7B2B_11D2_A37B_0006291345B5_.wvu.PrintArea" localSheetId="10" hidden="1">'Depreciation 2020'!#REF!</definedName>
    <definedName name="Z_D758A125_7B2B_11D2_A37B_0006291345B5_.wvu.PrintArea" localSheetId="11" hidden="1">'Depreciation 2021'!#REF!</definedName>
    <definedName name="Z_D758A125_7B2B_11D2_A37B_0006291345B5_.wvu.PrintArea" localSheetId="6" hidden="1">'GI-34 doc 3 page 2 de 2'!#REF!</definedName>
    <definedName name="_xlnm.Print_Area" localSheetId="4">'GI-34 doc 3 page 1 de 2'!$A$1:$T$83</definedName>
    <definedName name="_xlnm.Print_Area" localSheetId="6">'GI-34 doc 3 page 2 de 2'!$A$2:$R$104</definedName>
  </definedNames>
  <calcPr calcId="145621" iterate="1"/>
</workbook>
</file>

<file path=xl/calcChain.xml><?xml version="1.0" encoding="utf-8"?>
<calcChain xmlns="http://schemas.openxmlformats.org/spreadsheetml/2006/main">
  <c r="A6" i="31" l="1"/>
  <c r="A33" i="3" l="1"/>
  <c r="A34" i="3" s="1"/>
  <c r="A35" i="3" s="1"/>
  <c r="A36" i="3" s="1"/>
  <c r="A37" i="3" s="1"/>
  <c r="A38" i="3" s="1"/>
  <c r="A39" i="3" s="1"/>
  <c r="A40" i="3" s="1"/>
  <c r="L75" i="3" l="1"/>
  <c r="K75" i="3"/>
  <c r="K50" i="3"/>
  <c r="L50" i="3" s="1"/>
  <c r="M75" i="3"/>
  <c r="N75" i="3" s="1"/>
  <c r="L72" i="3"/>
  <c r="M72" i="3"/>
  <c r="M73" i="3"/>
  <c r="N72" i="3"/>
  <c r="O72" i="3"/>
  <c r="O73" i="3" s="1"/>
  <c r="P72" i="3"/>
  <c r="P73" i="3" s="1"/>
  <c r="P74" i="3" s="1"/>
  <c r="Q72" i="3"/>
  <c r="Q73" i="3" s="1"/>
  <c r="Q74" i="3" s="1"/>
  <c r="R72" i="3"/>
  <c r="R73" i="3" s="1"/>
  <c r="R74" i="3" s="1"/>
  <c r="K72" i="3"/>
  <c r="K73" i="3" s="1"/>
  <c r="K74" i="3" s="1"/>
  <c r="D99" i="42"/>
  <c r="L98" i="42"/>
  <c r="D98" i="42"/>
  <c r="D92" i="42"/>
  <c r="H91" i="42"/>
  <c r="D91" i="42"/>
  <c r="C83" i="42"/>
  <c r="P82" i="42"/>
  <c r="T82" i="42" s="1"/>
  <c r="O82" i="42"/>
  <c r="N82" i="42"/>
  <c r="M82" i="42"/>
  <c r="L82" i="42"/>
  <c r="K82" i="42"/>
  <c r="J82" i="42"/>
  <c r="I82" i="42"/>
  <c r="H82" i="42"/>
  <c r="G82" i="42"/>
  <c r="F82" i="42"/>
  <c r="E82" i="42"/>
  <c r="Q82" i="42"/>
  <c r="R82" i="42" s="1"/>
  <c r="V82" i="42" s="1"/>
  <c r="T81" i="42"/>
  <c r="Q81" i="42"/>
  <c r="R81" i="42" s="1"/>
  <c r="T77" i="42"/>
  <c r="R77" i="42"/>
  <c r="V77" i="42" s="1"/>
  <c r="Q77" i="42"/>
  <c r="T76" i="42"/>
  <c r="K76" i="42"/>
  <c r="Q76" i="42" s="1"/>
  <c r="R76" i="42" s="1"/>
  <c r="V76" i="42" s="1"/>
  <c r="P65" i="42"/>
  <c r="P98" i="42"/>
  <c r="O65" i="42"/>
  <c r="O98" i="42"/>
  <c r="N65" i="42"/>
  <c r="N98" i="42"/>
  <c r="M65" i="42"/>
  <c r="M98" i="42"/>
  <c r="L65" i="42"/>
  <c r="K65" i="42"/>
  <c r="K98" i="42" s="1"/>
  <c r="J65" i="42"/>
  <c r="I65" i="42"/>
  <c r="I98" i="42"/>
  <c r="H65" i="42"/>
  <c r="H98" i="42"/>
  <c r="G65" i="42"/>
  <c r="G98" i="42"/>
  <c r="F65" i="42"/>
  <c r="F98" i="42"/>
  <c r="E65" i="42"/>
  <c r="E98" i="42"/>
  <c r="D64" i="42"/>
  <c r="D97" i="42"/>
  <c r="A60" i="42"/>
  <c r="A61" i="42"/>
  <c r="A62" i="42" s="1"/>
  <c r="A63" i="42" s="1"/>
  <c r="A64" i="42" s="1"/>
  <c r="A65" i="42"/>
  <c r="A66" i="42" s="1"/>
  <c r="A67" i="42" s="1"/>
  <c r="A68" i="42" s="1"/>
  <c r="A69" i="42" s="1"/>
  <c r="A70" i="42" s="1"/>
  <c r="P59" i="42"/>
  <c r="O59" i="42"/>
  <c r="O92" i="42" s="1"/>
  <c r="N59" i="42"/>
  <c r="N92" i="42" s="1"/>
  <c r="M59" i="42"/>
  <c r="M92" i="42" s="1"/>
  <c r="L59" i="42"/>
  <c r="L92" i="42" s="1"/>
  <c r="K59" i="42"/>
  <c r="K92" i="42" s="1"/>
  <c r="J59" i="42"/>
  <c r="J92" i="42" s="1"/>
  <c r="I59" i="42"/>
  <c r="I92" i="42" s="1"/>
  <c r="H59" i="42"/>
  <c r="H92" i="42" s="1"/>
  <c r="G59" i="42"/>
  <c r="F59" i="42"/>
  <c r="F92" i="42"/>
  <c r="E59" i="42"/>
  <c r="E92" i="42"/>
  <c r="P58" i="42"/>
  <c r="T58" i="42"/>
  <c r="O58" i="42"/>
  <c r="O91" i="42"/>
  <c r="N58" i="42"/>
  <c r="N91" i="42"/>
  <c r="M58" i="42"/>
  <c r="M91" i="42"/>
  <c r="L58" i="42"/>
  <c r="L91" i="42"/>
  <c r="J58" i="42"/>
  <c r="J91" i="42"/>
  <c r="I58" i="42"/>
  <c r="I91" i="42"/>
  <c r="H58" i="42"/>
  <c r="G58" i="42"/>
  <c r="G91" i="42" s="1"/>
  <c r="F58" i="42"/>
  <c r="F91" i="42" s="1"/>
  <c r="E58" i="42"/>
  <c r="D57" i="42"/>
  <c r="D90" i="42"/>
  <c r="P49" i="42"/>
  <c r="T49" i="42"/>
  <c r="O49" i="42"/>
  <c r="N49" i="42"/>
  <c r="N66" i="42" s="1"/>
  <c r="N99" i="42" s="1"/>
  <c r="M49" i="42"/>
  <c r="L49" i="42"/>
  <c r="K49" i="42"/>
  <c r="J49" i="42"/>
  <c r="I49" i="42"/>
  <c r="H49" i="42"/>
  <c r="H66" i="42" s="1"/>
  <c r="H99" i="42" s="1"/>
  <c r="G49" i="42"/>
  <c r="F49" i="42"/>
  <c r="Q49" i="42" s="1"/>
  <c r="R49" i="42" s="1"/>
  <c r="V49" i="42" s="1"/>
  <c r="E49" i="42"/>
  <c r="T48" i="42"/>
  <c r="Q48" i="42"/>
  <c r="R48" i="42" s="1"/>
  <c r="V48" i="42" s="1"/>
  <c r="A48" i="42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T44" i="42"/>
  <c r="Q44" i="42"/>
  <c r="R44" i="42" s="1"/>
  <c r="A44" i="42"/>
  <c r="A45" i="42"/>
  <c r="A46" i="42" s="1"/>
  <c r="A47" i="42" s="1"/>
  <c r="T43" i="42"/>
  <c r="K43" i="42"/>
  <c r="Q43" i="42" s="1"/>
  <c r="R43" i="42" s="1"/>
  <c r="V43" i="42" s="1"/>
  <c r="C36" i="42"/>
  <c r="P35" i="42"/>
  <c r="T35" i="42" s="1"/>
  <c r="O35" i="42"/>
  <c r="N35" i="42"/>
  <c r="M35" i="42"/>
  <c r="L35" i="42"/>
  <c r="K35" i="42"/>
  <c r="J35" i="42"/>
  <c r="I35" i="42"/>
  <c r="H35" i="42"/>
  <c r="G35" i="42"/>
  <c r="F35" i="42"/>
  <c r="E35" i="42"/>
  <c r="T34" i="42"/>
  <c r="Q34" i="42"/>
  <c r="R34" i="42"/>
  <c r="T30" i="42"/>
  <c r="R30" i="42"/>
  <c r="V30" i="42" s="1"/>
  <c r="Q30" i="42"/>
  <c r="T29" i="42"/>
  <c r="K29" i="42"/>
  <c r="Q29" i="42" s="1"/>
  <c r="R29" i="42" s="1"/>
  <c r="V29" i="42" s="1"/>
  <c r="P21" i="42"/>
  <c r="O21" i="42"/>
  <c r="N21" i="42"/>
  <c r="M21" i="42"/>
  <c r="L21" i="42"/>
  <c r="L66" i="42"/>
  <c r="L99" i="42" s="1"/>
  <c r="K21" i="42"/>
  <c r="J21" i="42"/>
  <c r="J66" i="42"/>
  <c r="J99" i="42" s="1"/>
  <c r="I21" i="42"/>
  <c r="H21" i="42"/>
  <c r="G21" i="42"/>
  <c r="F21" i="42"/>
  <c r="E21" i="42"/>
  <c r="T20" i="42"/>
  <c r="Q20" i="42"/>
  <c r="R20" i="42"/>
  <c r="V20" i="42" s="1"/>
  <c r="V16" i="42"/>
  <c r="T16" i="42"/>
  <c r="R16" i="42"/>
  <c r="Q16" i="42"/>
  <c r="T15" i="42"/>
  <c r="K15" i="42"/>
  <c r="Q15" i="42" s="1"/>
  <c r="R15" i="42" s="1"/>
  <c r="V15" i="42" s="1"/>
  <c r="A14" i="42"/>
  <c r="A15" i="42"/>
  <c r="A16" i="42" s="1"/>
  <c r="A17" i="42" s="1"/>
  <c r="A18" i="42" s="1"/>
  <c r="A19" i="42" s="1"/>
  <c r="A20" i="42" s="1"/>
  <c r="A21" i="42" s="1"/>
  <c r="A22" i="42" s="1"/>
  <c r="A23" i="42"/>
  <c r="A24" i="42" s="1"/>
  <c r="A25" i="42" s="1"/>
  <c r="A26" i="42" s="1"/>
  <c r="A27" i="42" s="1"/>
  <c r="A28" i="42" s="1"/>
  <c r="A29" i="42" s="1"/>
  <c r="A30" i="42" s="1"/>
  <c r="A31" i="42"/>
  <c r="A32" i="42" s="1"/>
  <c r="A33" i="42" s="1"/>
  <c r="A34" i="42" s="1"/>
  <c r="A35" i="42" s="1"/>
  <c r="A36" i="42" s="1"/>
  <c r="A37" i="42" s="1"/>
  <c r="A38" i="42" s="1"/>
  <c r="A39" i="42"/>
  <c r="A40" i="42" s="1"/>
  <c r="D99" i="41"/>
  <c r="J98" i="41"/>
  <c r="D98" i="41"/>
  <c r="O92" i="41"/>
  <c r="D92" i="41"/>
  <c r="P91" i="41"/>
  <c r="D91" i="41"/>
  <c r="C83" i="41"/>
  <c r="P82" i="41"/>
  <c r="T82" i="41" s="1"/>
  <c r="O82" i="41"/>
  <c r="N82" i="41"/>
  <c r="M82" i="41"/>
  <c r="L82" i="41"/>
  <c r="K82" i="41"/>
  <c r="J82" i="41"/>
  <c r="I82" i="41"/>
  <c r="H82" i="41"/>
  <c r="G82" i="41"/>
  <c r="F82" i="41"/>
  <c r="Q82" i="41" s="1"/>
  <c r="R82" i="41" s="1"/>
  <c r="V82" i="41" s="1"/>
  <c r="E82" i="41"/>
  <c r="T81" i="41"/>
  <c r="Q81" i="41"/>
  <c r="R81" i="41" s="1"/>
  <c r="V77" i="41"/>
  <c r="T77" i="41"/>
  <c r="R77" i="41"/>
  <c r="Q77" i="41"/>
  <c r="T76" i="41"/>
  <c r="K76" i="41"/>
  <c r="Q76" i="41" s="1"/>
  <c r="R76" i="41" s="1"/>
  <c r="P65" i="41"/>
  <c r="O65" i="41"/>
  <c r="O98" i="41" s="1"/>
  <c r="N65" i="41"/>
  <c r="N98" i="41" s="1"/>
  <c r="M65" i="41"/>
  <c r="M98" i="41" s="1"/>
  <c r="L65" i="41"/>
  <c r="L98" i="41" s="1"/>
  <c r="K65" i="41"/>
  <c r="K98" i="41"/>
  <c r="J65" i="41"/>
  <c r="I65" i="41"/>
  <c r="I98" i="41" s="1"/>
  <c r="H65" i="41"/>
  <c r="H98" i="41" s="1"/>
  <c r="G65" i="41"/>
  <c r="G98" i="41" s="1"/>
  <c r="F65" i="41"/>
  <c r="F98" i="41" s="1"/>
  <c r="E65" i="41"/>
  <c r="E98" i="41" s="1"/>
  <c r="D64" i="41"/>
  <c r="D97" i="41" s="1"/>
  <c r="A66" i="41"/>
  <c r="A67" i="41" s="1"/>
  <c r="A68" i="41" s="1"/>
  <c r="A69" i="41" s="1"/>
  <c r="A70" i="41" s="1"/>
  <c r="A60" i="41"/>
  <c r="A61" i="41"/>
  <c r="A62" i="41" s="1"/>
  <c r="A63" i="41" s="1"/>
  <c r="A64" i="41" s="1"/>
  <c r="A65" i="41" s="1"/>
  <c r="P59" i="41"/>
  <c r="O59" i="41"/>
  <c r="N59" i="41"/>
  <c r="N92" i="41"/>
  <c r="M59" i="41"/>
  <c r="M92" i="41" s="1"/>
  <c r="L59" i="41"/>
  <c r="L92" i="41" s="1"/>
  <c r="K59" i="41"/>
  <c r="K92" i="41" s="1"/>
  <c r="J59" i="41"/>
  <c r="J92" i="41" s="1"/>
  <c r="I59" i="41"/>
  <c r="I92" i="41" s="1"/>
  <c r="H59" i="41"/>
  <c r="G59" i="41"/>
  <c r="G92" i="41" s="1"/>
  <c r="F59" i="41"/>
  <c r="F92" i="41"/>
  <c r="E59" i="41"/>
  <c r="E92" i="41"/>
  <c r="P58" i="41"/>
  <c r="T58" i="41"/>
  <c r="O58" i="41"/>
  <c r="O91" i="41"/>
  <c r="N58" i="41"/>
  <c r="N91" i="41"/>
  <c r="M58" i="41"/>
  <c r="M91" i="41"/>
  <c r="L58" i="41"/>
  <c r="L91" i="41"/>
  <c r="J58" i="41"/>
  <c r="J91" i="41"/>
  <c r="I58" i="41"/>
  <c r="I91" i="41"/>
  <c r="H58" i="41"/>
  <c r="H91" i="41"/>
  <c r="G58" i="41"/>
  <c r="G91" i="41"/>
  <c r="F58" i="41"/>
  <c r="F91" i="41"/>
  <c r="E58" i="41"/>
  <c r="E91" i="41"/>
  <c r="D57" i="41"/>
  <c r="D90" i="41"/>
  <c r="P49" i="41"/>
  <c r="T49" i="41"/>
  <c r="O49" i="41"/>
  <c r="N49" i="41"/>
  <c r="M49" i="41"/>
  <c r="L49" i="41"/>
  <c r="K49" i="41"/>
  <c r="J49" i="41"/>
  <c r="I49" i="41"/>
  <c r="H49" i="41"/>
  <c r="G49" i="41"/>
  <c r="F49" i="41"/>
  <c r="E49" i="41"/>
  <c r="Q49" i="41"/>
  <c r="R49" i="41" s="1"/>
  <c r="V49" i="41"/>
  <c r="T48" i="41"/>
  <c r="R48" i="41"/>
  <c r="V48" i="41" s="1"/>
  <c r="Q48" i="41"/>
  <c r="A51" i="41"/>
  <c r="A52" i="41" s="1"/>
  <c r="A53" i="41" s="1"/>
  <c r="A54" i="41" s="1"/>
  <c r="A55" i="41" s="1"/>
  <c r="A56" i="41" s="1"/>
  <c r="A57" i="41" s="1"/>
  <c r="A58" i="41" s="1"/>
  <c r="A45" i="41"/>
  <c r="A46" i="41" s="1"/>
  <c r="A47" i="41" s="1"/>
  <c r="A48" i="41" s="1"/>
  <c r="A49" i="41" s="1"/>
  <c r="A50" i="41" s="1"/>
  <c r="T44" i="41"/>
  <c r="Q44" i="41"/>
  <c r="R44" i="41" s="1"/>
  <c r="V44" i="41" s="1"/>
  <c r="A44" i="41"/>
  <c r="T43" i="41"/>
  <c r="K43" i="41"/>
  <c r="Q43" i="41" s="1"/>
  <c r="R43" i="41" s="1"/>
  <c r="V43" i="41" s="1"/>
  <c r="C36" i="41"/>
  <c r="T35" i="41"/>
  <c r="P35" i="41"/>
  <c r="O35" i="41"/>
  <c r="O66" i="41" s="1"/>
  <c r="O99" i="41" s="1"/>
  <c r="N35" i="41"/>
  <c r="M35" i="41"/>
  <c r="M66" i="41" s="1"/>
  <c r="M99" i="41" s="1"/>
  <c r="L35" i="41"/>
  <c r="K35" i="41"/>
  <c r="J35" i="41"/>
  <c r="I35" i="41"/>
  <c r="I66" i="41" s="1"/>
  <c r="I99" i="41" s="1"/>
  <c r="H35" i="41"/>
  <c r="G35" i="41"/>
  <c r="F35" i="41"/>
  <c r="E35" i="41"/>
  <c r="Q35" i="41" s="1"/>
  <c r="R35" i="41" s="1"/>
  <c r="V35" i="41" s="1"/>
  <c r="T34" i="41"/>
  <c r="V34" i="41" s="1"/>
  <c r="R34" i="41"/>
  <c r="Q34" i="41"/>
  <c r="T30" i="41"/>
  <c r="Q30" i="41"/>
  <c r="R30" i="41"/>
  <c r="T29" i="41"/>
  <c r="K29" i="41"/>
  <c r="Q29" i="41" s="1"/>
  <c r="R29" i="41" s="1"/>
  <c r="V29" i="41" s="1"/>
  <c r="P21" i="41"/>
  <c r="O21" i="41"/>
  <c r="N21" i="41"/>
  <c r="N66" i="41" s="1"/>
  <c r="N99" i="41" s="1"/>
  <c r="M21" i="41"/>
  <c r="L21" i="41"/>
  <c r="K21" i="41"/>
  <c r="K66" i="41"/>
  <c r="K99" i="41" s="1"/>
  <c r="J21" i="41"/>
  <c r="J66" i="41" s="1"/>
  <c r="J99" i="41"/>
  <c r="I21" i="41"/>
  <c r="H21" i="41"/>
  <c r="G21" i="41"/>
  <c r="G66" i="41"/>
  <c r="G99" i="41" s="1"/>
  <c r="F21" i="41"/>
  <c r="F66" i="41" s="1"/>
  <c r="F99" i="41"/>
  <c r="E21" i="41"/>
  <c r="E66" i="41"/>
  <c r="T20" i="41"/>
  <c r="V20" i="41"/>
  <c r="Q20" i="41"/>
  <c r="R20" i="41" s="1"/>
  <c r="T16" i="41"/>
  <c r="Q16" i="41"/>
  <c r="R16" i="41"/>
  <c r="V16" i="41" s="1"/>
  <c r="A23" i="4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T15" i="41"/>
  <c r="K15" i="41"/>
  <c r="Q15" i="41" s="1"/>
  <c r="R15" i="41" s="1"/>
  <c r="V15" i="41" s="1"/>
  <c r="A14" i="41"/>
  <c r="A15" i="41" s="1"/>
  <c r="A16" i="41" s="1"/>
  <c r="A17" i="41" s="1"/>
  <c r="A18" i="41" s="1"/>
  <c r="A19" i="41" s="1"/>
  <c r="A20" i="41" s="1"/>
  <c r="A21" i="41" s="1"/>
  <c r="A22" i="41" s="1"/>
  <c r="P76" i="32"/>
  <c r="O76" i="32"/>
  <c r="N76" i="32"/>
  <c r="M76" i="32"/>
  <c r="L76" i="32"/>
  <c r="K76" i="32"/>
  <c r="J76" i="32"/>
  <c r="I76" i="32"/>
  <c r="H76" i="32"/>
  <c r="G76" i="32"/>
  <c r="F76" i="32"/>
  <c r="E76" i="32"/>
  <c r="Y52" i="32"/>
  <c r="E91" i="42"/>
  <c r="V34" i="42"/>
  <c r="P91" i="42"/>
  <c r="T65" i="42"/>
  <c r="T91" i="42"/>
  <c r="V81" i="42"/>
  <c r="P92" i="41"/>
  <c r="T92" i="41" s="1"/>
  <c r="T59" i="41"/>
  <c r="Q65" i="41"/>
  <c r="R65" i="41" s="1"/>
  <c r="T91" i="41"/>
  <c r="V81" i="41"/>
  <c r="P76" i="26"/>
  <c r="O76" i="26"/>
  <c r="N76" i="26"/>
  <c r="M76" i="26"/>
  <c r="L76" i="26"/>
  <c r="J76" i="26"/>
  <c r="I76" i="26"/>
  <c r="K76" i="26"/>
  <c r="BE101" i="40"/>
  <c r="AC97" i="40"/>
  <c r="AJ94" i="40"/>
  <c r="R93" i="40"/>
  <c r="R92" i="40"/>
  <c r="N84" i="40"/>
  <c r="AM81" i="40"/>
  <c r="AC81" i="40"/>
  <c r="R81" i="40"/>
  <c r="AE80" i="40"/>
  <c r="AR78" i="40"/>
  <c r="O78" i="40"/>
  <c r="AO77" i="40"/>
  <c r="AJ77" i="40"/>
  <c r="AD77" i="40"/>
  <c r="Y77" i="40"/>
  <c r="T77" i="40"/>
  <c r="N77" i="40"/>
  <c r="I77" i="40"/>
  <c r="AL75" i="40"/>
  <c r="AK75" i="40"/>
  <c r="AJ75" i="40"/>
  <c r="AI75" i="40"/>
  <c r="AH75" i="40"/>
  <c r="AG75" i="40"/>
  <c r="AF75" i="40"/>
  <c r="AE75" i="40"/>
  <c r="AD75" i="40"/>
  <c r="AC75" i="40"/>
  <c r="AB75" i="40"/>
  <c r="AA75" i="40"/>
  <c r="Z75" i="40"/>
  <c r="Y75" i="40"/>
  <c r="X75" i="40"/>
  <c r="W75" i="40"/>
  <c r="V75" i="40"/>
  <c r="U75" i="40"/>
  <c r="T75" i="40"/>
  <c r="S75" i="40"/>
  <c r="R75" i="40"/>
  <c r="Q75" i="40"/>
  <c r="P75" i="40"/>
  <c r="O75" i="40"/>
  <c r="N75" i="40"/>
  <c r="M75" i="40"/>
  <c r="L75" i="40"/>
  <c r="K75" i="40"/>
  <c r="J75" i="40"/>
  <c r="J86" i="40" s="1"/>
  <c r="I75" i="40"/>
  <c r="H75" i="40"/>
  <c r="G75" i="40"/>
  <c r="F75" i="40"/>
  <c r="F86" i="40" s="1"/>
  <c r="E75" i="40"/>
  <c r="E86" i="40" s="1"/>
  <c r="E25" i="40" s="1"/>
  <c r="E88" i="40"/>
  <c r="D75" i="40"/>
  <c r="D86" i="40" s="1"/>
  <c r="D25" i="40" s="1"/>
  <c r="C75" i="40"/>
  <c r="F72" i="40"/>
  <c r="F24" i="40" s="1"/>
  <c r="E72" i="40"/>
  <c r="D72" i="40"/>
  <c r="D24" i="40" s="1"/>
  <c r="D26" i="40" s="1"/>
  <c r="C72" i="40"/>
  <c r="AV70" i="40"/>
  <c r="AQ70" i="40"/>
  <c r="AK70" i="40"/>
  <c r="AF70" i="40"/>
  <c r="AA70" i="40"/>
  <c r="U70" i="40"/>
  <c r="P70" i="40"/>
  <c r="AV69" i="40"/>
  <c r="AP69" i="40"/>
  <c r="AK69" i="40"/>
  <c r="AF69" i="40"/>
  <c r="Z69" i="40"/>
  <c r="U69" i="40"/>
  <c r="P69" i="40"/>
  <c r="AO68" i="40"/>
  <c r="S68" i="40"/>
  <c r="AN66" i="40"/>
  <c r="S66" i="40"/>
  <c r="AP65" i="40"/>
  <c r="AN65" i="40"/>
  <c r="AJ65" i="40"/>
  <c r="AF65" i="40"/>
  <c r="AC65" i="40"/>
  <c r="Y65" i="40"/>
  <c r="U65" i="40"/>
  <c r="R65" i="40"/>
  <c r="N65" i="40"/>
  <c r="J65" i="40"/>
  <c r="N64" i="40"/>
  <c r="N42" i="40"/>
  <c r="M42" i="40"/>
  <c r="L42" i="40"/>
  <c r="K42" i="40"/>
  <c r="J42" i="40"/>
  <c r="I42" i="40"/>
  <c r="H42" i="40"/>
  <c r="G42" i="40"/>
  <c r="F42" i="40"/>
  <c r="E42" i="40"/>
  <c r="D42" i="40"/>
  <c r="C42" i="40"/>
  <c r="P42" i="40"/>
  <c r="B42" i="40"/>
  <c r="B54" i="40" s="1"/>
  <c r="N41" i="40"/>
  <c r="M41" i="40"/>
  <c r="AT100" i="40" s="1"/>
  <c r="L41" i="40"/>
  <c r="K41" i="40"/>
  <c r="J41" i="40"/>
  <c r="I41" i="40"/>
  <c r="H41" i="40"/>
  <c r="AE95" i="40" s="1"/>
  <c r="G41" i="40"/>
  <c r="F41" i="40"/>
  <c r="E41" i="40"/>
  <c r="AH92" i="40" s="1"/>
  <c r="D41" i="40"/>
  <c r="C41" i="40"/>
  <c r="E26" i="40"/>
  <c r="E24" i="40"/>
  <c r="C24" i="40"/>
  <c r="N21" i="40"/>
  <c r="M21" i="40"/>
  <c r="L21" i="40"/>
  <c r="AB82" i="40" s="1"/>
  <c r="K21" i="40"/>
  <c r="AU81" i="40" s="1"/>
  <c r="J21" i="40"/>
  <c r="J80" i="40" s="1"/>
  <c r="I21" i="40"/>
  <c r="H21" i="40"/>
  <c r="G21" i="40"/>
  <c r="AN77" i="40" s="1"/>
  <c r="B21" i="40"/>
  <c r="C18" i="40"/>
  <c r="C23" i="40" s="1"/>
  <c r="N20" i="40"/>
  <c r="M20" i="40"/>
  <c r="AU70" i="40" s="1"/>
  <c r="L20" i="40"/>
  <c r="K20" i="40"/>
  <c r="J20" i="40"/>
  <c r="I20" i="40"/>
  <c r="AS65" i="40" s="1"/>
  <c r="H20" i="40"/>
  <c r="G20" i="40"/>
  <c r="B20" i="40"/>
  <c r="B23" i="40" s="1"/>
  <c r="J132" i="3"/>
  <c r="F33" i="3" s="1"/>
  <c r="Z46" i="3" s="1"/>
  <c r="F32" i="3"/>
  <c r="D75" i="26" s="1"/>
  <c r="E34" i="3"/>
  <c r="E33" i="3"/>
  <c r="O43" i="26" s="1"/>
  <c r="O58" i="26" s="1"/>
  <c r="O91" i="26" s="1"/>
  <c r="E32" i="3"/>
  <c r="D42" i="26" s="1"/>
  <c r="D45" i="26" s="1"/>
  <c r="D53" i="26" s="1"/>
  <c r="AS67" i="40"/>
  <c r="AO67" i="40"/>
  <c r="AK67" i="40"/>
  <c r="AG67" i="40"/>
  <c r="AC67" i="40"/>
  <c r="Y67" i="40"/>
  <c r="U67" i="40"/>
  <c r="Q67" i="40"/>
  <c r="M67" i="40"/>
  <c r="AQ67" i="40"/>
  <c r="AL67" i="40"/>
  <c r="AF67" i="40"/>
  <c r="AA67" i="40"/>
  <c r="V67" i="40"/>
  <c r="P67" i="40"/>
  <c r="K67" i="40"/>
  <c r="AR67" i="40"/>
  <c r="AM67" i="40"/>
  <c r="AH67" i="40"/>
  <c r="AB67" i="40"/>
  <c r="W67" i="40"/>
  <c r="R67" i="40"/>
  <c r="L67" i="40"/>
  <c r="AP79" i="40"/>
  <c r="AL79" i="40"/>
  <c r="AH79" i="40"/>
  <c r="AD79" i="40"/>
  <c r="Z79" i="40"/>
  <c r="V79" i="40"/>
  <c r="R79" i="40"/>
  <c r="N79" i="40"/>
  <c r="J79" i="40"/>
  <c r="AQ79" i="40"/>
  <c r="AK79" i="40"/>
  <c r="AF79" i="40"/>
  <c r="AA79" i="40"/>
  <c r="U79" i="40"/>
  <c r="P79" i="40"/>
  <c r="K79" i="40"/>
  <c r="AS79" i="40"/>
  <c r="AN79" i="40"/>
  <c r="AI79" i="40"/>
  <c r="AC79" i="40"/>
  <c r="X79" i="40"/>
  <c r="S79" i="40"/>
  <c r="M79" i="40"/>
  <c r="AO79" i="40"/>
  <c r="AE79" i="40"/>
  <c r="T79" i="40"/>
  <c r="I79" i="40"/>
  <c r="AR79" i="40"/>
  <c r="AG79" i="40"/>
  <c r="W79" i="40"/>
  <c r="L79" i="40"/>
  <c r="H63" i="40"/>
  <c r="AN63" i="40"/>
  <c r="X67" i="40"/>
  <c r="AT67" i="40"/>
  <c r="AV68" i="40"/>
  <c r="AN68" i="40"/>
  <c r="AF68" i="40"/>
  <c r="X68" i="40"/>
  <c r="T68" i="40"/>
  <c r="P68" i="40"/>
  <c r="AQ68" i="40"/>
  <c r="AL68" i="40"/>
  <c r="AG68" i="40"/>
  <c r="V68" i="40"/>
  <c r="Q68" i="40"/>
  <c r="AS68" i="40"/>
  <c r="AH68" i="40"/>
  <c r="AC68" i="40"/>
  <c r="W68" i="40"/>
  <c r="R68" i="40"/>
  <c r="M68" i="40"/>
  <c r="AS80" i="40"/>
  <c r="AO80" i="40"/>
  <c r="AK80" i="40"/>
  <c r="AG80" i="40"/>
  <c r="AC80" i="40"/>
  <c r="Y80" i="40"/>
  <c r="U80" i="40"/>
  <c r="Q80" i="40"/>
  <c r="M80" i="40"/>
  <c r="AQ80" i="40"/>
  <c r="AL80" i="40"/>
  <c r="AF80" i="40"/>
  <c r="AA80" i="40"/>
  <c r="V80" i="40"/>
  <c r="P80" i="40"/>
  <c r="K80" i="40"/>
  <c r="AT80" i="40"/>
  <c r="AN80" i="40"/>
  <c r="AI80" i="40"/>
  <c r="AD80" i="40"/>
  <c r="X80" i="40"/>
  <c r="S80" i="40"/>
  <c r="N80" i="40"/>
  <c r="AJ80" i="40"/>
  <c r="Z80" i="40"/>
  <c r="O80" i="40"/>
  <c r="AM80" i="40"/>
  <c r="AB80" i="40"/>
  <c r="R80" i="40"/>
  <c r="BC94" i="40"/>
  <c r="AY94" i="40"/>
  <c r="AU94" i="40"/>
  <c r="AQ94" i="40"/>
  <c r="AM94" i="40"/>
  <c r="AI94" i="40"/>
  <c r="AE94" i="40"/>
  <c r="AA94" i="40"/>
  <c r="BA94" i="40"/>
  <c r="AW94" i="40"/>
  <c r="AS94" i="40"/>
  <c r="AO94" i="40"/>
  <c r="AK94" i="40"/>
  <c r="AG94" i="40"/>
  <c r="AC94" i="40"/>
  <c r="Y94" i="40"/>
  <c r="U94" i="40"/>
  <c r="AV94" i="40"/>
  <c r="AN94" i="40"/>
  <c r="AF94" i="40"/>
  <c r="X94" i="40"/>
  <c r="S94" i="40"/>
  <c r="AZ94" i="40"/>
  <c r="AP94" i="40"/>
  <c r="AD94" i="40"/>
  <c r="V94" i="40"/>
  <c r="BB94" i="40"/>
  <c r="AR94" i="40"/>
  <c r="AH94" i="40"/>
  <c r="W94" i="40"/>
  <c r="AX94" i="40"/>
  <c r="AB94" i="40"/>
  <c r="AL94" i="40"/>
  <c r="T94" i="40"/>
  <c r="AT94" i="40"/>
  <c r="AC64" i="40"/>
  <c r="O67" i="40"/>
  <c r="AU67" i="40"/>
  <c r="AE68" i="40"/>
  <c r="AB79" i="40"/>
  <c r="BL79" i="40" s="1"/>
  <c r="AH80" i="40"/>
  <c r="BB95" i="40"/>
  <c r="AX95" i="40"/>
  <c r="AT95" i="40"/>
  <c r="AP95" i="40"/>
  <c r="AL95" i="40"/>
  <c r="AH95" i="40"/>
  <c r="AD95" i="40"/>
  <c r="Z95" i="40"/>
  <c r="V95" i="40"/>
  <c r="BD95" i="40"/>
  <c r="AZ95" i="40"/>
  <c r="AV95" i="40"/>
  <c r="AR95" i="40"/>
  <c r="AN95" i="40"/>
  <c r="AJ95" i="40"/>
  <c r="AF95" i="40"/>
  <c r="AB95" i="40"/>
  <c r="X95" i="40"/>
  <c r="T95" i="40"/>
  <c r="AW95" i="40"/>
  <c r="AY95" i="40"/>
  <c r="AQ95" i="40"/>
  <c r="AI95" i="40"/>
  <c r="AA95" i="40"/>
  <c r="AU95" i="40"/>
  <c r="AK95" i="40"/>
  <c r="Y95" i="40"/>
  <c r="BA95" i="40"/>
  <c r="AM95" i="40"/>
  <c r="AC95" i="40"/>
  <c r="AG95" i="40"/>
  <c r="AS95" i="40"/>
  <c r="W95" i="40"/>
  <c r="BC95" i="40"/>
  <c r="U95" i="40"/>
  <c r="BF99" i="40"/>
  <c r="BB99" i="40"/>
  <c r="AX99" i="40"/>
  <c r="AT99" i="40"/>
  <c r="AP99" i="40"/>
  <c r="AL99" i="40"/>
  <c r="AH99" i="40"/>
  <c r="AD99" i="40"/>
  <c r="Z99" i="40"/>
  <c r="BH99" i="40"/>
  <c r="BD99" i="40"/>
  <c r="AZ99" i="40"/>
  <c r="AV99" i="40"/>
  <c r="AR99" i="40"/>
  <c r="AN99" i="40"/>
  <c r="AJ99" i="40"/>
  <c r="AF99" i="40"/>
  <c r="AB99" i="40"/>
  <c r="X99" i="40"/>
  <c r="BA99" i="40"/>
  <c r="AS99" i="40"/>
  <c r="AK99" i="40"/>
  <c r="AC99" i="40"/>
  <c r="BC99" i="40"/>
  <c r="AU99" i="40"/>
  <c r="AM99" i="40"/>
  <c r="AE99" i="40"/>
  <c r="BG99" i="40"/>
  <c r="AQ99" i="40"/>
  <c r="AA99" i="40"/>
  <c r="AW99" i="40"/>
  <c r="AG99" i="40"/>
  <c r="AO99" i="40"/>
  <c r="BE99" i="40"/>
  <c r="Y99" i="40"/>
  <c r="AI99" i="40"/>
  <c r="AY99" i="40"/>
  <c r="B30" i="40"/>
  <c r="AT66" i="40"/>
  <c r="AP66" i="40"/>
  <c r="AL66" i="40"/>
  <c r="AH66" i="40"/>
  <c r="AD66" i="40"/>
  <c r="Z66" i="40"/>
  <c r="V66" i="40"/>
  <c r="R66" i="40"/>
  <c r="N66" i="40"/>
  <c r="J66" i="40"/>
  <c r="AQ66" i="40"/>
  <c r="AK66" i="40"/>
  <c r="AF66" i="40"/>
  <c r="AA66" i="40"/>
  <c r="U66" i="40"/>
  <c r="P66" i="40"/>
  <c r="K66" i="40"/>
  <c r="AR66" i="40"/>
  <c r="AM66" i="40"/>
  <c r="AG66" i="40"/>
  <c r="AB66" i="40"/>
  <c r="W66" i="40"/>
  <c r="Q66" i="40"/>
  <c r="L66" i="40"/>
  <c r="AQ78" i="40"/>
  <c r="AM78" i="40"/>
  <c r="AI78" i="40"/>
  <c r="AP78" i="40"/>
  <c r="AK78" i="40"/>
  <c r="AF78" i="40"/>
  <c r="AB78" i="40"/>
  <c r="AN78" i="40"/>
  <c r="AH78" i="40"/>
  <c r="AD78" i="40"/>
  <c r="Z78" i="40"/>
  <c r="V78" i="40"/>
  <c r="R78" i="40"/>
  <c r="N78" i="40"/>
  <c r="J78" i="40"/>
  <c r="AJ78" i="40"/>
  <c r="AA78" i="40"/>
  <c r="U78" i="40"/>
  <c r="U105" i="40" s="1"/>
  <c r="I49" i="40" s="1"/>
  <c r="P78" i="40"/>
  <c r="K78" i="40"/>
  <c r="AL78" i="40"/>
  <c r="AC78" i="40"/>
  <c r="W78" i="40"/>
  <c r="Q78" i="40"/>
  <c r="L78" i="40"/>
  <c r="AT82" i="40"/>
  <c r="AP82" i="40"/>
  <c r="AL82" i="40"/>
  <c r="AH82" i="40"/>
  <c r="AD82" i="40"/>
  <c r="Z82" i="40"/>
  <c r="V82" i="40"/>
  <c r="R82" i="40"/>
  <c r="AU82" i="40"/>
  <c r="AQ82" i="40"/>
  <c r="AM82" i="40"/>
  <c r="AI82" i="40"/>
  <c r="AE82" i="40"/>
  <c r="AA82" i="40"/>
  <c r="W82" i="40"/>
  <c r="S82" i="40"/>
  <c r="O82" i="40"/>
  <c r="AO82" i="40"/>
  <c r="AG82" i="40"/>
  <c r="Y82" i="40"/>
  <c r="Q82" i="40"/>
  <c r="L82" i="40"/>
  <c r="AS82" i="40"/>
  <c r="AK82" i="40"/>
  <c r="AC82" i="40"/>
  <c r="U82" i="40"/>
  <c r="N82" i="40"/>
  <c r="AV82" i="40"/>
  <c r="AF82" i="40"/>
  <c r="P82" i="40"/>
  <c r="AJ82" i="40"/>
  <c r="T82" i="40"/>
  <c r="BA92" i="40"/>
  <c r="AW92" i="40"/>
  <c r="AS92" i="40"/>
  <c r="AO92" i="40"/>
  <c r="AK92" i="40"/>
  <c r="AG92" i="40"/>
  <c r="AC92" i="40"/>
  <c r="Y92" i="40"/>
  <c r="U92" i="40"/>
  <c r="Q92" i="40"/>
  <c r="AZ92" i="40"/>
  <c r="AU92" i="40"/>
  <c r="AP92" i="40"/>
  <c r="AJ92" i="40"/>
  <c r="AE92" i="40"/>
  <c r="Z92" i="40"/>
  <c r="T92" i="40"/>
  <c r="AV92" i="40"/>
  <c r="AQ92" i="40"/>
  <c r="AL92" i="40"/>
  <c r="AF92" i="40"/>
  <c r="AA92" i="40"/>
  <c r="V92" i="40"/>
  <c r="AT92" i="40"/>
  <c r="AI92" i="40"/>
  <c r="X92" i="40"/>
  <c r="AY92" i="40"/>
  <c r="AN92" i="40"/>
  <c r="AD92" i="40"/>
  <c r="S92" i="40"/>
  <c r="AR92" i="40"/>
  <c r="W92" i="40"/>
  <c r="AX92" i="40"/>
  <c r="AB92" i="40"/>
  <c r="BE96" i="40"/>
  <c r="BA96" i="40"/>
  <c r="AW96" i="40"/>
  <c r="AS96" i="40"/>
  <c r="AO96" i="40"/>
  <c r="AK96" i="40"/>
  <c r="AG96" i="40"/>
  <c r="AC96" i="40"/>
  <c r="Y96" i="40"/>
  <c r="U96" i="40"/>
  <c r="BC96" i="40"/>
  <c r="AY96" i="40"/>
  <c r="AU96" i="40"/>
  <c r="AQ96" i="40"/>
  <c r="AM96" i="40"/>
  <c r="AI96" i="40"/>
  <c r="AE96" i="40"/>
  <c r="AA96" i="40"/>
  <c r="W96" i="40"/>
  <c r="AZ96" i="40"/>
  <c r="AR96" i="40"/>
  <c r="AJ96" i="40"/>
  <c r="AB96" i="40"/>
  <c r="BB96" i="40"/>
  <c r="AT96" i="40"/>
  <c r="AL96" i="40"/>
  <c r="AD96" i="40"/>
  <c r="V96" i="40"/>
  <c r="AP96" i="40"/>
  <c r="Z96" i="40"/>
  <c r="AV96" i="40"/>
  <c r="AF96" i="40"/>
  <c r="BD96" i="40"/>
  <c r="X96" i="40"/>
  <c r="AN96" i="40"/>
  <c r="AH96" i="40"/>
  <c r="BI100" i="40"/>
  <c r="BE100" i="40"/>
  <c r="BA100" i="40"/>
  <c r="AW100" i="40"/>
  <c r="AS100" i="40"/>
  <c r="AO100" i="40"/>
  <c r="AK100" i="40"/>
  <c r="AG100" i="40"/>
  <c r="AC100" i="40"/>
  <c r="Y100" i="40"/>
  <c r="BG100" i="40"/>
  <c r="BC100" i="40"/>
  <c r="AY100" i="40"/>
  <c r="AU100" i="40"/>
  <c r="AQ100" i="40"/>
  <c r="AM100" i="40"/>
  <c r="AI100" i="40"/>
  <c r="AE100" i="40"/>
  <c r="AA100" i="40"/>
  <c r="BD100" i="40"/>
  <c r="AV100" i="40"/>
  <c r="AN100" i="40"/>
  <c r="AF100" i="40"/>
  <c r="BF100" i="40"/>
  <c r="AX100" i="40"/>
  <c r="AP100" i="40"/>
  <c r="AH100" i="40"/>
  <c r="Z100" i="40"/>
  <c r="BB100" i="40"/>
  <c r="AL100" i="40"/>
  <c r="BH100" i="40"/>
  <c r="AR100" i="40"/>
  <c r="AB100" i="40"/>
  <c r="AJ100" i="40"/>
  <c r="AZ100" i="40"/>
  <c r="G63" i="40"/>
  <c r="M64" i="40"/>
  <c r="W64" i="40"/>
  <c r="O66" i="40"/>
  <c r="Y66" i="40"/>
  <c r="AJ66" i="40"/>
  <c r="T67" i="40"/>
  <c r="AE67" i="40"/>
  <c r="AP67" i="40"/>
  <c r="O68" i="40"/>
  <c r="Z68" i="40"/>
  <c r="AK68" i="40"/>
  <c r="AU68" i="40"/>
  <c r="I78" i="40"/>
  <c r="T78" i="40"/>
  <c r="AG78" i="40"/>
  <c r="Q79" i="40"/>
  <c r="AM79" i="40"/>
  <c r="W80" i="40"/>
  <c r="BL80" i="40" s="1"/>
  <c r="AR80" i="40"/>
  <c r="M82" i="40"/>
  <c r="AR82" i="40"/>
  <c r="Z94" i="40"/>
  <c r="AX96" i="40"/>
  <c r="AD100" i="40"/>
  <c r="AK63" i="40"/>
  <c r="AC63" i="40"/>
  <c r="M63" i="40"/>
  <c r="AJ63" i="40"/>
  <c r="AQ63" i="40"/>
  <c r="V63" i="40"/>
  <c r="K63" i="40"/>
  <c r="K72" i="40" s="1"/>
  <c r="K24" i="40"/>
  <c r="T63" i="40"/>
  <c r="P20" i="40"/>
  <c r="AS83" i="40"/>
  <c r="AC83" i="40"/>
  <c r="U83" i="40"/>
  <c r="M83" i="40"/>
  <c r="AH83" i="40"/>
  <c r="Z83" i="40"/>
  <c r="R83" i="40"/>
  <c r="AR83" i="40"/>
  <c r="AB83" i="40"/>
  <c r="AV83" i="40"/>
  <c r="P83" i="40"/>
  <c r="AA83" i="40"/>
  <c r="AE83" i="40"/>
  <c r="N67" i="40"/>
  <c r="AI67" i="40"/>
  <c r="Y79" i="40"/>
  <c r="S83" i="40"/>
  <c r="AR64" i="40"/>
  <c r="AN64" i="40"/>
  <c r="AJ64" i="40"/>
  <c r="AF64" i="40"/>
  <c r="AB64" i="40"/>
  <c r="X64" i="40"/>
  <c r="T64" i="40"/>
  <c r="P64" i="40"/>
  <c r="L64" i="40"/>
  <c r="H64" i="40"/>
  <c r="AK64" i="40"/>
  <c r="AE64" i="40"/>
  <c r="O64" i="40"/>
  <c r="AQ64" i="40"/>
  <c r="AL64" i="40"/>
  <c r="AG64" i="40"/>
  <c r="AA64" i="40"/>
  <c r="V64" i="40"/>
  <c r="Q64" i="40"/>
  <c r="K64" i="40"/>
  <c r="AP64" i="40"/>
  <c r="Z64" i="40"/>
  <c r="U64" i="40"/>
  <c r="J64" i="40"/>
  <c r="AV84" i="40"/>
  <c r="AR84" i="40"/>
  <c r="AN84" i="40"/>
  <c r="AJ84" i="40"/>
  <c r="AF84" i="40"/>
  <c r="AB84" i="40"/>
  <c r="X84" i="40"/>
  <c r="T84" i="40"/>
  <c r="P84" i="40"/>
  <c r="AW84" i="40"/>
  <c r="AS84" i="40"/>
  <c r="AO84" i="40"/>
  <c r="AK84" i="40"/>
  <c r="AG84" i="40"/>
  <c r="AC84" i="40"/>
  <c r="Y84" i="40"/>
  <c r="U84" i="40"/>
  <c r="Q84" i="40"/>
  <c r="AU84" i="40"/>
  <c r="AM84" i="40"/>
  <c r="AE84" i="40"/>
  <c r="W84" i="40"/>
  <c r="O84" i="40"/>
  <c r="AQ84" i="40"/>
  <c r="AI84" i="40"/>
  <c r="AA84" i="40"/>
  <c r="S84" i="40"/>
  <c r="AL84" i="40"/>
  <c r="V84" i="40"/>
  <c r="AP84" i="40"/>
  <c r="Z84" i="40"/>
  <c r="O90" i="40"/>
  <c r="AF90" i="40"/>
  <c r="X90" i="40"/>
  <c r="BG98" i="40"/>
  <c r="BC98" i="40"/>
  <c r="AY98" i="40"/>
  <c r="AU98" i="40"/>
  <c r="AQ98" i="40"/>
  <c r="AM98" i="40"/>
  <c r="AI98" i="40"/>
  <c r="AE98" i="40"/>
  <c r="AA98" i="40"/>
  <c r="W98" i="40"/>
  <c r="BE98" i="40"/>
  <c r="BA98" i="40"/>
  <c r="AW98" i="40"/>
  <c r="AS98" i="40"/>
  <c r="AO98" i="40"/>
  <c r="AK98" i="40"/>
  <c r="AG98" i="40"/>
  <c r="AC98" i="40"/>
  <c r="Y98" i="40"/>
  <c r="BF98" i="40"/>
  <c r="AX98" i="40"/>
  <c r="AP98" i="40"/>
  <c r="AH98" i="40"/>
  <c r="Z98" i="40"/>
  <c r="AZ98" i="40"/>
  <c r="AR98" i="40"/>
  <c r="AJ98" i="40"/>
  <c r="AB98" i="40"/>
  <c r="AV98" i="40"/>
  <c r="AF98" i="40"/>
  <c r="BB98" i="40"/>
  <c r="AL98" i="40"/>
  <c r="AT98" i="40"/>
  <c r="AD98" i="40"/>
  <c r="X98" i="40"/>
  <c r="AH63" i="40"/>
  <c r="R64" i="40"/>
  <c r="AM64" i="40"/>
  <c r="Z67" i="40"/>
  <c r="AJ67" i="40"/>
  <c r="U68" i="40"/>
  <c r="AP68" i="40"/>
  <c r="L80" i="40"/>
  <c r="W83" i="40"/>
  <c r="R84" i="40"/>
  <c r="AX84" i="40"/>
  <c r="AN98" i="40"/>
  <c r="AX91" i="40"/>
  <c r="AT91" i="40"/>
  <c r="AP91" i="40"/>
  <c r="AL91" i="40"/>
  <c r="AH91" i="40"/>
  <c r="AD91" i="40"/>
  <c r="Z91" i="40"/>
  <c r="V91" i="40"/>
  <c r="R91" i="40"/>
  <c r="AZ91" i="40"/>
  <c r="AU91" i="40"/>
  <c r="AO91" i="40"/>
  <c r="AJ91" i="40"/>
  <c r="AE91" i="40"/>
  <c r="Y91" i="40"/>
  <c r="T91" i="40"/>
  <c r="AV91" i="40"/>
  <c r="AQ91" i="40"/>
  <c r="AK91" i="40"/>
  <c r="AF91" i="40"/>
  <c r="AA91" i="40"/>
  <c r="U91" i="40"/>
  <c r="P91" i="40"/>
  <c r="AY91" i="40"/>
  <c r="AN91" i="40"/>
  <c r="AC91" i="40"/>
  <c r="S91" i="40"/>
  <c r="AS91" i="40"/>
  <c r="AI91" i="40"/>
  <c r="X91" i="40"/>
  <c r="AM91" i="40"/>
  <c r="Q91" i="40"/>
  <c r="AR91" i="40"/>
  <c r="W91" i="40"/>
  <c r="X63" i="40"/>
  <c r="I64" i="40"/>
  <c r="S64" i="40"/>
  <c r="AD64" i="40"/>
  <c r="AO64" i="40"/>
  <c r="M66" i="40"/>
  <c r="X66" i="40"/>
  <c r="AI66" i="40"/>
  <c r="AS66" i="40"/>
  <c r="S67" i="40"/>
  <c r="AD67" i="40"/>
  <c r="AN67" i="40"/>
  <c r="N68" i="40"/>
  <c r="Y68" i="40"/>
  <c r="AI68" i="40"/>
  <c r="AT68" i="40"/>
  <c r="I86" i="40"/>
  <c r="H78" i="40"/>
  <c r="S78" i="40"/>
  <c r="AE78" i="40"/>
  <c r="O79" i="40"/>
  <c r="AJ79" i="40"/>
  <c r="T80" i="40"/>
  <c r="AP80" i="40"/>
  <c r="AN82" i="40"/>
  <c r="AD84" i="40"/>
  <c r="AG91" i="40"/>
  <c r="AM92" i="40"/>
  <c r="AO95" i="40"/>
  <c r="BD98" i="40"/>
  <c r="AQ65" i="40"/>
  <c r="AM65" i="40"/>
  <c r="AI65" i="40"/>
  <c r="AE65" i="40"/>
  <c r="AA65" i="40"/>
  <c r="W65" i="40"/>
  <c r="S65" i="40"/>
  <c r="O65" i="40"/>
  <c r="K65" i="40"/>
  <c r="AX70" i="40"/>
  <c r="AT70" i="40"/>
  <c r="AP70" i="40"/>
  <c r="AL70" i="40"/>
  <c r="AH70" i="40"/>
  <c r="AD70" i="40"/>
  <c r="Z70" i="40"/>
  <c r="V70" i="40"/>
  <c r="R70" i="40"/>
  <c r="N70" i="40"/>
  <c r="AU69" i="40"/>
  <c r="AQ69" i="40"/>
  <c r="AM69" i="40"/>
  <c r="AI69" i="40"/>
  <c r="AE69" i="40"/>
  <c r="AA69" i="40"/>
  <c r="W69" i="40"/>
  <c r="S69" i="40"/>
  <c r="O69" i="40"/>
  <c r="AQ77" i="40"/>
  <c r="AM77" i="40"/>
  <c r="AI77" i="40"/>
  <c r="AE77" i="40"/>
  <c r="AA77" i="40"/>
  <c r="W77" i="40"/>
  <c r="S77" i="40"/>
  <c r="O77" i="40"/>
  <c r="K77" i="40"/>
  <c r="K86" i="40" s="1"/>
  <c r="G77" i="40"/>
  <c r="AR81" i="40"/>
  <c r="AN81" i="40"/>
  <c r="AJ81" i="40"/>
  <c r="AF81" i="40"/>
  <c r="AB81" i="40"/>
  <c r="X81" i="40"/>
  <c r="T81" i="40"/>
  <c r="P81" i="40"/>
  <c r="L81" i="40"/>
  <c r="L86" i="40"/>
  <c r="AQ81" i="40"/>
  <c r="AL81" i="40"/>
  <c r="AG81" i="40"/>
  <c r="AA81" i="40"/>
  <c r="V81" i="40"/>
  <c r="Q81" i="40"/>
  <c r="K81" i="40"/>
  <c r="AT81" i="40"/>
  <c r="AO81" i="40"/>
  <c r="AI81" i="40"/>
  <c r="AD81" i="40"/>
  <c r="Y81" i="40"/>
  <c r="S81" i="40"/>
  <c r="N81" i="40"/>
  <c r="AZ93" i="40"/>
  <c r="AV93" i="40"/>
  <c r="AR93" i="40"/>
  <c r="AN93" i="40"/>
  <c r="AJ93" i="40"/>
  <c r="AF93" i="40"/>
  <c r="AB93" i="40"/>
  <c r="X93" i="40"/>
  <c r="T93" i="40"/>
  <c r="BA93" i="40"/>
  <c r="AU93" i="40"/>
  <c r="AP93" i="40"/>
  <c r="AK93" i="40"/>
  <c r="AE93" i="40"/>
  <c r="Z93" i="40"/>
  <c r="U93" i="40"/>
  <c r="BB93" i="40"/>
  <c r="AW93" i="40"/>
  <c r="AQ93" i="40"/>
  <c r="AL93" i="40"/>
  <c r="AG93" i="40"/>
  <c r="AA93" i="40"/>
  <c r="V93" i="40"/>
  <c r="AY93" i="40"/>
  <c r="AO93" i="40"/>
  <c r="AD93" i="40"/>
  <c r="S93" i="40"/>
  <c r="AT93" i="40"/>
  <c r="AI93" i="40"/>
  <c r="Y93" i="40"/>
  <c r="BD97" i="40"/>
  <c r="AZ97" i="40"/>
  <c r="AV97" i="40"/>
  <c r="AR97" i="40"/>
  <c r="AN97" i="40"/>
  <c r="AJ97" i="40"/>
  <c r="AF97" i="40"/>
  <c r="AB97" i="40"/>
  <c r="X97" i="40"/>
  <c r="BF97" i="40"/>
  <c r="BB97" i="40"/>
  <c r="AX97" i="40"/>
  <c r="AT97" i="40"/>
  <c r="AP97" i="40"/>
  <c r="AL97" i="40"/>
  <c r="AH97" i="40"/>
  <c r="AD97" i="40"/>
  <c r="Z97" i="40"/>
  <c r="V97" i="40"/>
  <c r="BC97" i="40"/>
  <c r="AU97" i="40"/>
  <c r="AM97" i="40"/>
  <c r="AE97" i="40"/>
  <c r="W97" i="40"/>
  <c r="BE97" i="40"/>
  <c r="AW97" i="40"/>
  <c r="AO97" i="40"/>
  <c r="AG97" i="40"/>
  <c r="Y97" i="40"/>
  <c r="BA97" i="40"/>
  <c r="AK97" i="40"/>
  <c r="AQ97" i="40"/>
  <c r="AA97" i="40"/>
  <c r="AY97" i="40"/>
  <c r="AI97" i="40"/>
  <c r="BH101" i="40"/>
  <c r="BD101" i="40"/>
  <c r="AZ101" i="40"/>
  <c r="AV101" i="40"/>
  <c r="AR101" i="40"/>
  <c r="AN101" i="40"/>
  <c r="AJ101" i="40"/>
  <c r="AF101" i="40"/>
  <c r="AB101" i="40"/>
  <c r="BJ101" i="40"/>
  <c r="BF101" i="40"/>
  <c r="BB101" i="40"/>
  <c r="AX101" i="40"/>
  <c r="AT101" i="40"/>
  <c r="AP101" i="40"/>
  <c r="AL101" i="40"/>
  <c r="AH101" i="40"/>
  <c r="AD101" i="40"/>
  <c r="Z101" i="40"/>
  <c r="BG101" i="40"/>
  <c r="AY101" i="40"/>
  <c r="AQ101" i="40"/>
  <c r="AI101" i="40"/>
  <c r="AA101" i="40"/>
  <c r="BI101" i="40"/>
  <c r="BA101" i="40"/>
  <c r="AS101" i="40"/>
  <c r="AK101" i="40"/>
  <c r="AC101" i="40"/>
  <c r="AW101" i="40"/>
  <c r="AG101" i="40"/>
  <c r="BC101" i="40"/>
  <c r="AM101" i="40"/>
  <c r="AE101" i="40"/>
  <c r="AU101" i="40"/>
  <c r="L65" i="40"/>
  <c r="Q65" i="40"/>
  <c r="V65" i="40"/>
  <c r="AB65" i="40"/>
  <c r="AG65" i="40"/>
  <c r="AL65" i="40"/>
  <c r="AR65" i="40"/>
  <c r="M69" i="40"/>
  <c r="R69" i="40"/>
  <c r="X69" i="40"/>
  <c r="AC69" i="40"/>
  <c r="AH69" i="40"/>
  <c r="AN69" i="40"/>
  <c r="AS69" i="40"/>
  <c r="S70" i="40"/>
  <c r="X70" i="40"/>
  <c r="AC70" i="40"/>
  <c r="AI70" i="40"/>
  <c r="AN70" i="40"/>
  <c r="AS70" i="40"/>
  <c r="L77" i="40"/>
  <c r="Q77" i="40"/>
  <c r="V77" i="40"/>
  <c r="AB77" i="40"/>
  <c r="AG77" i="40"/>
  <c r="AL77" i="40"/>
  <c r="M81" i="40"/>
  <c r="W81" i="40"/>
  <c r="AH81" i="40"/>
  <c r="AS81" i="40"/>
  <c r="AH93" i="40"/>
  <c r="AO101" i="40"/>
  <c r="Q69" i="40"/>
  <c r="V69" i="40"/>
  <c r="AB69" i="40"/>
  <c r="AG69" i="40"/>
  <c r="AL69" i="40"/>
  <c r="AR69" i="40"/>
  <c r="AW69" i="40"/>
  <c r="Q70" i="40"/>
  <c r="W70" i="40"/>
  <c r="AB70" i="40"/>
  <c r="AG70" i="40"/>
  <c r="AM70" i="40"/>
  <c r="AR70" i="40"/>
  <c r="AW70" i="40"/>
  <c r="J77" i="40"/>
  <c r="P77" i="40"/>
  <c r="U77" i="40"/>
  <c r="Z77" i="40"/>
  <c r="AF77" i="40"/>
  <c r="AK77" i="40"/>
  <c r="AP77" i="40"/>
  <c r="U81" i="40"/>
  <c r="AE81" i="40"/>
  <c r="AP81" i="40"/>
  <c r="AC93" i="40"/>
  <c r="AX93" i="40"/>
  <c r="AS97" i="40"/>
  <c r="K25" i="40"/>
  <c r="I25" i="40"/>
  <c r="BL92" i="40"/>
  <c r="BL96" i="40"/>
  <c r="F81" i="39"/>
  <c r="K149" i="38"/>
  <c r="J76" i="38" s="1"/>
  <c r="K119" i="37"/>
  <c r="K122" i="37" s="1"/>
  <c r="K123" i="37" s="1"/>
  <c r="K127" i="37" s="1"/>
  <c r="Q36" i="37" s="1"/>
  <c r="I107" i="3"/>
  <c r="I108" i="3" s="1"/>
  <c r="F82" i="39"/>
  <c r="F80" i="39"/>
  <c r="F76" i="39"/>
  <c r="F75" i="39"/>
  <c r="F74" i="39"/>
  <c r="F72" i="39"/>
  <c r="Q71" i="39"/>
  <c r="P71" i="39"/>
  <c r="O71" i="39"/>
  <c r="N71" i="39"/>
  <c r="M71" i="39"/>
  <c r="L71" i="39"/>
  <c r="K71" i="39"/>
  <c r="J71" i="39"/>
  <c r="H71" i="39"/>
  <c r="F67" i="39"/>
  <c r="F66" i="39"/>
  <c r="F65" i="39"/>
  <c r="F64" i="39"/>
  <c r="F63" i="39"/>
  <c r="Q61" i="39"/>
  <c r="P61" i="39"/>
  <c r="O61" i="39"/>
  <c r="N61" i="39"/>
  <c r="M61" i="39"/>
  <c r="L61" i="39"/>
  <c r="K61" i="39"/>
  <c r="J61" i="39"/>
  <c r="Q33" i="39"/>
  <c r="Q32" i="39"/>
  <c r="Q31" i="39"/>
  <c r="R154" i="39"/>
  <c r="Q82" i="39" s="1"/>
  <c r="Q154" i="39"/>
  <c r="P82" i="39" s="1"/>
  <c r="P154" i="39"/>
  <c r="O82" i="39" s="1"/>
  <c r="O154" i="39"/>
  <c r="N82" i="39" s="1"/>
  <c r="N154" i="39"/>
  <c r="M82" i="39" s="1"/>
  <c r="M154" i="39"/>
  <c r="L82" i="39"/>
  <c r="L154" i="39"/>
  <c r="K82" i="39" s="1"/>
  <c r="R153" i="39"/>
  <c r="Q81" i="39" s="1"/>
  <c r="Q153" i="39"/>
  <c r="P81" i="39" s="1"/>
  <c r="P153" i="39"/>
  <c r="O81" i="39" s="1"/>
  <c r="O153" i="39"/>
  <c r="N81" i="39" s="1"/>
  <c r="N153" i="39"/>
  <c r="M81" i="39" s="1"/>
  <c r="M153" i="39"/>
  <c r="L81" i="39" s="1"/>
  <c r="L153" i="39"/>
  <c r="K81" i="39" s="1"/>
  <c r="K153" i="39"/>
  <c r="J81" i="39" s="1"/>
  <c r="R152" i="39"/>
  <c r="Q80" i="39" s="1"/>
  <c r="Q152" i="39"/>
  <c r="P80" i="39" s="1"/>
  <c r="P152" i="39"/>
  <c r="O80" i="39" s="1"/>
  <c r="O152" i="39"/>
  <c r="N80" i="39" s="1"/>
  <c r="N152" i="39"/>
  <c r="M80" i="39" s="1"/>
  <c r="M152" i="39"/>
  <c r="L80" i="39" s="1"/>
  <c r="L152" i="39"/>
  <c r="K80" i="39"/>
  <c r="R149" i="39"/>
  <c r="Q76" i="39" s="1"/>
  <c r="Q149" i="39"/>
  <c r="P76" i="39" s="1"/>
  <c r="P149" i="39"/>
  <c r="O76" i="39" s="1"/>
  <c r="O149" i="39"/>
  <c r="N76" i="39" s="1"/>
  <c r="N149" i="39"/>
  <c r="M76" i="39" s="1"/>
  <c r="M149" i="39"/>
  <c r="L76" i="39" s="1"/>
  <c r="L149" i="39"/>
  <c r="K76" i="39" s="1"/>
  <c r="R148" i="39"/>
  <c r="Q75" i="39" s="1"/>
  <c r="Q148" i="39"/>
  <c r="P75" i="39" s="1"/>
  <c r="P148" i="39"/>
  <c r="O75" i="39" s="1"/>
  <c r="O148" i="39"/>
  <c r="N75" i="39" s="1"/>
  <c r="N148" i="39"/>
  <c r="M75" i="39" s="1"/>
  <c r="M148" i="39"/>
  <c r="L75" i="39" s="1"/>
  <c r="L148" i="39"/>
  <c r="K75" i="39" s="1"/>
  <c r="K148" i="39"/>
  <c r="J75" i="39" s="1"/>
  <c r="R147" i="39"/>
  <c r="R150" i="39" s="1"/>
  <c r="R151" i="39" s="1"/>
  <c r="R155" i="39" s="1"/>
  <c r="Q45" i="39" s="1"/>
  <c r="Q147" i="39"/>
  <c r="Q150" i="39" s="1"/>
  <c r="Q151" i="39" s="1"/>
  <c r="Q155" i="39" s="1"/>
  <c r="Q44" i="39" s="1"/>
  <c r="P147" i="39"/>
  <c r="P150" i="39" s="1"/>
  <c r="P151" i="39" s="1"/>
  <c r="P155" i="39" s="1"/>
  <c r="Q43" i="39" s="1"/>
  <c r="O147" i="39"/>
  <c r="N74" i="39" s="1"/>
  <c r="N77" i="39" s="1"/>
  <c r="N147" i="39"/>
  <c r="M74" i="39" s="1"/>
  <c r="M77" i="39" s="1"/>
  <c r="M79" i="39" s="1"/>
  <c r="M83" i="39" s="1"/>
  <c r="M147" i="39"/>
  <c r="L74" i="39"/>
  <c r="L77" i="39" s="1"/>
  <c r="L79" i="39" s="1"/>
  <c r="L83" i="39" s="1"/>
  <c r="L147" i="39"/>
  <c r="K74" i="39" s="1"/>
  <c r="K77" i="39" s="1"/>
  <c r="K79" i="39" s="1"/>
  <c r="K147" i="39"/>
  <c r="J74" i="39" s="1"/>
  <c r="J77" i="39" s="1"/>
  <c r="J79" i="39" s="1"/>
  <c r="J83" i="39" s="1"/>
  <c r="N111" i="39"/>
  <c r="I109" i="39"/>
  <c r="Q109" i="39" s="1"/>
  <c r="N117" i="39" s="1"/>
  <c r="I108" i="39"/>
  <c r="O108" i="39" s="1"/>
  <c r="O111" i="39" s="1"/>
  <c r="I98" i="39"/>
  <c r="K56" i="39"/>
  <c r="L56" i="39"/>
  <c r="K55" i="39"/>
  <c r="L55" i="39"/>
  <c r="K54" i="39"/>
  <c r="L54" i="39"/>
  <c r="AJ53" i="39"/>
  <c r="AI53" i="39"/>
  <c r="AH53" i="39"/>
  <c r="AG53" i="39"/>
  <c r="AE52" i="39"/>
  <c r="AE53" i="39" s="1"/>
  <c r="AF45" i="39"/>
  <c r="AE45" i="39"/>
  <c r="G45" i="39"/>
  <c r="G44" i="39"/>
  <c r="G43" i="39"/>
  <c r="G42" i="39"/>
  <c r="G41" i="39"/>
  <c r="E40" i="39"/>
  <c r="AD45" i="39" s="1"/>
  <c r="E39" i="39"/>
  <c r="AC45" i="39"/>
  <c r="B39" i="39"/>
  <c r="B40" i="39"/>
  <c r="B41" i="39" s="1"/>
  <c r="B42" i="39" s="1"/>
  <c r="AE38" i="39"/>
  <c r="E38" i="39"/>
  <c r="AB45" i="39" s="1"/>
  <c r="AE30" i="39"/>
  <c r="AC27" i="39"/>
  <c r="AD27" i="39" s="1"/>
  <c r="AE27" i="39" s="1"/>
  <c r="AF27" i="39" s="1"/>
  <c r="AG27" i="39" s="1"/>
  <c r="AH27" i="39" s="1"/>
  <c r="AI27" i="39" s="1"/>
  <c r="AJ27" i="39" s="1"/>
  <c r="AK27" i="39" s="1"/>
  <c r="AB27" i="39"/>
  <c r="R12" i="39"/>
  <c r="F82" i="38"/>
  <c r="F81" i="38"/>
  <c r="F80" i="38"/>
  <c r="F76" i="38"/>
  <c r="F75" i="38"/>
  <c r="F74" i="38"/>
  <c r="F72" i="38"/>
  <c r="Q71" i="38"/>
  <c r="P71" i="38"/>
  <c r="O71" i="38"/>
  <c r="N71" i="38"/>
  <c r="M71" i="38"/>
  <c r="L71" i="38"/>
  <c r="K71" i="38"/>
  <c r="J71" i="38"/>
  <c r="H71" i="38"/>
  <c r="F67" i="38"/>
  <c r="F66" i="38"/>
  <c r="F65" i="38"/>
  <c r="F64" i="38"/>
  <c r="F63" i="38"/>
  <c r="Q61" i="38"/>
  <c r="P61" i="38"/>
  <c r="O61" i="38"/>
  <c r="N61" i="38"/>
  <c r="M61" i="38"/>
  <c r="L61" i="38"/>
  <c r="K61" i="38"/>
  <c r="J61" i="38"/>
  <c r="R154" i="38"/>
  <c r="Q82" i="38" s="1"/>
  <c r="Q154" i="38"/>
  <c r="P82" i="38" s="1"/>
  <c r="P154" i="38"/>
  <c r="O82" i="38" s="1"/>
  <c r="O154" i="38"/>
  <c r="N82" i="38" s="1"/>
  <c r="N154" i="38"/>
  <c r="M82" i="38" s="1"/>
  <c r="M154" i="38"/>
  <c r="L82" i="38" s="1"/>
  <c r="L154" i="38"/>
  <c r="K82" i="38"/>
  <c r="R153" i="38"/>
  <c r="Q81" i="38" s="1"/>
  <c r="Q153" i="38"/>
  <c r="P81" i="38" s="1"/>
  <c r="P153" i="38"/>
  <c r="O81" i="38" s="1"/>
  <c r="O153" i="38"/>
  <c r="N81" i="38" s="1"/>
  <c r="N153" i="38"/>
  <c r="M81" i="38" s="1"/>
  <c r="M153" i="38"/>
  <c r="L81" i="38" s="1"/>
  <c r="L153" i="38"/>
  <c r="K81" i="38" s="1"/>
  <c r="K153" i="38"/>
  <c r="J81" i="38" s="1"/>
  <c r="R152" i="38"/>
  <c r="Q80" i="38" s="1"/>
  <c r="Q152" i="38"/>
  <c r="P80" i="38" s="1"/>
  <c r="P152" i="38"/>
  <c r="O80" i="38" s="1"/>
  <c r="O152" i="38"/>
  <c r="N80" i="38" s="1"/>
  <c r="N152" i="38"/>
  <c r="M80" i="38" s="1"/>
  <c r="M152" i="38"/>
  <c r="L80" i="38" s="1"/>
  <c r="L152" i="38"/>
  <c r="K80" i="38" s="1"/>
  <c r="R149" i="38"/>
  <c r="Q76" i="38"/>
  <c r="Q149" i="38"/>
  <c r="P76" i="38" s="1"/>
  <c r="P149" i="38"/>
  <c r="O76" i="38" s="1"/>
  <c r="O149" i="38"/>
  <c r="N76" i="38" s="1"/>
  <c r="N149" i="38"/>
  <c r="M76" i="38" s="1"/>
  <c r="M149" i="38"/>
  <c r="L76" i="38" s="1"/>
  <c r="L149" i="38"/>
  <c r="K76" i="38" s="1"/>
  <c r="R148" i="38"/>
  <c r="Q75" i="38" s="1"/>
  <c r="Q148" i="38"/>
  <c r="P75" i="38" s="1"/>
  <c r="P148" i="38"/>
  <c r="O75" i="38" s="1"/>
  <c r="O148" i="38"/>
  <c r="N75" i="38" s="1"/>
  <c r="N148" i="38"/>
  <c r="M75" i="38" s="1"/>
  <c r="M148" i="38"/>
  <c r="L75" i="38" s="1"/>
  <c r="L148" i="38"/>
  <c r="K75" i="38" s="1"/>
  <c r="K148" i="38"/>
  <c r="J75" i="38" s="1"/>
  <c r="R147" i="38"/>
  <c r="Q74" i="38" s="1"/>
  <c r="Q77" i="38" s="1"/>
  <c r="Q147" i="38"/>
  <c r="Q150" i="38" s="1"/>
  <c r="Q151" i="38" s="1"/>
  <c r="Q155" i="38" s="1"/>
  <c r="Q44" i="38" s="1"/>
  <c r="P74" i="38"/>
  <c r="P77" i="38" s="1"/>
  <c r="P147" i="38"/>
  <c r="O147" i="38"/>
  <c r="N74" i="38" s="1"/>
  <c r="N77" i="38" s="1"/>
  <c r="N147" i="38"/>
  <c r="M147" i="38"/>
  <c r="M150" i="38" s="1"/>
  <c r="M151" i="38" s="1"/>
  <c r="M155" i="38" s="1"/>
  <c r="Q40" i="38" s="1"/>
  <c r="L147" i="38"/>
  <c r="K147" i="38"/>
  <c r="J74" i="38" s="1"/>
  <c r="J77" i="38" s="1"/>
  <c r="N111" i="38"/>
  <c r="I109" i="38"/>
  <c r="Q109" i="38" s="1"/>
  <c r="I108" i="38"/>
  <c r="O108" i="38" s="1"/>
  <c r="O111" i="38" s="1"/>
  <c r="I98" i="38"/>
  <c r="M97" i="38"/>
  <c r="J97" i="38" s="1"/>
  <c r="K56" i="38"/>
  <c r="L56" i="38" s="1"/>
  <c r="L57" i="38" s="1"/>
  <c r="G10" i="38" s="1"/>
  <c r="G13" i="38" s="1"/>
  <c r="R37" i="38" s="1"/>
  <c r="K55" i="38"/>
  <c r="L55" i="38" s="1"/>
  <c r="K54" i="38"/>
  <c r="L54" i="38" s="1"/>
  <c r="AJ53" i="38"/>
  <c r="AI53" i="38"/>
  <c r="AH53" i="38"/>
  <c r="AG53" i="38"/>
  <c r="AE52" i="38"/>
  <c r="AE53" i="38" s="1"/>
  <c r="AF45" i="38"/>
  <c r="AE45" i="38"/>
  <c r="G45" i="38"/>
  <c r="G44" i="38"/>
  <c r="G43" i="38"/>
  <c r="G42" i="38"/>
  <c r="G41" i="38"/>
  <c r="AF52" i="38" s="1"/>
  <c r="AF53" i="38"/>
  <c r="E40" i="38"/>
  <c r="AD45" i="38"/>
  <c r="E39" i="38"/>
  <c r="AC45" i="38"/>
  <c r="B39" i="38"/>
  <c r="B40" i="38"/>
  <c r="B41" i="38" s="1"/>
  <c r="B42" i="38"/>
  <c r="AE38" i="38"/>
  <c r="E38" i="38"/>
  <c r="AB45" i="38" s="1"/>
  <c r="AE30" i="38"/>
  <c r="AB27" i="38"/>
  <c r="AC27" i="38"/>
  <c r="AD27" i="38" s="1"/>
  <c r="AE27" i="38"/>
  <c r="AF27" i="38" s="1"/>
  <c r="AG27" i="38" s="1"/>
  <c r="AH27" i="38" s="1"/>
  <c r="AI27" i="38" s="1"/>
  <c r="AJ27" i="38" s="1"/>
  <c r="AK27" i="38" s="1"/>
  <c r="R12" i="38"/>
  <c r="L126" i="36"/>
  <c r="M126" i="36"/>
  <c r="N126" i="36"/>
  <c r="O126" i="36"/>
  <c r="P126" i="36"/>
  <c r="Q126" i="36"/>
  <c r="R126" i="36"/>
  <c r="L125" i="36"/>
  <c r="M125" i="36"/>
  <c r="N125" i="36"/>
  <c r="O125" i="36"/>
  <c r="P125" i="36"/>
  <c r="Q125" i="36"/>
  <c r="R125" i="36"/>
  <c r="L124" i="36"/>
  <c r="M124" i="36"/>
  <c r="N124" i="36"/>
  <c r="O124" i="36"/>
  <c r="P124" i="36"/>
  <c r="Q124" i="36"/>
  <c r="R124" i="36"/>
  <c r="L121" i="36"/>
  <c r="M121" i="36"/>
  <c r="N121" i="36"/>
  <c r="O121" i="36"/>
  <c r="P121" i="36"/>
  <c r="Q121" i="36"/>
  <c r="R121" i="36"/>
  <c r="L120" i="36"/>
  <c r="M120" i="36"/>
  <c r="N120" i="36"/>
  <c r="O120" i="36"/>
  <c r="P120" i="36"/>
  <c r="Q120" i="36"/>
  <c r="R120" i="36"/>
  <c r="L119" i="36"/>
  <c r="L122" i="36" s="1"/>
  <c r="L123" i="36" s="1"/>
  <c r="L127" i="36" s="1"/>
  <c r="Q37" i="36" s="1"/>
  <c r="M119" i="36"/>
  <c r="M122" i="36" s="1"/>
  <c r="M123" i="36" s="1"/>
  <c r="M127" i="36" s="1"/>
  <c r="Q38" i="36" s="1"/>
  <c r="N119" i="36"/>
  <c r="O119" i="36"/>
  <c r="O122" i="36" s="1"/>
  <c r="O123" i="36" s="1"/>
  <c r="O127" i="36" s="1"/>
  <c r="Q40" i="36" s="1"/>
  <c r="P119" i="36"/>
  <c r="P122" i="36" s="1"/>
  <c r="P123" i="36" s="1"/>
  <c r="P127" i="36" s="1"/>
  <c r="Q41" i="36" s="1"/>
  <c r="Q119" i="36"/>
  <c r="Q122" i="36" s="1"/>
  <c r="Q123" i="36" s="1"/>
  <c r="Q127" i="36" s="1"/>
  <c r="Q42" i="36" s="1"/>
  <c r="R119" i="36"/>
  <c r="K125" i="36"/>
  <c r="K120" i="36"/>
  <c r="L125" i="37"/>
  <c r="M125" i="37"/>
  <c r="N125" i="37"/>
  <c r="O125" i="37"/>
  <c r="P125" i="37"/>
  <c r="Q125" i="37"/>
  <c r="R125" i="37"/>
  <c r="K125" i="37"/>
  <c r="L126" i="37"/>
  <c r="M126" i="37"/>
  <c r="N126" i="37"/>
  <c r="O126" i="37"/>
  <c r="P126" i="37"/>
  <c r="Q126" i="37"/>
  <c r="R126" i="37"/>
  <c r="L124" i="37"/>
  <c r="M124" i="37"/>
  <c r="N124" i="37"/>
  <c r="O124" i="37"/>
  <c r="P124" i="37"/>
  <c r="Q124" i="37"/>
  <c r="R124" i="37"/>
  <c r="L119" i="37"/>
  <c r="L122" i="37" s="1"/>
  <c r="L123" i="37" s="1"/>
  <c r="L127" i="37" s="1"/>
  <c r="Q37" i="37" s="1"/>
  <c r="M119" i="37"/>
  <c r="M122" i="37" s="1"/>
  <c r="M123" i="37" s="1"/>
  <c r="M127" i="37" s="1"/>
  <c r="Q38" i="37" s="1"/>
  <c r="N119" i="37"/>
  <c r="N122" i="37" s="1"/>
  <c r="N123" i="37" s="1"/>
  <c r="N127" i="37" s="1"/>
  <c r="Q39" i="37" s="1"/>
  <c r="O119" i="37"/>
  <c r="O122" i="37" s="1"/>
  <c r="O123" i="37" s="1"/>
  <c r="O127" i="37" s="1"/>
  <c r="Q40" i="37" s="1"/>
  <c r="P119" i="37"/>
  <c r="P122" i="37" s="1"/>
  <c r="P123" i="37" s="1"/>
  <c r="P127" i="37" s="1"/>
  <c r="Q41" i="37" s="1"/>
  <c r="Q119" i="37"/>
  <c r="Q122" i="37" s="1"/>
  <c r="Q123" i="37" s="1"/>
  <c r="Q127" i="37" s="1"/>
  <c r="Q42" i="37" s="1"/>
  <c r="R119" i="37"/>
  <c r="R122" i="37" s="1"/>
  <c r="R123" i="37" s="1"/>
  <c r="R127" i="37" s="1"/>
  <c r="Q43" i="37" s="1"/>
  <c r="L120" i="37"/>
  <c r="M120" i="37"/>
  <c r="N120" i="37"/>
  <c r="O120" i="37"/>
  <c r="P120" i="37"/>
  <c r="Q120" i="37"/>
  <c r="R120" i="37"/>
  <c r="L121" i="37"/>
  <c r="M121" i="37"/>
  <c r="N121" i="37"/>
  <c r="O121" i="37"/>
  <c r="P121" i="37"/>
  <c r="Q121" i="37"/>
  <c r="R121" i="37"/>
  <c r="K120" i="37"/>
  <c r="I81" i="37"/>
  <c r="Q81" i="37" s="1"/>
  <c r="I80" i="37"/>
  <c r="O80" i="37" s="1"/>
  <c r="N83" i="37"/>
  <c r="I70" i="37"/>
  <c r="K54" i="37"/>
  <c r="L54" i="37" s="1"/>
  <c r="K53" i="37"/>
  <c r="L53" i="37" s="1"/>
  <c r="K52" i="37"/>
  <c r="L52" i="37" s="1"/>
  <c r="AJ51" i="37"/>
  <c r="AI51" i="37"/>
  <c r="AH51" i="37"/>
  <c r="AG51" i="37"/>
  <c r="AE50" i="37"/>
  <c r="AE51" i="37" s="1"/>
  <c r="AF43" i="37"/>
  <c r="AE43" i="37"/>
  <c r="G43" i="37"/>
  <c r="G42" i="37"/>
  <c r="G41" i="37"/>
  <c r="G40" i="37"/>
  <c r="G39" i="37"/>
  <c r="E38" i="37"/>
  <c r="AD43" i="37"/>
  <c r="E37" i="37"/>
  <c r="AC43" i="37"/>
  <c r="B37" i="37"/>
  <c r="B38" i="37"/>
  <c r="B39" i="37" s="1"/>
  <c r="B40" i="37" s="1"/>
  <c r="AE36" i="37"/>
  <c r="E36" i="37"/>
  <c r="AB43" i="37" s="1"/>
  <c r="AE28" i="37"/>
  <c r="AB25" i="37"/>
  <c r="AC25" i="37"/>
  <c r="AD25" i="37" s="1"/>
  <c r="AE25" i="37"/>
  <c r="AF25" i="37" s="1"/>
  <c r="AG25" i="37" s="1"/>
  <c r="AH25" i="37" s="1"/>
  <c r="AI25" i="37" s="1"/>
  <c r="AJ25" i="37" s="1"/>
  <c r="AK25" i="37" s="1"/>
  <c r="R10" i="37"/>
  <c r="I81" i="36"/>
  <c r="Q81" i="36" s="1"/>
  <c r="I80" i="36"/>
  <c r="N83" i="36"/>
  <c r="I70" i="36"/>
  <c r="L54" i="36"/>
  <c r="K54" i="36"/>
  <c r="L53" i="36"/>
  <c r="K53" i="36"/>
  <c r="K52" i="36"/>
  <c r="L52" i="36" s="1"/>
  <c r="L55" i="36" s="1"/>
  <c r="G8" i="36" s="1"/>
  <c r="G11" i="36" s="1"/>
  <c r="R35" i="36" s="1"/>
  <c r="AJ51" i="36"/>
  <c r="AI51" i="36"/>
  <c r="AH51" i="36"/>
  <c r="AG51" i="36"/>
  <c r="AE50" i="36"/>
  <c r="AE51" i="36"/>
  <c r="AF43" i="36"/>
  <c r="AE43" i="36"/>
  <c r="G43" i="36"/>
  <c r="G42" i="36"/>
  <c r="G41" i="36"/>
  <c r="G40" i="36"/>
  <c r="G39" i="36"/>
  <c r="E38" i="36"/>
  <c r="AD43" i="36" s="1"/>
  <c r="E37" i="36"/>
  <c r="AC43" i="36" s="1"/>
  <c r="B37" i="36"/>
  <c r="B38" i="36" s="1"/>
  <c r="B39" i="36" s="1"/>
  <c r="B40" i="36" s="1"/>
  <c r="AE36" i="36"/>
  <c r="E36" i="36"/>
  <c r="AB43" i="36"/>
  <c r="AE28" i="36"/>
  <c r="AB25" i="36"/>
  <c r="AC25" i="36" s="1"/>
  <c r="AD25" i="36"/>
  <c r="AE25" i="36" s="1"/>
  <c r="AF25" i="36"/>
  <c r="AG25" i="36" s="1"/>
  <c r="AH25" i="36" s="1"/>
  <c r="AI25" i="36" s="1"/>
  <c r="AJ25" i="36" s="1"/>
  <c r="AK25" i="36" s="1"/>
  <c r="R10" i="36"/>
  <c r="AE47" i="3"/>
  <c r="AF47" i="3"/>
  <c r="AG47" i="3"/>
  <c r="AH47" i="3"/>
  <c r="K154" i="39"/>
  <c r="J82" i="39" s="1"/>
  <c r="K152" i="39"/>
  <c r="J80" i="39" s="1"/>
  <c r="G40" i="3"/>
  <c r="G39" i="3"/>
  <c r="G38" i="3"/>
  <c r="AD40" i="3"/>
  <c r="K76" i="34"/>
  <c r="Q76" i="34" s="1"/>
  <c r="R76" i="34" s="1"/>
  <c r="K43" i="34"/>
  <c r="Q43" i="34" s="1"/>
  <c r="R43" i="34" s="1"/>
  <c r="V43" i="34" s="1"/>
  <c r="K29" i="34"/>
  <c r="Q29" i="34" s="1"/>
  <c r="R29" i="34" s="1"/>
  <c r="K15" i="34"/>
  <c r="Q15" i="34" s="1"/>
  <c r="R15" i="34" s="1"/>
  <c r="C83" i="34"/>
  <c r="P82" i="34"/>
  <c r="O82" i="34"/>
  <c r="N82" i="34"/>
  <c r="M82" i="34"/>
  <c r="L82" i="34"/>
  <c r="K82" i="34"/>
  <c r="J82" i="34"/>
  <c r="I82" i="34"/>
  <c r="H82" i="34"/>
  <c r="G82" i="34"/>
  <c r="F82" i="34"/>
  <c r="E82" i="34"/>
  <c r="D99" i="34"/>
  <c r="T81" i="34"/>
  <c r="Q81" i="34"/>
  <c r="R81" i="34"/>
  <c r="D98" i="34"/>
  <c r="D92" i="34"/>
  <c r="D91" i="34"/>
  <c r="P65" i="34"/>
  <c r="P98" i="34"/>
  <c r="O65" i="34"/>
  <c r="O98" i="34"/>
  <c r="N65" i="34"/>
  <c r="N98" i="34"/>
  <c r="M65" i="34"/>
  <c r="M98" i="34"/>
  <c r="L65" i="34"/>
  <c r="L98" i="34"/>
  <c r="K65" i="34"/>
  <c r="K98" i="34"/>
  <c r="J65" i="34"/>
  <c r="J98" i="34"/>
  <c r="I65" i="34"/>
  <c r="I98" i="34"/>
  <c r="H65" i="34"/>
  <c r="H98" i="34"/>
  <c r="G65" i="34"/>
  <c r="G98" i="34"/>
  <c r="F65" i="34"/>
  <c r="F98" i="34"/>
  <c r="E65" i="34"/>
  <c r="E98" i="34"/>
  <c r="A60" i="34"/>
  <c r="A61" i="34"/>
  <c r="A62" i="34" s="1"/>
  <c r="A63" i="34"/>
  <c r="A64" i="34" s="1"/>
  <c r="A65" i="34"/>
  <c r="A66" i="34" s="1"/>
  <c r="A67" i="34" s="1"/>
  <c r="A68" i="34" s="1"/>
  <c r="A69" i="34" s="1"/>
  <c r="A70" i="34" s="1"/>
  <c r="P59" i="34"/>
  <c r="P92" i="34" s="1"/>
  <c r="T92" i="34" s="1"/>
  <c r="O59" i="34"/>
  <c r="O92" i="34" s="1"/>
  <c r="N59" i="34"/>
  <c r="N92" i="34" s="1"/>
  <c r="M59" i="34"/>
  <c r="M92" i="34" s="1"/>
  <c r="L59" i="34"/>
  <c r="L92" i="34" s="1"/>
  <c r="K59" i="34"/>
  <c r="K92" i="34" s="1"/>
  <c r="J59" i="34"/>
  <c r="J92" i="34" s="1"/>
  <c r="I59" i="34"/>
  <c r="I92" i="34" s="1"/>
  <c r="H59" i="34"/>
  <c r="H92" i="34" s="1"/>
  <c r="G59" i="34"/>
  <c r="F59" i="34"/>
  <c r="F92" i="34" s="1"/>
  <c r="E59" i="34"/>
  <c r="E92" i="34" s="1"/>
  <c r="P58" i="34"/>
  <c r="O58" i="34"/>
  <c r="O91" i="34" s="1"/>
  <c r="N58" i="34"/>
  <c r="N91" i="34" s="1"/>
  <c r="M58" i="34"/>
  <c r="M91" i="34" s="1"/>
  <c r="L58" i="34"/>
  <c r="L91" i="34" s="1"/>
  <c r="J58" i="34"/>
  <c r="J91" i="34" s="1"/>
  <c r="I58" i="34"/>
  <c r="I91" i="34"/>
  <c r="H58" i="34"/>
  <c r="G58" i="34"/>
  <c r="G91" i="34"/>
  <c r="F58" i="34"/>
  <c r="F91" i="34" s="1"/>
  <c r="E58" i="34"/>
  <c r="E91" i="34"/>
  <c r="P49" i="34"/>
  <c r="O49" i="34"/>
  <c r="N49" i="34"/>
  <c r="M49" i="34"/>
  <c r="L49" i="34"/>
  <c r="K49" i="34"/>
  <c r="J49" i="34"/>
  <c r="I49" i="34"/>
  <c r="H49" i="34"/>
  <c r="G49" i="34"/>
  <c r="F49" i="34"/>
  <c r="E49" i="34"/>
  <c r="Q49" i="34" s="1"/>
  <c r="R49" i="34" s="1"/>
  <c r="V49" i="34" s="1"/>
  <c r="T49" i="34"/>
  <c r="Q44" i="34"/>
  <c r="R44" i="34"/>
  <c r="V44" i="34" s="1"/>
  <c r="T44" i="34"/>
  <c r="A44" i="34"/>
  <c r="A45" i="34"/>
  <c r="A46" i="34" s="1"/>
  <c r="A47" i="34" s="1"/>
  <c r="A48" i="34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T43" i="34"/>
  <c r="C36" i="34"/>
  <c r="P35" i="34"/>
  <c r="P66" i="34" s="1"/>
  <c r="O35" i="34"/>
  <c r="N35" i="34"/>
  <c r="M35" i="34"/>
  <c r="L35" i="34"/>
  <c r="K35" i="34"/>
  <c r="J35" i="34"/>
  <c r="I35" i="34"/>
  <c r="H35" i="34"/>
  <c r="G35" i="34"/>
  <c r="F35" i="34"/>
  <c r="E35" i="34"/>
  <c r="T35" i="34"/>
  <c r="T30" i="34"/>
  <c r="Q30" i="34"/>
  <c r="R30" i="34"/>
  <c r="V30" i="34"/>
  <c r="T29" i="34"/>
  <c r="P21" i="34"/>
  <c r="O21" i="34"/>
  <c r="O66" i="34"/>
  <c r="O99" i="34" s="1"/>
  <c r="N21" i="34"/>
  <c r="N66" i="34"/>
  <c r="N99" i="34" s="1"/>
  <c r="M21" i="34"/>
  <c r="L21" i="34"/>
  <c r="L66" i="34" s="1"/>
  <c r="L99" i="34" s="1"/>
  <c r="K21" i="34"/>
  <c r="K66" i="34" s="1"/>
  <c r="K99" i="34" s="1"/>
  <c r="J21" i="34"/>
  <c r="J66" i="34"/>
  <c r="J99" i="34"/>
  <c r="I21" i="34"/>
  <c r="H21" i="34"/>
  <c r="H66" i="34" s="1"/>
  <c r="H99" i="34" s="1"/>
  <c r="G21" i="34"/>
  <c r="G66" i="34"/>
  <c r="G99" i="34" s="1"/>
  <c r="F21" i="34"/>
  <c r="F66" i="34"/>
  <c r="F99" i="34" s="1"/>
  <c r="E21" i="34"/>
  <c r="T21" i="34"/>
  <c r="T20" i="34"/>
  <c r="V20" i="34" s="1"/>
  <c r="Q20" i="34"/>
  <c r="R20" i="34"/>
  <c r="T16" i="34"/>
  <c r="V16" i="34" s="1"/>
  <c r="T15" i="34"/>
  <c r="A14" i="34"/>
  <c r="A15" i="34"/>
  <c r="A16" i="34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K76" i="33"/>
  <c r="Q76" i="33" s="1"/>
  <c r="R76" i="33" s="1"/>
  <c r="V76" i="33" s="1"/>
  <c r="K43" i="33"/>
  <c r="Q43" i="33" s="1"/>
  <c r="R43" i="33" s="1"/>
  <c r="K29" i="33"/>
  <c r="Q29" i="33" s="1"/>
  <c r="R29" i="33" s="1"/>
  <c r="K15" i="33"/>
  <c r="Q15" i="33" s="1"/>
  <c r="R15" i="33" s="1"/>
  <c r="V15" i="33" s="1"/>
  <c r="D99" i="33"/>
  <c r="T44" i="33"/>
  <c r="V44" i="33" s="1"/>
  <c r="T16" i="33"/>
  <c r="C83" i="33"/>
  <c r="P82" i="33"/>
  <c r="T82" i="33" s="1"/>
  <c r="O82" i="33"/>
  <c r="N82" i="33"/>
  <c r="M82" i="33"/>
  <c r="L82" i="33"/>
  <c r="K82" i="33"/>
  <c r="J82" i="33"/>
  <c r="I82" i="33"/>
  <c r="H82" i="33"/>
  <c r="G82" i="33"/>
  <c r="F82" i="33"/>
  <c r="E82" i="33"/>
  <c r="D98" i="33"/>
  <c r="T77" i="33"/>
  <c r="Q77" i="33"/>
  <c r="R77" i="33" s="1"/>
  <c r="D92" i="33"/>
  <c r="D91" i="33"/>
  <c r="T65" i="33"/>
  <c r="P65" i="33"/>
  <c r="P98" i="33"/>
  <c r="O65" i="33"/>
  <c r="O98" i="33" s="1"/>
  <c r="N65" i="33"/>
  <c r="N98" i="33"/>
  <c r="M65" i="33"/>
  <c r="M98" i="33" s="1"/>
  <c r="L65" i="33"/>
  <c r="L98" i="33"/>
  <c r="K65" i="33"/>
  <c r="K98" i="33" s="1"/>
  <c r="J65" i="33"/>
  <c r="J98" i="33"/>
  <c r="I65" i="33"/>
  <c r="I98" i="33" s="1"/>
  <c r="H65" i="33"/>
  <c r="H98" i="33"/>
  <c r="G65" i="33"/>
  <c r="G98" i="33" s="1"/>
  <c r="F65" i="33"/>
  <c r="F98" i="33"/>
  <c r="E65" i="33"/>
  <c r="A60" i="33"/>
  <c r="A61" i="33"/>
  <c r="A62" i="33"/>
  <c r="A63" i="33" s="1"/>
  <c r="A64" i="33" s="1"/>
  <c r="A65" i="33" s="1"/>
  <c r="A66" i="33" s="1"/>
  <c r="A67" i="33"/>
  <c r="A68" i="33" s="1"/>
  <c r="A69" i="33" s="1"/>
  <c r="A70" i="33" s="1"/>
  <c r="T59" i="33"/>
  <c r="P59" i="33"/>
  <c r="P92" i="33"/>
  <c r="O59" i="33"/>
  <c r="O92" i="33"/>
  <c r="N59" i="33"/>
  <c r="N92" i="33"/>
  <c r="M59" i="33"/>
  <c r="M92" i="33"/>
  <c r="L59" i="33"/>
  <c r="L92" i="33"/>
  <c r="K59" i="33"/>
  <c r="K92" i="33"/>
  <c r="J59" i="33"/>
  <c r="J92" i="33"/>
  <c r="I59" i="33"/>
  <c r="I92" i="33"/>
  <c r="H59" i="33"/>
  <c r="H92" i="33"/>
  <c r="G59" i="33"/>
  <c r="G92" i="33"/>
  <c r="F59" i="33"/>
  <c r="F92" i="33"/>
  <c r="E59" i="33"/>
  <c r="E92" i="33"/>
  <c r="P58" i="33"/>
  <c r="T58" i="33" s="1"/>
  <c r="P91" i="33"/>
  <c r="O58" i="33"/>
  <c r="O91" i="33" s="1"/>
  <c r="N58" i="33"/>
  <c r="N91" i="33"/>
  <c r="M58" i="33"/>
  <c r="M91" i="33" s="1"/>
  <c r="L58" i="33"/>
  <c r="L91" i="33"/>
  <c r="J58" i="33"/>
  <c r="J91" i="33" s="1"/>
  <c r="I58" i="33"/>
  <c r="I91" i="33"/>
  <c r="H58" i="33"/>
  <c r="H91" i="33" s="1"/>
  <c r="G58" i="33"/>
  <c r="G91" i="33"/>
  <c r="F58" i="33"/>
  <c r="F91" i="33" s="1"/>
  <c r="E58" i="33"/>
  <c r="E91" i="33"/>
  <c r="P49" i="33"/>
  <c r="O49" i="33"/>
  <c r="N49" i="33"/>
  <c r="M49" i="33"/>
  <c r="L49" i="33"/>
  <c r="K49" i="33"/>
  <c r="J49" i="33"/>
  <c r="I49" i="33"/>
  <c r="H49" i="33"/>
  <c r="G49" i="33"/>
  <c r="F49" i="33"/>
  <c r="E49" i="33"/>
  <c r="T49" i="33"/>
  <c r="Q44" i="33"/>
  <c r="R44" i="33"/>
  <c r="A44" i="33"/>
  <c r="A45" i="33" s="1"/>
  <c r="A46" i="33" s="1"/>
  <c r="A47" i="33"/>
  <c r="A48" i="33" s="1"/>
  <c r="A49" i="33" s="1"/>
  <c r="A50" i="33" s="1"/>
  <c r="A51" i="33" s="1"/>
  <c r="A52" i="33" s="1"/>
  <c r="A53" i="33" s="1"/>
  <c r="A54" i="33" s="1"/>
  <c r="A55" i="33" s="1"/>
  <c r="A56" i="33"/>
  <c r="A57" i="33" s="1"/>
  <c r="A58" i="33" s="1"/>
  <c r="T43" i="33"/>
  <c r="C36" i="33"/>
  <c r="P35" i="33"/>
  <c r="T35" i="33" s="1"/>
  <c r="O35" i="33"/>
  <c r="N35" i="33"/>
  <c r="M35" i="33"/>
  <c r="L35" i="33"/>
  <c r="K35" i="33"/>
  <c r="J35" i="33"/>
  <c r="J66" i="33" s="1"/>
  <c r="J99" i="33" s="1"/>
  <c r="I35" i="33"/>
  <c r="H35" i="33"/>
  <c r="G35" i="33"/>
  <c r="F35" i="33"/>
  <c r="E35" i="33"/>
  <c r="T34" i="33"/>
  <c r="Q34" i="33"/>
  <c r="R34" i="33"/>
  <c r="V34" i="33" s="1"/>
  <c r="P21" i="33"/>
  <c r="O21" i="33"/>
  <c r="O66" i="33" s="1"/>
  <c r="O99" i="33"/>
  <c r="N21" i="33"/>
  <c r="N66" i="33" s="1"/>
  <c r="N99" i="33" s="1"/>
  <c r="M21" i="33"/>
  <c r="M66" i="33"/>
  <c r="M99" i="33"/>
  <c r="L21" i="33"/>
  <c r="K21" i="33"/>
  <c r="K66" i="33"/>
  <c r="K99" i="33" s="1"/>
  <c r="J21" i="33"/>
  <c r="I21" i="33"/>
  <c r="I66" i="33"/>
  <c r="I99" i="33"/>
  <c r="H21" i="33"/>
  <c r="G21" i="33"/>
  <c r="G66" i="33"/>
  <c r="G99" i="33" s="1"/>
  <c r="F21" i="33"/>
  <c r="F66" i="33"/>
  <c r="E21" i="33"/>
  <c r="E66" i="33"/>
  <c r="T21" i="33"/>
  <c r="Q16" i="33"/>
  <c r="R16" i="33" s="1"/>
  <c r="V16" i="33"/>
  <c r="T15" i="33"/>
  <c r="A14" i="33"/>
  <c r="A15" i="33" s="1"/>
  <c r="A16" i="33" s="1"/>
  <c r="A17" i="33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C83" i="32"/>
  <c r="T82" i="32"/>
  <c r="P82" i="32"/>
  <c r="O82" i="32"/>
  <c r="N82" i="32"/>
  <c r="M82" i="32"/>
  <c r="L82" i="32"/>
  <c r="K82" i="32"/>
  <c r="J82" i="32"/>
  <c r="I82" i="32"/>
  <c r="H82" i="32"/>
  <c r="G82" i="32"/>
  <c r="F82" i="32"/>
  <c r="E82" i="32"/>
  <c r="D99" i="32"/>
  <c r="D98" i="32"/>
  <c r="T98" i="32" s="1"/>
  <c r="T77" i="32"/>
  <c r="Q77" i="32"/>
  <c r="R77" i="32" s="1"/>
  <c r="V77" i="32"/>
  <c r="D92" i="32"/>
  <c r="D91" i="32"/>
  <c r="P65" i="32"/>
  <c r="T65" i="32" s="1"/>
  <c r="P98" i="32"/>
  <c r="O65" i="32"/>
  <c r="O98" i="32" s="1"/>
  <c r="N65" i="32"/>
  <c r="N98" i="32" s="1"/>
  <c r="M65" i="32"/>
  <c r="M98" i="32" s="1"/>
  <c r="L65" i="32"/>
  <c r="L98" i="32"/>
  <c r="K65" i="32"/>
  <c r="K98" i="32" s="1"/>
  <c r="J65" i="32"/>
  <c r="J98" i="32"/>
  <c r="I65" i="32"/>
  <c r="I98" i="32" s="1"/>
  <c r="H65" i="32"/>
  <c r="H98" i="32"/>
  <c r="G65" i="32"/>
  <c r="G98" i="32" s="1"/>
  <c r="F65" i="32"/>
  <c r="F98" i="32" s="1"/>
  <c r="E65" i="32"/>
  <c r="E98" i="32" s="1"/>
  <c r="A60" i="32"/>
  <c r="A61" i="32"/>
  <c r="A62" i="32" s="1"/>
  <c r="A63" i="32" s="1"/>
  <c r="A64" i="32"/>
  <c r="A65" i="32" s="1"/>
  <c r="A66" i="32" s="1"/>
  <c r="A67" i="32" s="1"/>
  <c r="A68" i="32" s="1"/>
  <c r="A69" i="32"/>
  <c r="A70" i="32" s="1"/>
  <c r="P59" i="32"/>
  <c r="O59" i="32"/>
  <c r="O92" i="32" s="1"/>
  <c r="N59" i="32"/>
  <c r="N92" i="32" s="1"/>
  <c r="M59" i="32"/>
  <c r="M92" i="32" s="1"/>
  <c r="L59" i="32"/>
  <c r="L92" i="32"/>
  <c r="K59" i="32"/>
  <c r="K92" i="32" s="1"/>
  <c r="J59" i="32"/>
  <c r="J92" i="32"/>
  <c r="I59" i="32"/>
  <c r="I92" i="32" s="1"/>
  <c r="H59" i="32"/>
  <c r="H92" i="32" s="1"/>
  <c r="G59" i="32"/>
  <c r="G92" i="32" s="1"/>
  <c r="F59" i="32"/>
  <c r="F92" i="32"/>
  <c r="E59" i="32"/>
  <c r="E92" i="32" s="1"/>
  <c r="P58" i="32"/>
  <c r="T58" i="32" s="1"/>
  <c r="P91" i="32"/>
  <c r="O58" i="32"/>
  <c r="O91" i="32"/>
  <c r="N58" i="32"/>
  <c r="N91" i="32"/>
  <c r="M58" i="32"/>
  <c r="M91" i="32"/>
  <c r="L58" i="32"/>
  <c r="L91" i="32"/>
  <c r="J58" i="32"/>
  <c r="J91" i="32"/>
  <c r="I58" i="32"/>
  <c r="I91" i="32"/>
  <c r="H58" i="32"/>
  <c r="H91" i="32"/>
  <c r="G58" i="32"/>
  <c r="G91" i="32"/>
  <c r="E58" i="32"/>
  <c r="E91" i="32"/>
  <c r="P49" i="32"/>
  <c r="O49" i="32"/>
  <c r="O66" i="32" s="1"/>
  <c r="O99" i="32" s="1"/>
  <c r="N49" i="32"/>
  <c r="M49" i="32"/>
  <c r="L49" i="32"/>
  <c r="K49" i="32"/>
  <c r="J49" i="32"/>
  <c r="I49" i="32"/>
  <c r="H49" i="32"/>
  <c r="G49" i="32"/>
  <c r="G66" i="32" s="1"/>
  <c r="G99" i="32" s="1"/>
  <c r="F49" i="32"/>
  <c r="E49" i="32"/>
  <c r="T49" i="32"/>
  <c r="Q49" i="32"/>
  <c r="R49" i="32" s="1"/>
  <c r="V49" i="32" s="1"/>
  <c r="T44" i="32"/>
  <c r="V44" i="32" s="1"/>
  <c r="Q44" i="32"/>
  <c r="R44" i="32" s="1"/>
  <c r="A44" i="32"/>
  <c r="A45" i="32" s="1"/>
  <c r="A46" i="32"/>
  <c r="A47" i="32" s="1"/>
  <c r="A48" i="32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T43" i="32"/>
  <c r="C36" i="32"/>
  <c r="P35" i="32"/>
  <c r="O35" i="32"/>
  <c r="N35" i="32"/>
  <c r="M35" i="32"/>
  <c r="L35" i="32"/>
  <c r="K35" i="32"/>
  <c r="J35" i="32"/>
  <c r="I35" i="32"/>
  <c r="H35" i="32"/>
  <c r="G35" i="32"/>
  <c r="F35" i="32"/>
  <c r="E35" i="32"/>
  <c r="T35" i="32"/>
  <c r="T34" i="32"/>
  <c r="V34" i="32" s="1"/>
  <c r="Q34" i="32"/>
  <c r="R34" i="32"/>
  <c r="Q35" i="32"/>
  <c r="R35" i="32" s="1"/>
  <c r="V35" i="32"/>
  <c r="T29" i="32"/>
  <c r="P21" i="32"/>
  <c r="O21" i="32"/>
  <c r="N21" i="32"/>
  <c r="N66" i="32"/>
  <c r="N99" i="32"/>
  <c r="M21" i="32"/>
  <c r="L21" i="32"/>
  <c r="L66" i="32"/>
  <c r="L99" i="32" s="1"/>
  <c r="K21" i="32"/>
  <c r="K66" i="32"/>
  <c r="K99" i="32" s="1"/>
  <c r="J21" i="32"/>
  <c r="J66" i="32"/>
  <c r="J99" i="32"/>
  <c r="I21" i="32"/>
  <c r="I66" i="32" s="1"/>
  <c r="I99" i="32"/>
  <c r="H21" i="32"/>
  <c r="H66" i="32"/>
  <c r="H99" i="32" s="1"/>
  <c r="G21" i="32"/>
  <c r="F21" i="32"/>
  <c r="F66" i="32"/>
  <c r="F99" i="32" s="1"/>
  <c r="E21" i="32"/>
  <c r="T21" i="32"/>
  <c r="Q21" i="32"/>
  <c r="R21" i="32" s="1"/>
  <c r="V21" i="32" s="1"/>
  <c r="T16" i="32"/>
  <c r="Q16" i="32"/>
  <c r="R16" i="32"/>
  <c r="V16" i="32" s="1"/>
  <c r="T15" i="32"/>
  <c r="A14" i="32"/>
  <c r="A15" i="32"/>
  <c r="A16" i="32" s="1"/>
  <c r="A17" i="32"/>
  <c r="A18" i="32" s="1"/>
  <c r="A19" i="32" s="1"/>
  <c r="A20" i="32" s="1"/>
  <c r="A21" i="32" s="1"/>
  <c r="A22" i="32"/>
  <c r="A23" i="32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I7" i="26"/>
  <c r="D94" i="31"/>
  <c r="D95" i="31"/>
  <c r="D88" i="31"/>
  <c r="D87" i="31"/>
  <c r="C79" i="31"/>
  <c r="P78" i="31"/>
  <c r="O78" i="31"/>
  <c r="N78" i="31"/>
  <c r="M78" i="31"/>
  <c r="L78" i="31"/>
  <c r="K78" i="31"/>
  <c r="J78" i="31"/>
  <c r="I78" i="31"/>
  <c r="H78" i="31"/>
  <c r="G78" i="31"/>
  <c r="F78" i="31"/>
  <c r="E78" i="31"/>
  <c r="Q77" i="31"/>
  <c r="R77" i="31" s="1"/>
  <c r="Q73" i="31"/>
  <c r="R73" i="31" s="1"/>
  <c r="P63" i="31"/>
  <c r="O63" i="31"/>
  <c r="O94" i="31" s="1"/>
  <c r="N63" i="31"/>
  <c r="N94" i="31" s="1"/>
  <c r="M63" i="31"/>
  <c r="M94" i="31" s="1"/>
  <c r="L63" i="31"/>
  <c r="L94" i="31" s="1"/>
  <c r="K63" i="31"/>
  <c r="K94" i="31" s="1"/>
  <c r="J63" i="31"/>
  <c r="J94" i="31" s="1"/>
  <c r="I63" i="31"/>
  <c r="I94" i="31" s="1"/>
  <c r="H63" i="31"/>
  <c r="H94" i="31" s="1"/>
  <c r="G63" i="31"/>
  <c r="G94" i="31" s="1"/>
  <c r="F63" i="31"/>
  <c r="F94" i="31" s="1"/>
  <c r="E63" i="31"/>
  <c r="E94" i="31" s="1"/>
  <c r="A58" i="31"/>
  <c r="A59" i="31" s="1"/>
  <c r="A60" i="3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P57" i="31"/>
  <c r="P88" i="31" s="1"/>
  <c r="O57" i="31"/>
  <c r="O88" i="31" s="1"/>
  <c r="N57" i="31"/>
  <c r="N88" i="31" s="1"/>
  <c r="M57" i="31"/>
  <c r="M88" i="31" s="1"/>
  <c r="L57" i="31"/>
  <c r="L88" i="31" s="1"/>
  <c r="K57" i="31"/>
  <c r="K88" i="31" s="1"/>
  <c r="J57" i="31"/>
  <c r="J88" i="31" s="1"/>
  <c r="I57" i="31"/>
  <c r="I88" i="31" s="1"/>
  <c r="H57" i="31"/>
  <c r="H88" i="31" s="1"/>
  <c r="G57" i="31"/>
  <c r="G88" i="31" s="1"/>
  <c r="F57" i="31"/>
  <c r="F88" i="31" s="1"/>
  <c r="E57" i="31"/>
  <c r="P47" i="31"/>
  <c r="O47" i="31"/>
  <c r="N47" i="31"/>
  <c r="M47" i="31"/>
  <c r="L47" i="31"/>
  <c r="K47" i="31"/>
  <c r="J47" i="31"/>
  <c r="I47" i="31"/>
  <c r="H47" i="31"/>
  <c r="G47" i="31"/>
  <c r="F47" i="31"/>
  <c r="E47" i="31"/>
  <c r="Q46" i="31"/>
  <c r="R46" i="31" s="1"/>
  <c r="Q42" i="31"/>
  <c r="R42" i="31" s="1"/>
  <c r="A42" i="3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C34" i="31"/>
  <c r="P33" i="31"/>
  <c r="O33" i="31"/>
  <c r="N33" i="31"/>
  <c r="M33" i="31"/>
  <c r="L33" i="31"/>
  <c r="K33" i="31"/>
  <c r="J33" i="31"/>
  <c r="I33" i="31"/>
  <c r="H33" i="31"/>
  <c r="G33" i="31"/>
  <c r="F33" i="31"/>
  <c r="E33" i="31"/>
  <c r="Q32" i="31"/>
  <c r="R32" i="31" s="1"/>
  <c r="Q28" i="31"/>
  <c r="R28" i="31" s="1"/>
  <c r="P19" i="31"/>
  <c r="O19" i="31"/>
  <c r="O64" i="31" s="1"/>
  <c r="N19" i="31"/>
  <c r="M19" i="31"/>
  <c r="L19" i="31"/>
  <c r="K19" i="31"/>
  <c r="K64" i="31" s="1"/>
  <c r="K95" i="31" s="1"/>
  <c r="J19" i="31"/>
  <c r="I19" i="31"/>
  <c r="H19" i="31"/>
  <c r="G19" i="31"/>
  <c r="F19" i="31"/>
  <c r="E19" i="31"/>
  <c r="Q18" i="31"/>
  <c r="R18" i="31" s="1"/>
  <c r="Q14" i="31"/>
  <c r="R14" i="31" s="1"/>
  <c r="P56" i="31"/>
  <c r="P87" i="31" s="1"/>
  <c r="O56" i="31"/>
  <c r="O87" i="31" s="1"/>
  <c r="N56" i="31"/>
  <c r="N87" i="31" s="1"/>
  <c r="M56" i="31"/>
  <c r="M87" i="31" s="1"/>
  <c r="L56" i="31"/>
  <c r="L87" i="31" s="1"/>
  <c r="J56" i="31"/>
  <c r="J87" i="31" s="1"/>
  <c r="I56" i="31"/>
  <c r="I87" i="31" s="1"/>
  <c r="H56" i="31"/>
  <c r="H87" i="31" s="1"/>
  <c r="G56" i="31"/>
  <c r="G87" i="31" s="1"/>
  <c r="F56" i="31"/>
  <c r="F87" i="31" s="1"/>
  <c r="E56" i="31"/>
  <c r="E87" i="31" s="1"/>
  <c r="A12" i="3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T82" i="26"/>
  <c r="T81" i="26"/>
  <c r="T77" i="26"/>
  <c r="T65" i="26"/>
  <c r="T49" i="26"/>
  <c r="T48" i="26"/>
  <c r="T44" i="26"/>
  <c r="T35" i="26"/>
  <c r="T34" i="26"/>
  <c r="T30" i="26"/>
  <c r="T29" i="26"/>
  <c r="T21" i="26"/>
  <c r="T20" i="26"/>
  <c r="T16" i="26"/>
  <c r="T15" i="26"/>
  <c r="D99" i="26"/>
  <c r="D98" i="26"/>
  <c r="D92" i="26"/>
  <c r="D91" i="26"/>
  <c r="D64" i="26"/>
  <c r="D97" i="26" s="1"/>
  <c r="D84" i="26"/>
  <c r="E80" i="26" s="1"/>
  <c r="C83" i="26"/>
  <c r="P82" i="26"/>
  <c r="O82" i="26"/>
  <c r="N82" i="26"/>
  <c r="M82" i="26"/>
  <c r="L82" i="26"/>
  <c r="L99" i="26" s="1"/>
  <c r="K82" i="26"/>
  <c r="J82" i="26"/>
  <c r="I82" i="26"/>
  <c r="H82" i="26"/>
  <c r="H99" i="26" s="1"/>
  <c r="G82" i="26"/>
  <c r="F82" i="26"/>
  <c r="E82" i="26"/>
  <c r="Q82" i="26"/>
  <c r="R82" i="26" s="1"/>
  <c r="V82" i="26" s="1"/>
  <c r="Q81" i="26"/>
  <c r="R81" i="26" s="1"/>
  <c r="V81" i="26" s="1"/>
  <c r="Q77" i="26"/>
  <c r="R77" i="26" s="1"/>
  <c r="V77" i="26" s="1"/>
  <c r="P65" i="26"/>
  <c r="P98" i="26"/>
  <c r="O65" i="26"/>
  <c r="O98" i="26"/>
  <c r="N65" i="26"/>
  <c r="N98" i="26"/>
  <c r="M65" i="26"/>
  <c r="M98" i="26"/>
  <c r="L65" i="26"/>
  <c r="L98" i="26"/>
  <c r="K65" i="26"/>
  <c r="K98" i="26"/>
  <c r="J65" i="26"/>
  <c r="J98" i="26"/>
  <c r="I65" i="26"/>
  <c r="I98" i="26"/>
  <c r="H65" i="26"/>
  <c r="H98" i="26"/>
  <c r="G65" i="26"/>
  <c r="G98" i="26"/>
  <c r="F65" i="26"/>
  <c r="F98" i="26"/>
  <c r="E65" i="26"/>
  <c r="E98" i="26"/>
  <c r="A60" i="26"/>
  <c r="A61" i="26"/>
  <c r="A62" i="26"/>
  <c r="A63" i="26"/>
  <c r="A64" i="26" s="1"/>
  <c r="A65" i="26" s="1"/>
  <c r="A66" i="26"/>
  <c r="A67" i="26" s="1"/>
  <c r="A68" i="26" s="1"/>
  <c r="A69" i="26" s="1"/>
  <c r="A70" i="26" s="1"/>
  <c r="P59" i="26"/>
  <c r="T59" i="26" s="1"/>
  <c r="O59" i="26"/>
  <c r="O92" i="26" s="1"/>
  <c r="N59" i="26"/>
  <c r="N92" i="26" s="1"/>
  <c r="M59" i="26"/>
  <c r="M92" i="26" s="1"/>
  <c r="L59" i="26"/>
  <c r="L92" i="26" s="1"/>
  <c r="K59" i="26"/>
  <c r="K92" i="26" s="1"/>
  <c r="J59" i="26"/>
  <c r="J92" i="26" s="1"/>
  <c r="I59" i="26"/>
  <c r="I92" i="26" s="1"/>
  <c r="H59" i="26"/>
  <c r="H92" i="26" s="1"/>
  <c r="G59" i="26"/>
  <c r="G92" i="26" s="1"/>
  <c r="F59" i="26"/>
  <c r="F92" i="26" s="1"/>
  <c r="E59" i="26"/>
  <c r="D51" i="26"/>
  <c r="E47" i="26" s="1"/>
  <c r="P49" i="26"/>
  <c r="O49" i="26"/>
  <c r="N49" i="26"/>
  <c r="M49" i="26"/>
  <c r="L49" i="26"/>
  <c r="K49" i="26"/>
  <c r="J49" i="26"/>
  <c r="I49" i="26"/>
  <c r="H49" i="26"/>
  <c r="G49" i="26"/>
  <c r="F49" i="26"/>
  <c r="E49" i="26"/>
  <c r="Q48" i="26"/>
  <c r="R48" i="26"/>
  <c r="V48" i="26" s="1"/>
  <c r="R44" i="26"/>
  <c r="V44" i="26" s="1"/>
  <c r="Q44" i="26"/>
  <c r="A44" i="26"/>
  <c r="A45" i="26" s="1"/>
  <c r="A46" i="26" s="1"/>
  <c r="A47" i="26" s="1"/>
  <c r="A48" i="26" s="1"/>
  <c r="A49" i="26" s="1"/>
  <c r="A50" i="26" s="1"/>
  <c r="A51" i="26"/>
  <c r="A52" i="26" s="1"/>
  <c r="A53" i="26" s="1"/>
  <c r="A54" i="26" s="1"/>
  <c r="A55" i="26" s="1"/>
  <c r="A56" i="26" s="1"/>
  <c r="A57" i="26" s="1"/>
  <c r="A58" i="26" s="1"/>
  <c r="D37" i="26"/>
  <c r="C36" i="26"/>
  <c r="P35" i="26"/>
  <c r="O35" i="26"/>
  <c r="N35" i="26"/>
  <c r="M35" i="26"/>
  <c r="L35" i="26"/>
  <c r="L66" i="26" s="1"/>
  <c r="K35" i="26"/>
  <c r="J35" i="26"/>
  <c r="I35" i="26"/>
  <c r="H35" i="26"/>
  <c r="G35" i="26"/>
  <c r="F35" i="26"/>
  <c r="E35" i="26"/>
  <c r="Q34" i="26"/>
  <c r="R34" i="26" s="1"/>
  <c r="V34" i="26" s="1"/>
  <c r="E33" i="26"/>
  <c r="Q30" i="26"/>
  <c r="R30" i="26" s="1"/>
  <c r="V30" i="26" s="1"/>
  <c r="D23" i="26"/>
  <c r="P21" i="26"/>
  <c r="P66" i="26"/>
  <c r="O21" i="26"/>
  <c r="N21" i="26"/>
  <c r="N66" i="26" s="1"/>
  <c r="N99" i="26" s="1"/>
  <c r="M21" i="26"/>
  <c r="M66" i="26"/>
  <c r="M99" i="26" s="1"/>
  <c r="L21" i="26"/>
  <c r="K21" i="26"/>
  <c r="J21" i="26"/>
  <c r="J66" i="26"/>
  <c r="J99" i="26" s="1"/>
  <c r="I21" i="26"/>
  <c r="I66" i="26"/>
  <c r="I99" i="26" s="1"/>
  <c r="H21" i="26"/>
  <c r="H66" i="26"/>
  <c r="G21" i="26"/>
  <c r="F21" i="26"/>
  <c r="F66" i="26"/>
  <c r="F99" i="26" s="1"/>
  <c r="E21" i="26"/>
  <c r="R20" i="26"/>
  <c r="V20" i="26" s="1"/>
  <c r="Q20" i="26"/>
  <c r="Q16" i="26"/>
  <c r="R16" i="26" s="1"/>
  <c r="V16" i="26" s="1"/>
  <c r="A14" i="26"/>
  <c r="A15" i="26" s="1"/>
  <c r="A16" i="26" s="1"/>
  <c r="A17" i="26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C46" i="3"/>
  <c r="AC47" i="3" s="1"/>
  <c r="AC40" i="3"/>
  <c r="AC33" i="3"/>
  <c r="AC25" i="3"/>
  <c r="R10" i="3"/>
  <c r="N108" i="3"/>
  <c r="G37" i="3"/>
  <c r="O105" i="3"/>
  <c r="Q105" i="3" s="1"/>
  <c r="I95" i="3"/>
  <c r="M93" i="3" s="1"/>
  <c r="J93" i="3" s="1"/>
  <c r="Z22" i="3"/>
  <c r="AA22" i="3" s="1"/>
  <c r="AB22" i="3" s="1"/>
  <c r="AC22" i="3" s="1"/>
  <c r="AD22" i="3" s="1"/>
  <c r="AE22" i="3" s="1"/>
  <c r="AF22" i="3" s="1"/>
  <c r="AG22" i="3" s="1"/>
  <c r="AH22" i="3" s="1"/>
  <c r="AI22" i="3" s="1"/>
  <c r="B34" i="3"/>
  <c r="B35" i="3" s="1"/>
  <c r="B36" i="3" s="1"/>
  <c r="B37" i="3" s="1"/>
  <c r="K48" i="3"/>
  <c r="L48" i="3" s="1"/>
  <c r="K49" i="3"/>
  <c r="L49" i="3" s="1"/>
  <c r="G36" i="3"/>
  <c r="AD46" i="3" s="1"/>
  <c r="AD47" i="3" s="1"/>
  <c r="Q16" i="34"/>
  <c r="R16" i="34"/>
  <c r="P99" i="34"/>
  <c r="T66" i="34"/>
  <c r="Q34" i="34"/>
  <c r="R34" i="34"/>
  <c r="V34" i="34" s="1"/>
  <c r="T34" i="34"/>
  <c r="T59" i="34"/>
  <c r="Q65" i="34"/>
  <c r="R65" i="34" s="1"/>
  <c r="T65" i="34"/>
  <c r="V65" i="34" s="1"/>
  <c r="Q77" i="34"/>
  <c r="R77" i="34"/>
  <c r="V77" i="34" s="1"/>
  <c r="T77" i="34"/>
  <c r="T98" i="34"/>
  <c r="Q98" i="34"/>
  <c r="R98" i="34" s="1"/>
  <c r="V98" i="34"/>
  <c r="Q48" i="34"/>
  <c r="R48" i="34"/>
  <c r="T48" i="34"/>
  <c r="T76" i="34"/>
  <c r="Q82" i="34"/>
  <c r="R82" i="34" s="1"/>
  <c r="V82" i="34" s="1"/>
  <c r="T82" i="34"/>
  <c r="T99" i="34"/>
  <c r="T29" i="33"/>
  <c r="V77" i="33"/>
  <c r="Q20" i="33"/>
  <c r="R20" i="33" s="1"/>
  <c r="V20" i="33"/>
  <c r="T20" i="33"/>
  <c r="E99" i="33"/>
  <c r="Q30" i="33"/>
  <c r="R30" i="33"/>
  <c r="T30" i="33"/>
  <c r="Q48" i="33"/>
  <c r="R48" i="33"/>
  <c r="V48" i="33" s="1"/>
  <c r="T48" i="33"/>
  <c r="Q59" i="33"/>
  <c r="R59" i="33"/>
  <c r="V59" i="33" s="1"/>
  <c r="T91" i="33"/>
  <c r="T76" i="33"/>
  <c r="T92" i="33"/>
  <c r="V92" i="33" s="1"/>
  <c r="Q92" i="33"/>
  <c r="R92" i="33"/>
  <c r="Q81" i="33"/>
  <c r="R81" i="33"/>
  <c r="V81" i="33" s="1"/>
  <c r="T81" i="33"/>
  <c r="T98" i="33"/>
  <c r="Q82" i="33"/>
  <c r="R82" i="33" s="1"/>
  <c r="V82" i="33" s="1"/>
  <c r="Q20" i="32"/>
  <c r="R20" i="32" s="1"/>
  <c r="T20" i="32"/>
  <c r="V20" i="32" s="1"/>
  <c r="T30" i="32"/>
  <c r="Q30" i="32"/>
  <c r="R30" i="32" s="1"/>
  <c r="V30" i="32" s="1"/>
  <c r="Q48" i="32"/>
  <c r="R48" i="32"/>
  <c r="T48" i="32"/>
  <c r="V48" i="32" s="1"/>
  <c r="Q65" i="32"/>
  <c r="R65" i="32" s="1"/>
  <c r="V65" i="32"/>
  <c r="T91" i="32"/>
  <c r="T76" i="32"/>
  <c r="Q81" i="32"/>
  <c r="R81" i="32"/>
  <c r="T81" i="32"/>
  <c r="V81" i="32" s="1"/>
  <c r="Q98" i="32"/>
  <c r="R98" i="32" s="1"/>
  <c r="V98" i="32"/>
  <c r="J43" i="26"/>
  <c r="J58" i="26" s="1"/>
  <c r="L43" i="26"/>
  <c r="L58" i="26" s="1"/>
  <c r="Z40" i="3"/>
  <c r="E43" i="26"/>
  <c r="E58" i="26" s="1"/>
  <c r="E91" i="26" s="1"/>
  <c r="K43" i="26"/>
  <c r="M43" i="26"/>
  <c r="M58" i="26" s="1"/>
  <c r="M91" i="26" s="1"/>
  <c r="P94" i="31"/>
  <c r="Q65" i="26"/>
  <c r="R65" i="26"/>
  <c r="V65" i="26" s="1"/>
  <c r="V30" i="33"/>
  <c r="M33" i="3"/>
  <c r="D55" i="31"/>
  <c r="D86" i="31" s="1"/>
  <c r="D62" i="31"/>
  <c r="D57" i="32"/>
  <c r="D90" i="32"/>
  <c r="D64" i="32"/>
  <c r="D97" i="32" s="1"/>
  <c r="D57" i="33"/>
  <c r="D90" i="33"/>
  <c r="D64" i="33"/>
  <c r="D97" i="33" s="1"/>
  <c r="D57" i="34"/>
  <c r="D90" i="34"/>
  <c r="D64" i="34"/>
  <c r="D97" i="34" s="1"/>
  <c r="M97" i="39"/>
  <c r="J97" i="39" s="1"/>
  <c r="M96" i="39"/>
  <c r="J96" i="39"/>
  <c r="M98" i="39"/>
  <c r="M96" i="38"/>
  <c r="J96" i="38" s="1"/>
  <c r="AG45" i="38"/>
  <c r="M98" i="38"/>
  <c r="AF50" i="37"/>
  <c r="AF51" i="37"/>
  <c r="AG43" i="37"/>
  <c r="AF50" i="36"/>
  <c r="AF51" i="36" s="1"/>
  <c r="AG43" i="36"/>
  <c r="F34" i="3"/>
  <c r="AA46" i="3" s="1"/>
  <c r="AA47" i="3" s="1"/>
  <c r="K121" i="37"/>
  <c r="K149" i="39"/>
  <c r="J76" i="39"/>
  <c r="K124" i="36"/>
  <c r="K121" i="36"/>
  <c r="K124" i="37"/>
  <c r="K126" i="37"/>
  <c r="K119" i="36"/>
  <c r="K122" i="36" s="1"/>
  <c r="K126" i="36"/>
  <c r="K152" i="38"/>
  <c r="J80" i="38" s="1"/>
  <c r="K154" i="38"/>
  <c r="J82" i="38" s="1"/>
  <c r="P150" i="38"/>
  <c r="P151" i="38" s="1"/>
  <c r="P155" i="38" s="1"/>
  <c r="Q43" i="38" s="1"/>
  <c r="R122" i="36"/>
  <c r="R123" i="36" s="1"/>
  <c r="R127" i="36" s="1"/>
  <c r="Q43" i="36" s="1"/>
  <c r="N122" i="36"/>
  <c r="N123" i="36" s="1"/>
  <c r="N127" i="36" s="1"/>
  <c r="Q39" i="36" s="1"/>
  <c r="O74" i="38"/>
  <c r="O77" i="38" s="1"/>
  <c r="Q72" i="31"/>
  <c r="R72" i="31" s="1"/>
  <c r="K150" i="39"/>
  <c r="K151" i="39" s="1"/>
  <c r="K155" i="39" s="1"/>
  <c r="Q38" i="39" s="1"/>
  <c r="K74" i="38"/>
  <c r="K77" i="38" s="1"/>
  <c r="L150" i="38"/>
  <c r="L151" i="38" s="1"/>
  <c r="L155" i="38" s="1"/>
  <c r="Q39" i="38" s="1"/>
  <c r="L150" i="39"/>
  <c r="L151" i="39" s="1"/>
  <c r="L155" i="39" s="1"/>
  <c r="Q39" i="39" s="1"/>
  <c r="M150" i="39"/>
  <c r="M151" i="39" s="1"/>
  <c r="M155" i="39" s="1"/>
  <c r="Q40" i="39" s="1"/>
  <c r="K123" i="36"/>
  <c r="K127" i="36" s="1"/>
  <c r="Q36" i="36" s="1"/>
  <c r="Q76" i="32"/>
  <c r="R76" i="32"/>
  <c r="V76" i="32"/>
  <c r="K83" i="39"/>
  <c r="J78" i="39"/>
  <c r="L74" i="38"/>
  <c r="L77" i="38" s="1"/>
  <c r="L78" i="38" s="1"/>
  <c r="N118" i="38"/>
  <c r="J133" i="38" s="1"/>
  <c r="D38" i="38" s="1"/>
  <c r="AB38" i="38" s="1"/>
  <c r="Q74" i="39"/>
  <c r="Q77" i="39" s="1"/>
  <c r="H64" i="31" l="1"/>
  <c r="H95" i="31" s="1"/>
  <c r="Q47" i="31"/>
  <c r="R47" i="31" s="1"/>
  <c r="Q94" i="31"/>
  <c r="R94" i="31" s="1"/>
  <c r="N64" i="31"/>
  <c r="N95" i="31" s="1"/>
  <c r="Q57" i="31"/>
  <c r="R57" i="31" s="1"/>
  <c r="O150" i="38"/>
  <c r="O151" i="38" s="1"/>
  <c r="O155" i="38" s="1"/>
  <c r="Q42" i="38" s="1"/>
  <c r="K150" i="38"/>
  <c r="K151" i="38" s="1"/>
  <c r="K155" i="38" s="1"/>
  <c r="Q38" i="38" s="1"/>
  <c r="J127" i="38"/>
  <c r="D37" i="38" s="1"/>
  <c r="O74" i="39"/>
  <c r="O77" i="39" s="1"/>
  <c r="O79" i="39" s="1"/>
  <c r="O83" i="39" s="1"/>
  <c r="R150" i="38"/>
  <c r="R151" i="38" s="1"/>
  <c r="R155" i="38" s="1"/>
  <c r="Q45" i="38" s="1"/>
  <c r="E88" i="31"/>
  <c r="Q88" i="31" s="1"/>
  <c r="R88" i="31" s="1"/>
  <c r="Q63" i="31"/>
  <c r="R63" i="31" s="1"/>
  <c r="Q78" i="31"/>
  <c r="R78" i="31" s="1"/>
  <c r="I64" i="31"/>
  <c r="I95" i="31" s="1"/>
  <c r="L64" i="31"/>
  <c r="L95" i="31" s="1"/>
  <c r="F64" i="31"/>
  <c r="F95" i="31" s="1"/>
  <c r="J64" i="31"/>
  <c r="J95" i="31" s="1"/>
  <c r="V76" i="34"/>
  <c r="Q107" i="3"/>
  <c r="N117" i="3" s="1"/>
  <c r="N79" i="39"/>
  <c r="N83" i="39" s="1"/>
  <c r="N78" i="39"/>
  <c r="M105" i="3"/>
  <c r="J105" i="3" s="1"/>
  <c r="M106" i="3"/>
  <c r="M107" i="3"/>
  <c r="J107" i="3" s="1"/>
  <c r="K58" i="34"/>
  <c r="K91" i="34" s="1"/>
  <c r="O150" i="39"/>
  <c r="O151" i="39" s="1"/>
  <c r="O155" i="39" s="1"/>
  <c r="Q42" i="39" s="1"/>
  <c r="L79" i="38"/>
  <c r="L83" i="38" s="1"/>
  <c r="L78" i="39"/>
  <c r="O108" i="3"/>
  <c r="I82" i="36"/>
  <c r="Q82" i="36" s="1"/>
  <c r="I118" i="39"/>
  <c r="R16" i="39" s="1"/>
  <c r="Y40" i="3"/>
  <c r="Y42" i="3" s="1"/>
  <c r="Z39" i="3" s="1"/>
  <c r="I43" i="26"/>
  <c r="I58" i="26" s="1"/>
  <c r="I91" i="26" s="1"/>
  <c r="P43" i="26"/>
  <c r="H43" i="26"/>
  <c r="H58" i="26" s="1"/>
  <c r="H91" i="26" s="1"/>
  <c r="Q108" i="38"/>
  <c r="N119" i="38" s="1"/>
  <c r="P74" i="39"/>
  <c r="P77" i="39" s="1"/>
  <c r="P78" i="39" s="1"/>
  <c r="O74" i="3"/>
  <c r="I117" i="3"/>
  <c r="R16" i="3" s="1"/>
  <c r="G43" i="26"/>
  <c r="G58" i="26" s="1"/>
  <c r="G91" i="26" s="1"/>
  <c r="N43" i="26"/>
  <c r="N58" i="26" s="1"/>
  <c r="N91" i="26" s="1"/>
  <c r="F43" i="26"/>
  <c r="F58" i="26" s="1"/>
  <c r="F91" i="26" s="1"/>
  <c r="Q78" i="39"/>
  <c r="Q79" i="39"/>
  <c r="Q83" i="39" s="1"/>
  <c r="N73" i="3"/>
  <c r="N74" i="3" s="1"/>
  <c r="N78" i="3" s="1"/>
  <c r="Q36" i="3" s="1"/>
  <c r="M78" i="39"/>
  <c r="N150" i="39"/>
  <c r="N151" i="39" s="1"/>
  <c r="N155" i="39" s="1"/>
  <c r="Q41" i="39" s="1"/>
  <c r="K78" i="38"/>
  <c r="K79" i="38"/>
  <c r="K83" i="38" s="1"/>
  <c r="O79" i="38"/>
  <c r="O83" i="38" s="1"/>
  <c r="O78" i="38"/>
  <c r="P78" i="38"/>
  <c r="P79" i="38"/>
  <c r="P83" i="38" s="1"/>
  <c r="I119" i="38"/>
  <c r="R17" i="38" s="1"/>
  <c r="Q78" i="38"/>
  <c r="Q79" i="38"/>
  <c r="Q83" i="38" s="1"/>
  <c r="K41" i="31"/>
  <c r="Q41" i="31" s="1"/>
  <c r="R41" i="31" s="1"/>
  <c r="M34" i="3"/>
  <c r="O127" i="38"/>
  <c r="D39" i="38" s="1"/>
  <c r="AC38" i="38" s="1"/>
  <c r="Q108" i="3"/>
  <c r="P118" i="3" s="1"/>
  <c r="N116" i="3"/>
  <c r="I116" i="3"/>
  <c r="R15" i="3" s="1"/>
  <c r="Q80" i="37"/>
  <c r="O83" i="37"/>
  <c r="I118" i="38"/>
  <c r="R16" i="38" s="1"/>
  <c r="I117" i="38"/>
  <c r="R15" i="38" s="1"/>
  <c r="J106" i="3"/>
  <c r="Q108" i="39"/>
  <c r="V43" i="33"/>
  <c r="K58" i="41"/>
  <c r="K91" i="41" s="1"/>
  <c r="Q91" i="41" s="1"/>
  <c r="R91" i="41" s="1"/>
  <c r="V91" i="41" s="1"/>
  <c r="Z41" i="3"/>
  <c r="Z42" i="3" s="1"/>
  <c r="AA39" i="3" s="1"/>
  <c r="O132" i="3"/>
  <c r="F35" i="3" s="1"/>
  <c r="N35" i="3" s="1"/>
  <c r="AA40" i="3"/>
  <c r="Y46" i="3"/>
  <c r="Y48" i="3" s="1"/>
  <c r="Z45" i="3" s="1"/>
  <c r="Z47" i="3" s="1"/>
  <c r="N34" i="3"/>
  <c r="K58" i="42"/>
  <c r="Q58" i="42" s="1"/>
  <c r="R58" i="42" s="1"/>
  <c r="V58" i="42" s="1"/>
  <c r="AE40" i="3"/>
  <c r="K58" i="33"/>
  <c r="K91" i="33" s="1"/>
  <c r="Q91" i="33" s="1"/>
  <c r="R91" i="33" s="1"/>
  <c r="V91" i="33" s="1"/>
  <c r="D93" i="31"/>
  <c r="O75" i="3"/>
  <c r="J91" i="26"/>
  <c r="Q19" i="31"/>
  <c r="R19" i="31" s="1"/>
  <c r="G64" i="31"/>
  <c r="G95" i="31" s="1"/>
  <c r="O131" i="3"/>
  <c r="E35" i="3" s="1"/>
  <c r="F99" i="33"/>
  <c r="H91" i="34"/>
  <c r="P91" i="34"/>
  <c r="T91" i="34" s="1"/>
  <c r="T58" i="34"/>
  <c r="J79" i="38"/>
  <c r="J83" i="38" s="1"/>
  <c r="J78" i="38"/>
  <c r="N150" i="38"/>
  <c r="N151" i="38" s="1"/>
  <c r="N155" i="38" s="1"/>
  <c r="Q41" i="38" s="1"/>
  <c r="M74" i="38"/>
  <c r="M77" i="38" s="1"/>
  <c r="I114" i="3"/>
  <c r="N114" i="3"/>
  <c r="P64" i="31"/>
  <c r="Q76" i="26"/>
  <c r="R76" i="26" s="1"/>
  <c r="L91" i="26"/>
  <c r="T76" i="26"/>
  <c r="O78" i="39"/>
  <c r="D78" i="26"/>
  <c r="M94" i="3"/>
  <c r="J94" i="3" s="1"/>
  <c r="J95" i="3" s="1"/>
  <c r="M95" i="3"/>
  <c r="E19" i="26"/>
  <c r="D68" i="26"/>
  <c r="E66" i="26"/>
  <c r="Q35" i="26"/>
  <c r="R35" i="26" s="1"/>
  <c r="V35" i="26" s="1"/>
  <c r="BL95" i="40"/>
  <c r="C86" i="40"/>
  <c r="BL75" i="40"/>
  <c r="F88" i="40"/>
  <c r="F25" i="40"/>
  <c r="F26" i="40" s="1"/>
  <c r="J25" i="40"/>
  <c r="N86" i="40"/>
  <c r="Z105" i="40"/>
  <c r="N49" i="40" s="1"/>
  <c r="H66" i="41"/>
  <c r="H99" i="41" s="1"/>
  <c r="Q21" i="41"/>
  <c r="R21" i="41" s="1"/>
  <c r="V21" i="41" s="1"/>
  <c r="Q35" i="42"/>
  <c r="R35" i="42" s="1"/>
  <c r="V35" i="42" s="1"/>
  <c r="E66" i="42"/>
  <c r="N79" i="38"/>
  <c r="N83" i="38" s="1"/>
  <c r="N78" i="38"/>
  <c r="I90" i="36"/>
  <c r="N117" i="38"/>
  <c r="J98" i="38"/>
  <c r="K66" i="26"/>
  <c r="K99" i="26" s="1"/>
  <c r="E92" i="26"/>
  <c r="Q59" i="26"/>
  <c r="R59" i="26" s="1"/>
  <c r="V59" i="26" s="1"/>
  <c r="G92" i="34"/>
  <c r="Q92" i="34" s="1"/>
  <c r="R92" i="34" s="1"/>
  <c r="V92" i="34" s="1"/>
  <c r="Q59" i="34"/>
  <c r="R59" i="34" s="1"/>
  <c r="V59" i="34" s="1"/>
  <c r="J132" i="39"/>
  <c r="O126" i="39"/>
  <c r="J98" i="39"/>
  <c r="I117" i="39"/>
  <c r="L51" i="3"/>
  <c r="G8" i="3" s="1"/>
  <c r="G11" i="3" s="1"/>
  <c r="R32" i="3" s="1"/>
  <c r="T66" i="26"/>
  <c r="P99" i="26"/>
  <c r="T99" i="26" s="1"/>
  <c r="Q49" i="26"/>
  <c r="R49" i="26" s="1"/>
  <c r="V49" i="26" s="1"/>
  <c r="T92" i="26"/>
  <c r="E98" i="33"/>
  <c r="Q98" i="33" s="1"/>
  <c r="R98" i="33" s="1"/>
  <c r="V98" i="33" s="1"/>
  <c r="Q65" i="33"/>
  <c r="R65" i="33" s="1"/>
  <c r="V65" i="33" s="1"/>
  <c r="Q35" i="34"/>
  <c r="R35" i="34" s="1"/>
  <c r="V35" i="34" s="1"/>
  <c r="E66" i="34"/>
  <c r="I66" i="34"/>
  <c r="I99" i="34" s="1"/>
  <c r="M66" i="34"/>
  <c r="M99" i="34" s="1"/>
  <c r="AG45" i="39"/>
  <c r="AF52" i="39"/>
  <c r="AF53" i="39" s="1"/>
  <c r="X103" i="40"/>
  <c r="J126" i="39"/>
  <c r="E42" i="26"/>
  <c r="K78" i="39"/>
  <c r="P92" i="26"/>
  <c r="Q92" i="26" s="1"/>
  <c r="R92" i="26" s="1"/>
  <c r="V48" i="34"/>
  <c r="Q21" i="26"/>
  <c r="R21" i="26" s="1"/>
  <c r="V21" i="26" s="1"/>
  <c r="T98" i="26"/>
  <c r="Q98" i="26"/>
  <c r="R98" i="26" s="1"/>
  <c r="M70" i="36"/>
  <c r="M68" i="36"/>
  <c r="J68" i="36" s="1"/>
  <c r="M69" i="36"/>
  <c r="J69" i="36" s="1"/>
  <c r="N90" i="36" s="1"/>
  <c r="O95" i="31"/>
  <c r="Q59" i="32"/>
  <c r="R59" i="32" s="1"/>
  <c r="V59" i="32" s="1"/>
  <c r="Q21" i="33"/>
  <c r="R21" i="33" s="1"/>
  <c r="V21" i="33" s="1"/>
  <c r="H66" i="33"/>
  <c r="H99" i="33" s="1"/>
  <c r="V29" i="33"/>
  <c r="M70" i="37"/>
  <c r="M68" i="37"/>
  <c r="J68" i="37" s="1"/>
  <c r="M69" i="37"/>
  <c r="J69" i="37" s="1"/>
  <c r="I90" i="37" s="1"/>
  <c r="O103" i="40"/>
  <c r="K26" i="40"/>
  <c r="BL94" i="40"/>
  <c r="AR90" i="40"/>
  <c r="AY90" i="40"/>
  <c r="AI90" i="40"/>
  <c r="S90" i="40"/>
  <c r="AJ90" i="40"/>
  <c r="AV90" i="40"/>
  <c r="Z90" i="40"/>
  <c r="AH90" i="40"/>
  <c r="AC90" i="40"/>
  <c r="Q90" i="40"/>
  <c r="Q103" i="40" s="1"/>
  <c r="V90" i="40"/>
  <c r="V103" i="40" s="1"/>
  <c r="AQ90" i="40"/>
  <c r="AA90" i="40"/>
  <c r="AT90" i="40"/>
  <c r="Y90" i="40"/>
  <c r="AK90" i="40"/>
  <c r="P90" i="40"/>
  <c r="AX90" i="40"/>
  <c r="AG90" i="40"/>
  <c r="AW90" i="40"/>
  <c r="AE90" i="40"/>
  <c r="AD90" i="40"/>
  <c r="U90" i="40"/>
  <c r="R90" i="40"/>
  <c r="P41" i="40"/>
  <c r="W90" i="40"/>
  <c r="T90" i="40"/>
  <c r="AS90" i="40"/>
  <c r="AL90" i="40"/>
  <c r="AU90" i="40"/>
  <c r="AP90" i="40"/>
  <c r="AO90" i="40"/>
  <c r="AA38" i="38"/>
  <c r="AA40" i="38" s="1"/>
  <c r="AB37" i="38" s="1"/>
  <c r="L38" i="38"/>
  <c r="Q58" i="33"/>
  <c r="R58" i="33" s="1"/>
  <c r="V58" i="33" s="1"/>
  <c r="Q33" i="31"/>
  <c r="R33" i="31" s="1"/>
  <c r="P66" i="32"/>
  <c r="T59" i="32"/>
  <c r="P92" i="32"/>
  <c r="Q92" i="32" s="1"/>
  <c r="R92" i="32" s="1"/>
  <c r="Q82" i="32"/>
  <c r="R82" i="32" s="1"/>
  <c r="V82" i="32" s="1"/>
  <c r="P66" i="33"/>
  <c r="Q35" i="33"/>
  <c r="R35" i="33" s="1"/>
  <c r="V35" i="33" s="1"/>
  <c r="Q21" i="34"/>
  <c r="R21" i="34" s="1"/>
  <c r="V21" i="34" s="1"/>
  <c r="L55" i="37"/>
  <c r="G8" i="37" s="1"/>
  <c r="G11" i="37" s="1"/>
  <c r="R35" i="37" s="1"/>
  <c r="N118" i="39"/>
  <c r="Q110" i="3"/>
  <c r="I110" i="38"/>
  <c r="I110" i="39"/>
  <c r="I82" i="37"/>
  <c r="BL97" i="40"/>
  <c r="L25" i="40"/>
  <c r="L88" i="40"/>
  <c r="AB90" i="40"/>
  <c r="AN90" i="40"/>
  <c r="AM90" i="40"/>
  <c r="BL67" i="40"/>
  <c r="G66" i="26"/>
  <c r="G99" i="26" s="1"/>
  <c r="O66" i="26"/>
  <c r="O99" i="26" s="1"/>
  <c r="E64" i="31"/>
  <c r="M64" i="31"/>
  <c r="M95" i="31" s="1"/>
  <c r="E66" i="32"/>
  <c r="M66" i="32"/>
  <c r="M99" i="32" s="1"/>
  <c r="L66" i="33"/>
  <c r="L99" i="33" s="1"/>
  <c r="V15" i="34"/>
  <c r="N89" i="37"/>
  <c r="N90" i="37"/>
  <c r="BL64" i="40"/>
  <c r="Q49" i="33"/>
  <c r="R49" i="33" s="1"/>
  <c r="V49" i="33" s="1"/>
  <c r="O80" i="36"/>
  <c r="O83" i="36" s="1"/>
  <c r="BL98" i="40"/>
  <c r="G72" i="40"/>
  <c r="G24" i="40" s="1"/>
  <c r="P105" i="40"/>
  <c r="D49" i="40" s="1"/>
  <c r="V29" i="34"/>
  <c r="BL101" i="40"/>
  <c r="G86" i="40"/>
  <c r="BL100" i="40"/>
  <c r="S105" i="40"/>
  <c r="G49" i="40" s="1"/>
  <c r="H72" i="40"/>
  <c r="H24" i="40" s="1"/>
  <c r="AM63" i="40"/>
  <c r="S63" i="40"/>
  <c r="L63" i="40"/>
  <c r="L72" i="40" s="1"/>
  <c r="L24" i="40" s="1"/>
  <c r="L26" i="40" s="1"/>
  <c r="R63" i="40"/>
  <c r="AO63" i="40"/>
  <c r="Y63" i="40"/>
  <c r="I63" i="40"/>
  <c r="BL63" i="40" s="1"/>
  <c r="AL63" i="40"/>
  <c r="P63" i="40"/>
  <c r="AP63" i="40"/>
  <c r="J63" i="40"/>
  <c r="J72" i="40" s="1"/>
  <c r="J24" i="40" s="1"/>
  <c r="W63" i="40"/>
  <c r="N63" i="40"/>
  <c r="AG63" i="40"/>
  <c r="Q63" i="40"/>
  <c r="O63" i="40"/>
  <c r="AA63" i="40"/>
  <c r="Z63" i="40"/>
  <c r="AI63" i="40"/>
  <c r="D18" i="40"/>
  <c r="D23" i="40" s="1"/>
  <c r="AM83" i="40"/>
  <c r="AO83" i="40"/>
  <c r="Y83" i="40"/>
  <c r="AT83" i="40"/>
  <c r="AD83" i="40"/>
  <c r="AJ83" i="40"/>
  <c r="AN83" i="40"/>
  <c r="AQ83" i="40"/>
  <c r="O83" i="40"/>
  <c r="O105" i="40" s="1"/>
  <c r="C49" i="40" s="1"/>
  <c r="AW83" i="40"/>
  <c r="AG83" i="40"/>
  <c r="Q83" i="40"/>
  <c r="Q105" i="40" s="1"/>
  <c r="E49" i="40" s="1"/>
  <c r="AL83" i="40"/>
  <c r="V83" i="40"/>
  <c r="V105" i="40" s="1"/>
  <c r="J49" i="40" s="1"/>
  <c r="N83" i="40"/>
  <c r="T83" i="40"/>
  <c r="X83" i="40"/>
  <c r="AU83" i="40"/>
  <c r="P21" i="40"/>
  <c r="T105" i="40"/>
  <c r="H49" i="40" s="1"/>
  <c r="V65" i="41"/>
  <c r="V81" i="34"/>
  <c r="L57" i="39"/>
  <c r="G10" i="39" s="1"/>
  <c r="G13" i="39" s="1"/>
  <c r="R37" i="39" s="1"/>
  <c r="K88" i="40"/>
  <c r="W105" i="40"/>
  <c r="K49" i="40" s="1"/>
  <c r="AI83" i="40"/>
  <c r="AD63" i="40"/>
  <c r="AF83" i="40"/>
  <c r="AP83" i="40"/>
  <c r="AK83" i="40"/>
  <c r="AE63" i="40"/>
  <c r="AF63" i="40"/>
  <c r="U63" i="40"/>
  <c r="AB63" i="40"/>
  <c r="BL99" i="40"/>
  <c r="E99" i="41"/>
  <c r="V30" i="41"/>
  <c r="Q92" i="41"/>
  <c r="R92" i="41" s="1"/>
  <c r="V92" i="41" s="1"/>
  <c r="V76" i="41"/>
  <c r="G66" i="42"/>
  <c r="G99" i="42" s="1"/>
  <c r="T98" i="42"/>
  <c r="K78" i="3"/>
  <c r="Q33" i="3" s="1"/>
  <c r="L73" i="3"/>
  <c r="L74" i="3" s="1"/>
  <c r="L78" i="3" s="1"/>
  <c r="Q34" i="3" s="1"/>
  <c r="AE66" i="40"/>
  <c r="BL66" i="40" s="1"/>
  <c r="AO66" i="40"/>
  <c r="T66" i="40"/>
  <c r="X78" i="40"/>
  <c r="AO78" i="40"/>
  <c r="M78" i="40"/>
  <c r="BL78" i="40" s="1"/>
  <c r="AB91" i="40"/>
  <c r="AW91" i="40"/>
  <c r="BL91" i="40" s="1"/>
  <c r="X82" i="40"/>
  <c r="BL82" i="40" s="1"/>
  <c r="H92" i="41"/>
  <c r="Q59" i="41"/>
  <c r="R59" i="41" s="1"/>
  <c r="V59" i="41" s="1"/>
  <c r="P98" i="41"/>
  <c r="T98" i="41" s="1"/>
  <c r="T65" i="41"/>
  <c r="O66" i="42"/>
  <c r="O99" i="42" s="1"/>
  <c r="J98" i="42"/>
  <c r="Q98" i="42" s="1"/>
  <c r="R98" i="42" s="1"/>
  <c r="V98" i="42" s="1"/>
  <c r="Q65" i="42"/>
  <c r="R65" i="42" s="1"/>
  <c r="V65" i="42" s="1"/>
  <c r="AH64" i="40"/>
  <c r="Y64" i="40"/>
  <c r="AD68" i="40"/>
  <c r="AR68" i="40"/>
  <c r="AB68" i="40"/>
  <c r="L68" i="40"/>
  <c r="AA68" i="40"/>
  <c r="AM68" i="40"/>
  <c r="AJ68" i="40"/>
  <c r="AT84" i="40"/>
  <c r="AH84" i="40"/>
  <c r="BL84" i="40" s="1"/>
  <c r="W93" i="40"/>
  <c r="BL93" i="40" s="1"/>
  <c r="AS93" i="40"/>
  <c r="AI64" i="40"/>
  <c r="AC66" i="40"/>
  <c r="Y78" i="40"/>
  <c r="Y105" i="40" s="1"/>
  <c r="M49" i="40" s="1"/>
  <c r="D88" i="40"/>
  <c r="AM93" i="40"/>
  <c r="M66" i="42"/>
  <c r="M99" i="42" s="1"/>
  <c r="Q92" i="42"/>
  <c r="R92" i="42" s="1"/>
  <c r="V92" i="42" s="1"/>
  <c r="G92" i="42"/>
  <c r="Q59" i="42"/>
  <c r="R59" i="42" s="1"/>
  <c r="M65" i="40"/>
  <c r="M72" i="40" s="1"/>
  <c r="M24" i="40" s="1"/>
  <c r="T65" i="40"/>
  <c r="Z65" i="40"/>
  <c r="AH65" i="40"/>
  <c r="AO65" i="40"/>
  <c r="N69" i="40"/>
  <c r="Y69" i="40"/>
  <c r="AJ69" i="40"/>
  <c r="AT69" i="40"/>
  <c r="T70" i="40"/>
  <c r="AE70" i="40"/>
  <c r="AO70" i="40"/>
  <c r="M77" i="40"/>
  <c r="M86" i="40" s="1"/>
  <c r="X77" i="40"/>
  <c r="X105" i="40" s="1"/>
  <c r="L49" i="40" s="1"/>
  <c r="AH77" i="40"/>
  <c r="O81" i="40"/>
  <c r="AK81" i="40"/>
  <c r="P66" i="41"/>
  <c r="T21" i="41"/>
  <c r="V44" i="42"/>
  <c r="I65" i="40"/>
  <c r="P65" i="40"/>
  <c r="X65" i="40"/>
  <c r="AD65" i="40"/>
  <c r="AK65" i="40"/>
  <c r="T69" i="40"/>
  <c r="AD69" i="40"/>
  <c r="AO69" i="40"/>
  <c r="O70" i="40"/>
  <c r="Y70" i="40"/>
  <c r="AJ70" i="40"/>
  <c r="H77" i="40"/>
  <c r="H86" i="40" s="1"/>
  <c r="R77" i="40"/>
  <c r="R105" i="40" s="1"/>
  <c r="F49" i="40" s="1"/>
  <c r="AC77" i="40"/>
  <c r="Z81" i="40"/>
  <c r="L66" i="41"/>
  <c r="L99" i="41" s="1"/>
  <c r="Q21" i="42"/>
  <c r="R21" i="42" s="1"/>
  <c r="F66" i="42"/>
  <c r="F99" i="42" s="1"/>
  <c r="I66" i="42"/>
  <c r="I99" i="42" s="1"/>
  <c r="K66" i="42"/>
  <c r="K99" i="42" s="1"/>
  <c r="T21" i="42"/>
  <c r="P66" i="42"/>
  <c r="T59" i="42"/>
  <c r="P92" i="42"/>
  <c r="T92" i="42" s="1"/>
  <c r="M74" i="3"/>
  <c r="M78" i="3" s="1"/>
  <c r="Q35" i="3" s="1"/>
  <c r="L39" i="38" l="1"/>
  <c r="J128" i="38"/>
  <c r="E37" i="38" s="1"/>
  <c r="M40" i="38" s="1"/>
  <c r="Q58" i="41"/>
  <c r="R58" i="41" s="1"/>
  <c r="V58" i="41" s="1"/>
  <c r="P79" i="39"/>
  <c r="P83" i="39" s="1"/>
  <c r="O133" i="38"/>
  <c r="D40" i="38" s="1"/>
  <c r="L45" i="38" s="1"/>
  <c r="T43" i="26"/>
  <c r="P58" i="26"/>
  <c r="I92" i="36"/>
  <c r="N92" i="36"/>
  <c r="V92" i="26"/>
  <c r="Q85" i="36"/>
  <c r="Q58" i="34"/>
  <c r="R58" i="34" s="1"/>
  <c r="V58" i="34" s="1"/>
  <c r="M108" i="3"/>
  <c r="J108" i="3" s="1"/>
  <c r="Q43" i="26"/>
  <c r="R43" i="26" s="1"/>
  <c r="V43" i="26" s="1"/>
  <c r="I83" i="36"/>
  <c r="AA41" i="3"/>
  <c r="AA42" i="3" s="1"/>
  <c r="AB39" i="3" s="1"/>
  <c r="M82" i="36"/>
  <c r="J82" i="36" s="1"/>
  <c r="N119" i="39"/>
  <c r="I119" i="39"/>
  <c r="L42" i="38"/>
  <c r="I91" i="37"/>
  <c r="N91" i="37"/>
  <c r="AB46" i="3"/>
  <c r="AB47" i="3" s="1"/>
  <c r="Z48" i="3"/>
  <c r="AA45" i="3" s="1"/>
  <c r="AA48" i="3" s="1"/>
  <c r="AB45" i="3" s="1"/>
  <c r="K91" i="42"/>
  <c r="Q91" i="42" s="1"/>
  <c r="R91" i="42" s="1"/>
  <c r="V91" i="42" s="1"/>
  <c r="J99" i="36"/>
  <c r="D35" i="36" s="1"/>
  <c r="O99" i="36"/>
  <c r="D37" i="36" s="1"/>
  <c r="AC36" i="36" s="1"/>
  <c r="J105" i="36"/>
  <c r="D36" i="36" s="1"/>
  <c r="AB36" i="36" s="1"/>
  <c r="P49" i="40"/>
  <c r="BM70" i="40"/>
  <c r="P99" i="42"/>
  <c r="T99" i="42" s="1"/>
  <c r="T66" i="42"/>
  <c r="P99" i="41"/>
  <c r="T99" i="41" s="1"/>
  <c r="T66" i="41"/>
  <c r="BL69" i="40"/>
  <c r="I83" i="37"/>
  <c r="M82" i="37" s="1"/>
  <c r="J82" i="37" s="1"/>
  <c r="Q82" i="37"/>
  <c r="Q85" i="37"/>
  <c r="T66" i="33"/>
  <c r="P99" i="33"/>
  <c r="T99" i="33" s="1"/>
  <c r="P99" i="32"/>
  <c r="T99" i="32" s="1"/>
  <c r="T66" i="32"/>
  <c r="E48" i="40"/>
  <c r="E50" i="40" s="1"/>
  <c r="Q107" i="40"/>
  <c r="J70" i="36"/>
  <c r="I89" i="36"/>
  <c r="E45" i="26"/>
  <c r="C39" i="39"/>
  <c r="R14" i="36"/>
  <c r="BL65" i="40"/>
  <c r="M26" i="40"/>
  <c r="G88" i="40"/>
  <c r="G25" i="40"/>
  <c r="E95" i="31"/>
  <c r="Q64" i="31"/>
  <c r="R64" i="31" s="1"/>
  <c r="AD38" i="38"/>
  <c r="L43" i="38"/>
  <c r="BL83" i="40"/>
  <c r="E75" i="26"/>
  <c r="D86" i="26"/>
  <c r="L44" i="38"/>
  <c r="Q66" i="33"/>
  <c r="R66" i="33" s="1"/>
  <c r="V66" i="33" s="1"/>
  <c r="F43" i="32"/>
  <c r="AB40" i="3"/>
  <c r="P75" i="3"/>
  <c r="O78" i="3"/>
  <c r="Q37" i="3" s="1"/>
  <c r="H25" i="40"/>
  <c r="H88" i="40"/>
  <c r="BL81" i="40"/>
  <c r="V59" i="42"/>
  <c r="BL68" i="40"/>
  <c r="Q66" i="41"/>
  <c r="R66" i="41" s="1"/>
  <c r="V66" i="41" s="1"/>
  <c r="E18" i="40"/>
  <c r="E23" i="40" s="1"/>
  <c r="H26" i="40"/>
  <c r="BL77" i="40"/>
  <c r="BM84" i="40" s="1"/>
  <c r="Q80" i="36"/>
  <c r="J105" i="37"/>
  <c r="D36" i="37" s="1"/>
  <c r="AB36" i="37" s="1"/>
  <c r="O99" i="37"/>
  <c r="D37" i="37" s="1"/>
  <c r="AC36" i="37" s="1"/>
  <c r="J99" i="37"/>
  <c r="D35" i="37" s="1"/>
  <c r="I111" i="38"/>
  <c r="Q113" i="38"/>
  <c r="Q110" i="38"/>
  <c r="R103" i="40"/>
  <c r="S103" i="40"/>
  <c r="R14" i="37"/>
  <c r="V98" i="26"/>
  <c r="Q66" i="34"/>
  <c r="R66" i="34" s="1"/>
  <c r="V66" i="34" s="1"/>
  <c r="E99" i="34"/>
  <c r="Q99" i="34" s="1"/>
  <c r="R99" i="34" s="1"/>
  <c r="V99" i="34" s="1"/>
  <c r="T92" i="32"/>
  <c r="V92" i="32" s="1"/>
  <c r="R15" i="39"/>
  <c r="O132" i="39"/>
  <c r="J88" i="40"/>
  <c r="C25" i="40"/>
  <c r="C88" i="40"/>
  <c r="D101" i="26"/>
  <c r="L41" i="38"/>
  <c r="V76" i="26"/>
  <c r="Q91" i="34"/>
  <c r="R91" i="34" s="1"/>
  <c r="V91" i="34" s="1"/>
  <c r="J133" i="39"/>
  <c r="D38" i="39" s="1"/>
  <c r="AB38" i="39" s="1"/>
  <c r="J127" i="39"/>
  <c r="O127" i="39"/>
  <c r="D39" i="39" s="1"/>
  <c r="AC38" i="39" s="1"/>
  <c r="W103" i="40"/>
  <c r="C48" i="40"/>
  <c r="O107" i="40"/>
  <c r="N25" i="40"/>
  <c r="N88" i="40"/>
  <c r="P95" i="31"/>
  <c r="R13" i="3"/>
  <c r="V21" i="42"/>
  <c r="BL70" i="40"/>
  <c r="M88" i="40"/>
  <c r="M25" i="40"/>
  <c r="Q98" i="41"/>
  <c r="R98" i="41" s="1"/>
  <c r="V98" i="41" s="1"/>
  <c r="N72" i="40"/>
  <c r="N24" i="40" s="1"/>
  <c r="N26" i="40" s="1"/>
  <c r="I111" i="39"/>
  <c r="M110" i="39" s="1"/>
  <c r="J110" i="39" s="1"/>
  <c r="Q110" i="39"/>
  <c r="Q113" i="39"/>
  <c r="AB39" i="38"/>
  <c r="AB40" i="38" s="1"/>
  <c r="AC37" i="38" s="1"/>
  <c r="P103" i="40"/>
  <c r="BL90" i="40"/>
  <c r="BM101" i="40" s="1"/>
  <c r="X107" i="40"/>
  <c r="L48" i="40"/>
  <c r="L50" i="40" s="1"/>
  <c r="C38" i="39"/>
  <c r="J126" i="38"/>
  <c r="O126" i="38"/>
  <c r="J132" i="38"/>
  <c r="I115" i="3"/>
  <c r="N115" i="3"/>
  <c r="N118" i="3" s="1"/>
  <c r="AA45" i="38"/>
  <c r="AA47" i="38" s="1"/>
  <c r="AB44" i="38" s="1"/>
  <c r="J26" i="40"/>
  <c r="I72" i="40"/>
  <c r="G26" i="40"/>
  <c r="J98" i="37"/>
  <c r="O98" i="37"/>
  <c r="J104" i="37"/>
  <c r="Q66" i="32"/>
  <c r="R66" i="32" s="1"/>
  <c r="V66" i="32" s="1"/>
  <c r="E99" i="32"/>
  <c r="Q99" i="32" s="1"/>
  <c r="R99" i="32" s="1"/>
  <c r="V99" i="32" s="1"/>
  <c r="T103" i="40"/>
  <c r="U103" i="40"/>
  <c r="Y103" i="40"/>
  <c r="V107" i="40"/>
  <c r="J48" i="40"/>
  <c r="J50" i="40" s="1"/>
  <c r="Z103" i="40"/>
  <c r="J70" i="37"/>
  <c r="I89" i="37"/>
  <c r="C37" i="39"/>
  <c r="N89" i="36"/>
  <c r="E99" i="42"/>
  <c r="Q66" i="42"/>
  <c r="R66" i="42" s="1"/>
  <c r="V66" i="42" s="1"/>
  <c r="E99" i="26"/>
  <c r="Q99" i="26" s="1"/>
  <c r="R99" i="26" s="1"/>
  <c r="V99" i="26" s="1"/>
  <c r="Q66" i="26"/>
  <c r="R66" i="26" s="1"/>
  <c r="V66" i="26" s="1"/>
  <c r="E64" i="26"/>
  <c r="L40" i="38"/>
  <c r="J129" i="3"/>
  <c r="O123" i="3"/>
  <c r="J123" i="3"/>
  <c r="M79" i="38"/>
  <c r="M83" i="38" s="1"/>
  <c r="M78" i="38"/>
  <c r="M41" i="38" l="1"/>
  <c r="M38" i="38"/>
  <c r="M39" i="38"/>
  <c r="AB41" i="3"/>
  <c r="J101" i="36"/>
  <c r="F35" i="36" s="1"/>
  <c r="J107" i="36"/>
  <c r="F36" i="36" s="1"/>
  <c r="R16" i="36"/>
  <c r="M81" i="36"/>
  <c r="J81" i="36" s="1"/>
  <c r="M80" i="36"/>
  <c r="T58" i="26"/>
  <c r="P91" i="26"/>
  <c r="T91" i="26" s="1"/>
  <c r="R15" i="37"/>
  <c r="J100" i="37"/>
  <c r="E35" i="37" s="1"/>
  <c r="AB48" i="3"/>
  <c r="AC45" i="3" s="1"/>
  <c r="AC48" i="3" s="1"/>
  <c r="AD45" i="3" s="1"/>
  <c r="AD48" i="3" s="1"/>
  <c r="AE45" i="3" s="1"/>
  <c r="AE48" i="3" s="1"/>
  <c r="AF45" i="3" s="1"/>
  <c r="AF48" i="3" s="1"/>
  <c r="AG45" i="3" s="1"/>
  <c r="AG48" i="3" s="1"/>
  <c r="AH45" i="3" s="1"/>
  <c r="AH48" i="3" s="1"/>
  <c r="J128" i="39"/>
  <c r="E37" i="39" s="1"/>
  <c r="R17" i="39"/>
  <c r="O105" i="36"/>
  <c r="D38" i="36" s="1"/>
  <c r="AD36" i="36" s="1"/>
  <c r="R13" i="37"/>
  <c r="O104" i="37"/>
  <c r="R14" i="3"/>
  <c r="R17" i="3" s="1"/>
  <c r="D48" i="40"/>
  <c r="D50" i="40" s="1"/>
  <c r="P107" i="40"/>
  <c r="I120" i="39"/>
  <c r="N120" i="39"/>
  <c r="Q111" i="39"/>
  <c r="P121" i="39" s="1"/>
  <c r="N92" i="37"/>
  <c r="I92" i="37"/>
  <c r="Q83" i="37"/>
  <c r="P93" i="37" s="1"/>
  <c r="C33" i="3"/>
  <c r="E97" i="26"/>
  <c r="O98" i="36"/>
  <c r="J98" i="36"/>
  <c r="J104" i="36"/>
  <c r="M48" i="40"/>
  <c r="M50" i="40" s="1"/>
  <c r="Y107" i="40"/>
  <c r="C35" i="37"/>
  <c r="Q99" i="41"/>
  <c r="R99" i="41" s="1"/>
  <c r="V99" i="41" s="1"/>
  <c r="C50" i="40"/>
  <c r="C40" i="39"/>
  <c r="K45" i="39" s="1"/>
  <c r="O105" i="37"/>
  <c r="D38" i="37" s="1"/>
  <c r="AD36" i="37" s="1"/>
  <c r="Q43" i="32"/>
  <c r="R43" i="32" s="1"/>
  <c r="V43" i="32" s="1"/>
  <c r="F58" i="32"/>
  <c r="Q95" i="31"/>
  <c r="R95" i="31" s="1"/>
  <c r="E50" i="26"/>
  <c r="F42" i="26"/>
  <c r="M81" i="37"/>
  <c r="J81" i="37" s="1"/>
  <c r="M80" i="37"/>
  <c r="AB46" i="38"/>
  <c r="AB47" i="38" s="1"/>
  <c r="AC44" i="38" s="1"/>
  <c r="C39" i="38"/>
  <c r="D37" i="39"/>
  <c r="O133" i="39"/>
  <c r="D40" i="39" s="1"/>
  <c r="AD38" i="39" s="1"/>
  <c r="N120" i="38"/>
  <c r="Q111" i="38"/>
  <c r="P121" i="38" s="1"/>
  <c r="I120" i="38"/>
  <c r="L37" i="37"/>
  <c r="L40" i="37"/>
  <c r="L36" i="37"/>
  <c r="AA36" i="37"/>
  <c r="AA38" i="37" s="1"/>
  <c r="AB35" i="37" s="1"/>
  <c r="C32" i="3"/>
  <c r="K40" i="39"/>
  <c r="K44" i="39"/>
  <c r="AA30" i="39"/>
  <c r="AA32" i="39" s="1"/>
  <c r="AB29" i="39" s="1"/>
  <c r="K43" i="39"/>
  <c r="K39" i="39"/>
  <c r="K42" i="39"/>
  <c r="K38" i="39"/>
  <c r="N48" i="40"/>
  <c r="N50" i="40" s="1"/>
  <c r="Z107" i="40"/>
  <c r="I48" i="40"/>
  <c r="I50" i="40" s="1"/>
  <c r="U107" i="40"/>
  <c r="C36" i="37"/>
  <c r="C37" i="38"/>
  <c r="O132" i="38"/>
  <c r="AC39" i="38"/>
  <c r="AC40" i="38" s="1"/>
  <c r="AD37" i="38" s="1"/>
  <c r="M108" i="39"/>
  <c r="M109" i="39"/>
  <c r="J109" i="39" s="1"/>
  <c r="I118" i="3"/>
  <c r="W107" i="40"/>
  <c r="K48" i="40"/>
  <c r="K50" i="40" s="1"/>
  <c r="P25" i="40"/>
  <c r="C26" i="40"/>
  <c r="C27" i="40" s="1"/>
  <c r="S107" i="40"/>
  <c r="G48" i="40"/>
  <c r="G50" i="40" s="1"/>
  <c r="M108" i="38"/>
  <c r="M109" i="38"/>
  <c r="J109" i="38" s="1"/>
  <c r="F18" i="40"/>
  <c r="F23" i="40" s="1"/>
  <c r="R13" i="36"/>
  <c r="AB42" i="3"/>
  <c r="AC39" i="3" s="1"/>
  <c r="L37" i="36"/>
  <c r="L41" i="36"/>
  <c r="L42" i="36"/>
  <c r="AA36" i="36"/>
  <c r="AA38" i="36" s="1"/>
  <c r="AB35" i="36" s="1"/>
  <c r="L36" i="36"/>
  <c r="C34" i="3"/>
  <c r="Q99" i="42"/>
  <c r="R99" i="42" s="1"/>
  <c r="V99" i="42" s="1"/>
  <c r="H48" i="40"/>
  <c r="H50" i="40" s="1"/>
  <c r="T107" i="40"/>
  <c r="C37" i="37"/>
  <c r="I24" i="40"/>
  <c r="I88" i="40"/>
  <c r="J124" i="3"/>
  <c r="D32" i="3" s="1"/>
  <c r="O124" i="3"/>
  <c r="D34" i="3" s="1"/>
  <c r="J130" i="3"/>
  <c r="D33" i="3" s="1"/>
  <c r="C38" i="38"/>
  <c r="AB30" i="39"/>
  <c r="O129" i="3"/>
  <c r="R107" i="40"/>
  <c r="F48" i="40"/>
  <c r="F50" i="40" s="1"/>
  <c r="M110" i="38"/>
  <c r="J110" i="38" s="1"/>
  <c r="I91" i="36"/>
  <c r="I93" i="36" s="1"/>
  <c r="N91" i="36"/>
  <c r="N93" i="36" s="1"/>
  <c r="Q83" i="36"/>
  <c r="P93" i="36" s="1"/>
  <c r="Q75" i="3"/>
  <c r="P78" i="3"/>
  <c r="Q38" i="3" s="1"/>
  <c r="E78" i="26"/>
  <c r="AC30" i="39"/>
  <c r="Q99" i="33"/>
  <c r="R99" i="33" s="1"/>
  <c r="V99" i="33" s="1"/>
  <c r="M42" i="38" l="1"/>
  <c r="M43" i="38" s="1"/>
  <c r="M44" i="38" s="1"/>
  <c r="L38" i="37"/>
  <c r="L39" i="36"/>
  <c r="O104" i="36"/>
  <c r="O101" i="36"/>
  <c r="F37" i="36" s="1"/>
  <c r="L42" i="37"/>
  <c r="M83" i="36"/>
  <c r="J83" i="36" s="1"/>
  <c r="J80" i="36"/>
  <c r="AB50" i="36"/>
  <c r="N36" i="36"/>
  <c r="AA50" i="36"/>
  <c r="AA52" i="36" s="1"/>
  <c r="AB49" i="36" s="1"/>
  <c r="M41" i="39"/>
  <c r="M39" i="39"/>
  <c r="M38" i="39"/>
  <c r="AA45" i="39"/>
  <c r="AA47" i="39" s="1"/>
  <c r="AB44" i="39" s="1"/>
  <c r="AB46" i="39" s="1"/>
  <c r="AB47" i="39" s="1"/>
  <c r="AC44" i="39" s="1"/>
  <c r="M40" i="39"/>
  <c r="L38" i="36"/>
  <c r="L40" i="36"/>
  <c r="K41" i="39"/>
  <c r="M45" i="38"/>
  <c r="M39" i="37"/>
  <c r="AA43" i="37"/>
  <c r="AA45" i="37" s="1"/>
  <c r="AB42" i="37" s="1"/>
  <c r="M37" i="37"/>
  <c r="M36" i="37"/>
  <c r="M40" i="37" s="1"/>
  <c r="M38" i="37"/>
  <c r="L43" i="36"/>
  <c r="O127" i="3"/>
  <c r="J127" i="3"/>
  <c r="AD39" i="38"/>
  <c r="AD40" i="38" s="1"/>
  <c r="AE37" i="38" s="1"/>
  <c r="R75" i="3"/>
  <c r="R78" i="3" s="1"/>
  <c r="Q40" i="3" s="1"/>
  <c r="Q78" i="3"/>
  <c r="Q39" i="3" s="1"/>
  <c r="C38" i="36"/>
  <c r="AA30" i="38"/>
  <c r="AA32" i="38" s="1"/>
  <c r="AB29" i="38" s="1"/>
  <c r="K39" i="38"/>
  <c r="K38" i="38"/>
  <c r="K34" i="3"/>
  <c r="D14" i="26"/>
  <c r="Y25" i="3"/>
  <c r="Y27" i="3" s="1"/>
  <c r="Z24" i="3" s="1"/>
  <c r="K33" i="3"/>
  <c r="G32" i="3"/>
  <c r="I32" i="3" s="1"/>
  <c r="H33" i="3" s="1"/>
  <c r="J135" i="38"/>
  <c r="J129" i="38"/>
  <c r="N121" i="38"/>
  <c r="L40" i="39"/>
  <c r="L41" i="39"/>
  <c r="AA38" i="39"/>
  <c r="AA40" i="39" s="1"/>
  <c r="AB37" i="39" s="1"/>
  <c r="L45" i="39"/>
  <c r="L44" i="39"/>
  <c r="L38" i="39"/>
  <c r="O38" i="39" s="1"/>
  <c r="L42" i="39"/>
  <c r="L43" i="39"/>
  <c r="L39" i="39"/>
  <c r="C35" i="36"/>
  <c r="C38" i="37"/>
  <c r="K38" i="37" s="1"/>
  <c r="K27" i="31"/>
  <c r="Q27" i="31" s="1"/>
  <c r="R27" i="31" s="1"/>
  <c r="AA33" i="3"/>
  <c r="I26" i="40"/>
  <c r="P24" i="40"/>
  <c r="S31" i="40" s="1"/>
  <c r="K13" i="31"/>
  <c r="AA25" i="3"/>
  <c r="G34" i="3"/>
  <c r="J108" i="38"/>
  <c r="M111" i="38"/>
  <c r="J111" i="38" s="1"/>
  <c r="D27" i="40"/>
  <c r="C30" i="40"/>
  <c r="AB31" i="39"/>
  <c r="AB32" i="39" s="1"/>
  <c r="AC29" i="39" s="1"/>
  <c r="AB37" i="37"/>
  <c r="AB38" i="37" s="1"/>
  <c r="AC35" i="37" s="1"/>
  <c r="P48" i="40"/>
  <c r="C37" i="36"/>
  <c r="O102" i="36"/>
  <c r="R16" i="37"/>
  <c r="R17" i="37" s="1"/>
  <c r="J129" i="39"/>
  <c r="J135" i="39"/>
  <c r="N121" i="39"/>
  <c r="O130" i="3"/>
  <c r="D35" i="3" s="1"/>
  <c r="L38" i="3" s="1"/>
  <c r="F75" i="26"/>
  <c r="E83" i="26"/>
  <c r="AB30" i="38"/>
  <c r="Y33" i="3"/>
  <c r="Y35" i="3" s="1"/>
  <c r="Z32" i="3" s="1"/>
  <c r="L33" i="3"/>
  <c r="D28" i="26"/>
  <c r="L34" i="3"/>
  <c r="C40" i="38"/>
  <c r="K42" i="38" s="1"/>
  <c r="L39" i="37"/>
  <c r="R18" i="38"/>
  <c r="R19" i="38" s="1"/>
  <c r="I121" i="38"/>
  <c r="AC30" i="38"/>
  <c r="F45" i="26"/>
  <c r="AD30" i="39"/>
  <c r="G33" i="3"/>
  <c r="Z25" i="3"/>
  <c r="K15" i="26"/>
  <c r="J107" i="37"/>
  <c r="J101" i="37"/>
  <c r="N93" i="37"/>
  <c r="R18" i="39"/>
  <c r="R19" i="39" s="1"/>
  <c r="I121" i="39"/>
  <c r="Z33" i="3"/>
  <c r="K29" i="26"/>
  <c r="Q29" i="26" s="1"/>
  <c r="R29" i="26" s="1"/>
  <c r="V29" i="26" s="1"/>
  <c r="AC46" i="38"/>
  <c r="AC47" i="38" s="1"/>
  <c r="AD44" i="38" s="1"/>
  <c r="E51" i="26"/>
  <c r="R15" i="36"/>
  <c r="R17" i="36" s="1"/>
  <c r="J100" i="36"/>
  <c r="E35" i="36" s="1"/>
  <c r="C35" i="3"/>
  <c r="K40" i="3" s="1"/>
  <c r="AC28" i="37"/>
  <c r="AB37" i="36"/>
  <c r="AB38" i="36" s="1"/>
  <c r="AC35" i="36" s="1"/>
  <c r="AC41" i="3"/>
  <c r="AC42" i="3" s="1"/>
  <c r="AD39" i="3" s="1"/>
  <c r="G18" i="40"/>
  <c r="G23" i="40" s="1"/>
  <c r="M111" i="39"/>
  <c r="J111" i="39" s="1"/>
  <c r="J108" i="39"/>
  <c r="AB28" i="37"/>
  <c r="L43" i="37"/>
  <c r="L41" i="37"/>
  <c r="M83" i="37"/>
  <c r="J83" i="37" s="1"/>
  <c r="J80" i="37"/>
  <c r="F91" i="32"/>
  <c r="K37" i="37"/>
  <c r="K36" i="37"/>
  <c r="AA28" i="37"/>
  <c r="AA30" i="37" s="1"/>
  <c r="AB27" i="37" s="1"/>
  <c r="C36" i="36"/>
  <c r="J108" i="36"/>
  <c r="J133" i="3"/>
  <c r="I93" i="37"/>
  <c r="O101" i="37" l="1"/>
  <c r="O107" i="37" s="1"/>
  <c r="K43" i="38"/>
  <c r="AB51" i="36"/>
  <c r="AB52" i="36" s="1"/>
  <c r="AC49" i="36" s="1"/>
  <c r="O37" i="37"/>
  <c r="O107" i="36"/>
  <c r="O129" i="39"/>
  <c r="O130" i="39" s="1"/>
  <c r="O129" i="38"/>
  <c r="O130" i="38" s="1"/>
  <c r="M42" i="39"/>
  <c r="AC52" i="36"/>
  <c r="AD49" i="36" s="1"/>
  <c r="N37" i="36"/>
  <c r="AC50" i="36"/>
  <c r="AC51" i="36" s="1"/>
  <c r="M41" i="37"/>
  <c r="M42" i="37" s="1"/>
  <c r="M43" i="37" s="1"/>
  <c r="O36" i="37"/>
  <c r="O41" i="39"/>
  <c r="K41" i="38"/>
  <c r="M43" i="39"/>
  <c r="M44" i="39" s="1"/>
  <c r="M45" i="39" s="1"/>
  <c r="O38" i="37"/>
  <c r="AB44" i="37"/>
  <c r="AB45" i="37" s="1"/>
  <c r="AC42" i="37" s="1"/>
  <c r="AC46" i="39"/>
  <c r="AC47" i="39"/>
  <c r="AD44" i="39" s="1"/>
  <c r="L39" i="3"/>
  <c r="K36" i="3"/>
  <c r="K37" i="3"/>
  <c r="AC37" i="37"/>
  <c r="AC38" i="37" s="1"/>
  <c r="AD35" i="37" s="1"/>
  <c r="AA43" i="36"/>
  <c r="AA45" i="36" s="1"/>
  <c r="AB42" i="36" s="1"/>
  <c r="M37" i="36"/>
  <c r="M39" i="36"/>
  <c r="M36" i="36"/>
  <c r="M38" i="36"/>
  <c r="F37" i="37"/>
  <c r="O102" i="37"/>
  <c r="AB31" i="38"/>
  <c r="AB32" i="38" s="1"/>
  <c r="AC29" i="38" s="1"/>
  <c r="K40" i="37"/>
  <c r="H18" i="40"/>
  <c r="H23" i="40" s="1"/>
  <c r="F35" i="37"/>
  <c r="J102" i="37"/>
  <c r="F39" i="38"/>
  <c r="L37" i="3"/>
  <c r="D31" i="26"/>
  <c r="L35" i="3"/>
  <c r="AC28" i="36"/>
  <c r="G37" i="36"/>
  <c r="AC31" i="39"/>
  <c r="E27" i="40"/>
  <c r="D30" i="40"/>
  <c r="Z26" i="3"/>
  <c r="O33" i="3"/>
  <c r="K40" i="38"/>
  <c r="AD28" i="36"/>
  <c r="AE39" i="38"/>
  <c r="AE40" i="38" s="1"/>
  <c r="AF37" i="38" s="1"/>
  <c r="K42" i="37"/>
  <c r="K43" i="37"/>
  <c r="O45" i="39"/>
  <c r="K15" i="32"/>
  <c r="G35" i="3"/>
  <c r="AB25" i="3"/>
  <c r="F36" i="37"/>
  <c r="J108" i="37"/>
  <c r="O44" i="39"/>
  <c r="L36" i="3"/>
  <c r="Z34" i="3"/>
  <c r="Z35" i="3" s="1"/>
  <c r="AA32" i="3" s="1"/>
  <c r="E84" i="26"/>
  <c r="F38" i="39"/>
  <c r="J136" i="39"/>
  <c r="S55" i="40"/>
  <c r="Q49" i="40"/>
  <c r="J102" i="36"/>
  <c r="AB39" i="39"/>
  <c r="AB40" i="39" s="1"/>
  <c r="AC37" i="39" s="1"/>
  <c r="F37" i="38"/>
  <c r="J130" i="38"/>
  <c r="K35" i="3"/>
  <c r="D57" i="26"/>
  <c r="D17" i="26"/>
  <c r="K39" i="3"/>
  <c r="L57" i="3"/>
  <c r="O39" i="38"/>
  <c r="O38" i="38"/>
  <c r="K45" i="38"/>
  <c r="AD41" i="3"/>
  <c r="AD42" i="3" s="1"/>
  <c r="AE39" i="3" s="1"/>
  <c r="AD46" i="38"/>
  <c r="AD47" i="38"/>
  <c r="AE44" i="38" s="1"/>
  <c r="K29" i="32"/>
  <c r="Q29" i="32" s="1"/>
  <c r="R29" i="32" s="1"/>
  <c r="V29" i="32" s="1"/>
  <c r="AB33" i="3"/>
  <c r="AD28" i="37"/>
  <c r="O39" i="39"/>
  <c r="G36" i="36"/>
  <c r="AB28" i="36"/>
  <c r="AB29" i="37"/>
  <c r="AB30" i="37" s="1"/>
  <c r="AC27" i="37" s="1"/>
  <c r="K41" i="37"/>
  <c r="K39" i="37"/>
  <c r="O40" i="39"/>
  <c r="AC37" i="36"/>
  <c r="AC38" i="36" s="1"/>
  <c r="AD35" i="36" s="1"/>
  <c r="O133" i="3"/>
  <c r="O135" i="3" s="1"/>
  <c r="F47" i="26"/>
  <c r="E53" i="26"/>
  <c r="Q15" i="26"/>
  <c r="R15" i="26" s="1"/>
  <c r="V15" i="26" s="1"/>
  <c r="K58" i="26"/>
  <c r="G42" i="26"/>
  <c r="F50" i="26"/>
  <c r="AD30" i="38"/>
  <c r="L40" i="3"/>
  <c r="F78" i="26"/>
  <c r="F37" i="39"/>
  <c r="J130" i="39"/>
  <c r="Q13" i="31"/>
  <c r="R13" i="31" s="1"/>
  <c r="K56" i="31"/>
  <c r="K37" i="36"/>
  <c r="K38" i="36"/>
  <c r="AA28" i="36"/>
  <c r="AA30" i="36" s="1"/>
  <c r="AB27" i="36" s="1"/>
  <c r="K39" i="36"/>
  <c r="K43" i="36"/>
  <c r="K36" i="36"/>
  <c r="O36" i="36" s="1"/>
  <c r="K40" i="36"/>
  <c r="K42" i="36"/>
  <c r="G35" i="36"/>
  <c r="I35" i="36" s="1"/>
  <c r="H36" i="36" s="1"/>
  <c r="K41" i="36"/>
  <c r="O42" i="39"/>
  <c r="F38" i="38"/>
  <c r="J136" i="38"/>
  <c r="O34" i="3"/>
  <c r="K38" i="3"/>
  <c r="O43" i="39"/>
  <c r="K44" i="38"/>
  <c r="F39" i="39" l="1"/>
  <c r="O43" i="38"/>
  <c r="O135" i="39"/>
  <c r="O110" i="36"/>
  <c r="O41" i="38"/>
  <c r="F38" i="36"/>
  <c r="O108" i="36"/>
  <c r="O135" i="38"/>
  <c r="O136" i="38" s="1"/>
  <c r="O138" i="38" s="1"/>
  <c r="O41" i="36"/>
  <c r="O41" i="37"/>
  <c r="AC44" i="37"/>
  <c r="AC45" i="37" s="1"/>
  <c r="AD42" i="37" s="1"/>
  <c r="AD46" i="39"/>
  <c r="AD47" i="39" s="1"/>
  <c r="AE44" i="39" s="1"/>
  <c r="O40" i="37"/>
  <c r="O42" i="38"/>
  <c r="O40" i="38"/>
  <c r="O38" i="3"/>
  <c r="O36" i="3"/>
  <c r="O39" i="3"/>
  <c r="AC29" i="37"/>
  <c r="AC30" i="37" s="1"/>
  <c r="AD27" i="37" s="1"/>
  <c r="AD37" i="37"/>
  <c r="AD38" i="37" s="1"/>
  <c r="AE35" i="37" s="1"/>
  <c r="AD37" i="36"/>
  <c r="AD38" i="36" s="1"/>
  <c r="AE35" i="36" s="1"/>
  <c r="AA34" i="3"/>
  <c r="AA35" i="3" s="1"/>
  <c r="AB32" i="3" s="1"/>
  <c r="I36" i="36"/>
  <c r="H37" i="36" s="1"/>
  <c r="K91" i="26"/>
  <c r="Q91" i="26" s="1"/>
  <c r="R91" i="26" s="1"/>
  <c r="V91" i="26" s="1"/>
  <c r="Q58" i="26"/>
  <c r="R58" i="26" s="1"/>
  <c r="V58" i="26" s="1"/>
  <c r="F51" i="26"/>
  <c r="AE41" i="3"/>
  <c r="AE42" i="3" s="1"/>
  <c r="AF39" i="3" s="1"/>
  <c r="AF39" i="38"/>
  <c r="AF40" i="38" s="1"/>
  <c r="AG37" i="38" s="1"/>
  <c r="AC31" i="38"/>
  <c r="R57" i="3"/>
  <c r="AC50" i="37"/>
  <c r="AC51" i="37" s="1"/>
  <c r="G37" i="37"/>
  <c r="O38" i="36"/>
  <c r="O43" i="36"/>
  <c r="AB29" i="36"/>
  <c r="L133" i="36"/>
  <c r="N39" i="39"/>
  <c r="AA52" i="39"/>
  <c r="AA54" i="39" s="1"/>
  <c r="AB51" i="39" s="1"/>
  <c r="N38" i="39"/>
  <c r="G37" i="39"/>
  <c r="I37" i="39" s="1"/>
  <c r="H38" i="39" s="1"/>
  <c r="O43" i="37"/>
  <c r="D90" i="26"/>
  <c r="N38" i="38"/>
  <c r="N39" i="38"/>
  <c r="AA52" i="38"/>
  <c r="AA54" i="38" s="1"/>
  <c r="AB51" i="38" s="1"/>
  <c r="G37" i="38"/>
  <c r="I37" i="38" s="1"/>
  <c r="H38" i="38" s="1"/>
  <c r="F80" i="26"/>
  <c r="E86" i="26"/>
  <c r="F27" i="40"/>
  <c r="E30" i="40"/>
  <c r="AA50" i="37"/>
  <c r="AA52" i="37" s="1"/>
  <c r="AB49" i="37" s="1"/>
  <c r="N36" i="37"/>
  <c r="N37" i="37"/>
  <c r="G35" i="37"/>
  <c r="I35" i="37" s="1"/>
  <c r="H36" i="37" s="1"/>
  <c r="M40" i="36"/>
  <c r="M41" i="36" s="1"/>
  <c r="AB44" i="36"/>
  <c r="AB45" i="36" s="1"/>
  <c r="AC42" i="36" s="1"/>
  <c r="F40" i="39"/>
  <c r="N42" i="39" s="1"/>
  <c r="O136" i="39"/>
  <c r="O138" i="39" s="1"/>
  <c r="K133" i="36"/>
  <c r="D25" i="26"/>
  <c r="D60" i="26"/>
  <c r="E14" i="26"/>
  <c r="AB52" i="38"/>
  <c r="G38" i="38"/>
  <c r="O37" i="36"/>
  <c r="O42" i="36"/>
  <c r="Q56" i="31"/>
  <c r="R56" i="31" s="1"/>
  <c r="K87" i="31"/>
  <c r="Q87" i="31" s="1"/>
  <c r="R87" i="31" s="1"/>
  <c r="AE46" i="38"/>
  <c r="AE47" i="38" s="1"/>
  <c r="AF44" i="38" s="1"/>
  <c r="AC39" i="39"/>
  <c r="AC40" i="39" s="1"/>
  <c r="AD37" i="39" s="1"/>
  <c r="Q15" i="32"/>
  <c r="R15" i="32" s="1"/>
  <c r="V15" i="32" s="1"/>
  <c r="K58" i="32"/>
  <c r="Z53" i="3"/>
  <c r="K58" i="3" s="1"/>
  <c r="F38" i="37"/>
  <c r="N39" i="37" s="1"/>
  <c r="N133" i="37" s="1"/>
  <c r="O108" i="37"/>
  <c r="O110" i="37" s="1"/>
  <c r="D39" i="26"/>
  <c r="E28" i="26"/>
  <c r="I18" i="40"/>
  <c r="I23" i="40" s="1"/>
  <c r="O45" i="38"/>
  <c r="O39" i="37"/>
  <c r="O42" i="37"/>
  <c r="O44" i="38"/>
  <c r="O40" i="3"/>
  <c r="O39" i="36"/>
  <c r="O40" i="36"/>
  <c r="F83" i="26"/>
  <c r="G75" i="26"/>
  <c r="F40" i="38"/>
  <c r="N40" i="38" s="1"/>
  <c r="G45" i="26"/>
  <c r="O37" i="3"/>
  <c r="O35" i="3"/>
  <c r="AB52" i="39"/>
  <c r="G38" i="39"/>
  <c r="AB50" i="37"/>
  <c r="G36" i="37"/>
  <c r="Z27" i="3"/>
  <c r="AA24" i="3" s="1"/>
  <c r="AC32" i="39"/>
  <c r="AD29" i="39" s="1"/>
  <c r="AC52" i="38"/>
  <c r="AC53" i="38" s="1"/>
  <c r="G39" i="38"/>
  <c r="AC52" i="39"/>
  <c r="AC53" i="39" s="1"/>
  <c r="G39" i="39"/>
  <c r="AD50" i="36" l="1"/>
  <c r="N39" i="36"/>
  <c r="N133" i="36" s="1"/>
  <c r="N40" i="36"/>
  <c r="G38" i="36"/>
  <c r="N38" i="36"/>
  <c r="M133" i="36" s="1"/>
  <c r="N41" i="39"/>
  <c r="N161" i="39" s="1"/>
  <c r="N38" i="37"/>
  <c r="M133" i="37" s="1"/>
  <c r="AE46" i="39"/>
  <c r="AE47" i="39" s="1"/>
  <c r="AF44" i="39" s="1"/>
  <c r="AD44" i="37"/>
  <c r="AD45" i="37" s="1"/>
  <c r="AE42" i="37" s="1"/>
  <c r="AC58" i="39"/>
  <c r="M161" i="38"/>
  <c r="AG39" i="38"/>
  <c r="AG40" i="38" s="1"/>
  <c r="AH37" i="38" s="1"/>
  <c r="AB34" i="3"/>
  <c r="AB35" i="3" s="1"/>
  <c r="AC32" i="3" s="1"/>
  <c r="AC44" i="36"/>
  <c r="AC45" i="36" s="1"/>
  <c r="AD42" i="36" s="1"/>
  <c r="AF41" i="3"/>
  <c r="AF42" i="3" s="1"/>
  <c r="AG39" i="3" s="1"/>
  <c r="P39" i="39"/>
  <c r="S39" i="39" s="1"/>
  <c r="AD39" i="39"/>
  <c r="AD40" i="39" s="1"/>
  <c r="AE37" i="39" s="1"/>
  <c r="AF46" i="38"/>
  <c r="AF47" i="38" s="1"/>
  <c r="AG44" i="38" s="1"/>
  <c r="G27" i="40"/>
  <c r="F30" i="40"/>
  <c r="AB54" i="38"/>
  <c r="AC51" i="38" s="1"/>
  <c r="AC54" i="38" s="1"/>
  <c r="AD51" i="38" s="1"/>
  <c r="AB53" i="38"/>
  <c r="I38" i="39"/>
  <c r="H39" i="39" s="1"/>
  <c r="AB53" i="39"/>
  <c r="AC58" i="38"/>
  <c r="L162" i="38"/>
  <c r="K64" i="38" s="1"/>
  <c r="P39" i="38"/>
  <c r="S39" i="38" s="1"/>
  <c r="G47" i="26"/>
  <c r="F53" i="26"/>
  <c r="AE37" i="37"/>
  <c r="AE38" i="37" s="1"/>
  <c r="AF35" i="37" s="1"/>
  <c r="O161" i="39"/>
  <c r="AA26" i="3"/>
  <c r="AA27" i="3" s="1"/>
  <c r="AB24" i="3" s="1"/>
  <c r="E31" i="26"/>
  <c r="AD50" i="37"/>
  <c r="AD51" i="37" s="1"/>
  <c r="G38" i="37"/>
  <c r="K91" i="32"/>
  <c r="Q91" i="32" s="1"/>
  <c r="R91" i="32" s="1"/>
  <c r="V91" i="32" s="1"/>
  <c r="Q58" i="32"/>
  <c r="R58" i="32" s="1"/>
  <c r="V58" i="32" s="1"/>
  <c r="N41" i="38"/>
  <c r="D93" i="26"/>
  <c r="D70" i="26"/>
  <c r="AD52" i="39"/>
  <c r="AD53" i="39" s="1"/>
  <c r="G40" i="39"/>
  <c r="K133" i="37"/>
  <c r="N40" i="39"/>
  <c r="N40" i="37"/>
  <c r="AC32" i="38"/>
  <c r="AD29" i="38" s="1"/>
  <c r="J36" i="36"/>
  <c r="M42" i="36"/>
  <c r="M43" i="36" s="1"/>
  <c r="AD31" i="39"/>
  <c r="H42" i="26"/>
  <c r="G50" i="26"/>
  <c r="G78" i="26"/>
  <c r="AD52" i="38"/>
  <c r="AD53" i="38" s="1"/>
  <c r="G40" i="38"/>
  <c r="J18" i="40"/>
  <c r="J23" i="40" s="1"/>
  <c r="L162" i="39"/>
  <c r="K64" i="39" s="1"/>
  <c r="L133" i="37"/>
  <c r="AB51" i="37"/>
  <c r="F84" i="26"/>
  <c r="L161" i="38"/>
  <c r="K161" i="38"/>
  <c r="L161" i="39"/>
  <c r="K134" i="36"/>
  <c r="K135" i="36" s="1"/>
  <c r="K136" i="36" s="1"/>
  <c r="K137" i="36" s="1"/>
  <c r="P36" i="36"/>
  <c r="S36" i="36" s="1"/>
  <c r="T36" i="36" s="1"/>
  <c r="AB57" i="36"/>
  <c r="I37" i="36"/>
  <c r="H38" i="36" s="1"/>
  <c r="J37" i="36"/>
  <c r="AE37" i="36"/>
  <c r="AE38" i="36" s="1"/>
  <c r="AF35" i="36" s="1"/>
  <c r="AD29" i="37"/>
  <c r="AD30" i="37" s="1"/>
  <c r="AE27" i="37" s="1"/>
  <c r="N42" i="38"/>
  <c r="O133" i="36"/>
  <c r="E57" i="26"/>
  <c r="E17" i="26"/>
  <c r="I36" i="37"/>
  <c r="H37" i="37" s="1"/>
  <c r="J36" i="37"/>
  <c r="I38" i="38"/>
  <c r="H39" i="38" s="1"/>
  <c r="K161" i="39"/>
  <c r="AB30" i="36"/>
  <c r="AC27" i="36" s="1"/>
  <c r="L134" i="37"/>
  <c r="P37" i="37"/>
  <c r="S37" i="37" s="1"/>
  <c r="AC57" i="37"/>
  <c r="N41" i="36" l="1"/>
  <c r="P133" i="36" s="1"/>
  <c r="N42" i="36"/>
  <c r="AD51" i="36"/>
  <c r="AD52" i="36" s="1"/>
  <c r="AE49" i="36" s="1"/>
  <c r="AE52" i="36" s="1"/>
  <c r="AF49" i="36" s="1"/>
  <c r="AF52" i="36" s="1"/>
  <c r="AG49" i="36" s="1"/>
  <c r="AG52" i="36" s="1"/>
  <c r="AH49" i="36" s="1"/>
  <c r="AH52" i="36" s="1"/>
  <c r="AI49" i="36" s="1"/>
  <c r="AI52" i="36" s="1"/>
  <c r="AJ49" i="36" s="1"/>
  <c r="AJ52" i="36" s="1"/>
  <c r="N43" i="36"/>
  <c r="R133" i="36" s="1"/>
  <c r="N43" i="38"/>
  <c r="N44" i="38" s="1"/>
  <c r="Q161" i="38" s="1"/>
  <c r="J38" i="38"/>
  <c r="U38" i="38" s="1"/>
  <c r="N43" i="39"/>
  <c r="N44" i="39" s="1"/>
  <c r="AE44" i="37"/>
  <c r="AE45" i="37" s="1"/>
  <c r="AF42" i="37" s="1"/>
  <c r="AF46" i="39"/>
  <c r="AF47" i="39" s="1"/>
  <c r="AG44" i="39" s="1"/>
  <c r="AG46" i="39" s="1"/>
  <c r="AG47" i="39" s="1"/>
  <c r="AH44" i="39" s="1"/>
  <c r="AE29" i="37"/>
  <c r="AE30" i="37" s="1"/>
  <c r="AF27" i="37" s="1"/>
  <c r="AF37" i="36"/>
  <c r="AF38" i="36" s="1"/>
  <c r="AG35" i="36" s="1"/>
  <c r="AC34" i="3"/>
  <c r="AC35" i="3" s="1"/>
  <c r="AD32" i="3" s="1"/>
  <c r="AG41" i="3"/>
  <c r="AG42" i="3" s="1"/>
  <c r="AH39" i="3" s="1"/>
  <c r="AH39" i="38"/>
  <c r="AH40" i="38" s="1"/>
  <c r="AI37" i="38" s="1"/>
  <c r="G80" i="26"/>
  <c r="F86" i="26"/>
  <c r="P40" i="39"/>
  <c r="S40" i="39" s="1"/>
  <c r="T40" i="39" s="1"/>
  <c r="AD58" i="39"/>
  <c r="M162" i="39"/>
  <c r="L64" i="39" s="1"/>
  <c r="O133" i="37"/>
  <c r="N41" i="37"/>
  <c r="E36" i="26"/>
  <c r="F28" i="26"/>
  <c r="AF37" i="37"/>
  <c r="AF38" i="37" s="1"/>
  <c r="AG35" i="37" s="1"/>
  <c r="I39" i="39"/>
  <c r="H40" i="39" s="1"/>
  <c r="J63" i="39"/>
  <c r="U36" i="37"/>
  <c r="R36" i="37"/>
  <c r="I38" i="36"/>
  <c r="H39" i="36" s="1"/>
  <c r="K63" i="39"/>
  <c r="K65" i="39" s="1"/>
  <c r="K66" i="39" s="1"/>
  <c r="K67" i="39" s="1"/>
  <c r="L163" i="39"/>
  <c r="L164" i="39" s="1"/>
  <c r="L165" i="39" s="1"/>
  <c r="K134" i="37"/>
  <c r="P36" i="37"/>
  <c r="S36" i="37" s="1"/>
  <c r="T36" i="37" s="1"/>
  <c r="AB57" i="37"/>
  <c r="Q133" i="36"/>
  <c r="D103" i="26"/>
  <c r="N63" i="39"/>
  <c r="K162" i="39"/>
  <c r="J64" i="39" s="1"/>
  <c r="AB58" i="39"/>
  <c r="P38" i="39"/>
  <c r="S38" i="39" s="1"/>
  <c r="T38" i="39" s="1"/>
  <c r="AG46" i="38"/>
  <c r="AG47" i="38" s="1"/>
  <c r="AH44" i="38" s="1"/>
  <c r="AD44" i="36"/>
  <c r="AD45" i="36" s="1"/>
  <c r="AE42" i="36" s="1"/>
  <c r="I39" i="38"/>
  <c r="H40" i="38" s="1"/>
  <c r="I37" i="37"/>
  <c r="H38" i="37" s="1"/>
  <c r="F14" i="26"/>
  <c r="E60" i="26"/>
  <c r="E22" i="26"/>
  <c r="K63" i="38"/>
  <c r="K65" i="38" s="1"/>
  <c r="K66" i="38" s="1"/>
  <c r="K67" i="38" s="1"/>
  <c r="L163" i="38"/>
  <c r="L164" i="38" s="1"/>
  <c r="L165" i="38" s="1"/>
  <c r="AB52" i="37"/>
  <c r="AC49" i="37" s="1"/>
  <c r="AC52" i="37" s="1"/>
  <c r="AD49" i="37" s="1"/>
  <c r="AD52" i="37" s="1"/>
  <c r="AE49" i="37" s="1"/>
  <c r="AE52" i="37" s="1"/>
  <c r="AF49" i="37" s="1"/>
  <c r="AF52" i="37" s="1"/>
  <c r="AG49" i="37" s="1"/>
  <c r="AG52" i="37" s="1"/>
  <c r="AH49" i="37" s="1"/>
  <c r="AH52" i="37" s="1"/>
  <c r="AI49" i="37" s="1"/>
  <c r="AI52" i="37" s="1"/>
  <c r="AJ49" i="37" s="1"/>
  <c r="AJ52" i="37" s="1"/>
  <c r="H75" i="26"/>
  <c r="G83" i="26"/>
  <c r="H45" i="26"/>
  <c r="R36" i="36"/>
  <c r="U36" i="36"/>
  <c r="M161" i="39"/>
  <c r="K135" i="37"/>
  <c r="K136" i="37" s="1"/>
  <c r="K137" i="37" s="1"/>
  <c r="N161" i="38"/>
  <c r="M63" i="39"/>
  <c r="AB54" i="39"/>
  <c r="AC51" i="39" s="1"/>
  <c r="AC54" i="39" s="1"/>
  <c r="AD51" i="39" s="1"/>
  <c r="AD54" i="39" s="1"/>
  <c r="AE51" i="39" s="1"/>
  <c r="AE54" i="39" s="1"/>
  <c r="AF51" i="39" s="1"/>
  <c r="AF54" i="39" s="1"/>
  <c r="AG51" i="39" s="1"/>
  <c r="AG54" i="39" s="1"/>
  <c r="AH51" i="39" s="1"/>
  <c r="AH54" i="39" s="1"/>
  <c r="AI51" i="39" s="1"/>
  <c r="AI54" i="39" s="1"/>
  <c r="AJ51" i="39" s="1"/>
  <c r="AJ54" i="39" s="1"/>
  <c r="AB58" i="38"/>
  <c r="P38" i="38"/>
  <c r="S38" i="38" s="1"/>
  <c r="T38" i="38" s="1"/>
  <c r="K162" i="38"/>
  <c r="J64" i="38" s="1"/>
  <c r="H27" i="40"/>
  <c r="G30" i="40"/>
  <c r="L63" i="38"/>
  <c r="M134" i="37"/>
  <c r="M135" i="37" s="1"/>
  <c r="M136" i="37" s="1"/>
  <c r="M137" i="37" s="1"/>
  <c r="P38" i="37"/>
  <c r="S38" i="37" s="1"/>
  <c r="T38" i="37" s="1"/>
  <c r="AD57" i="37"/>
  <c r="U37" i="36"/>
  <c r="R37" i="36"/>
  <c r="P161" i="38"/>
  <c r="AB26" i="3"/>
  <c r="AE39" i="39"/>
  <c r="AE40" i="39" s="1"/>
  <c r="AF37" i="39" s="1"/>
  <c r="AC29" i="36"/>
  <c r="R38" i="38"/>
  <c r="E90" i="26"/>
  <c r="O161" i="38"/>
  <c r="J63" i="38"/>
  <c r="L135" i="37"/>
  <c r="L136" i="37" s="1"/>
  <c r="L137" i="37" s="1"/>
  <c r="K18" i="40"/>
  <c r="K23" i="40" s="1"/>
  <c r="AD32" i="39"/>
  <c r="AE29" i="39" s="1"/>
  <c r="AD31" i="38"/>
  <c r="AA53" i="3"/>
  <c r="L58" i="3" s="1"/>
  <c r="L59" i="3" s="1"/>
  <c r="L60" i="3" s="1"/>
  <c r="L61" i="3" s="1"/>
  <c r="P34" i="3"/>
  <c r="G51" i="26"/>
  <c r="J38" i="39"/>
  <c r="AD54" i="38"/>
  <c r="AE51" i="38" s="1"/>
  <c r="AE54" i="38" s="1"/>
  <c r="AF51" i="38" s="1"/>
  <c r="AF54" i="38" s="1"/>
  <c r="AG51" i="38" s="1"/>
  <c r="AG54" i="38" s="1"/>
  <c r="AH51" i="38" s="1"/>
  <c r="AH54" i="38" s="1"/>
  <c r="AI51" i="38" s="1"/>
  <c r="AI54" i="38" s="1"/>
  <c r="AJ51" i="38" s="1"/>
  <c r="AJ54" i="38" s="1"/>
  <c r="J65" i="38" l="1"/>
  <c r="J66" i="38" s="1"/>
  <c r="J67" i="38" s="1"/>
  <c r="T37" i="37"/>
  <c r="P161" i="39"/>
  <c r="O63" i="39" s="1"/>
  <c r="J39" i="38"/>
  <c r="R39" i="38" s="1"/>
  <c r="T39" i="39"/>
  <c r="AF44" i="37"/>
  <c r="AF45" i="37" s="1"/>
  <c r="AG42" i="37" s="1"/>
  <c r="AG44" i="37" s="1"/>
  <c r="AG45" i="37" s="1"/>
  <c r="AH42" i="37" s="1"/>
  <c r="AH44" i="37" s="1"/>
  <c r="AH45" i="37" s="1"/>
  <c r="AI42" i="37" s="1"/>
  <c r="AH46" i="39"/>
  <c r="AH47" i="39" s="1"/>
  <c r="AI44" i="39" s="1"/>
  <c r="N45" i="39"/>
  <c r="R161" i="39" s="1"/>
  <c r="Q161" i="39"/>
  <c r="N45" i="38"/>
  <c r="R161" i="38" s="1"/>
  <c r="K163" i="38"/>
  <c r="K164" i="38" s="1"/>
  <c r="K165" i="38" s="1"/>
  <c r="J38" i="36"/>
  <c r="R38" i="36" s="1"/>
  <c r="AH46" i="38"/>
  <c r="AH47" i="38" s="1"/>
  <c r="AI44" i="38" s="1"/>
  <c r="AD34" i="3"/>
  <c r="AD35" i="3" s="1"/>
  <c r="AE32" i="3" s="1"/>
  <c r="AF29" i="37"/>
  <c r="L134" i="36"/>
  <c r="L135" i="36" s="1"/>
  <c r="L136" i="36" s="1"/>
  <c r="L137" i="36" s="1"/>
  <c r="AC57" i="36"/>
  <c r="P37" i="36"/>
  <c r="S37" i="36" s="1"/>
  <c r="T37" i="36" s="1"/>
  <c r="H78" i="26"/>
  <c r="U39" i="38"/>
  <c r="T39" i="38"/>
  <c r="J65" i="39"/>
  <c r="J66" i="39" s="1"/>
  <c r="J67" i="39" s="1"/>
  <c r="AI39" i="38"/>
  <c r="AI40" i="38" s="1"/>
  <c r="AJ37" i="38" s="1"/>
  <c r="AG37" i="36"/>
  <c r="AG38" i="36" s="1"/>
  <c r="AH35" i="36" s="1"/>
  <c r="U38" i="39"/>
  <c r="R38" i="39"/>
  <c r="M162" i="38"/>
  <c r="AD58" i="38"/>
  <c r="P40" i="38"/>
  <c r="S40" i="38" s="1"/>
  <c r="T40" i="38" s="1"/>
  <c r="AF39" i="39"/>
  <c r="AF40" i="39" s="1"/>
  <c r="AG37" i="39" s="1"/>
  <c r="P63" i="39"/>
  <c r="M63" i="38"/>
  <c r="F57" i="26"/>
  <c r="F17" i="26"/>
  <c r="I40" i="38"/>
  <c r="H41" i="38" s="1"/>
  <c r="E37" i="26"/>
  <c r="G84" i="26"/>
  <c r="AD32" i="38"/>
  <c r="AE29" i="38" s="1"/>
  <c r="O63" i="38"/>
  <c r="I27" i="40"/>
  <c r="H30" i="40"/>
  <c r="J37" i="37"/>
  <c r="J39" i="39"/>
  <c r="P133" i="37"/>
  <c r="N42" i="37"/>
  <c r="L18" i="40"/>
  <c r="L23" i="40" s="1"/>
  <c r="AB53" i="3"/>
  <c r="M58" i="3" s="1"/>
  <c r="H50" i="26"/>
  <c r="I42" i="26"/>
  <c r="E93" i="26"/>
  <c r="U38" i="36"/>
  <c r="AG37" i="37"/>
  <c r="AG38" i="37" s="1"/>
  <c r="AH35" i="37" s="1"/>
  <c r="P63" i="38"/>
  <c r="N63" i="38"/>
  <c r="H47" i="26"/>
  <c r="G53" i="26"/>
  <c r="AE31" i="39"/>
  <c r="AC30" i="36"/>
  <c r="AD27" i="36" s="1"/>
  <c r="AB27" i="3"/>
  <c r="AC24" i="3" s="1"/>
  <c r="M163" i="39"/>
  <c r="M164" i="39" s="1"/>
  <c r="M165" i="39" s="1"/>
  <c r="L63" i="39"/>
  <c r="L65" i="39" s="1"/>
  <c r="L66" i="39" s="1"/>
  <c r="L67" i="39" s="1"/>
  <c r="E67" i="26"/>
  <c r="E23" i="26"/>
  <c r="I38" i="37"/>
  <c r="H39" i="37" s="1"/>
  <c r="AE44" i="36"/>
  <c r="AE45" i="36" s="1"/>
  <c r="AF42" i="36" s="1"/>
  <c r="I39" i="36"/>
  <c r="H40" i="36" s="1"/>
  <c r="K163" i="39"/>
  <c r="K164" i="39" s="1"/>
  <c r="K165" i="39" s="1"/>
  <c r="I40" i="39"/>
  <c r="H41" i="39" s="1"/>
  <c r="F31" i="26"/>
  <c r="AH41" i="3"/>
  <c r="AH42" i="3" s="1"/>
  <c r="P39" i="37"/>
  <c r="S39" i="37" s="1"/>
  <c r="T39" i="37" s="1"/>
  <c r="N134" i="37"/>
  <c r="N135" i="37" s="1"/>
  <c r="N136" i="37" s="1"/>
  <c r="N137" i="37" s="1"/>
  <c r="AE57" i="37"/>
  <c r="AI46" i="39" l="1"/>
  <c r="AI47" i="39" s="1"/>
  <c r="AJ44" i="39" s="1"/>
  <c r="AJ46" i="39" s="1"/>
  <c r="AJ47" i="39" s="1"/>
  <c r="J39" i="36"/>
  <c r="R39" i="36" s="1"/>
  <c r="J38" i="37"/>
  <c r="U38" i="37" s="1"/>
  <c r="AG39" i="39"/>
  <c r="AG40" i="39" s="1"/>
  <c r="AH37" i="39" s="1"/>
  <c r="AJ39" i="38"/>
  <c r="AJ40" i="38" s="1"/>
  <c r="AK37" i="38" s="1"/>
  <c r="AI44" i="37"/>
  <c r="AI45" i="37" s="1"/>
  <c r="AJ42" i="37" s="1"/>
  <c r="AI46" i="38"/>
  <c r="AI47" i="38" s="1"/>
  <c r="AJ44" i="38" s="1"/>
  <c r="I41" i="39"/>
  <c r="H42" i="39" s="1"/>
  <c r="Q63" i="38"/>
  <c r="U39" i="39"/>
  <c r="R39" i="39"/>
  <c r="AE31" i="38"/>
  <c r="AE32" i="38" s="1"/>
  <c r="AF29" i="38" s="1"/>
  <c r="I41" i="38"/>
  <c r="H42" i="38" s="1"/>
  <c r="L64" i="38"/>
  <c r="L65" i="38" s="1"/>
  <c r="L66" i="38" s="1"/>
  <c r="L67" i="38" s="1"/>
  <c r="M163" i="38"/>
  <c r="M164" i="38" s="1"/>
  <c r="M165" i="38" s="1"/>
  <c r="AH37" i="36"/>
  <c r="AH38" i="36" s="1"/>
  <c r="AI35" i="36" s="1"/>
  <c r="P40" i="37"/>
  <c r="S40" i="37" s="1"/>
  <c r="T40" i="37" s="1"/>
  <c r="AF57" i="37"/>
  <c r="O134" i="37"/>
  <c r="O135" i="37" s="1"/>
  <c r="O136" i="37" s="1"/>
  <c r="O137" i="37" s="1"/>
  <c r="I39" i="37"/>
  <c r="H40" i="37" s="1"/>
  <c r="AC26" i="3"/>
  <c r="AC27" i="3" s="1"/>
  <c r="AD24" i="3" s="1"/>
  <c r="M18" i="40"/>
  <c r="M23" i="40" s="1"/>
  <c r="Q133" i="37"/>
  <c r="N43" i="37"/>
  <c r="R37" i="37"/>
  <c r="U37" i="37"/>
  <c r="J27" i="40"/>
  <c r="I30" i="40"/>
  <c r="AF30" i="37"/>
  <c r="AG27" i="37" s="1"/>
  <c r="P41" i="39"/>
  <c r="S41" i="39" s="1"/>
  <c r="T41" i="39" s="1"/>
  <c r="AE58" i="39"/>
  <c r="N162" i="39"/>
  <c r="G28" i="26"/>
  <c r="F36" i="26"/>
  <c r="AF44" i="36"/>
  <c r="AF45" i="36" s="1"/>
  <c r="AG42" i="36" s="1"/>
  <c r="E68" i="26"/>
  <c r="F19" i="26"/>
  <c r="E25" i="26"/>
  <c r="AD29" i="36"/>
  <c r="AD30" i="36" s="1"/>
  <c r="AE27" i="36" s="1"/>
  <c r="AH37" i="37"/>
  <c r="AH38" i="37" s="1"/>
  <c r="AI35" i="37" s="1"/>
  <c r="I45" i="26"/>
  <c r="H80" i="26"/>
  <c r="G86" i="26"/>
  <c r="G14" i="26"/>
  <c r="F60" i="26"/>
  <c r="F22" i="26"/>
  <c r="I75" i="26"/>
  <c r="H83" i="26"/>
  <c r="AE34" i="3"/>
  <c r="AE35" i="3" s="1"/>
  <c r="AF32" i="3" s="1"/>
  <c r="J40" i="39"/>
  <c r="I40" i="36"/>
  <c r="H41" i="36" s="1"/>
  <c r="E100" i="26"/>
  <c r="AE32" i="39"/>
  <c r="AF29" i="39" s="1"/>
  <c r="H51" i="26"/>
  <c r="Q63" i="39"/>
  <c r="F33" i="26"/>
  <c r="E39" i="26"/>
  <c r="J40" i="38"/>
  <c r="F90" i="26"/>
  <c r="J40" i="36" l="1"/>
  <c r="R40" i="36" s="1"/>
  <c r="U39" i="36"/>
  <c r="J39" i="37"/>
  <c r="U39" i="37" s="1"/>
  <c r="R38" i="37"/>
  <c r="AF31" i="38"/>
  <c r="AI37" i="37"/>
  <c r="AI38" i="37" s="1"/>
  <c r="AJ35" i="37" s="1"/>
  <c r="AK39" i="38"/>
  <c r="AK40" i="38" s="1"/>
  <c r="AI37" i="36"/>
  <c r="AI38" i="36" s="1"/>
  <c r="AJ35" i="36" s="1"/>
  <c r="AF34" i="3"/>
  <c r="AF35" i="3" s="1"/>
  <c r="AG32" i="3" s="1"/>
  <c r="AG44" i="36"/>
  <c r="AG45" i="36" s="1"/>
  <c r="AH42" i="36" s="1"/>
  <c r="R40" i="39"/>
  <c r="U40" i="39"/>
  <c r="F93" i="26"/>
  <c r="AE29" i="36"/>
  <c r="AE30" i="36" s="1"/>
  <c r="AF27" i="36" s="1"/>
  <c r="E101" i="26"/>
  <c r="E70" i="26"/>
  <c r="G31" i="26"/>
  <c r="AG29" i="37"/>
  <c r="AD26" i="3"/>
  <c r="AD27" i="3" s="1"/>
  <c r="AE24" i="3" s="1"/>
  <c r="I42" i="38"/>
  <c r="H43" i="38" s="1"/>
  <c r="J42" i="38"/>
  <c r="AJ46" i="38"/>
  <c r="AJ47" i="38" s="1"/>
  <c r="H84" i="26"/>
  <c r="M64" i="39"/>
  <c r="M65" i="39" s="1"/>
  <c r="M66" i="39" s="1"/>
  <c r="M67" i="39" s="1"/>
  <c r="N163" i="39"/>
  <c r="N164" i="39" s="1"/>
  <c r="N165" i="39" s="1"/>
  <c r="AC53" i="3"/>
  <c r="N58" i="3" s="1"/>
  <c r="F37" i="26"/>
  <c r="I47" i="26"/>
  <c r="H53" i="26"/>
  <c r="U40" i="36"/>
  <c r="I78" i="26"/>
  <c r="I83" i="26"/>
  <c r="G57" i="26"/>
  <c r="G17" i="26"/>
  <c r="R133" i="37"/>
  <c r="N18" i="40"/>
  <c r="N23" i="40" s="1"/>
  <c r="R39" i="37"/>
  <c r="AE58" i="38"/>
  <c r="P41" i="38"/>
  <c r="S41" i="38" s="1"/>
  <c r="T41" i="38" s="1"/>
  <c r="N162" i="38"/>
  <c r="I42" i="39"/>
  <c r="H43" i="39" s="1"/>
  <c r="AJ44" i="37"/>
  <c r="AJ45" i="37" s="1"/>
  <c r="AH39" i="39"/>
  <c r="AH40" i="39" s="1"/>
  <c r="AI37" i="39" s="1"/>
  <c r="R40" i="38"/>
  <c r="U40" i="38"/>
  <c r="AF31" i="39"/>
  <c r="AF32" i="39" s="1"/>
  <c r="AG29" i="39" s="1"/>
  <c r="I41" i="36"/>
  <c r="H42" i="36" s="1"/>
  <c r="F67" i="26"/>
  <c r="I50" i="26"/>
  <c r="J42" i="26"/>
  <c r="J45" i="26" s="1"/>
  <c r="P38" i="36"/>
  <c r="S38" i="36" s="1"/>
  <c r="T38" i="36" s="1"/>
  <c r="AD57" i="36"/>
  <c r="M134" i="36"/>
  <c r="M135" i="36" s="1"/>
  <c r="M136" i="36" s="1"/>
  <c r="M137" i="36" s="1"/>
  <c r="F64" i="26"/>
  <c r="F23" i="26"/>
  <c r="K27" i="40"/>
  <c r="J30" i="40"/>
  <c r="I40" i="37"/>
  <c r="H41" i="37" s="1"/>
  <c r="J41" i="38"/>
  <c r="J41" i="39"/>
  <c r="AF29" i="36" l="1"/>
  <c r="AF30" i="36" s="1"/>
  <c r="AG27" i="36" s="1"/>
  <c r="AJ37" i="36"/>
  <c r="AJ38" i="36" s="1"/>
  <c r="AK35" i="36" s="1"/>
  <c r="U41" i="38"/>
  <c r="R41" i="38"/>
  <c r="G19" i="26"/>
  <c r="F68" i="26"/>
  <c r="F25" i="26"/>
  <c r="I42" i="36"/>
  <c r="H43" i="36" s="1"/>
  <c r="J75" i="26"/>
  <c r="AE26" i="3"/>
  <c r="E103" i="26"/>
  <c r="AH44" i="36"/>
  <c r="AH45" i="36" s="1"/>
  <c r="AI42" i="36" s="1"/>
  <c r="AJ37" i="37"/>
  <c r="AJ38" i="37" s="1"/>
  <c r="AK35" i="37" s="1"/>
  <c r="J40" i="37"/>
  <c r="L27" i="40"/>
  <c r="K30" i="40"/>
  <c r="F97" i="26"/>
  <c r="O162" i="39"/>
  <c r="P42" i="39"/>
  <c r="S42" i="39" s="1"/>
  <c r="T42" i="39" s="1"/>
  <c r="AF58" i="39"/>
  <c r="J42" i="39"/>
  <c r="B39" i="40"/>
  <c r="B44" i="40" s="1"/>
  <c r="C39" i="40" s="1"/>
  <c r="C44" i="40" s="1"/>
  <c r="S30" i="40"/>
  <c r="S32" i="40" s="1"/>
  <c r="H14" i="26"/>
  <c r="G60" i="26"/>
  <c r="G22" i="26"/>
  <c r="I51" i="26"/>
  <c r="I80" i="26"/>
  <c r="H86" i="26"/>
  <c r="AD53" i="3"/>
  <c r="O58" i="3" s="1"/>
  <c r="G36" i="26"/>
  <c r="H28" i="26"/>
  <c r="I41" i="37"/>
  <c r="H42" i="37" s="1"/>
  <c r="K42" i="26"/>
  <c r="K45" i="26" s="1"/>
  <c r="J50" i="26"/>
  <c r="F100" i="26"/>
  <c r="AG31" i="39"/>
  <c r="AG32" i="39" s="1"/>
  <c r="AH29" i="39" s="1"/>
  <c r="AI39" i="39"/>
  <c r="AI40" i="39" s="1"/>
  <c r="AJ37" i="39" s="1"/>
  <c r="I43" i="39"/>
  <c r="H44" i="39" s="1"/>
  <c r="G90" i="26"/>
  <c r="R42" i="38"/>
  <c r="U42" i="38"/>
  <c r="AG57" i="37"/>
  <c r="P41" i="37"/>
  <c r="S41" i="37" s="1"/>
  <c r="T41" i="37" s="1"/>
  <c r="P134" i="37"/>
  <c r="P135" i="37" s="1"/>
  <c r="P136" i="37" s="1"/>
  <c r="P137" i="37" s="1"/>
  <c r="AE57" i="36"/>
  <c r="P39" i="36"/>
  <c r="S39" i="36" s="1"/>
  <c r="T39" i="36" s="1"/>
  <c r="N134" i="36"/>
  <c r="N135" i="36" s="1"/>
  <c r="N136" i="36" s="1"/>
  <c r="N137" i="36" s="1"/>
  <c r="AG34" i="3"/>
  <c r="AG35" i="3" s="1"/>
  <c r="AH32" i="3" s="1"/>
  <c r="P42" i="38"/>
  <c r="S42" i="38" s="1"/>
  <c r="T42" i="38" s="1"/>
  <c r="AF58" i="38"/>
  <c r="O162" i="38"/>
  <c r="U41" i="39"/>
  <c r="R41" i="39"/>
  <c r="J41" i="36"/>
  <c r="M64" i="38"/>
  <c r="M65" i="38" s="1"/>
  <c r="M66" i="38" s="1"/>
  <c r="M67" i="38" s="1"/>
  <c r="N163" i="38"/>
  <c r="N164" i="38" s="1"/>
  <c r="N165" i="38" s="1"/>
  <c r="G33" i="26"/>
  <c r="F39" i="26"/>
  <c r="I43" i="38"/>
  <c r="H44" i="38" s="1"/>
  <c r="AG30" i="37"/>
  <c r="AH27" i="37" s="1"/>
  <c r="AF32" i="38"/>
  <c r="AG29" i="38" s="1"/>
  <c r="AH34" i="3" l="1"/>
  <c r="AH35" i="3" s="1"/>
  <c r="AI32" i="3" s="1"/>
  <c r="AK37" i="36"/>
  <c r="AK38" i="36" s="1"/>
  <c r="AK37" i="37"/>
  <c r="AK38" i="37" s="1"/>
  <c r="AI44" i="36"/>
  <c r="AI45" i="36" s="1"/>
  <c r="AJ42" i="36" s="1"/>
  <c r="U41" i="36"/>
  <c r="R41" i="36"/>
  <c r="I44" i="39"/>
  <c r="H45" i="39" s="1"/>
  <c r="AH31" i="39"/>
  <c r="H31" i="26"/>
  <c r="J47" i="26"/>
  <c r="I53" i="26"/>
  <c r="G93" i="26"/>
  <c r="D39" i="40"/>
  <c r="D44" i="40" s="1"/>
  <c r="N64" i="39"/>
  <c r="N65" i="39" s="1"/>
  <c r="N66" i="39" s="1"/>
  <c r="N67" i="39" s="1"/>
  <c r="O163" i="39"/>
  <c r="O164" i="39" s="1"/>
  <c r="O165" i="39" s="1"/>
  <c r="M27" i="40"/>
  <c r="L30" i="40"/>
  <c r="AE53" i="3"/>
  <c r="P58" i="3" s="1"/>
  <c r="I43" i="36"/>
  <c r="J43" i="36"/>
  <c r="F101" i="26"/>
  <c r="F70" i="26"/>
  <c r="J43" i="38"/>
  <c r="L42" i="26"/>
  <c r="L45" i="26" s="1"/>
  <c r="K50" i="26"/>
  <c r="H57" i="26"/>
  <c r="H17" i="26"/>
  <c r="U42" i="39"/>
  <c r="R42" i="39"/>
  <c r="U40" i="37"/>
  <c r="R40" i="37"/>
  <c r="AE27" i="3"/>
  <c r="AF24" i="3" s="1"/>
  <c r="J42" i="36"/>
  <c r="G23" i="26"/>
  <c r="G64" i="26"/>
  <c r="I44" i="38"/>
  <c r="H45" i="38" s="1"/>
  <c r="G37" i="26"/>
  <c r="AG31" i="38"/>
  <c r="AJ39" i="39"/>
  <c r="AJ40" i="39" s="1"/>
  <c r="AK37" i="39" s="1"/>
  <c r="I42" i="37"/>
  <c r="H43" i="37" s="1"/>
  <c r="I84" i="26"/>
  <c r="AG29" i="36"/>
  <c r="AG30" i="36" s="1"/>
  <c r="AH27" i="36" s="1"/>
  <c r="AH29" i="37"/>
  <c r="N64" i="38"/>
  <c r="N65" i="38" s="1"/>
  <c r="N66" i="38" s="1"/>
  <c r="N67" i="38" s="1"/>
  <c r="O163" i="38"/>
  <c r="O164" i="38" s="1"/>
  <c r="O165" i="38" s="1"/>
  <c r="J43" i="39"/>
  <c r="P162" i="39"/>
  <c r="P43" i="39"/>
  <c r="S43" i="39" s="1"/>
  <c r="T43" i="39" s="1"/>
  <c r="AG58" i="39"/>
  <c r="J41" i="37"/>
  <c r="G67" i="26"/>
  <c r="J78" i="26"/>
  <c r="J83" i="26"/>
  <c r="P40" i="36"/>
  <c r="S40" i="36" s="1"/>
  <c r="T40" i="36" s="1"/>
  <c r="O134" i="36"/>
  <c r="O135" i="36" s="1"/>
  <c r="O136" i="36" s="1"/>
  <c r="O137" i="36" s="1"/>
  <c r="AF57" i="36"/>
  <c r="J44" i="38" l="1"/>
  <c r="R44" i="38" s="1"/>
  <c r="AJ44" i="36"/>
  <c r="AJ45" i="36" s="1"/>
  <c r="AH29" i="36"/>
  <c r="U41" i="37"/>
  <c r="R41" i="37"/>
  <c r="R43" i="39"/>
  <c r="U43" i="39"/>
  <c r="Q134" i="37"/>
  <c r="Q135" i="37" s="1"/>
  <c r="Q136" i="37" s="1"/>
  <c r="Q137" i="37" s="1"/>
  <c r="AH57" i="37"/>
  <c r="P42" i="37"/>
  <c r="S42" i="37" s="1"/>
  <c r="T42" i="37" s="1"/>
  <c r="J80" i="26"/>
  <c r="I86" i="26"/>
  <c r="AK39" i="39"/>
  <c r="AK40" i="39" s="1"/>
  <c r="AF26" i="3"/>
  <c r="AF27" i="3" s="1"/>
  <c r="AG24" i="3" s="1"/>
  <c r="R43" i="38"/>
  <c r="U43" i="38"/>
  <c r="R43" i="36"/>
  <c r="U43" i="36"/>
  <c r="I45" i="39"/>
  <c r="J45" i="39" s="1"/>
  <c r="K75" i="26"/>
  <c r="AH30" i="37"/>
  <c r="AI27" i="37" s="1"/>
  <c r="J42" i="37"/>
  <c r="H33" i="26"/>
  <c r="G39" i="26"/>
  <c r="G97" i="26"/>
  <c r="N27" i="40"/>
  <c r="M30" i="40"/>
  <c r="E39" i="40"/>
  <c r="E44" i="40" s="1"/>
  <c r="H36" i="26"/>
  <c r="I28" i="26"/>
  <c r="I31" i="26" s="1"/>
  <c r="J44" i="39"/>
  <c r="I43" i="37"/>
  <c r="J43" i="37" s="1"/>
  <c r="P162" i="38"/>
  <c r="P43" i="38"/>
  <c r="S43" i="38" s="1"/>
  <c r="T43" i="38" s="1"/>
  <c r="AG58" i="38"/>
  <c r="U44" i="38"/>
  <c r="G68" i="26"/>
  <c r="H19" i="26"/>
  <c r="G25" i="26"/>
  <c r="H22" i="26"/>
  <c r="I14" i="26"/>
  <c r="H60" i="26"/>
  <c r="P44" i="39"/>
  <c r="S44" i="39" s="1"/>
  <c r="T44" i="39" s="1"/>
  <c r="AH58" i="39"/>
  <c r="Q162" i="39"/>
  <c r="AI34" i="3"/>
  <c r="AI35" i="3" s="1"/>
  <c r="G100" i="26"/>
  <c r="O64" i="39"/>
  <c r="O65" i="39" s="1"/>
  <c r="O66" i="39" s="1"/>
  <c r="O67" i="39" s="1"/>
  <c r="P163" i="39"/>
  <c r="P164" i="39" s="1"/>
  <c r="P165" i="39" s="1"/>
  <c r="AG57" i="36"/>
  <c r="P41" i="36"/>
  <c r="S41" i="36" s="1"/>
  <c r="T41" i="36" s="1"/>
  <c r="P134" i="36"/>
  <c r="P135" i="36" s="1"/>
  <c r="P136" i="36" s="1"/>
  <c r="P137" i="36" s="1"/>
  <c r="AG32" i="38"/>
  <c r="AH29" i="38" s="1"/>
  <c r="I45" i="38"/>
  <c r="J45" i="38" s="1"/>
  <c r="R42" i="36"/>
  <c r="U42" i="36"/>
  <c r="H90" i="26"/>
  <c r="L50" i="26"/>
  <c r="M42" i="26"/>
  <c r="M45" i="26" s="1"/>
  <c r="F103" i="26"/>
  <c r="J51" i="26"/>
  <c r="AH32" i="39"/>
  <c r="AI29" i="39" s="1"/>
  <c r="R45" i="39" l="1"/>
  <c r="U45" i="39"/>
  <c r="K47" i="26"/>
  <c r="K51" i="26" s="1"/>
  <c r="J53" i="26"/>
  <c r="AI31" i="39"/>
  <c r="AI32" i="39"/>
  <c r="AJ29" i="39" s="1"/>
  <c r="R45" i="38"/>
  <c r="U45" i="38"/>
  <c r="P64" i="39"/>
  <c r="P65" i="39" s="1"/>
  <c r="P66" i="39" s="1"/>
  <c r="P67" i="39" s="1"/>
  <c r="Q163" i="39"/>
  <c r="Q164" i="39" s="1"/>
  <c r="Q165" i="39" s="1"/>
  <c r="H93" i="26"/>
  <c r="O64" i="38"/>
  <c r="O65" i="38" s="1"/>
  <c r="O66" i="38" s="1"/>
  <c r="O67" i="38" s="1"/>
  <c r="P163" i="38"/>
  <c r="P164" i="38" s="1"/>
  <c r="P165" i="38" s="1"/>
  <c r="F39" i="40"/>
  <c r="F44" i="40" s="1"/>
  <c r="J84" i="26"/>
  <c r="P42" i="36"/>
  <c r="S42" i="36" s="1"/>
  <c r="T42" i="36" s="1"/>
  <c r="Q134" i="36"/>
  <c r="Q135" i="36" s="1"/>
  <c r="Q136" i="36" s="1"/>
  <c r="Q137" i="36" s="1"/>
  <c r="AH57" i="36"/>
  <c r="M50" i="26"/>
  <c r="N42" i="26"/>
  <c r="N45" i="26" s="1"/>
  <c r="I17" i="26"/>
  <c r="I57" i="26"/>
  <c r="I90" i="26" s="1"/>
  <c r="I36" i="26"/>
  <c r="J28" i="26"/>
  <c r="J31" i="26" s="1"/>
  <c r="H37" i="26"/>
  <c r="K83" i="26"/>
  <c r="K78" i="26"/>
  <c r="AH30" i="36"/>
  <c r="AI27" i="36" s="1"/>
  <c r="AH31" i="38"/>
  <c r="H23" i="26"/>
  <c r="H64" i="26"/>
  <c r="R43" i="37"/>
  <c r="U43" i="37"/>
  <c r="U42" i="37"/>
  <c r="R42" i="37"/>
  <c r="AG26" i="3"/>
  <c r="AG27" i="3" s="1"/>
  <c r="AH24" i="3" s="1"/>
  <c r="H67" i="26"/>
  <c r="G101" i="26"/>
  <c r="G70" i="26"/>
  <c r="U44" i="39"/>
  <c r="R44" i="39"/>
  <c r="B46" i="40"/>
  <c r="B51" i="40" s="1"/>
  <c r="C46" i="40" s="1"/>
  <c r="C51" i="40" s="1"/>
  <c r="N30" i="40"/>
  <c r="AI29" i="37"/>
  <c r="AI30" i="37" s="1"/>
  <c r="AJ27" i="37" s="1"/>
  <c r="AF53" i="3"/>
  <c r="Q58" i="3" s="1"/>
  <c r="AJ29" i="37" l="1"/>
  <c r="AJ57" i="37" s="1"/>
  <c r="AH26" i="3"/>
  <c r="AH53" i="3" s="1"/>
  <c r="D46" i="40"/>
  <c r="D51" i="40" s="1"/>
  <c r="C54" i="40"/>
  <c r="H97" i="26"/>
  <c r="G39" i="40"/>
  <c r="G44" i="40" s="1"/>
  <c r="G103" i="26"/>
  <c r="H68" i="26"/>
  <c r="I19" i="26"/>
  <c r="H25" i="26"/>
  <c r="L75" i="26"/>
  <c r="J36" i="26"/>
  <c r="K28" i="26"/>
  <c r="K31" i="26" s="1"/>
  <c r="I22" i="26"/>
  <c r="I60" i="26"/>
  <c r="J14" i="26"/>
  <c r="L47" i="26"/>
  <c r="L51" i="26" s="1"/>
  <c r="K53" i="26"/>
  <c r="AI29" i="36"/>
  <c r="I33" i="26"/>
  <c r="H39" i="26"/>
  <c r="AI57" i="37"/>
  <c r="P43" i="37"/>
  <c r="S43" i="37" s="1"/>
  <c r="T43" i="37" s="1"/>
  <c r="R134" i="37"/>
  <c r="R135" i="37" s="1"/>
  <c r="R136" i="37" s="1"/>
  <c r="R137" i="37" s="1"/>
  <c r="P40" i="3"/>
  <c r="AG53" i="3"/>
  <c r="R58" i="3" s="1"/>
  <c r="R59" i="3" s="1"/>
  <c r="R60" i="3" s="1"/>
  <c r="R61" i="3" s="1"/>
  <c r="P44" i="38"/>
  <c r="S44" i="38" s="1"/>
  <c r="T44" i="38" s="1"/>
  <c r="AH58" i="38"/>
  <c r="Q162" i="38"/>
  <c r="K80" i="26"/>
  <c r="K84" i="26" s="1"/>
  <c r="L80" i="26" s="1"/>
  <c r="J86" i="26"/>
  <c r="AJ31" i="39"/>
  <c r="AJ58" i="39" s="1"/>
  <c r="H100" i="26"/>
  <c r="AH32" i="38"/>
  <c r="AI29" i="38" s="1"/>
  <c r="N50" i="26"/>
  <c r="O42" i="26"/>
  <c r="O45" i="26" s="1"/>
  <c r="AI58" i="39"/>
  <c r="R162" i="39"/>
  <c r="P45" i="39"/>
  <c r="S45" i="39" s="1"/>
  <c r="T45" i="39" s="1"/>
  <c r="I37" i="26" l="1"/>
  <c r="M47" i="26"/>
  <c r="M51" i="26" s="1"/>
  <c r="L53" i="26"/>
  <c r="I93" i="26"/>
  <c r="P42" i="26"/>
  <c r="O50" i="26"/>
  <c r="R134" i="36"/>
  <c r="R135" i="36" s="1"/>
  <c r="R136" i="36" s="1"/>
  <c r="R137" i="36" s="1"/>
  <c r="AI57" i="36"/>
  <c r="P43" i="36"/>
  <c r="S43" i="36" s="1"/>
  <c r="T43" i="36" s="1"/>
  <c r="AH27" i="3"/>
  <c r="AI24" i="3" s="1"/>
  <c r="Q64" i="39"/>
  <c r="Q65" i="39" s="1"/>
  <c r="Q66" i="39" s="1"/>
  <c r="Q67" i="39" s="1"/>
  <c r="R163" i="39"/>
  <c r="R164" i="39" s="1"/>
  <c r="R165" i="39" s="1"/>
  <c r="AJ32" i="39"/>
  <c r="AK29" i="39" s="1"/>
  <c r="P64" i="38"/>
  <c r="P65" i="38" s="1"/>
  <c r="P66" i="38" s="1"/>
  <c r="P67" i="38" s="1"/>
  <c r="Q163" i="38"/>
  <c r="Q164" i="38" s="1"/>
  <c r="Q165" i="38" s="1"/>
  <c r="AI30" i="36"/>
  <c r="AJ27" i="36" s="1"/>
  <c r="I67" i="26"/>
  <c r="K86" i="26"/>
  <c r="I23" i="26"/>
  <c r="I64" i="26"/>
  <c r="H39" i="40"/>
  <c r="H44" i="40" s="1"/>
  <c r="AJ30" i="37"/>
  <c r="AK27" i="37" s="1"/>
  <c r="AI31" i="38"/>
  <c r="AI32" i="38"/>
  <c r="AJ29" i="38" s="1"/>
  <c r="J17" i="26"/>
  <c r="J57" i="26"/>
  <c r="J90" i="26" s="1"/>
  <c r="K36" i="26"/>
  <c r="L28" i="26"/>
  <c r="L31" i="26" s="1"/>
  <c r="L78" i="26"/>
  <c r="L83" i="26"/>
  <c r="L84" i="26" s="1"/>
  <c r="M80" i="26" s="1"/>
  <c r="H101" i="26"/>
  <c r="H70" i="26"/>
  <c r="E46" i="40"/>
  <c r="E51" i="40" s="1"/>
  <c r="D54" i="40"/>
  <c r="H103" i="26" l="1"/>
  <c r="AJ31" i="38"/>
  <c r="AJ58" i="38" s="1"/>
  <c r="AI58" i="38"/>
  <c r="P45" i="38"/>
  <c r="S45" i="38" s="1"/>
  <c r="T45" i="38" s="1"/>
  <c r="R162" i="38"/>
  <c r="T42" i="26"/>
  <c r="P45" i="26"/>
  <c r="Q42" i="26"/>
  <c r="R42" i="26" s="1"/>
  <c r="V42" i="26" s="1"/>
  <c r="N47" i="26"/>
  <c r="N51" i="26" s="1"/>
  <c r="M53" i="26"/>
  <c r="M75" i="26"/>
  <c r="L86" i="26"/>
  <c r="AK29" i="37"/>
  <c r="AK30" i="37" s="1"/>
  <c r="I97" i="26"/>
  <c r="I100" i="26"/>
  <c r="AI26" i="3"/>
  <c r="AI27" i="3" s="1"/>
  <c r="L36" i="26"/>
  <c r="M28" i="26"/>
  <c r="M31" i="26" s="1"/>
  <c r="F46" i="40"/>
  <c r="F51" i="40" s="1"/>
  <c r="E54" i="40"/>
  <c r="J60" i="26"/>
  <c r="J22" i="26"/>
  <c r="J67" i="26" s="1"/>
  <c r="J100" i="26" s="1"/>
  <c r="K14" i="26"/>
  <c r="I39" i="40"/>
  <c r="I44" i="40" s="1"/>
  <c r="J19" i="26"/>
  <c r="I68" i="26"/>
  <c r="I25" i="26"/>
  <c r="AJ29" i="36"/>
  <c r="AJ57" i="36" s="1"/>
  <c r="AK31" i="39"/>
  <c r="AK32" i="39" s="1"/>
  <c r="J33" i="26"/>
  <c r="I39" i="26"/>
  <c r="AJ30" i="36" l="1"/>
  <c r="AK27" i="36" s="1"/>
  <c r="K57" i="26"/>
  <c r="K90" i="26" s="1"/>
  <c r="K17" i="26"/>
  <c r="O47" i="26"/>
  <c r="O51" i="26" s="1"/>
  <c r="N53" i="26"/>
  <c r="Q64" i="38"/>
  <c r="Q65" i="38" s="1"/>
  <c r="Q66" i="38" s="1"/>
  <c r="Q67" i="38" s="1"/>
  <c r="R163" i="38"/>
  <c r="R164" i="38" s="1"/>
  <c r="R165" i="38" s="1"/>
  <c r="J37" i="26"/>
  <c r="AK29" i="36"/>
  <c r="AK30" i="36" s="1"/>
  <c r="J23" i="26"/>
  <c r="J64" i="26"/>
  <c r="J97" i="26" s="1"/>
  <c r="G46" i="40"/>
  <c r="G51" i="40" s="1"/>
  <c r="F54" i="40"/>
  <c r="J39" i="40"/>
  <c r="J44" i="40" s="1"/>
  <c r="M36" i="26"/>
  <c r="N28" i="26"/>
  <c r="N31" i="26" s="1"/>
  <c r="M83" i="26"/>
  <c r="M84" i="26" s="1"/>
  <c r="N80" i="26" s="1"/>
  <c r="M78" i="26"/>
  <c r="P50" i="26"/>
  <c r="D43" i="31"/>
  <c r="T45" i="26"/>
  <c r="Q45" i="26"/>
  <c r="R45" i="26" s="1"/>
  <c r="I101" i="26"/>
  <c r="I103" i="26" s="1"/>
  <c r="I70" i="26"/>
  <c r="J93" i="26"/>
  <c r="AJ32" i="38"/>
  <c r="AK29" i="38" s="1"/>
  <c r="AK31" i="38" l="1"/>
  <c r="AK32" i="38" s="1"/>
  <c r="E40" i="31"/>
  <c r="N36" i="26"/>
  <c r="O28" i="26"/>
  <c r="O31" i="26" s="1"/>
  <c r="K39" i="40"/>
  <c r="K44" i="40" s="1"/>
  <c r="J68" i="26"/>
  <c r="K19" i="26"/>
  <c r="J25" i="26"/>
  <c r="K33" i="26"/>
  <c r="K37" i="26" s="1"/>
  <c r="J39" i="26"/>
  <c r="P47" i="26"/>
  <c r="O53" i="26"/>
  <c r="V45" i="26"/>
  <c r="T50" i="26"/>
  <c r="Q50" i="26"/>
  <c r="R50" i="26" s="1"/>
  <c r="L14" i="26"/>
  <c r="K22" i="26"/>
  <c r="K67" i="26" s="1"/>
  <c r="K100" i="26" s="1"/>
  <c r="K60" i="26"/>
  <c r="N75" i="26"/>
  <c r="M86" i="26"/>
  <c r="H46" i="40"/>
  <c r="H51" i="40" s="1"/>
  <c r="G54" i="40"/>
  <c r="V50" i="26" l="1"/>
  <c r="N78" i="26"/>
  <c r="N83" i="26"/>
  <c r="N84" i="26" s="1"/>
  <c r="O80" i="26" s="1"/>
  <c r="L39" i="40"/>
  <c r="L44" i="40" s="1"/>
  <c r="L17" i="26"/>
  <c r="L57" i="26"/>
  <c r="L90" i="26" s="1"/>
  <c r="L33" i="26"/>
  <c r="L37" i="26" s="1"/>
  <c r="K39" i="26"/>
  <c r="I46" i="40"/>
  <c r="I51" i="40" s="1"/>
  <c r="H54" i="40"/>
  <c r="K93" i="26"/>
  <c r="P51" i="26"/>
  <c r="T47" i="26"/>
  <c r="Q47" i="26"/>
  <c r="R47" i="26" s="1"/>
  <c r="K64" i="26"/>
  <c r="K97" i="26" s="1"/>
  <c r="K23" i="26"/>
  <c r="O36" i="26"/>
  <c r="P28" i="26"/>
  <c r="E43" i="31"/>
  <c r="J101" i="26"/>
  <c r="J103" i="26" s="1"/>
  <c r="J70" i="26"/>
  <c r="P31" i="26" l="1"/>
  <c r="T28" i="26"/>
  <c r="Q28" i="26"/>
  <c r="R28" i="26" s="1"/>
  <c r="V47" i="26"/>
  <c r="M33" i="26"/>
  <c r="M37" i="26" s="1"/>
  <c r="L39" i="26"/>
  <c r="M39" i="40"/>
  <c r="M44" i="40" s="1"/>
  <c r="E48" i="31"/>
  <c r="F40" i="31"/>
  <c r="K68" i="26"/>
  <c r="L19" i="26"/>
  <c r="K25" i="26"/>
  <c r="D49" i="31"/>
  <c r="T51" i="26"/>
  <c r="Q51" i="26"/>
  <c r="R51" i="26" s="1"/>
  <c r="P53" i="26"/>
  <c r="J46" i="40"/>
  <c r="J51" i="40" s="1"/>
  <c r="I54" i="40"/>
  <c r="L22" i="26"/>
  <c r="L67" i="26" s="1"/>
  <c r="L100" i="26" s="1"/>
  <c r="L60" i="26"/>
  <c r="M14" i="26"/>
  <c r="O75" i="26"/>
  <c r="N86" i="26"/>
  <c r="V51" i="26" l="1"/>
  <c r="L23" i="26"/>
  <c r="L64" i="26"/>
  <c r="L97" i="26" s="1"/>
  <c r="M17" i="26"/>
  <c r="M57" i="26"/>
  <c r="M90" i="26" s="1"/>
  <c r="K101" i="26"/>
  <c r="K103" i="26" s="1"/>
  <c r="K70" i="26"/>
  <c r="V28" i="26"/>
  <c r="O78" i="26"/>
  <c r="O83" i="26"/>
  <c r="O84" i="26" s="1"/>
  <c r="P80" i="26" s="1"/>
  <c r="L93" i="26"/>
  <c r="K46" i="40"/>
  <c r="K51" i="40" s="1"/>
  <c r="J54" i="40"/>
  <c r="E45" i="31"/>
  <c r="D51" i="31"/>
  <c r="N33" i="26"/>
  <c r="N37" i="26" s="1"/>
  <c r="M39" i="26"/>
  <c r="T53" i="26"/>
  <c r="Q53" i="26"/>
  <c r="R53" i="26" s="1"/>
  <c r="F43" i="31"/>
  <c r="N39" i="40"/>
  <c r="N44" i="40" s="1"/>
  <c r="P36" i="26"/>
  <c r="D29" i="31"/>
  <c r="T31" i="26"/>
  <c r="Q31" i="26"/>
  <c r="R31" i="26" s="1"/>
  <c r="V53" i="26" l="1"/>
  <c r="T36" i="26"/>
  <c r="Q36" i="26"/>
  <c r="R36" i="26" s="1"/>
  <c r="V31" i="26"/>
  <c r="F48" i="31"/>
  <c r="G40" i="31"/>
  <c r="O33" i="26"/>
  <c r="O37" i="26" s="1"/>
  <c r="N39" i="26"/>
  <c r="N14" i="26"/>
  <c r="M22" i="26"/>
  <c r="M67" i="26" s="1"/>
  <c r="M100" i="26" s="1"/>
  <c r="M60" i="26"/>
  <c r="T80" i="26"/>
  <c r="Q80" i="26"/>
  <c r="R80" i="26" s="1"/>
  <c r="E26" i="31"/>
  <c r="S54" i="40"/>
  <c r="S56" i="40" s="1"/>
  <c r="E49" i="31"/>
  <c r="L46" i="40"/>
  <c r="L51" i="40" s="1"/>
  <c r="K54" i="40"/>
  <c r="P75" i="26"/>
  <c r="O86" i="26"/>
  <c r="L68" i="26"/>
  <c r="M19" i="26"/>
  <c r="L25" i="26"/>
  <c r="V36" i="26" l="1"/>
  <c r="V80" i="26"/>
  <c r="L101" i="26"/>
  <c r="L103" i="26" s="1"/>
  <c r="L70" i="26"/>
  <c r="N57" i="26"/>
  <c r="N90" i="26" s="1"/>
  <c r="N17" i="26"/>
  <c r="P33" i="26"/>
  <c r="O39" i="26"/>
  <c r="M46" i="40"/>
  <c r="M51" i="40" s="1"/>
  <c r="L54" i="40"/>
  <c r="P83" i="26"/>
  <c r="P78" i="26"/>
  <c r="T75" i="26"/>
  <c r="Q75" i="26"/>
  <c r="R75" i="26" s="1"/>
  <c r="F45" i="31"/>
  <c r="E51" i="31"/>
  <c r="E29" i="31"/>
  <c r="M93" i="26"/>
  <c r="G43" i="31"/>
  <c r="M64" i="26"/>
  <c r="M97" i="26" s="1"/>
  <c r="M23" i="26"/>
  <c r="N19" i="26" l="1"/>
  <c r="M68" i="26"/>
  <c r="M25" i="26"/>
  <c r="N46" i="40"/>
  <c r="N51" i="40" s="1"/>
  <c r="N54" i="40" s="1"/>
  <c r="M54" i="40"/>
  <c r="O14" i="26"/>
  <c r="N60" i="26"/>
  <c r="N22" i="26"/>
  <c r="N67" i="26" s="1"/>
  <c r="N100" i="26" s="1"/>
  <c r="D74" i="31"/>
  <c r="T78" i="26"/>
  <c r="Q78" i="26"/>
  <c r="R78" i="26" s="1"/>
  <c r="F26" i="31"/>
  <c r="E34" i="31"/>
  <c r="F49" i="31"/>
  <c r="T83" i="26"/>
  <c r="Q83" i="26"/>
  <c r="P84" i="26"/>
  <c r="G48" i="31"/>
  <c r="H40" i="31"/>
  <c r="V75" i="26"/>
  <c r="P37" i="26"/>
  <c r="T33" i="26"/>
  <c r="Q33" i="26"/>
  <c r="R33" i="26" s="1"/>
  <c r="V33" i="26" l="1"/>
  <c r="D80" i="31"/>
  <c r="D82" i="31" s="1"/>
  <c r="T84" i="26"/>
  <c r="Q84" i="26"/>
  <c r="R84" i="26" s="1"/>
  <c r="G45" i="31"/>
  <c r="F51" i="31"/>
  <c r="F29" i="31"/>
  <c r="E71" i="31"/>
  <c r="N93" i="26"/>
  <c r="H43" i="31"/>
  <c r="N33" i="3"/>
  <c r="R83" i="26"/>
  <c r="V83" i="26" s="1"/>
  <c r="V78" i="26"/>
  <c r="D35" i="31"/>
  <c r="T37" i="26"/>
  <c r="Q37" i="26"/>
  <c r="R37" i="26" s="1"/>
  <c r="P39" i="26"/>
  <c r="O17" i="26"/>
  <c r="O57" i="26"/>
  <c r="O90" i="26" s="1"/>
  <c r="M101" i="26"/>
  <c r="M103" i="26" s="1"/>
  <c r="M70" i="26"/>
  <c r="P86" i="26"/>
  <c r="N23" i="26"/>
  <c r="N64" i="26"/>
  <c r="N97" i="26" s="1"/>
  <c r="V37" i="26" l="1"/>
  <c r="E31" i="31"/>
  <c r="D37" i="31"/>
  <c r="G49" i="31"/>
  <c r="N68" i="26"/>
  <c r="O19" i="26"/>
  <c r="N25" i="26"/>
  <c r="T39" i="26"/>
  <c r="Q39" i="26"/>
  <c r="R39" i="26" s="1"/>
  <c r="H48" i="31"/>
  <c r="I40" i="31"/>
  <c r="E74" i="31"/>
  <c r="E79" i="31"/>
  <c r="G26" i="31"/>
  <c r="F34" i="31"/>
  <c r="V84" i="26"/>
  <c r="T86" i="26"/>
  <c r="Q86" i="26"/>
  <c r="R86" i="26" s="1"/>
  <c r="O22" i="26"/>
  <c r="O67" i="26" s="1"/>
  <c r="O100" i="26" s="1"/>
  <c r="O60" i="26"/>
  <c r="P14" i="26"/>
  <c r="I33" i="3"/>
  <c r="K57" i="3"/>
  <c r="K59" i="3" s="1"/>
  <c r="K60" i="3" s="1"/>
  <c r="K61" i="3" s="1"/>
  <c r="P33" i="3"/>
  <c r="E76" i="31"/>
  <c r="P17" i="26" l="1"/>
  <c r="P57" i="26"/>
  <c r="T14" i="26"/>
  <c r="Q14" i="26"/>
  <c r="R14" i="26" s="1"/>
  <c r="I43" i="31"/>
  <c r="O93" i="26"/>
  <c r="V86" i="26"/>
  <c r="H45" i="31"/>
  <c r="G51" i="31"/>
  <c r="E35" i="31"/>
  <c r="E80" i="31"/>
  <c r="E82" i="31" s="1"/>
  <c r="G29" i="31"/>
  <c r="F71" i="31"/>
  <c r="O23" i="26"/>
  <c r="O64" i="26"/>
  <c r="O97" i="26" s="1"/>
  <c r="H34" i="3"/>
  <c r="J33" i="3"/>
  <c r="R33" i="3" s="1"/>
  <c r="S33" i="3" s="1"/>
  <c r="V39" i="26"/>
  <c r="N101" i="26"/>
  <c r="N103" i="26" s="1"/>
  <c r="N70" i="26"/>
  <c r="V14" i="26" l="1"/>
  <c r="I34" i="3"/>
  <c r="H35" i="3" s="1"/>
  <c r="F76" i="31"/>
  <c r="F79" i="31"/>
  <c r="F74" i="31"/>
  <c r="P19" i="26"/>
  <c r="O68" i="26"/>
  <c r="O25" i="26"/>
  <c r="F31" i="31"/>
  <c r="E37" i="31"/>
  <c r="H49" i="31"/>
  <c r="I48" i="31"/>
  <c r="J40" i="31"/>
  <c r="J43" i="31" s="1"/>
  <c r="P90" i="26"/>
  <c r="T57" i="26"/>
  <c r="Q57" i="26"/>
  <c r="R57" i="26" s="1"/>
  <c r="V57" i="26" s="1"/>
  <c r="H26" i="31"/>
  <c r="G34" i="31"/>
  <c r="P22" i="26"/>
  <c r="D15" i="31"/>
  <c r="P60" i="26"/>
  <c r="T17" i="26"/>
  <c r="Q17" i="26"/>
  <c r="R17" i="26" s="1"/>
  <c r="T90" i="26" l="1"/>
  <c r="Q90" i="26"/>
  <c r="R90" i="26" s="1"/>
  <c r="V90" i="26" s="1"/>
  <c r="T19" i="26"/>
  <c r="P23" i="26"/>
  <c r="P64" i="26"/>
  <c r="Q19" i="26"/>
  <c r="R19" i="26" s="1"/>
  <c r="P93" i="26"/>
  <c r="T60" i="26"/>
  <c r="Q60" i="26"/>
  <c r="R60" i="26" s="1"/>
  <c r="P67" i="26"/>
  <c r="T22" i="26"/>
  <c r="Q22" i="26"/>
  <c r="R22" i="26" s="1"/>
  <c r="V22" i="26" s="1"/>
  <c r="H29" i="31"/>
  <c r="F35" i="31"/>
  <c r="F80" i="31"/>
  <c r="J48" i="31"/>
  <c r="K40" i="31"/>
  <c r="K43" i="31" s="1"/>
  <c r="I45" i="31"/>
  <c r="H51" i="31"/>
  <c r="G71" i="31"/>
  <c r="V17" i="26"/>
  <c r="D58" i="31"/>
  <c r="E12" i="31"/>
  <c r="O101" i="26"/>
  <c r="O103" i="26" s="1"/>
  <c r="O70" i="26"/>
  <c r="J34" i="3"/>
  <c r="R34" i="3" s="1"/>
  <c r="S34" i="3" s="1"/>
  <c r="V19" i="26" l="1"/>
  <c r="V60" i="26"/>
  <c r="D89" i="31"/>
  <c r="G79" i="31"/>
  <c r="G74" i="31"/>
  <c r="G76" i="31"/>
  <c r="I26" i="31"/>
  <c r="H34" i="31"/>
  <c r="P97" i="26"/>
  <c r="T64" i="26"/>
  <c r="Q64" i="26"/>
  <c r="R64" i="26" s="1"/>
  <c r="G31" i="31"/>
  <c r="F37" i="31"/>
  <c r="P68" i="26"/>
  <c r="D21" i="31"/>
  <c r="T23" i="26"/>
  <c r="Q23" i="26"/>
  <c r="R23" i="26" s="1"/>
  <c r="P73" i="26"/>
  <c r="P25" i="26"/>
  <c r="L40" i="31"/>
  <c r="L43" i="31" s="1"/>
  <c r="K48" i="31"/>
  <c r="E55" i="31"/>
  <c r="E15" i="31"/>
  <c r="F82" i="31"/>
  <c r="I49" i="31"/>
  <c r="P100" i="26"/>
  <c r="T67" i="26"/>
  <c r="Q67" i="26"/>
  <c r="R67" i="26" s="1"/>
  <c r="T93" i="26"/>
  <c r="Q93" i="26"/>
  <c r="R93" i="26" s="1"/>
  <c r="V93" i="26" l="1"/>
  <c r="V64" i="26"/>
  <c r="P101" i="26"/>
  <c r="T68" i="26"/>
  <c r="Q68" i="26"/>
  <c r="R68" i="26" s="1"/>
  <c r="P70" i="26"/>
  <c r="G80" i="31"/>
  <c r="T100" i="26"/>
  <c r="Q100" i="26"/>
  <c r="R100" i="26" s="1"/>
  <c r="E20" i="31"/>
  <c r="F12" i="31"/>
  <c r="E58" i="31"/>
  <c r="M40" i="31"/>
  <c r="M43" i="31" s="1"/>
  <c r="L48" i="31"/>
  <c r="V23" i="26"/>
  <c r="T97" i="26"/>
  <c r="Q97" i="26"/>
  <c r="R97" i="26" s="1"/>
  <c r="I29" i="31"/>
  <c r="H71" i="31"/>
  <c r="V67" i="26"/>
  <c r="J45" i="31"/>
  <c r="J49" i="31" s="1"/>
  <c r="I51" i="31"/>
  <c r="E86" i="31"/>
  <c r="T25" i="26"/>
  <c r="Q25" i="26"/>
  <c r="R25" i="26" s="1"/>
  <c r="E17" i="31"/>
  <c r="D66" i="31"/>
  <c r="D23" i="31"/>
  <c r="G35" i="31"/>
  <c r="V68" i="26" l="1"/>
  <c r="K45" i="31"/>
  <c r="K49" i="31" s="1"/>
  <c r="J51" i="31"/>
  <c r="H79" i="31"/>
  <c r="H74" i="31"/>
  <c r="F55" i="31"/>
  <c r="F15" i="31"/>
  <c r="H31" i="31"/>
  <c r="G37" i="31"/>
  <c r="D97" i="31"/>
  <c r="D68" i="31"/>
  <c r="N40" i="31"/>
  <c r="N43" i="31" s="1"/>
  <c r="M48" i="31"/>
  <c r="E62" i="31"/>
  <c r="E21" i="31"/>
  <c r="I34" i="31"/>
  <c r="J26" i="31"/>
  <c r="J29" i="31" s="1"/>
  <c r="E65" i="31"/>
  <c r="H76" i="31"/>
  <c r="T101" i="26"/>
  <c r="Q101" i="26"/>
  <c r="R101" i="26" s="1"/>
  <c r="P103" i="26"/>
  <c r="V25" i="26"/>
  <c r="G82" i="31"/>
  <c r="V97" i="26"/>
  <c r="E89" i="31"/>
  <c r="V100" i="26"/>
  <c r="T70" i="26"/>
  <c r="Q70" i="26"/>
  <c r="R70" i="26" s="1"/>
  <c r="E96" i="31" l="1"/>
  <c r="O40" i="31"/>
  <c r="O43" i="31" s="1"/>
  <c r="N48" i="31"/>
  <c r="D99" i="31"/>
  <c r="I71" i="31"/>
  <c r="V70" i="26"/>
  <c r="F17" i="31"/>
  <c r="E66" i="31"/>
  <c r="E23" i="31"/>
  <c r="G12" i="31"/>
  <c r="F20" i="31"/>
  <c r="F58" i="31"/>
  <c r="T103" i="26"/>
  <c r="Q103" i="26"/>
  <c r="R103" i="26" s="1"/>
  <c r="H80" i="31"/>
  <c r="J34" i="31"/>
  <c r="K26" i="31"/>
  <c r="K29" i="31" s="1"/>
  <c r="F86" i="31"/>
  <c r="V101" i="26"/>
  <c r="E93" i="31"/>
  <c r="H35" i="31"/>
  <c r="L45" i="31"/>
  <c r="L49" i="31" s="1"/>
  <c r="K51" i="31"/>
  <c r="I76" i="31" l="1"/>
  <c r="F89" i="31"/>
  <c r="E97" i="31"/>
  <c r="E68" i="31"/>
  <c r="L26" i="31"/>
  <c r="L29" i="31" s="1"/>
  <c r="K34" i="31"/>
  <c r="V103" i="26"/>
  <c r="F65" i="31"/>
  <c r="F21" i="31"/>
  <c r="F62" i="31"/>
  <c r="O48" i="31"/>
  <c r="P40" i="31"/>
  <c r="M45" i="31"/>
  <c r="M49" i="31" s="1"/>
  <c r="L51" i="31"/>
  <c r="I31" i="31"/>
  <c r="H37" i="31"/>
  <c r="H82" i="31"/>
  <c r="G15" i="31"/>
  <c r="G55" i="31"/>
  <c r="I79" i="31"/>
  <c r="I74" i="31"/>
  <c r="G20" i="31" l="1"/>
  <c r="H12" i="31"/>
  <c r="G58" i="31"/>
  <c r="N45" i="31"/>
  <c r="N49" i="31" s="1"/>
  <c r="M51" i="31"/>
  <c r="F96" i="31"/>
  <c r="L34" i="31"/>
  <c r="M26" i="31"/>
  <c r="M29" i="31" s="1"/>
  <c r="P43" i="31"/>
  <c r="Q40" i="31"/>
  <c r="R40" i="31" s="1"/>
  <c r="F93" i="31"/>
  <c r="E99" i="31"/>
  <c r="J71" i="31"/>
  <c r="I35" i="31"/>
  <c r="F66" i="31"/>
  <c r="G17" i="31"/>
  <c r="F23" i="31"/>
  <c r="I80" i="31"/>
  <c r="J76" i="31" s="1"/>
  <c r="G86" i="31"/>
  <c r="G65" i="31" l="1"/>
  <c r="J31" i="31"/>
  <c r="J35" i="31" s="1"/>
  <c r="I37" i="31"/>
  <c r="G21" i="31"/>
  <c r="G62" i="31"/>
  <c r="J74" i="31"/>
  <c r="J79" i="31"/>
  <c r="J80" i="31" s="1"/>
  <c r="K76" i="31" s="1"/>
  <c r="D45" i="32"/>
  <c r="P48" i="31"/>
  <c r="Q43" i="31"/>
  <c r="R43" i="31" s="1"/>
  <c r="N26" i="31"/>
  <c r="N29" i="31" s="1"/>
  <c r="M34" i="31"/>
  <c r="G89" i="31"/>
  <c r="F97" i="31"/>
  <c r="F68" i="31"/>
  <c r="I82" i="31"/>
  <c r="O45" i="31"/>
  <c r="O49" i="31" s="1"/>
  <c r="N51" i="31"/>
  <c r="H15" i="31"/>
  <c r="H55" i="31"/>
  <c r="Q48" i="31" l="1"/>
  <c r="R48" i="31" s="1"/>
  <c r="H86" i="31"/>
  <c r="F99" i="31"/>
  <c r="E42" i="32"/>
  <c r="G93" i="31"/>
  <c r="G96" i="31"/>
  <c r="K71" i="31"/>
  <c r="J82" i="31"/>
  <c r="P45" i="31"/>
  <c r="O51" i="31"/>
  <c r="N34" i="31"/>
  <c r="O26" i="31"/>
  <c r="O29" i="31" s="1"/>
  <c r="H20" i="31"/>
  <c r="H58" i="31"/>
  <c r="I12" i="31"/>
  <c r="H17" i="31"/>
  <c r="G66" i="31"/>
  <c r="G23" i="31"/>
  <c r="K31" i="31"/>
  <c r="K35" i="31" s="1"/>
  <c r="J37" i="31"/>
  <c r="G97" i="31" l="1"/>
  <c r="G68" i="31"/>
  <c r="I15" i="31"/>
  <c r="I55" i="31"/>
  <c r="P49" i="31"/>
  <c r="Q45" i="31"/>
  <c r="R45" i="31" s="1"/>
  <c r="L31" i="31"/>
  <c r="L35" i="31" s="1"/>
  <c r="K37" i="31"/>
  <c r="H21" i="31"/>
  <c r="H62" i="31"/>
  <c r="H89" i="31"/>
  <c r="P26" i="31"/>
  <c r="O34" i="31"/>
  <c r="E45" i="32"/>
  <c r="K79" i="31"/>
  <c r="K80" i="31" s="1"/>
  <c r="L76" i="31" s="1"/>
  <c r="K74" i="31"/>
  <c r="H65" i="31"/>
  <c r="D51" i="32" l="1"/>
  <c r="Q49" i="31"/>
  <c r="R49" i="31" s="1"/>
  <c r="P51" i="31"/>
  <c r="I20" i="31"/>
  <c r="I58" i="31"/>
  <c r="J12" i="31"/>
  <c r="F42" i="32"/>
  <c r="E50" i="32"/>
  <c r="P29" i="31"/>
  <c r="Q26" i="31"/>
  <c r="R26" i="31" s="1"/>
  <c r="M31" i="31"/>
  <c r="M35" i="31" s="1"/>
  <c r="L37" i="31"/>
  <c r="H96" i="31"/>
  <c r="H93" i="31"/>
  <c r="L71" i="31"/>
  <c r="K82" i="31"/>
  <c r="I17" i="31"/>
  <c r="H66" i="31"/>
  <c r="H23" i="31"/>
  <c r="I86" i="31"/>
  <c r="G99" i="31"/>
  <c r="H97" i="31" l="1"/>
  <c r="H68" i="31"/>
  <c r="I89" i="31"/>
  <c r="I21" i="31"/>
  <c r="I62" i="31"/>
  <c r="I93" i="31" s="1"/>
  <c r="L74" i="31"/>
  <c r="L79" i="31"/>
  <c r="L80" i="31" s="1"/>
  <c r="M76" i="31" s="1"/>
  <c r="P34" i="31"/>
  <c r="D31" i="32"/>
  <c r="Q29" i="31"/>
  <c r="R29" i="31" s="1"/>
  <c r="F50" i="32"/>
  <c r="F45" i="32"/>
  <c r="I65" i="31"/>
  <c r="E47" i="32"/>
  <c r="D53" i="32"/>
  <c r="N31" i="31"/>
  <c r="N35" i="31" s="1"/>
  <c r="M37" i="31"/>
  <c r="J55" i="31"/>
  <c r="J86" i="31" s="1"/>
  <c r="J15" i="31"/>
  <c r="Q51" i="31"/>
  <c r="R51" i="31" s="1"/>
  <c r="O31" i="31" l="1"/>
  <c r="O35" i="31" s="1"/>
  <c r="N37" i="31"/>
  <c r="G42" i="32"/>
  <c r="I96" i="31"/>
  <c r="Q34" i="31"/>
  <c r="R34" i="31" s="1"/>
  <c r="E51" i="32"/>
  <c r="J17" i="31"/>
  <c r="I66" i="31"/>
  <c r="I23" i="31"/>
  <c r="K12" i="31"/>
  <c r="J20" i="31"/>
  <c r="J65" i="31" s="1"/>
  <c r="J96" i="31" s="1"/>
  <c r="J58" i="31"/>
  <c r="E28" i="32"/>
  <c r="M71" i="31"/>
  <c r="L82" i="31"/>
  <c r="H99" i="31"/>
  <c r="M74" i="31" l="1"/>
  <c r="M79" i="31"/>
  <c r="M80" i="31" s="1"/>
  <c r="N76" i="31" s="1"/>
  <c r="I97" i="31"/>
  <c r="I99" i="31" s="1"/>
  <c r="I68" i="31"/>
  <c r="F47" i="32"/>
  <c r="E53" i="32"/>
  <c r="G50" i="32"/>
  <c r="G45" i="32"/>
  <c r="J62" i="31"/>
  <c r="J93" i="31" s="1"/>
  <c r="J21" i="31"/>
  <c r="E31" i="32"/>
  <c r="K15" i="31"/>
  <c r="K55" i="31"/>
  <c r="K86" i="31" s="1"/>
  <c r="J89" i="31"/>
  <c r="P31" i="31"/>
  <c r="O37" i="31"/>
  <c r="P35" i="31" l="1"/>
  <c r="Q31" i="31"/>
  <c r="R31" i="31" s="1"/>
  <c r="K17" i="31"/>
  <c r="J66" i="31"/>
  <c r="J23" i="31"/>
  <c r="L12" i="31"/>
  <c r="K58" i="31"/>
  <c r="K20" i="31"/>
  <c r="K65" i="31" s="1"/>
  <c r="K96" i="31" s="1"/>
  <c r="F28" i="32"/>
  <c r="E36" i="32"/>
  <c r="H42" i="32"/>
  <c r="F51" i="32"/>
  <c r="M82" i="31"/>
  <c r="N71" i="31"/>
  <c r="H45" i="32" l="1"/>
  <c r="H50" i="32"/>
  <c r="K62" i="31"/>
  <c r="K93" i="31" s="1"/>
  <c r="K21" i="31"/>
  <c r="F31" i="32"/>
  <c r="G47" i="32"/>
  <c r="F53" i="32"/>
  <c r="K89" i="31"/>
  <c r="D37" i="32"/>
  <c r="Q35" i="31"/>
  <c r="R35" i="31" s="1"/>
  <c r="P37" i="31"/>
  <c r="N79" i="31"/>
  <c r="N80" i="31" s="1"/>
  <c r="O76" i="31" s="1"/>
  <c r="N74" i="31"/>
  <c r="L55" i="31"/>
  <c r="L86" i="31" s="1"/>
  <c r="L15" i="31"/>
  <c r="J97" i="31"/>
  <c r="J99" i="31" s="1"/>
  <c r="J68" i="31"/>
  <c r="O71" i="31" l="1"/>
  <c r="N82" i="31"/>
  <c r="Q37" i="31"/>
  <c r="R37" i="31" s="1"/>
  <c r="G51" i="32"/>
  <c r="G28" i="32"/>
  <c r="F36" i="32"/>
  <c r="M12" i="31"/>
  <c r="L20" i="31"/>
  <c r="L65" i="31" s="1"/>
  <c r="L96" i="31" s="1"/>
  <c r="L58" i="31"/>
  <c r="E33" i="32"/>
  <c r="D39" i="32"/>
  <c r="L17" i="31"/>
  <c r="K66" i="31"/>
  <c r="K23" i="31"/>
  <c r="I42" i="32"/>
  <c r="L21" i="31" l="1"/>
  <c r="L62" i="31"/>
  <c r="L93" i="31" s="1"/>
  <c r="I50" i="32"/>
  <c r="I45" i="32"/>
  <c r="E37" i="32"/>
  <c r="M15" i="31"/>
  <c r="M55" i="31"/>
  <c r="M86" i="31" s="1"/>
  <c r="K97" i="31"/>
  <c r="K99" i="31" s="1"/>
  <c r="K68" i="31"/>
  <c r="L89" i="31"/>
  <c r="G31" i="32"/>
  <c r="H47" i="32"/>
  <c r="G53" i="32"/>
  <c r="O74" i="31"/>
  <c r="O79" i="31"/>
  <c r="O80" i="31" s="1"/>
  <c r="P76" i="31" s="1"/>
  <c r="N12" i="31" l="1"/>
  <c r="M58" i="31"/>
  <c r="M20" i="31"/>
  <c r="M65" i="31" s="1"/>
  <c r="M96" i="31" s="1"/>
  <c r="J42" i="32"/>
  <c r="Q76" i="31"/>
  <c r="R76" i="31" s="1"/>
  <c r="H51" i="32"/>
  <c r="O82" i="31"/>
  <c r="P71" i="31"/>
  <c r="F33" i="32"/>
  <c r="E39" i="32"/>
  <c r="G36" i="32"/>
  <c r="H28" i="32"/>
  <c r="L66" i="31"/>
  <c r="M17" i="31"/>
  <c r="L23" i="31"/>
  <c r="M21" i="31" l="1"/>
  <c r="M62" i="31"/>
  <c r="M93" i="31" s="1"/>
  <c r="H31" i="32"/>
  <c r="F37" i="32"/>
  <c r="M89" i="31"/>
  <c r="L97" i="31"/>
  <c r="L99" i="31" s="1"/>
  <c r="L68" i="31"/>
  <c r="P79" i="31"/>
  <c r="P74" i="31"/>
  <c r="Q71" i="31"/>
  <c r="R71" i="31" s="1"/>
  <c r="I47" i="32"/>
  <c r="H53" i="32"/>
  <c r="J50" i="32"/>
  <c r="J45" i="32"/>
  <c r="N15" i="31"/>
  <c r="N55" i="31"/>
  <c r="N86" i="31" s="1"/>
  <c r="I28" i="32" l="1"/>
  <c r="H36" i="32"/>
  <c r="N20" i="31"/>
  <c r="N65" i="31" s="1"/>
  <c r="N96" i="31" s="1"/>
  <c r="O12" i="31"/>
  <c r="N58" i="31"/>
  <c r="D78" i="32"/>
  <c r="Q74" i="31"/>
  <c r="R74" i="31" s="1"/>
  <c r="G33" i="32"/>
  <c r="F39" i="32"/>
  <c r="M66" i="31"/>
  <c r="N17" i="31"/>
  <c r="M23" i="31"/>
  <c r="K42" i="32"/>
  <c r="I51" i="32"/>
  <c r="Q79" i="31"/>
  <c r="R79" i="31" s="1"/>
  <c r="P80" i="31"/>
  <c r="D84" i="32" l="1"/>
  <c r="D86" i="32" s="1"/>
  <c r="Q80" i="31"/>
  <c r="R80" i="31" s="1"/>
  <c r="N21" i="31"/>
  <c r="N62" i="31"/>
  <c r="N93" i="31" s="1"/>
  <c r="G37" i="32"/>
  <c r="K45" i="32"/>
  <c r="K50" i="32"/>
  <c r="O55" i="31"/>
  <c r="O86" i="31" s="1"/>
  <c r="O15" i="31"/>
  <c r="E75" i="32"/>
  <c r="J47" i="32"/>
  <c r="J51" i="32" s="1"/>
  <c r="I53" i="32"/>
  <c r="P82" i="31"/>
  <c r="I31" i="32"/>
  <c r="M97" i="31"/>
  <c r="M99" i="31" s="1"/>
  <c r="M68" i="31"/>
  <c r="N89" i="31"/>
  <c r="I36" i="32" l="1"/>
  <c r="J28" i="32"/>
  <c r="J31" i="32" s="1"/>
  <c r="L42" i="32"/>
  <c r="O17" i="31"/>
  <c r="N66" i="31"/>
  <c r="N23" i="31"/>
  <c r="Q82" i="31"/>
  <c r="R82" i="31" s="1"/>
  <c r="P12" i="31"/>
  <c r="O58" i="31"/>
  <c r="O20" i="31"/>
  <c r="O65" i="31" s="1"/>
  <c r="O96" i="31" s="1"/>
  <c r="E83" i="32"/>
  <c r="E78" i="32"/>
  <c r="H33" i="32"/>
  <c r="G39" i="32"/>
  <c r="K47" i="32"/>
  <c r="K51" i="32" s="1"/>
  <c r="L47" i="32" s="1"/>
  <c r="J53" i="32"/>
  <c r="E80" i="32"/>
  <c r="K53" i="32" l="1"/>
  <c r="E84" i="32"/>
  <c r="E86" i="32" s="1"/>
  <c r="F75" i="32"/>
  <c r="O89" i="31"/>
  <c r="P15" i="31"/>
  <c r="P55" i="31"/>
  <c r="Q12" i="31"/>
  <c r="R12" i="31" s="1"/>
  <c r="L50" i="32"/>
  <c r="L51" i="32" s="1"/>
  <c r="M47" i="32" s="1"/>
  <c r="L45" i="32"/>
  <c r="J36" i="32"/>
  <c r="K28" i="32"/>
  <c r="K31" i="32" s="1"/>
  <c r="H37" i="32"/>
  <c r="N97" i="31"/>
  <c r="N99" i="31" s="1"/>
  <c r="N68" i="31"/>
  <c r="O21" i="31"/>
  <c r="O62" i="31"/>
  <c r="O93" i="31" s="1"/>
  <c r="O66" i="31" l="1"/>
  <c r="P17" i="31"/>
  <c r="O23" i="31"/>
  <c r="K36" i="32"/>
  <c r="L28" i="32"/>
  <c r="L31" i="32" s="1"/>
  <c r="P86" i="31"/>
  <c r="Q55" i="31"/>
  <c r="R55" i="31" s="1"/>
  <c r="F78" i="32"/>
  <c r="F83" i="32"/>
  <c r="I33" i="32"/>
  <c r="H39" i="32"/>
  <c r="L53" i="32"/>
  <c r="M42" i="32"/>
  <c r="P20" i="31"/>
  <c r="D17" i="32"/>
  <c r="P58" i="31"/>
  <c r="Q15" i="31"/>
  <c r="R15" i="31" s="1"/>
  <c r="F80" i="32"/>
  <c r="P65" i="31" l="1"/>
  <c r="Q20" i="31"/>
  <c r="R20" i="31" s="1"/>
  <c r="E14" i="32"/>
  <c r="D60" i="32"/>
  <c r="M50" i="32"/>
  <c r="M51" i="32" s="1"/>
  <c r="N47" i="32" s="1"/>
  <c r="M45" i="32"/>
  <c r="I37" i="32"/>
  <c r="G75" i="32"/>
  <c r="P89" i="31"/>
  <c r="Q58" i="31"/>
  <c r="R58" i="31" s="1"/>
  <c r="Q86" i="31"/>
  <c r="R86" i="31" s="1"/>
  <c r="M28" i="32"/>
  <c r="M31" i="32" s="1"/>
  <c r="L36" i="32"/>
  <c r="P21" i="31"/>
  <c r="P62" i="31"/>
  <c r="Q17" i="31"/>
  <c r="R17" i="31" s="1"/>
  <c r="F84" i="32"/>
  <c r="O97" i="31"/>
  <c r="O99" i="31" s="1"/>
  <c r="O68" i="31"/>
  <c r="Q89" i="31" l="1"/>
  <c r="R89" i="31" s="1"/>
  <c r="J33" i="32"/>
  <c r="J37" i="32" s="1"/>
  <c r="I39" i="32"/>
  <c r="D93" i="32"/>
  <c r="P93" i="31"/>
  <c r="Q62" i="31"/>
  <c r="R62" i="31" s="1"/>
  <c r="M36" i="32"/>
  <c r="N28" i="32"/>
  <c r="N31" i="32" s="1"/>
  <c r="G83" i="32"/>
  <c r="G78" i="32"/>
  <c r="N42" i="32"/>
  <c r="M53" i="32"/>
  <c r="G80" i="32"/>
  <c r="D23" i="32"/>
  <c r="P66" i="31"/>
  <c r="Q21" i="31"/>
  <c r="R21" i="31" s="1"/>
  <c r="P23" i="31"/>
  <c r="F86" i="32"/>
  <c r="E17" i="32"/>
  <c r="E57" i="32"/>
  <c r="P96" i="31"/>
  <c r="Q65" i="31"/>
  <c r="R65" i="31" s="1"/>
  <c r="Q23" i="31" l="1"/>
  <c r="R23" i="31" s="1"/>
  <c r="Q93" i="31"/>
  <c r="R93" i="31" s="1"/>
  <c r="E90" i="32"/>
  <c r="G84" i="32"/>
  <c r="G86" i="32" s="1"/>
  <c r="H75" i="32"/>
  <c r="F14" i="32"/>
  <c r="E22" i="32"/>
  <c r="E60" i="32"/>
  <c r="P97" i="31"/>
  <c r="Q66" i="31"/>
  <c r="R66" i="31" s="1"/>
  <c r="P68" i="31"/>
  <c r="Q96" i="31"/>
  <c r="R96" i="31" s="1"/>
  <c r="E19" i="32"/>
  <c r="D68" i="32"/>
  <c r="D25" i="32"/>
  <c r="N50" i="32"/>
  <c r="N51" i="32" s="1"/>
  <c r="O47" i="32" s="1"/>
  <c r="N45" i="32"/>
  <c r="O28" i="32"/>
  <c r="O31" i="32" s="1"/>
  <c r="N36" i="32"/>
  <c r="K33" i="32"/>
  <c r="K37" i="32" s="1"/>
  <c r="J39" i="32"/>
  <c r="L33" i="32" l="1"/>
  <c r="L37" i="32" s="1"/>
  <c r="K39" i="32"/>
  <c r="N53" i="32"/>
  <c r="O42" i="32"/>
  <c r="D101" i="32"/>
  <c r="D70" i="32"/>
  <c r="H83" i="32"/>
  <c r="H78" i="32"/>
  <c r="Q97" i="31"/>
  <c r="R97" i="31" s="1"/>
  <c r="P99" i="31"/>
  <c r="E67" i="32"/>
  <c r="E23" i="32"/>
  <c r="E64" i="32"/>
  <c r="Q68" i="31"/>
  <c r="R68" i="31" s="1"/>
  <c r="F57" i="32"/>
  <c r="F17" i="32"/>
  <c r="O36" i="32"/>
  <c r="P28" i="32"/>
  <c r="E93" i="32"/>
  <c r="H80" i="32"/>
  <c r="F90" i="32" l="1"/>
  <c r="E100" i="32"/>
  <c r="O45" i="32"/>
  <c r="O50" i="32"/>
  <c r="O51" i="32" s="1"/>
  <c r="P47" i="32" s="1"/>
  <c r="F22" i="32"/>
  <c r="G14" i="32"/>
  <c r="F60" i="32"/>
  <c r="E97" i="32"/>
  <c r="Q99" i="31"/>
  <c r="R99" i="31" s="1"/>
  <c r="D103" i="32"/>
  <c r="T28" i="32"/>
  <c r="P31" i="32"/>
  <c r="Q28" i="32"/>
  <c r="R28" i="32" s="1"/>
  <c r="I75" i="32"/>
  <c r="H84" i="32"/>
  <c r="H86" i="32" s="1"/>
  <c r="F19" i="32"/>
  <c r="E68" i="32"/>
  <c r="E25" i="32"/>
  <c r="M33" i="32"/>
  <c r="M37" i="32" s="1"/>
  <c r="L39" i="32"/>
  <c r="N33" i="32" l="1"/>
  <c r="N37" i="32" s="1"/>
  <c r="M39" i="32"/>
  <c r="F23" i="32"/>
  <c r="F64" i="32"/>
  <c r="P36" i="32"/>
  <c r="D31" i="33"/>
  <c r="T31" i="32"/>
  <c r="Q31" i="32"/>
  <c r="R31" i="32" s="1"/>
  <c r="F67" i="32"/>
  <c r="I78" i="32"/>
  <c r="I83" i="32"/>
  <c r="F93" i="32"/>
  <c r="T47" i="32"/>
  <c r="Q47" i="32"/>
  <c r="R47" i="32" s="1"/>
  <c r="E101" i="32"/>
  <c r="E70" i="32"/>
  <c r="I80" i="32"/>
  <c r="V28" i="32"/>
  <c r="G17" i="32"/>
  <c r="G57" i="32"/>
  <c r="P42" i="32"/>
  <c r="O53" i="32"/>
  <c r="V47" i="32" l="1"/>
  <c r="E103" i="32"/>
  <c r="E28" i="33"/>
  <c r="F97" i="32"/>
  <c r="G90" i="32"/>
  <c r="I84" i="32"/>
  <c r="J80" i="32" s="1"/>
  <c r="G19" i="32"/>
  <c r="F68" i="32"/>
  <c r="F25" i="32"/>
  <c r="G22" i="32"/>
  <c r="G60" i="32"/>
  <c r="H14" i="32"/>
  <c r="F100" i="32"/>
  <c r="V31" i="32"/>
  <c r="T36" i="32"/>
  <c r="Q36" i="32"/>
  <c r="R36" i="32" s="1"/>
  <c r="V36" i="32" s="1"/>
  <c r="P45" i="32"/>
  <c r="P50" i="32"/>
  <c r="T42" i="32"/>
  <c r="Q42" i="32"/>
  <c r="R42" i="32" s="1"/>
  <c r="V42" i="32" s="1"/>
  <c r="J75" i="32"/>
  <c r="O33" i="32"/>
  <c r="O37" i="32" s="1"/>
  <c r="N39" i="32"/>
  <c r="G67" i="32" l="1"/>
  <c r="P33" i="32"/>
  <c r="O39" i="32"/>
  <c r="H57" i="32"/>
  <c r="H17" i="32"/>
  <c r="J83" i="32"/>
  <c r="J84" i="32" s="1"/>
  <c r="K80" i="32" s="1"/>
  <c r="J78" i="32"/>
  <c r="T50" i="32"/>
  <c r="Q50" i="32"/>
  <c r="P51" i="32"/>
  <c r="P53" i="32" s="1"/>
  <c r="G93" i="32"/>
  <c r="E31" i="33"/>
  <c r="I86" i="32"/>
  <c r="D45" i="33"/>
  <c r="T45" i="32"/>
  <c r="Q45" i="32"/>
  <c r="R45" i="32" s="1"/>
  <c r="F101" i="32"/>
  <c r="F70" i="32"/>
  <c r="G23" i="32"/>
  <c r="G64" i="32"/>
  <c r="V45" i="32" l="1"/>
  <c r="K75" i="32"/>
  <c r="J86" i="32"/>
  <c r="H90" i="32"/>
  <c r="D51" i="33"/>
  <c r="D53" i="33" s="1"/>
  <c r="T51" i="32"/>
  <c r="Q51" i="32"/>
  <c r="R51" i="32" s="1"/>
  <c r="H19" i="32"/>
  <c r="G68" i="32"/>
  <c r="G25" i="32"/>
  <c r="E42" i="33"/>
  <c r="E36" i="33"/>
  <c r="F28" i="33"/>
  <c r="M35" i="3"/>
  <c r="R50" i="32"/>
  <c r="V50" i="32" s="1"/>
  <c r="P37" i="32"/>
  <c r="T33" i="32"/>
  <c r="Q33" i="32"/>
  <c r="R33" i="32" s="1"/>
  <c r="G100" i="32"/>
  <c r="G97" i="32"/>
  <c r="F103" i="32"/>
  <c r="T53" i="32"/>
  <c r="Q53" i="32"/>
  <c r="R53" i="32" s="1"/>
  <c r="I14" i="32"/>
  <c r="H22" i="32"/>
  <c r="H60" i="32"/>
  <c r="V33" i="32" l="1"/>
  <c r="V51" i="32"/>
  <c r="V53" i="32"/>
  <c r="H93" i="32"/>
  <c r="D37" i="33"/>
  <c r="T37" i="32"/>
  <c r="Q37" i="32"/>
  <c r="R37" i="32" s="1"/>
  <c r="P39" i="32"/>
  <c r="E45" i="33"/>
  <c r="H67" i="32"/>
  <c r="F31" i="33"/>
  <c r="M57" i="3"/>
  <c r="M59" i="3" s="1"/>
  <c r="M60" i="3" s="1"/>
  <c r="M61" i="3" s="1"/>
  <c r="P35" i="3"/>
  <c r="I35" i="3"/>
  <c r="G101" i="32"/>
  <c r="G70" i="32"/>
  <c r="E47" i="33"/>
  <c r="K78" i="32"/>
  <c r="K83" i="32"/>
  <c r="K84" i="32" s="1"/>
  <c r="L80" i="32" s="1"/>
  <c r="I17" i="32"/>
  <c r="I57" i="32"/>
  <c r="H64" i="32"/>
  <c r="H23" i="32"/>
  <c r="I19" i="32" l="1"/>
  <c r="H68" i="32"/>
  <c r="H25" i="32"/>
  <c r="I90" i="32"/>
  <c r="T39" i="32"/>
  <c r="Q39" i="32"/>
  <c r="R39" i="32" s="1"/>
  <c r="H97" i="32"/>
  <c r="J14" i="32"/>
  <c r="I22" i="32"/>
  <c r="I60" i="32"/>
  <c r="G103" i="32"/>
  <c r="H36" i="3"/>
  <c r="J35" i="3"/>
  <c r="R35" i="3" s="1"/>
  <c r="S35" i="3" s="1"/>
  <c r="H100" i="32"/>
  <c r="V37" i="32"/>
  <c r="F36" i="33"/>
  <c r="G28" i="33"/>
  <c r="K86" i="32"/>
  <c r="L75" i="32"/>
  <c r="F42" i="33"/>
  <c r="E50" i="33"/>
  <c r="E51" i="33" s="1"/>
  <c r="E53" i="33" s="1"/>
  <c r="E33" i="33"/>
  <c r="D39" i="33"/>
  <c r="G31" i="33" l="1"/>
  <c r="F47" i="33"/>
  <c r="J17" i="32"/>
  <c r="J57" i="32"/>
  <c r="J90" i="32" s="1"/>
  <c r="H101" i="32"/>
  <c r="H70" i="32"/>
  <c r="E37" i="33"/>
  <c r="F45" i="33"/>
  <c r="I93" i="32"/>
  <c r="I23" i="32"/>
  <c r="I64" i="32"/>
  <c r="L83" i="32"/>
  <c r="L84" i="32" s="1"/>
  <c r="M80" i="32" s="1"/>
  <c r="L78" i="32"/>
  <c r="I67" i="32"/>
  <c r="V39" i="32"/>
  <c r="I100" i="32" l="1"/>
  <c r="G42" i="33"/>
  <c r="F50" i="33"/>
  <c r="F51" i="33" s="1"/>
  <c r="J22" i="32"/>
  <c r="J67" i="32" s="1"/>
  <c r="J100" i="32" s="1"/>
  <c r="J60" i="32"/>
  <c r="K14" i="32"/>
  <c r="L86" i="32"/>
  <c r="M75" i="32"/>
  <c r="H103" i="32"/>
  <c r="I97" i="32"/>
  <c r="F33" i="33"/>
  <c r="E39" i="33"/>
  <c r="G36" i="33"/>
  <c r="H28" i="33"/>
  <c r="J19" i="32"/>
  <c r="I68" i="32"/>
  <c r="I25" i="32"/>
  <c r="J64" i="32" l="1"/>
  <c r="J97" i="32" s="1"/>
  <c r="J23" i="32"/>
  <c r="G45" i="33"/>
  <c r="F37" i="33"/>
  <c r="K17" i="32"/>
  <c r="K57" i="32"/>
  <c r="K90" i="32" s="1"/>
  <c r="H31" i="33"/>
  <c r="G47" i="33"/>
  <c r="J93" i="32"/>
  <c r="F53" i="33"/>
  <c r="I101" i="32"/>
  <c r="I103" i="32" s="1"/>
  <c r="I70" i="32"/>
  <c r="M78" i="32"/>
  <c r="M83" i="32"/>
  <c r="M84" i="32" s="1"/>
  <c r="N80" i="32" s="1"/>
  <c r="N75" i="32" l="1"/>
  <c r="M86" i="32"/>
  <c r="H36" i="33"/>
  <c r="I28" i="33"/>
  <c r="G33" i="33"/>
  <c r="F39" i="33"/>
  <c r="K19" i="32"/>
  <c r="J68" i="32"/>
  <c r="J25" i="32"/>
  <c r="K22" i="32"/>
  <c r="K67" i="32" s="1"/>
  <c r="K100" i="32" s="1"/>
  <c r="L14" i="32"/>
  <c r="K60" i="32"/>
  <c r="H42" i="33"/>
  <c r="G50" i="33"/>
  <c r="L17" i="32" l="1"/>
  <c r="L57" i="32"/>
  <c r="L90" i="32" s="1"/>
  <c r="G51" i="33"/>
  <c r="J101" i="32"/>
  <c r="J103" i="32" s="1"/>
  <c r="J70" i="32"/>
  <c r="G37" i="33"/>
  <c r="K23" i="32"/>
  <c r="K64" i="32"/>
  <c r="K97" i="32" s="1"/>
  <c r="H45" i="33"/>
  <c r="I31" i="33"/>
  <c r="K93" i="32"/>
  <c r="N83" i="32"/>
  <c r="N84" i="32" s="1"/>
  <c r="O80" i="32" s="1"/>
  <c r="N78" i="32"/>
  <c r="H47" i="33" l="1"/>
  <c r="G53" i="33"/>
  <c r="O75" i="32"/>
  <c r="N86" i="32"/>
  <c r="H50" i="33"/>
  <c r="I42" i="33"/>
  <c r="H33" i="33"/>
  <c r="G39" i="33"/>
  <c r="M14" i="32"/>
  <c r="L60" i="32"/>
  <c r="L22" i="32"/>
  <c r="L67" i="32" s="1"/>
  <c r="L100" i="32" s="1"/>
  <c r="I36" i="33"/>
  <c r="J28" i="33"/>
  <c r="J31" i="33" s="1"/>
  <c r="K68" i="32"/>
  <c r="L19" i="32"/>
  <c r="K25" i="32"/>
  <c r="K101" i="32" l="1"/>
  <c r="K103" i="32" s="1"/>
  <c r="K70" i="32"/>
  <c r="O78" i="32"/>
  <c r="O83" i="32"/>
  <c r="O84" i="32" s="1"/>
  <c r="P80" i="32" s="1"/>
  <c r="L23" i="32"/>
  <c r="L64" i="32"/>
  <c r="L97" i="32" s="1"/>
  <c r="M17" i="32"/>
  <c r="M57" i="32"/>
  <c r="M90" i="32" s="1"/>
  <c r="H37" i="33"/>
  <c r="K28" i="33"/>
  <c r="K31" i="33" s="1"/>
  <c r="J36" i="33"/>
  <c r="L93" i="32"/>
  <c r="I45" i="33"/>
  <c r="H51" i="33"/>
  <c r="T80" i="32" l="1"/>
  <c r="Q80" i="32"/>
  <c r="R80" i="32" s="1"/>
  <c r="K36" i="33"/>
  <c r="L28" i="33"/>
  <c r="L31" i="33" s="1"/>
  <c r="M22" i="32"/>
  <c r="M67" i="32" s="1"/>
  <c r="M100" i="32" s="1"/>
  <c r="N14" i="32"/>
  <c r="M60" i="32"/>
  <c r="P75" i="32"/>
  <c r="O86" i="32"/>
  <c r="I50" i="33"/>
  <c r="J42" i="33"/>
  <c r="J45" i="33" s="1"/>
  <c r="I47" i="33"/>
  <c r="H53" i="33"/>
  <c r="I33" i="33"/>
  <c r="H39" i="33"/>
  <c r="L68" i="32"/>
  <c r="M19" i="32"/>
  <c r="L25" i="32"/>
  <c r="V80" i="32" l="1"/>
  <c r="M23" i="32"/>
  <c r="M64" i="32"/>
  <c r="M97" i="32" s="1"/>
  <c r="I37" i="33"/>
  <c r="J50" i="33"/>
  <c r="K42" i="33"/>
  <c r="K45" i="33" s="1"/>
  <c r="P78" i="32"/>
  <c r="P83" i="32"/>
  <c r="T75" i="32"/>
  <c r="Q75" i="32"/>
  <c r="R75" i="32" s="1"/>
  <c r="L101" i="32"/>
  <c r="L103" i="32" s="1"/>
  <c r="L70" i="32"/>
  <c r="M93" i="32"/>
  <c r="N17" i="32"/>
  <c r="N57" i="32"/>
  <c r="N90" i="32" s="1"/>
  <c r="M28" i="33"/>
  <c r="M31" i="33" s="1"/>
  <c r="L36" i="33"/>
  <c r="I51" i="33"/>
  <c r="O14" i="32" l="1"/>
  <c r="N60" i="32"/>
  <c r="N22" i="32"/>
  <c r="N67" i="32" s="1"/>
  <c r="N100" i="32" s="1"/>
  <c r="D78" i="33"/>
  <c r="T78" i="32"/>
  <c r="Q78" i="32"/>
  <c r="R78" i="32" s="1"/>
  <c r="V75" i="32"/>
  <c r="K50" i="33"/>
  <c r="L42" i="33"/>
  <c r="L45" i="33" s="1"/>
  <c r="J33" i="33"/>
  <c r="J37" i="33" s="1"/>
  <c r="I39" i="33"/>
  <c r="M36" i="33"/>
  <c r="N28" i="33"/>
  <c r="N31" i="33" s="1"/>
  <c r="J47" i="33"/>
  <c r="J51" i="33" s="1"/>
  <c r="I53" i="33"/>
  <c r="T83" i="32"/>
  <c r="Q83" i="32"/>
  <c r="R83" i="32" s="1"/>
  <c r="P84" i="32"/>
  <c r="N19" i="32"/>
  <c r="M68" i="32"/>
  <c r="M25" i="32"/>
  <c r="V83" i="32" l="1"/>
  <c r="V78" i="32"/>
  <c r="N23" i="32"/>
  <c r="N64" i="32"/>
  <c r="N97" i="32" s="1"/>
  <c r="N36" i="33"/>
  <c r="O28" i="33"/>
  <c r="O31" i="33" s="1"/>
  <c r="L50" i="33"/>
  <c r="M42" i="33"/>
  <c r="M45" i="33" s="1"/>
  <c r="D84" i="33"/>
  <c r="D86" i="33" s="1"/>
  <c r="T84" i="32"/>
  <c r="Q84" i="32"/>
  <c r="R84" i="32" s="1"/>
  <c r="K47" i="33"/>
  <c r="K51" i="33" s="1"/>
  <c r="J53" i="33"/>
  <c r="E75" i="33"/>
  <c r="N93" i="32"/>
  <c r="M101" i="32"/>
  <c r="M103" i="32" s="1"/>
  <c r="M70" i="32"/>
  <c r="K33" i="33"/>
  <c r="K37" i="33" s="1"/>
  <c r="J39" i="33"/>
  <c r="P86" i="32"/>
  <c r="O17" i="32"/>
  <c r="O57" i="32"/>
  <c r="O90" i="32" s="1"/>
  <c r="T86" i="32" l="1"/>
  <c r="Q86" i="32"/>
  <c r="R86" i="32" s="1"/>
  <c r="L47" i="33"/>
  <c r="L51" i="33" s="1"/>
  <c r="K53" i="33"/>
  <c r="O36" i="33"/>
  <c r="P28" i="33"/>
  <c r="E78" i="33"/>
  <c r="V84" i="32"/>
  <c r="M50" i="33"/>
  <c r="N42" i="33"/>
  <c r="N45" i="33" s="1"/>
  <c r="L33" i="33"/>
  <c r="L37" i="33" s="1"/>
  <c r="K39" i="33"/>
  <c r="P14" i="32"/>
  <c r="O60" i="32"/>
  <c r="O22" i="32"/>
  <c r="O67" i="32" s="1"/>
  <c r="O100" i="32" s="1"/>
  <c r="E80" i="33"/>
  <c r="O19" i="32"/>
  <c r="N68" i="32"/>
  <c r="N25" i="32"/>
  <c r="O93" i="32" l="1"/>
  <c r="E83" i="33"/>
  <c r="F75" i="33"/>
  <c r="N101" i="32"/>
  <c r="N103" i="32" s="1"/>
  <c r="N70" i="32"/>
  <c r="P57" i="32"/>
  <c r="P17" i="32"/>
  <c r="T14" i="32"/>
  <c r="Q14" i="32"/>
  <c r="R14" i="32" s="1"/>
  <c r="M33" i="33"/>
  <c r="M37" i="33" s="1"/>
  <c r="L39" i="33"/>
  <c r="T28" i="33"/>
  <c r="P31" i="33"/>
  <c r="Q28" i="33"/>
  <c r="R28" i="33" s="1"/>
  <c r="M47" i="33"/>
  <c r="M51" i="33" s="1"/>
  <c r="L53" i="33"/>
  <c r="O64" i="32"/>
  <c r="O97" i="32" s="1"/>
  <c r="O23" i="32"/>
  <c r="O42" i="33"/>
  <c r="O45" i="33" s="1"/>
  <c r="N50" i="33"/>
  <c r="V86" i="32"/>
  <c r="V28" i="33" l="1"/>
  <c r="V14" i="32"/>
  <c r="N47" i="33"/>
  <c r="N51" i="33" s="1"/>
  <c r="M53" i="33"/>
  <c r="D17" i="33"/>
  <c r="P22" i="32"/>
  <c r="P60" i="32"/>
  <c r="T17" i="32"/>
  <c r="Q17" i="32"/>
  <c r="R17" i="32" s="1"/>
  <c r="P19" i="32"/>
  <c r="O68" i="32"/>
  <c r="O25" i="32"/>
  <c r="N33" i="33"/>
  <c r="N37" i="33" s="1"/>
  <c r="M39" i="33"/>
  <c r="T57" i="32"/>
  <c r="P90" i="32"/>
  <c r="Q57" i="32"/>
  <c r="R57" i="32" s="1"/>
  <c r="D31" i="34"/>
  <c r="P36" i="33"/>
  <c r="D31" i="41"/>
  <c r="D31" i="42"/>
  <c r="T31" i="33"/>
  <c r="Q31" i="33"/>
  <c r="R31" i="33" s="1"/>
  <c r="O50" i="33"/>
  <c r="P42" i="33"/>
  <c r="E84" i="33"/>
  <c r="F78" i="33"/>
  <c r="V57" i="32" l="1"/>
  <c r="T36" i="33"/>
  <c r="Q36" i="33"/>
  <c r="R36" i="33" s="1"/>
  <c r="T90" i="32"/>
  <c r="Q90" i="32"/>
  <c r="R90" i="32" s="1"/>
  <c r="P45" i="33"/>
  <c r="T42" i="33"/>
  <c r="Q42" i="33"/>
  <c r="R42" i="33" s="1"/>
  <c r="E28" i="42"/>
  <c r="E28" i="34"/>
  <c r="O101" i="32"/>
  <c r="O103" i="32" s="1"/>
  <c r="O70" i="32"/>
  <c r="E14" i="33"/>
  <c r="D60" i="33"/>
  <c r="G75" i="33"/>
  <c r="E28" i="41"/>
  <c r="P23" i="32"/>
  <c r="P64" i="32"/>
  <c r="T19" i="32"/>
  <c r="Q19" i="32"/>
  <c r="R19" i="32" s="1"/>
  <c r="V19" i="32" s="1"/>
  <c r="P93" i="32"/>
  <c r="T60" i="32"/>
  <c r="Q60" i="32"/>
  <c r="R60" i="32" s="1"/>
  <c r="F80" i="33"/>
  <c r="F83" i="33" s="1"/>
  <c r="E86" i="33"/>
  <c r="V31" i="33"/>
  <c r="O33" i="33"/>
  <c r="O37" i="33" s="1"/>
  <c r="N39" i="33"/>
  <c r="V17" i="32"/>
  <c r="T22" i="32"/>
  <c r="P67" i="32"/>
  <c r="Q22" i="32"/>
  <c r="R22" i="32" s="1"/>
  <c r="O47" i="33"/>
  <c r="O51" i="33" s="1"/>
  <c r="N53" i="33"/>
  <c r="V90" i="32" l="1"/>
  <c r="V22" i="32"/>
  <c r="V36" i="33"/>
  <c r="V60" i="32"/>
  <c r="T64" i="32"/>
  <c r="P97" i="32"/>
  <c r="Q64" i="32"/>
  <c r="R64" i="32" s="1"/>
  <c r="E31" i="41"/>
  <c r="E31" i="34"/>
  <c r="P100" i="32"/>
  <c r="T67" i="32"/>
  <c r="Q67" i="32"/>
  <c r="R67" i="32" s="1"/>
  <c r="P33" i="33"/>
  <c r="O39" i="33"/>
  <c r="F84" i="33"/>
  <c r="T93" i="32"/>
  <c r="Q93" i="32"/>
  <c r="R93" i="32" s="1"/>
  <c r="D23" i="33"/>
  <c r="P68" i="32"/>
  <c r="T23" i="32"/>
  <c r="Q23" i="32"/>
  <c r="R23" i="32" s="1"/>
  <c r="P25" i="32"/>
  <c r="P73" i="32"/>
  <c r="G78" i="33"/>
  <c r="D93" i="33"/>
  <c r="V42" i="33"/>
  <c r="E17" i="33"/>
  <c r="E57" i="33"/>
  <c r="E31" i="42"/>
  <c r="P47" i="33"/>
  <c r="O53" i="33"/>
  <c r="D45" i="34"/>
  <c r="P50" i="33"/>
  <c r="T45" i="33"/>
  <c r="Q45" i="33"/>
  <c r="R45" i="33" s="1"/>
  <c r="V23" i="32" l="1"/>
  <c r="V93" i="32"/>
  <c r="V45" i="33"/>
  <c r="V64" i="32"/>
  <c r="E42" i="34"/>
  <c r="F14" i="33"/>
  <c r="E60" i="33"/>
  <c r="E22" i="33"/>
  <c r="P101" i="32"/>
  <c r="T68" i="32"/>
  <c r="Q68" i="32"/>
  <c r="R68" i="32" s="1"/>
  <c r="P70" i="32"/>
  <c r="P37" i="33"/>
  <c r="T33" i="33"/>
  <c r="Q33" i="33"/>
  <c r="R33" i="33" s="1"/>
  <c r="T25" i="32"/>
  <c r="Q25" i="32"/>
  <c r="R25" i="32" s="1"/>
  <c r="E19" i="33"/>
  <c r="D68" i="33"/>
  <c r="D25" i="33"/>
  <c r="V67" i="32"/>
  <c r="F28" i="34"/>
  <c r="E36" i="34"/>
  <c r="E36" i="42"/>
  <c r="F28" i="42"/>
  <c r="G80" i="33"/>
  <c r="G83" i="33" s="1"/>
  <c r="F86" i="33"/>
  <c r="T97" i="32"/>
  <c r="Q97" i="32"/>
  <c r="R97" i="32" s="1"/>
  <c r="T50" i="33"/>
  <c r="Q50" i="33"/>
  <c r="P51" i="33"/>
  <c r="T47" i="33"/>
  <c r="Q47" i="33"/>
  <c r="R47" i="33" s="1"/>
  <c r="E90" i="33"/>
  <c r="H75" i="33"/>
  <c r="T100" i="32"/>
  <c r="Q100" i="32"/>
  <c r="R100" i="32" s="1"/>
  <c r="E36" i="41"/>
  <c r="F28" i="41"/>
  <c r="V47" i="33" l="1"/>
  <c r="V33" i="33"/>
  <c r="V68" i="32"/>
  <c r="V25" i="32"/>
  <c r="F31" i="41"/>
  <c r="D51" i="34"/>
  <c r="T51" i="33"/>
  <c r="Q51" i="33"/>
  <c r="R51" i="33" s="1"/>
  <c r="P53" i="33"/>
  <c r="E67" i="33"/>
  <c r="E45" i="34"/>
  <c r="R50" i="33"/>
  <c r="V50" i="33" s="1"/>
  <c r="M36" i="3"/>
  <c r="F31" i="42"/>
  <c r="E64" i="33"/>
  <c r="E23" i="33"/>
  <c r="E93" i="33"/>
  <c r="D37" i="34"/>
  <c r="D37" i="41"/>
  <c r="D37" i="42"/>
  <c r="T37" i="33"/>
  <c r="Q37" i="33"/>
  <c r="R37" i="33" s="1"/>
  <c r="P39" i="33"/>
  <c r="T101" i="32"/>
  <c r="Q101" i="32"/>
  <c r="R101" i="32" s="1"/>
  <c r="P103" i="32"/>
  <c r="F17" i="33"/>
  <c r="F57" i="33"/>
  <c r="V100" i="32"/>
  <c r="H78" i="33"/>
  <c r="V97" i="32"/>
  <c r="G84" i="33"/>
  <c r="F31" i="34"/>
  <c r="D101" i="33"/>
  <c r="D70" i="33"/>
  <c r="T70" i="32"/>
  <c r="Q70" i="32"/>
  <c r="R70" i="32" s="1"/>
  <c r="V70" i="32" l="1"/>
  <c r="V37" i="33"/>
  <c r="H80" i="33"/>
  <c r="H83" i="33" s="1"/>
  <c r="G86" i="33"/>
  <c r="T103" i="32"/>
  <c r="Q103" i="32"/>
  <c r="R103" i="32" s="1"/>
  <c r="E33" i="34"/>
  <c r="D39" i="34"/>
  <c r="G28" i="42"/>
  <c r="F36" i="42"/>
  <c r="T53" i="33"/>
  <c r="Q53" i="33"/>
  <c r="R53" i="33" s="1"/>
  <c r="F36" i="34"/>
  <c r="G28" i="34"/>
  <c r="V101" i="32"/>
  <c r="E68" i="33"/>
  <c r="F19" i="33"/>
  <c r="E25" i="33"/>
  <c r="F42" i="34"/>
  <c r="V51" i="33"/>
  <c r="D103" i="33"/>
  <c r="F90" i="33"/>
  <c r="E33" i="42"/>
  <c r="D39" i="42"/>
  <c r="E97" i="33"/>
  <c r="I75" i="33"/>
  <c r="G14" i="33"/>
  <c r="F60" i="33"/>
  <c r="F22" i="33"/>
  <c r="T39" i="33"/>
  <c r="Q39" i="33"/>
  <c r="R39" i="33" s="1"/>
  <c r="E33" i="41"/>
  <c r="D39" i="41"/>
  <c r="E100" i="33"/>
  <c r="E47" i="34"/>
  <c r="D53" i="34"/>
  <c r="G28" i="41"/>
  <c r="F36" i="41"/>
  <c r="E37" i="41" l="1"/>
  <c r="F67" i="33"/>
  <c r="E37" i="42"/>
  <c r="V39" i="33"/>
  <c r="F93" i="33"/>
  <c r="V53" i="33"/>
  <c r="V103" i="32"/>
  <c r="H84" i="33"/>
  <c r="G31" i="41"/>
  <c r="G17" i="33"/>
  <c r="G57" i="33"/>
  <c r="I78" i="33"/>
  <c r="F45" i="34"/>
  <c r="F64" i="33"/>
  <c r="F23" i="33"/>
  <c r="G31" i="34"/>
  <c r="G31" i="42"/>
  <c r="E50" i="34"/>
  <c r="E51" i="34" s="1"/>
  <c r="E101" i="33"/>
  <c r="E70" i="33"/>
  <c r="E37" i="34"/>
  <c r="G36" i="42" l="1"/>
  <c r="H28" i="42"/>
  <c r="F68" i="33"/>
  <c r="G19" i="33"/>
  <c r="F25" i="33"/>
  <c r="F97" i="33"/>
  <c r="G90" i="33"/>
  <c r="F100" i="33"/>
  <c r="E103" i="33"/>
  <c r="G36" i="34"/>
  <c r="H28" i="34"/>
  <c r="G22" i="33"/>
  <c r="G60" i="33"/>
  <c r="H14" i="33"/>
  <c r="F33" i="42"/>
  <c r="E39" i="42"/>
  <c r="F33" i="41"/>
  <c r="E39" i="41"/>
  <c r="F33" i="34"/>
  <c r="E39" i="34"/>
  <c r="G42" i="34"/>
  <c r="J75" i="33"/>
  <c r="J78" i="33" s="1"/>
  <c r="I80" i="33"/>
  <c r="H86" i="33"/>
  <c r="H28" i="41"/>
  <c r="G36" i="41"/>
  <c r="F47" i="34"/>
  <c r="E53" i="34"/>
  <c r="H31" i="41" l="1"/>
  <c r="K75" i="33"/>
  <c r="K78" i="33" s="1"/>
  <c r="G45" i="34"/>
  <c r="F37" i="34"/>
  <c r="H17" i="33"/>
  <c r="H57" i="33"/>
  <c r="H31" i="34"/>
  <c r="F50" i="34"/>
  <c r="F37" i="42"/>
  <c r="G93" i="33"/>
  <c r="H31" i="42"/>
  <c r="I83" i="33"/>
  <c r="I84" i="33" s="1"/>
  <c r="F37" i="41"/>
  <c r="G67" i="33"/>
  <c r="G23" i="33"/>
  <c r="G64" i="33"/>
  <c r="F101" i="33"/>
  <c r="F70" i="33"/>
  <c r="J80" i="33" l="1"/>
  <c r="I86" i="33"/>
  <c r="G100" i="33"/>
  <c r="H36" i="42"/>
  <c r="I28" i="42"/>
  <c r="H90" i="33"/>
  <c r="H42" i="34"/>
  <c r="F103" i="33"/>
  <c r="G97" i="33"/>
  <c r="G33" i="41"/>
  <c r="F39" i="41"/>
  <c r="G33" i="42"/>
  <c r="F39" i="42"/>
  <c r="I14" i="33"/>
  <c r="H22" i="33"/>
  <c r="H60" i="33"/>
  <c r="L75" i="33"/>
  <c r="L78" i="33" s="1"/>
  <c r="H36" i="41"/>
  <c r="I28" i="41"/>
  <c r="H19" i="33"/>
  <c r="G68" i="33"/>
  <c r="G25" i="33"/>
  <c r="I28" i="34"/>
  <c r="H36" i="34"/>
  <c r="G33" i="34"/>
  <c r="F39" i="34"/>
  <c r="F51" i="34"/>
  <c r="G47" i="34" l="1"/>
  <c r="F53" i="34"/>
  <c r="G101" i="33"/>
  <c r="G70" i="33"/>
  <c r="I31" i="41"/>
  <c r="H67" i="33"/>
  <c r="G37" i="42"/>
  <c r="G37" i="34"/>
  <c r="I31" i="34"/>
  <c r="H23" i="33"/>
  <c r="H64" i="33"/>
  <c r="I57" i="33"/>
  <c r="I17" i="33"/>
  <c r="I31" i="42"/>
  <c r="H93" i="33"/>
  <c r="H45" i="34"/>
  <c r="M75" i="33"/>
  <c r="M78" i="33" s="1"/>
  <c r="G37" i="41"/>
  <c r="J83" i="33"/>
  <c r="J84" i="33" s="1"/>
  <c r="K80" i="33" l="1"/>
  <c r="J86" i="33"/>
  <c r="I22" i="33"/>
  <c r="J14" i="33"/>
  <c r="I60" i="33"/>
  <c r="I19" i="33"/>
  <c r="H68" i="33"/>
  <c r="H25" i="33"/>
  <c r="H33" i="34"/>
  <c r="G39" i="34"/>
  <c r="H100" i="33"/>
  <c r="H33" i="41"/>
  <c r="G39" i="41"/>
  <c r="I36" i="42"/>
  <c r="J28" i="42"/>
  <c r="J31" i="42" s="1"/>
  <c r="I90" i="33"/>
  <c r="G103" i="33"/>
  <c r="G50" i="34"/>
  <c r="G51" i="34" s="1"/>
  <c r="I42" i="34"/>
  <c r="J28" i="34"/>
  <c r="J31" i="34" s="1"/>
  <c r="I36" i="34"/>
  <c r="H33" i="42"/>
  <c r="G39" i="42"/>
  <c r="I36" i="41"/>
  <c r="J28" i="41"/>
  <c r="J31" i="41" s="1"/>
  <c r="N75" i="33"/>
  <c r="N78" i="33" s="1"/>
  <c r="H97" i="33"/>
  <c r="O75" i="33" l="1"/>
  <c r="O78" i="33" s="1"/>
  <c r="H47" i="34"/>
  <c r="G53" i="34"/>
  <c r="J36" i="41"/>
  <c r="K28" i="41"/>
  <c r="K31" i="41" s="1"/>
  <c r="J36" i="34"/>
  <c r="K28" i="34"/>
  <c r="K31" i="34" s="1"/>
  <c r="H101" i="33"/>
  <c r="H70" i="33"/>
  <c r="I67" i="33"/>
  <c r="H37" i="42"/>
  <c r="K28" i="42"/>
  <c r="K31" i="42" s="1"/>
  <c r="J36" i="42"/>
  <c r="H37" i="34"/>
  <c r="I23" i="33"/>
  <c r="I64" i="33"/>
  <c r="I45" i="34"/>
  <c r="I93" i="33"/>
  <c r="H37" i="41"/>
  <c r="J57" i="33"/>
  <c r="J90" i="33" s="1"/>
  <c r="J17" i="33"/>
  <c r="K83" i="33"/>
  <c r="K84" i="33" s="1"/>
  <c r="L80" i="33" l="1"/>
  <c r="K86" i="33"/>
  <c r="I33" i="41"/>
  <c r="H39" i="41"/>
  <c r="J42" i="34"/>
  <c r="J45" i="34" s="1"/>
  <c r="H103" i="33"/>
  <c r="J22" i="33"/>
  <c r="J67" i="33" s="1"/>
  <c r="J100" i="33" s="1"/>
  <c r="K14" i="33"/>
  <c r="J60" i="33"/>
  <c r="I33" i="34"/>
  <c r="H39" i="34"/>
  <c r="I100" i="33"/>
  <c r="L28" i="34"/>
  <c r="L31" i="34" s="1"/>
  <c r="K36" i="34"/>
  <c r="K36" i="41"/>
  <c r="L28" i="41"/>
  <c r="L31" i="41" s="1"/>
  <c r="H50" i="34"/>
  <c r="H51" i="34" s="1"/>
  <c r="I97" i="33"/>
  <c r="J19" i="33"/>
  <c r="I68" i="33"/>
  <c r="I25" i="33"/>
  <c r="L28" i="42"/>
  <c r="L31" i="42" s="1"/>
  <c r="K36" i="42"/>
  <c r="I33" i="42"/>
  <c r="H39" i="42"/>
  <c r="P75" i="33"/>
  <c r="I47" i="34" l="1"/>
  <c r="H53" i="34"/>
  <c r="J23" i="33"/>
  <c r="J64" i="33"/>
  <c r="J97" i="33" s="1"/>
  <c r="L36" i="41"/>
  <c r="M28" i="41"/>
  <c r="M31" i="41" s="1"/>
  <c r="M28" i="34"/>
  <c r="M31" i="34" s="1"/>
  <c r="L36" i="34"/>
  <c r="T75" i="33"/>
  <c r="P78" i="33"/>
  <c r="Q75" i="33"/>
  <c r="R75" i="33" s="1"/>
  <c r="M28" i="42"/>
  <c r="M31" i="42" s="1"/>
  <c r="L36" i="42"/>
  <c r="I37" i="34"/>
  <c r="I37" i="41"/>
  <c r="I37" i="42"/>
  <c r="J93" i="33"/>
  <c r="K42" i="34"/>
  <c r="K45" i="34" s="1"/>
  <c r="I101" i="33"/>
  <c r="I103" i="33" s="1"/>
  <c r="I70" i="33"/>
  <c r="K17" i="33"/>
  <c r="K57" i="33"/>
  <c r="K90" i="33" s="1"/>
  <c r="L83" i="33"/>
  <c r="L84" i="33" s="1"/>
  <c r="V75" i="33" l="1"/>
  <c r="M80" i="33"/>
  <c r="L86" i="33"/>
  <c r="J33" i="41"/>
  <c r="J37" i="41" s="1"/>
  <c r="I39" i="41"/>
  <c r="J68" i="33"/>
  <c r="K19" i="33"/>
  <c r="J25" i="33"/>
  <c r="L14" i="33"/>
  <c r="K22" i="33"/>
  <c r="K67" i="33" s="1"/>
  <c r="K100" i="33" s="1"/>
  <c r="K60" i="33"/>
  <c r="L42" i="34"/>
  <c r="L45" i="34" s="1"/>
  <c r="M36" i="42"/>
  <c r="N28" i="42"/>
  <c r="N31" i="42" s="1"/>
  <c r="N28" i="41"/>
  <c r="N31" i="41" s="1"/>
  <c r="M36" i="41"/>
  <c r="J33" i="42"/>
  <c r="J37" i="42" s="1"/>
  <c r="I39" i="42"/>
  <c r="J33" i="34"/>
  <c r="J37" i="34" s="1"/>
  <c r="I39" i="34"/>
  <c r="D78" i="34"/>
  <c r="T78" i="33"/>
  <c r="Q78" i="33"/>
  <c r="R78" i="33" s="1"/>
  <c r="M36" i="34"/>
  <c r="N28" i="34"/>
  <c r="N31" i="34" s="1"/>
  <c r="I50" i="34"/>
  <c r="I51" i="34" s="1"/>
  <c r="V78" i="33" l="1"/>
  <c r="J47" i="34"/>
  <c r="I53" i="34"/>
  <c r="O28" i="34"/>
  <c r="O31" i="34" s="1"/>
  <c r="N36" i="34"/>
  <c r="K33" i="34"/>
  <c r="K37" i="34" s="1"/>
  <c r="J39" i="34"/>
  <c r="K93" i="33"/>
  <c r="K33" i="41"/>
  <c r="K37" i="41" s="1"/>
  <c r="J39" i="41"/>
  <c r="E75" i="34"/>
  <c r="O28" i="41"/>
  <c r="O31" i="41" s="1"/>
  <c r="N36" i="41"/>
  <c r="M42" i="34"/>
  <c r="M45" i="34" s="1"/>
  <c r="K23" i="33"/>
  <c r="K64" i="33"/>
  <c r="K97" i="33" s="1"/>
  <c r="K33" i="42"/>
  <c r="K37" i="42" s="1"/>
  <c r="J39" i="42"/>
  <c r="J101" i="33"/>
  <c r="J103" i="33" s="1"/>
  <c r="J70" i="33"/>
  <c r="O28" i="42"/>
  <c r="O31" i="42" s="1"/>
  <c r="N36" i="42"/>
  <c r="L57" i="33"/>
  <c r="L90" i="33" s="1"/>
  <c r="L17" i="33"/>
  <c r="M83" i="33"/>
  <c r="M84" i="33" s="1"/>
  <c r="N80" i="33" l="1"/>
  <c r="M86" i="33"/>
  <c r="L22" i="33"/>
  <c r="L67" i="33" s="1"/>
  <c r="L100" i="33" s="1"/>
  <c r="L60" i="33"/>
  <c r="M14" i="33"/>
  <c r="P28" i="42"/>
  <c r="O36" i="42"/>
  <c r="L33" i="42"/>
  <c r="L37" i="42" s="1"/>
  <c r="K39" i="42"/>
  <c r="P28" i="41"/>
  <c r="O36" i="41"/>
  <c r="E78" i="34"/>
  <c r="O36" i="34"/>
  <c r="P28" i="34"/>
  <c r="K68" i="33"/>
  <c r="L19" i="33"/>
  <c r="K25" i="33"/>
  <c r="L33" i="41"/>
  <c r="L37" i="41" s="1"/>
  <c r="K39" i="41"/>
  <c r="L33" i="34"/>
  <c r="L37" i="34" s="1"/>
  <c r="K39" i="34"/>
  <c r="N42" i="34"/>
  <c r="N45" i="34" s="1"/>
  <c r="J50" i="34"/>
  <c r="J51" i="34" s="1"/>
  <c r="K47" i="34" l="1"/>
  <c r="J53" i="34"/>
  <c r="K101" i="33"/>
  <c r="K103" i="33" s="1"/>
  <c r="K70" i="33"/>
  <c r="T28" i="41"/>
  <c r="P31" i="41"/>
  <c r="Q28" i="41"/>
  <c r="R28" i="41" s="1"/>
  <c r="L93" i="33"/>
  <c r="N83" i="33"/>
  <c r="N84" i="33" s="1"/>
  <c r="M33" i="41"/>
  <c r="M37" i="41" s="1"/>
  <c r="L39" i="41"/>
  <c r="T28" i="34"/>
  <c r="P31" i="34"/>
  <c r="Q28" i="34"/>
  <c r="R28" i="34" s="1"/>
  <c r="F75" i="34"/>
  <c r="P31" i="42"/>
  <c r="T28" i="42"/>
  <c r="Q28" i="42"/>
  <c r="R28" i="42" s="1"/>
  <c r="O42" i="34"/>
  <c r="O45" i="34" s="1"/>
  <c r="M33" i="34"/>
  <c r="M37" i="34" s="1"/>
  <c r="L39" i="34"/>
  <c r="L23" i="33"/>
  <c r="L64" i="33"/>
  <c r="L97" i="33" s="1"/>
  <c r="M33" i="42"/>
  <c r="M37" i="42" s="1"/>
  <c r="L39" i="42"/>
  <c r="M17" i="33"/>
  <c r="M57" i="33"/>
  <c r="M90" i="33" s="1"/>
  <c r="V28" i="34" l="1"/>
  <c r="V28" i="41"/>
  <c r="P42" i="34"/>
  <c r="N33" i="41"/>
  <c r="N37" i="41" s="1"/>
  <c r="M39" i="41"/>
  <c r="N33" i="42"/>
  <c r="N37" i="42" s="1"/>
  <c r="M39" i="42"/>
  <c r="N33" i="34"/>
  <c r="N37" i="34" s="1"/>
  <c r="M39" i="34"/>
  <c r="V28" i="42"/>
  <c r="P36" i="34"/>
  <c r="T31" i="34"/>
  <c r="Q31" i="34"/>
  <c r="R31" i="34" s="1"/>
  <c r="O80" i="33"/>
  <c r="N86" i="33"/>
  <c r="P36" i="41"/>
  <c r="T31" i="41"/>
  <c r="Q31" i="41"/>
  <c r="R31" i="41" s="1"/>
  <c r="N14" i="33"/>
  <c r="M60" i="33"/>
  <c r="M22" i="33"/>
  <c r="M67" i="33" s="1"/>
  <c r="M100" i="33" s="1"/>
  <c r="M19" i="33"/>
  <c r="L68" i="33"/>
  <c r="L25" i="33"/>
  <c r="P36" i="42"/>
  <c r="T31" i="42"/>
  <c r="Q31" i="42"/>
  <c r="R31" i="42" s="1"/>
  <c r="F78" i="34"/>
  <c r="K50" i="34"/>
  <c r="K51" i="34" s="1"/>
  <c r="V31" i="41" l="1"/>
  <c r="V31" i="34"/>
  <c r="L47" i="34"/>
  <c r="K53" i="34"/>
  <c r="T36" i="42"/>
  <c r="Q36" i="42"/>
  <c r="R36" i="42" s="1"/>
  <c r="T36" i="34"/>
  <c r="Q36" i="34"/>
  <c r="R36" i="34" s="1"/>
  <c r="O33" i="34"/>
  <c r="O37" i="34" s="1"/>
  <c r="N39" i="34"/>
  <c r="O33" i="41"/>
  <c r="O37" i="41" s="1"/>
  <c r="N39" i="41"/>
  <c r="V31" i="42"/>
  <c r="O83" i="33"/>
  <c r="O84" i="33" s="1"/>
  <c r="G75" i="34"/>
  <c r="L101" i="33"/>
  <c r="L103" i="33" s="1"/>
  <c r="L70" i="33"/>
  <c r="M93" i="33"/>
  <c r="O33" i="42"/>
  <c r="O37" i="42" s="1"/>
  <c r="N39" i="42"/>
  <c r="M23" i="33"/>
  <c r="M64" i="33"/>
  <c r="M97" i="33" s="1"/>
  <c r="N17" i="33"/>
  <c r="N57" i="33"/>
  <c r="N90" i="33" s="1"/>
  <c r="T36" i="41"/>
  <c r="Q36" i="41"/>
  <c r="R36" i="41" s="1"/>
  <c r="P45" i="34"/>
  <c r="T42" i="34"/>
  <c r="Q42" i="34"/>
  <c r="R42" i="34" s="1"/>
  <c r="V42" i="34" l="1"/>
  <c r="V36" i="41"/>
  <c r="V36" i="42"/>
  <c r="P80" i="33"/>
  <c r="O86" i="33"/>
  <c r="P33" i="41"/>
  <c r="O39" i="41"/>
  <c r="L50" i="34"/>
  <c r="L51" i="34" s="1"/>
  <c r="M68" i="33"/>
  <c r="N19" i="33"/>
  <c r="M25" i="33"/>
  <c r="P33" i="34"/>
  <c r="O39" i="34"/>
  <c r="D45" i="41"/>
  <c r="T45" i="34"/>
  <c r="Q45" i="34"/>
  <c r="R45" i="34" s="1"/>
  <c r="N22" i="33"/>
  <c r="N67" i="33" s="1"/>
  <c r="N100" i="33" s="1"/>
  <c r="N60" i="33"/>
  <c r="O14" i="33"/>
  <c r="P33" i="42"/>
  <c r="O39" i="42"/>
  <c r="G78" i="34"/>
  <c r="V36" i="34"/>
  <c r="M47" i="34" l="1"/>
  <c r="L53" i="34"/>
  <c r="P37" i="42"/>
  <c r="T33" i="42"/>
  <c r="Q33" i="42"/>
  <c r="R33" i="42" s="1"/>
  <c r="H75" i="34"/>
  <c r="N93" i="33"/>
  <c r="N64" i="33"/>
  <c r="N97" i="33" s="1"/>
  <c r="N23" i="33"/>
  <c r="P37" i="34"/>
  <c r="T33" i="34"/>
  <c r="Q33" i="34"/>
  <c r="R33" i="34" s="1"/>
  <c r="V33" i="34" s="1"/>
  <c r="M101" i="33"/>
  <c r="M103" i="33" s="1"/>
  <c r="M70" i="33"/>
  <c r="P37" i="41"/>
  <c r="T33" i="41"/>
  <c r="Q33" i="41"/>
  <c r="R33" i="41" s="1"/>
  <c r="O57" i="33"/>
  <c r="O90" i="33" s="1"/>
  <c r="O17" i="33"/>
  <c r="V45" i="34"/>
  <c r="E42" i="41"/>
  <c r="T80" i="33"/>
  <c r="Q80" i="33"/>
  <c r="R80" i="33" s="1"/>
  <c r="P83" i="33"/>
  <c r="T83" i="33" l="1"/>
  <c r="Q83" i="33"/>
  <c r="H78" i="34"/>
  <c r="V80" i="33"/>
  <c r="P14" i="33"/>
  <c r="O22" i="33"/>
  <c r="O67" i="33" s="1"/>
  <c r="O100" i="33" s="1"/>
  <c r="O60" i="33"/>
  <c r="T37" i="41"/>
  <c r="Q37" i="41"/>
  <c r="R37" i="41" s="1"/>
  <c r="P39" i="41"/>
  <c r="T37" i="42"/>
  <c r="Q37" i="42"/>
  <c r="R37" i="42" s="1"/>
  <c r="P39" i="42"/>
  <c r="P84" i="33"/>
  <c r="T37" i="34"/>
  <c r="Q37" i="34"/>
  <c r="R37" i="34" s="1"/>
  <c r="P39" i="34"/>
  <c r="E45" i="41"/>
  <c r="V33" i="41"/>
  <c r="N68" i="33"/>
  <c r="O19" i="33"/>
  <c r="N25" i="33"/>
  <c r="V33" i="42"/>
  <c r="M50" i="34"/>
  <c r="M51" i="34" s="1"/>
  <c r="V37" i="34" l="1"/>
  <c r="V37" i="42"/>
  <c r="N47" i="34"/>
  <c r="M53" i="34"/>
  <c r="N101" i="33"/>
  <c r="N103" i="33" s="1"/>
  <c r="N70" i="33"/>
  <c r="D84" i="34"/>
  <c r="T84" i="33"/>
  <c r="Q84" i="33"/>
  <c r="R84" i="33" s="1"/>
  <c r="P86" i="33"/>
  <c r="T39" i="41"/>
  <c r="Q39" i="41"/>
  <c r="R39" i="41" s="1"/>
  <c r="T39" i="34"/>
  <c r="Q39" i="34"/>
  <c r="R39" i="34" s="1"/>
  <c r="T39" i="42"/>
  <c r="Q39" i="42"/>
  <c r="R39" i="42" s="1"/>
  <c r="V37" i="41"/>
  <c r="I75" i="34"/>
  <c r="T14" i="33"/>
  <c r="P57" i="33"/>
  <c r="P17" i="33"/>
  <c r="Q14" i="33"/>
  <c r="R14" i="33" s="1"/>
  <c r="R83" i="33"/>
  <c r="V83" i="33" s="1"/>
  <c r="N36" i="3"/>
  <c r="O23" i="33"/>
  <c r="O64" i="33"/>
  <c r="O97" i="33" s="1"/>
  <c r="F42" i="41"/>
  <c r="O93" i="33"/>
  <c r="V39" i="34" l="1"/>
  <c r="V39" i="42"/>
  <c r="V39" i="41"/>
  <c r="F45" i="41"/>
  <c r="I78" i="34"/>
  <c r="T86" i="33"/>
  <c r="Q86" i="33"/>
  <c r="R86" i="33" s="1"/>
  <c r="V14" i="33"/>
  <c r="V84" i="33"/>
  <c r="O68" i="33"/>
  <c r="P19" i="33"/>
  <c r="O25" i="33"/>
  <c r="D17" i="42"/>
  <c r="D17" i="34"/>
  <c r="P60" i="33"/>
  <c r="P22" i="33"/>
  <c r="D17" i="41"/>
  <c r="T17" i="33"/>
  <c r="Q17" i="33"/>
  <c r="R17" i="33" s="1"/>
  <c r="N57" i="3"/>
  <c r="N59" i="3" s="1"/>
  <c r="N60" i="3" s="1"/>
  <c r="N61" i="3" s="1"/>
  <c r="P36" i="3"/>
  <c r="I36" i="3"/>
  <c r="P90" i="33"/>
  <c r="T57" i="33"/>
  <c r="Q57" i="33"/>
  <c r="R57" i="33" s="1"/>
  <c r="E80" i="34"/>
  <c r="D86" i="34"/>
  <c r="N50" i="34"/>
  <c r="N51" i="34" s="1"/>
  <c r="V57" i="33" l="1"/>
  <c r="V86" i="33"/>
  <c r="O47" i="34"/>
  <c r="N53" i="34"/>
  <c r="P93" i="33"/>
  <c r="T60" i="33"/>
  <c r="Q60" i="33"/>
  <c r="R60" i="33" s="1"/>
  <c r="D60" i="41"/>
  <c r="E14" i="41"/>
  <c r="P64" i="33"/>
  <c r="P23" i="33"/>
  <c r="T19" i="33"/>
  <c r="Q19" i="33"/>
  <c r="R19" i="33" s="1"/>
  <c r="J75" i="34"/>
  <c r="J78" i="34" s="1"/>
  <c r="T90" i="33"/>
  <c r="Q90" i="33"/>
  <c r="R90" i="33" s="1"/>
  <c r="D60" i="34"/>
  <c r="E14" i="34"/>
  <c r="O101" i="33"/>
  <c r="O103" i="33" s="1"/>
  <c r="O70" i="33"/>
  <c r="E83" i="34"/>
  <c r="E84" i="34" s="1"/>
  <c r="H37" i="3"/>
  <c r="J36" i="3"/>
  <c r="R36" i="3" s="1"/>
  <c r="S36" i="3" s="1"/>
  <c r="V17" i="33"/>
  <c r="T22" i="33"/>
  <c r="P67" i="33"/>
  <c r="Q22" i="33"/>
  <c r="R22" i="33" s="1"/>
  <c r="E14" i="42"/>
  <c r="G42" i="41"/>
  <c r="V90" i="33" l="1"/>
  <c r="V60" i="33"/>
  <c r="F80" i="34"/>
  <c r="E86" i="34"/>
  <c r="G45" i="41"/>
  <c r="E17" i="42"/>
  <c r="D93" i="34"/>
  <c r="D23" i="41"/>
  <c r="D23" i="42"/>
  <c r="P68" i="33"/>
  <c r="D23" i="34"/>
  <c r="T23" i="33"/>
  <c r="Q23" i="33"/>
  <c r="R23" i="33" s="1"/>
  <c r="P73" i="33"/>
  <c r="P25" i="33"/>
  <c r="V22" i="33"/>
  <c r="E57" i="34"/>
  <c r="E17" i="34"/>
  <c r="K75" i="34"/>
  <c r="K78" i="34" s="1"/>
  <c r="P97" i="33"/>
  <c r="T64" i="33"/>
  <c r="Q64" i="33"/>
  <c r="R64" i="33" s="1"/>
  <c r="T93" i="33"/>
  <c r="Q93" i="33"/>
  <c r="R93" i="33" s="1"/>
  <c r="P100" i="33"/>
  <c r="T67" i="33"/>
  <c r="Q67" i="33"/>
  <c r="R67" i="33" s="1"/>
  <c r="V19" i="33"/>
  <c r="O50" i="34"/>
  <c r="O51" i="34" s="1"/>
  <c r="E57" i="41"/>
  <c r="E17" i="41"/>
  <c r="V64" i="33" l="1"/>
  <c r="V23" i="33"/>
  <c r="V67" i="33"/>
  <c r="F14" i="41"/>
  <c r="E60" i="41"/>
  <c r="E22" i="41"/>
  <c r="P47" i="34"/>
  <c r="O53" i="34"/>
  <c r="T97" i="33"/>
  <c r="Q97" i="33"/>
  <c r="R97" i="33" s="1"/>
  <c r="E22" i="34"/>
  <c r="F14" i="34"/>
  <c r="E60" i="34"/>
  <c r="T25" i="33"/>
  <c r="Q25" i="33"/>
  <c r="R25" i="33" s="1"/>
  <c r="D68" i="34"/>
  <c r="E19" i="34"/>
  <c r="D25" i="34"/>
  <c r="H42" i="41"/>
  <c r="P101" i="33"/>
  <c r="T68" i="33"/>
  <c r="Q68" i="33"/>
  <c r="R68" i="33" s="1"/>
  <c r="P70" i="33"/>
  <c r="T100" i="33"/>
  <c r="Q100" i="33"/>
  <c r="R100" i="33" s="1"/>
  <c r="E90" i="34"/>
  <c r="E19" i="42"/>
  <c r="D25" i="42"/>
  <c r="F14" i="42"/>
  <c r="E22" i="42"/>
  <c r="V93" i="33"/>
  <c r="L75" i="34"/>
  <c r="L78" i="34" s="1"/>
  <c r="E19" i="41"/>
  <c r="D25" i="41"/>
  <c r="F83" i="34"/>
  <c r="V100" i="33" l="1"/>
  <c r="V25" i="33"/>
  <c r="F17" i="42"/>
  <c r="E93" i="34"/>
  <c r="F84" i="34"/>
  <c r="E23" i="41"/>
  <c r="M75" i="34"/>
  <c r="M78" i="34" s="1"/>
  <c r="E23" i="42"/>
  <c r="T101" i="33"/>
  <c r="Q101" i="33"/>
  <c r="R101" i="33" s="1"/>
  <c r="P103" i="33"/>
  <c r="E23" i="34"/>
  <c r="E64" i="34"/>
  <c r="F17" i="34"/>
  <c r="F57" i="34"/>
  <c r="T70" i="33"/>
  <c r="Q70" i="33"/>
  <c r="R70" i="33" s="1"/>
  <c r="E67" i="34"/>
  <c r="T47" i="34"/>
  <c r="Q47" i="34"/>
  <c r="R47" i="34" s="1"/>
  <c r="P50" i="34"/>
  <c r="P51" i="34" s="1"/>
  <c r="V68" i="33"/>
  <c r="H45" i="41"/>
  <c r="D101" i="34"/>
  <c r="D70" i="34"/>
  <c r="V97" i="33"/>
  <c r="F57" i="41"/>
  <c r="F17" i="41"/>
  <c r="V47" i="34" l="1"/>
  <c r="G14" i="41"/>
  <c r="F60" i="41"/>
  <c r="F22" i="41"/>
  <c r="I42" i="41"/>
  <c r="E100" i="34"/>
  <c r="F22" i="34"/>
  <c r="F60" i="34"/>
  <c r="G14" i="34"/>
  <c r="T103" i="33"/>
  <c r="Q103" i="33"/>
  <c r="R103" i="33" s="1"/>
  <c r="N75" i="34"/>
  <c r="N78" i="34" s="1"/>
  <c r="V70" i="33"/>
  <c r="V101" i="33"/>
  <c r="F19" i="42"/>
  <c r="E25" i="42"/>
  <c r="F19" i="41"/>
  <c r="E25" i="41"/>
  <c r="D103" i="34"/>
  <c r="D51" i="41"/>
  <c r="T51" i="34"/>
  <c r="Q51" i="34"/>
  <c r="R51" i="34" s="1"/>
  <c r="P53" i="34"/>
  <c r="E97" i="34"/>
  <c r="G80" i="34"/>
  <c r="F86" i="34"/>
  <c r="F22" i="42"/>
  <c r="G14" i="42"/>
  <c r="T50" i="34"/>
  <c r="Q50" i="34"/>
  <c r="F90" i="34"/>
  <c r="F19" i="34"/>
  <c r="E68" i="34"/>
  <c r="E25" i="34"/>
  <c r="V103" i="33" l="1"/>
  <c r="E101" i="34"/>
  <c r="E70" i="34"/>
  <c r="R50" i="34"/>
  <c r="V50" i="34" s="1"/>
  <c r="M37" i="3"/>
  <c r="T53" i="34"/>
  <c r="Q53" i="34"/>
  <c r="R53" i="34" s="1"/>
  <c r="F67" i="34"/>
  <c r="F64" i="34"/>
  <c r="F23" i="34"/>
  <c r="G83" i="34"/>
  <c r="G84" i="34" s="1"/>
  <c r="V51" i="34"/>
  <c r="O75" i="34"/>
  <c r="O78" i="34" s="1"/>
  <c r="I45" i="41"/>
  <c r="G17" i="42"/>
  <c r="F23" i="41"/>
  <c r="F23" i="42"/>
  <c r="G17" i="34"/>
  <c r="G57" i="34"/>
  <c r="E47" i="41"/>
  <c r="D53" i="41"/>
  <c r="D68" i="41"/>
  <c r="F93" i="34"/>
  <c r="G17" i="41"/>
  <c r="G57" i="41"/>
  <c r="V53" i="34" l="1"/>
  <c r="G22" i="34"/>
  <c r="G60" i="34"/>
  <c r="H14" i="34"/>
  <c r="G19" i="34"/>
  <c r="F68" i="34"/>
  <c r="F25" i="34"/>
  <c r="E50" i="41"/>
  <c r="E64" i="41"/>
  <c r="G19" i="41"/>
  <c r="F25" i="41"/>
  <c r="G22" i="42"/>
  <c r="H14" i="42"/>
  <c r="F97" i="34"/>
  <c r="F100" i="34"/>
  <c r="G60" i="41"/>
  <c r="H14" i="41"/>
  <c r="G22" i="41"/>
  <c r="D70" i="41"/>
  <c r="G19" i="42"/>
  <c r="F25" i="42"/>
  <c r="P75" i="34"/>
  <c r="H80" i="34"/>
  <c r="G86" i="34"/>
  <c r="G90" i="34"/>
  <c r="J42" i="41"/>
  <c r="J45" i="41" s="1"/>
  <c r="E103" i="34"/>
  <c r="H83" i="34" l="1"/>
  <c r="H84" i="34" s="1"/>
  <c r="H17" i="42"/>
  <c r="E67" i="41"/>
  <c r="F101" i="34"/>
  <c r="F70" i="34"/>
  <c r="H57" i="34"/>
  <c r="H17" i="34"/>
  <c r="G23" i="42"/>
  <c r="G23" i="41"/>
  <c r="E51" i="41"/>
  <c r="G64" i="34"/>
  <c r="G23" i="34"/>
  <c r="G93" i="34"/>
  <c r="K42" i="41"/>
  <c r="K45" i="41" s="1"/>
  <c r="P78" i="34"/>
  <c r="T75" i="34"/>
  <c r="Q75" i="34"/>
  <c r="R75" i="34" s="1"/>
  <c r="H17" i="41"/>
  <c r="H57" i="41"/>
  <c r="G67" i="34"/>
  <c r="I80" i="34" l="1"/>
  <c r="H86" i="34"/>
  <c r="G100" i="34"/>
  <c r="I14" i="41"/>
  <c r="H22" i="41"/>
  <c r="H60" i="41"/>
  <c r="G97" i="34"/>
  <c r="H19" i="41"/>
  <c r="G25" i="41"/>
  <c r="V75" i="34"/>
  <c r="L42" i="41"/>
  <c r="L45" i="41" s="1"/>
  <c r="F47" i="41"/>
  <c r="E53" i="41"/>
  <c r="E68" i="41"/>
  <c r="I14" i="34"/>
  <c r="H22" i="34"/>
  <c r="H60" i="34"/>
  <c r="F103" i="34"/>
  <c r="I14" i="42"/>
  <c r="H22" i="42"/>
  <c r="H19" i="42"/>
  <c r="G25" i="42"/>
  <c r="H90" i="34"/>
  <c r="D78" i="41"/>
  <c r="T78" i="34"/>
  <c r="Q78" i="34"/>
  <c r="R78" i="34" s="1"/>
  <c r="H19" i="34"/>
  <c r="G68" i="34"/>
  <c r="G25" i="34"/>
  <c r="H64" i="34" l="1"/>
  <c r="H23" i="34"/>
  <c r="I17" i="42"/>
  <c r="G101" i="34"/>
  <c r="G70" i="34"/>
  <c r="I57" i="34"/>
  <c r="I17" i="34"/>
  <c r="F50" i="41"/>
  <c r="F64" i="41"/>
  <c r="H23" i="42"/>
  <c r="H93" i="34"/>
  <c r="M42" i="41"/>
  <c r="M45" i="41" s="1"/>
  <c r="I17" i="41"/>
  <c r="I57" i="41"/>
  <c r="V78" i="34"/>
  <c r="E75" i="41"/>
  <c r="D93" i="41"/>
  <c r="H67" i="34"/>
  <c r="E70" i="41"/>
  <c r="H23" i="41"/>
  <c r="I83" i="34"/>
  <c r="I84" i="34" s="1"/>
  <c r="I19" i="41" l="1"/>
  <c r="H25" i="41"/>
  <c r="E78" i="41"/>
  <c r="E90" i="41"/>
  <c r="F67" i="41"/>
  <c r="I90" i="34"/>
  <c r="I22" i="42"/>
  <c r="J14" i="42"/>
  <c r="H100" i="34"/>
  <c r="J14" i="41"/>
  <c r="I22" i="41"/>
  <c r="I60" i="41"/>
  <c r="I19" i="42"/>
  <c r="H25" i="42"/>
  <c r="F51" i="41"/>
  <c r="J80" i="34"/>
  <c r="I86" i="34"/>
  <c r="N42" i="41"/>
  <c r="N45" i="41" s="1"/>
  <c r="H68" i="34"/>
  <c r="I19" i="34"/>
  <c r="H25" i="34"/>
  <c r="I22" i="34"/>
  <c r="J14" i="34"/>
  <c r="I60" i="34"/>
  <c r="G103" i="34"/>
  <c r="H97" i="34"/>
  <c r="J83" i="34" l="1"/>
  <c r="J84" i="34" s="1"/>
  <c r="J57" i="34"/>
  <c r="J90" i="34" s="1"/>
  <c r="J17" i="34"/>
  <c r="I23" i="34"/>
  <c r="I64" i="34"/>
  <c r="G47" i="41"/>
  <c r="F53" i="41"/>
  <c r="F68" i="41"/>
  <c r="I23" i="42"/>
  <c r="J17" i="41"/>
  <c r="J57" i="41"/>
  <c r="I67" i="34"/>
  <c r="H101" i="34"/>
  <c r="H70" i="34"/>
  <c r="F75" i="41"/>
  <c r="E93" i="41"/>
  <c r="I93" i="34"/>
  <c r="O42" i="41"/>
  <c r="O45" i="41" s="1"/>
  <c r="J17" i="42"/>
  <c r="I23" i="41"/>
  <c r="K80" i="34" l="1"/>
  <c r="J86" i="34"/>
  <c r="H103" i="34"/>
  <c r="I100" i="34"/>
  <c r="F70" i="41"/>
  <c r="I97" i="34"/>
  <c r="J19" i="41"/>
  <c r="I25" i="41"/>
  <c r="F78" i="41"/>
  <c r="F90" i="41"/>
  <c r="I68" i="34"/>
  <c r="J19" i="34"/>
  <c r="I25" i="34"/>
  <c r="J19" i="42"/>
  <c r="I25" i="42"/>
  <c r="G50" i="41"/>
  <c r="G64" i="41"/>
  <c r="J60" i="34"/>
  <c r="J22" i="34"/>
  <c r="J67" i="34" s="1"/>
  <c r="J100" i="34" s="1"/>
  <c r="K14" i="34"/>
  <c r="J22" i="42"/>
  <c r="K14" i="42"/>
  <c r="P42" i="41"/>
  <c r="K14" i="41"/>
  <c r="J22" i="41"/>
  <c r="J60" i="41"/>
  <c r="J23" i="42" l="1"/>
  <c r="K17" i="41"/>
  <c r="K57" i="41"/>
  <c r="K17" i="42"/>
  <c r="K17" i="34"/>
  <c r="K57" i="34"/>
  <c r="K90" i="34" s="1"/>
  <c r="J64" i="34"/>
  <c r="J97" i="34" s="1"/>
  <c r="J23" i="34"/>
  <c r="J23" i="41"/>
  <c r="G67" i="41"/>
  <c r="I101" i="34"/>
  <c r="I103" i="34" s="1"/>
  <c r="I70" i="34"/>
  <c r="G75" i="41"/>
  <c r="F93" i="41"/>
  <c r="P45" i="41"/>
  <c r="T42" i="41"/>
  <c r="Q42" i="41"/>
  <c r="R42" i="41" s="1"/>
  <c r="J93" i="34"/>
  <c r="G51" i="41"/>
  <c r="K83" i="34"/>
  <c r="K84" i="34" s="1"/>
  <c r="L80" i="34" l="1"/>
  <c r="K86" i="34"/>
  <c r="K19" i="41"/>
  <c r="J25" i="41"/>
  <c r="H47" i="41"/>
  <c r="G53" i="41"/>
  <c r="G68" i="41"/>
  <c r="V42" i="41"/>
  <c r="K60" i="34"/>
  <c r="L14" i="34"/>
  <c r="K22" i="34"/>
  <c r="K67" i="34" s="1"/>
  <c r="K100" i="34" s="1"/>
  <c r="L14" i="41"/>
  <c r="K22" i="41"/>
  <c r="K60" i="41"/>
  <c r="K19" i="34"/>
  <c r="J68" i="34"/>
  <c r="J25" i="34"/>
  <c r="D45" i="42"/>
  <c r="T45" i="41"/>
  <c r="Q45" i="41"/>
  <c r="R45" i="41" s="1"/>
  <c r="V45" i="41" s="1"/>
  <c r="G78" i="41"/>
  <c r="G90" i="41"/>
  <c r="K22" i="42"/>
  <c r="L14" i="42"/>
  <c r="K19" i="42"/>
  <c r="J25" i="42"/>
  <c r="L17" i="34" l="1"/>
  <c r="L57" i="34"/>
  <c r="L90" i="34" s="1"/>
  <c r="H50" i="41"/>
  <c r="H64" i="41"/>
  <c r="K23" i="41"/>
  <c r="E42" i="42"/>
  <c r="D60" i="42"/>
  <c r="J101" i="34"/>
  <c r="J103" i="34" s="1"/>
  <c r="J70" i="34"/>
  <c r="L17" i="41"/>
  <c r="L57" i="41"/>
  <c r="K93" i="34"/>
  <c r="K23" i="42"/>
  <c r="L17" i="42"/>
  <c r="H75" i="41"/>
  <c r="G93" i="41"/>
  <c r="K64" i="34"/>
  <c r="K97" i="34" s="1"/>
  <c r="K23" i="34"/>
  <c r="G70" i="41"/>
  <c r="L83" i="34"/>
  <c r="L84" i="34" s="1"/>
  <c r="M80" i="34" l="1"/>
  <c r="L86" i="34"/>
  <c r="L19" i="42"/>
  <c r="K25" i="42"/>
  <c r="L22" i="41"/>
  <c r="M14" i="41"/>
  <c r="L60" i="41"/>
  <c r="M14" i="34"/>
  <c r="L60" i="34"/>
  <c r="L22" i="34"/>
  <c r="L67" i="34" s="1"/>
  <c r="L100" i="34" s="1"/>
  <c r="H67" i="41"/>
  <c r="K68" i="34"/>
  <c r="L19" i="34"/>
  <c r="K25" i="34"/>
  <c r="H78" i="41"/>
  <c r="H90" i="41"/>
  <c r="L22" i="42"/>
  <c r="M14" i="42"/>
  <c r="E45" i="42"/>
  <c r="E57" i="42"/>
  <c r="L19" i="41"/>
  <c r="K25" i="41"/>
  <c r="H51" i="41"/>
  <c r="K101" i="34" l="1"/>
  <c r="K103" i="34" s="1"/>
  <c r="K70" i="34"/>
  <c r="L23" i="42"/>
  <c r="L23" i="41"/>
  <c r="I75" i="41"/>
  <c r="H93" i="41"/>
  <c r="M17" i="41"/>
  <c r="M57" i="41"/>
  <c r="I47" i="41"/>
  <c r="H53" i="41"/>
  <c r="H68" i="41"/>
  <c r="M17" i="42"/>
  <c r="L23" i="34"/>
  <c r="L64" i="34"/>
  <c r="L97" i="34" s="1"/>
  <c r="L93" i="34"/>
  <c r="F42" i="42"/>
  <c r="E60" i="42"/>
  <c r="M57" i="34"/>
  <c r="M90" i="34" s="1"/>
  <c r="M17" i="34"/>
  <c r="M83" i="34"/>
  <c r="M84" i="34" s="1"/>
  <c r="N80" i="34" l="1"/>
  <c r="M86" i="34"/>
  <c r="F45" i="42"/>
  <c r="F57" i="42"/>
  <c r="M22" i="42"/>
  <c r="N14" i="42"/>
  <c r="H70" i="41"/>
  <c r="N14" i="41"/>
  <c r="M22" i="41"/>
  <c r="M60" i="41"/>
  <c r="I78" i="41"/>
  <c r="I90" i="41"/>
  <c r="M19" i="42"/>
  <c r="L25" i="42"/>
  <c r="M22" i="34"/>
  <c r="M67" i="34" s="1"/>
  <c r="M100" i="34" s="1"/>
  <c r="M60" i="34"/>
  <c r="N14" i="34"/>
  <c r="M19" i="34"/>
  <c r="L68" i="34"/>
  <c r="L25" i="34"/>
  <c r="I50" i="41"/>
  <c r="I51" i="41" s="1"/>
  <c r="I64" i="41"/>
  <c r="M19" i="41"/>
  <c r="L25" i="41"/>
  <c r="M23" i="41" l="1"/>
  <c r="J47" i="41"/>
  <c r="I53" i="41"/>
  <c r="I68" i="41"/>
  <c r="N57" i="34"/>
  <c r="N90" i="34" s="1"/>
  <c r="N17" i="34"/>
  <c r="N17" i="42"/>
  <c r="L101" i="34"/>
  <c r="L103" i="34" s="1"/>
  <c r="L70" i="34"/>
  <c r="M93" i="34"/>
  <c r="M23" i="42"/>
  <c r="G42" i="42"/>
  <c r="F60" i="42"/>
  <c r="I67" i="41"/>
  <c r="M23" i="34"/>
  <c r="M64" i="34"/>
  <c r="M97" i="34" s="1"/>
  <c r="J75" i="41"/>
  <c r="I93" i="41"/>
  <c r="N17" i="41"/>
  <c r="N57" i="41"/>
  <c r="N83" i="34"/>
  <c r="N84" i="34" s="1"/>
  <c r="O80" i="34" l="1"/>
  <c r="N86" i="34"/>
  <c r="J78" i="41"/>
  <c r="J90" i="41"/>
  <c r="N19" i="34"/>
  <c r="M68" i="34"/>
  <c r="M25" i="34"/>
  <c r="G45" i="42"/>
  <c r="G57" i="42"/>
  <c r="O14" i="42"/>
  <c r="N22" i="42"/>
  <c r="O14" i="34"/>
  <c r="N60" i="34"/>
  <c r="N22" i="34"/>
  <c r="N67" i="34" s="1"/>
  <c r="N100" i="34" s="1"/>
  <c r="J50" i="41"/>
  <c r="J67" i="41" s="1"/>
  <c r="J64" i="41"/>
  <c r="N19" i="42"/>
  <c r="M25" i="42"/>
  <c r="O14" i="41"/>
  <c r="N22" i="41"/>
  <c r="N60" i="41"/>
  <c r="I70" i="41"/>
  <c r="N19" i="41"/>
  <c r="M25" i="41"/>
  <c r="J51" i="41" l="1"/>
  <c r="J68" i="41" s="1"/>
  <c r="N93" i="34"/>
  <c r="O17" i="42"/>
  <c r="H42" i="42"/>
  <c r="G60" i="42"/>
  <c r="N23" i="41"/>
  <c r="O57" i="34"/>
  <c r="O90" i="34" s="1"/>
  <c r="O17" i="34"/>
  <c r="K75" i="41"/>
  <c r="J93" i="41"/>
  <c r="N23" i="42"/>
  <c r="M101" i="34"/>
  <c r="M103" i="34" s="1"/>
  <c r="M70" i="34"/>
  <c r="O17" i="41"/>
  <c r="O57" i="41"/>
  <c r="N23" i="34"/>
  <c r="N64" i="34"/>
  <c r="N97" i="34" s="1"/>
  <c r="O83" i="34"/>
  <c r="O84" i="34" s="1"/>
  <c r="J53" i="41" l="1"/>
  <c r="K47" i="41"/>
  <c r="K50" i="41" s="1"/>
  <c r="K67" i="41" s="1"/>
  <c r="P80" i="34"/>
  <c r="O86" i="34"/>
  <c r="O19" i="42"/>
  <c r="N25" i="42"/>
  <c r="P14" i="34"/>
  <c r="O60" i="34"/>
  <c r="O22" i="34"/>
  <c r="O67" i="34" s="1"/>
  <c r="O100" i="34" s="1"/>
  <c r="O22" i="42"/>
  <c r="P14" i="42"/>
  <c r="N68" i="34"/>
  <c r="O19" i="34"/>
  <c r="N25" i="34"/>
  <c r="O22" i="41"/>
  <c r="P14" i="41"/>
  <c r="O60" i="41"/>
  <c r="J70" i="41"/>
  <c r="O19" i="41"/>
  <c r="N25" i="41"/>
  <c r="K78" i="41"/>
  <c r="K90" i="41"/>
  <c r="H45" i="42"/>
  <c r="H57" i="42"/>
  <c r="K64" i="41" l="1"/>
  <c r="O23" i="41"/>
  <c r="T14" i="41"/>
  <c r="P17" i="41"/>
  <c r="P57" i="41"/>
  <c r="Q14" i="41"/>
  <c r="R14" i="41" s="1"/>
  <c r="L75" i="41"/>
  <c r="K93" i="41"/>
  <c r="N101" i="34"/>
  <c r="N103" i="34" s="1"/>
  <c r="N70" i="34"/>
  <c r="K51" i="41"/>
  <c r="I42" i="42"/>
  <c r="H60" i="42"/>
  <c r="P17" i="42"/>
  <c r="T14" i="42"/>
  <c r="Q14" i="42"/>
  <c r="R14" i="42" s="1"/>
  <c r="O93" i="34"/>
  <c r="O23" i="34"/>
  <c r="O64" i="34"/>
  <c r="O97" i="34" s="1"/>
  <c r="T14" i="34"/>
  <c r="P57" i="34"/>
  <c r="P17" i="34"/>
  <c r="Q14" i="34"/>
  <c r="R14" i="34" s="1"/>
  <c r="O23" i="42"/>
  <c r="T80" i="34"/>
  <c r="P83" i="34"/>
  <c r="P84" i="34" s="1"/>
  <c r="Q80" i="34"/>
  <c r="R80" i="34" s="1"/>
  <c r="V14" i="41" l="1"/>
  <c r="V80" i="34"/>
  <c r="V14" i="34"/>
  <c r="P90" i="34"/>
  <c r="T57" i="34"/>
  <c r="Q57" i="34"/>
  <c r="R57" i="34" s="1"/>
  <c r="I45" i="42"/>
  <c r="I57" i="42"/>
  <c r="L78" i="41"/>
  <c r="L90" i="41"/>
  <c r="P22" i="41"/>
  <c r="P60" i="41"/>
  <c r="T17" i="41"/>
  <c r="Q17" i="41"/>
  <c r="R17" i="41" s="1"/>
  <c r="T83" i="34"/>
  <c r="Q83" i="34"/>
  <c r="P19" i="42"/>
  <c r="O25" i="42"/>
  <c r="P22" i="42"/>
  <c r="T17" i="42"/>
  <c r="Q17" i="42"/>
  <c r="R17" i="42" s="1"/>
  <c r="L47" i="41"/>
  <c r="K53" i="41"/>
  <c r="K68" i="41"/>
  <c r="D84" i="41"/>
  <c r="T84" i="34"/>
  <c r="Q84" i="34"/>
  <c r="R84" i="34" s="1"/>
  <c r="P86" i="34"/>
  <c r="V14" i="42"/>
  <c r="P19" i="41"/>
  <c r="O25" i="41"/>
  <c r="P60" i="34"/>
  <c r="P22" i="34"/>
  <c r="T17" i="34"/>
  <c r="Q17" i="34"/>
  <c r="R17" i="34" s="1"/>
  <c r="P19" i="34"/>
  <c r="O68" i="34"/>
  <c r="O25" i="34"/>
  <c r="T57" i="41"/>
  <c r="Q57" i="41"/>
  <c r="R57" i="41" s="1"/>
  <c r="V84" i="34" l="1"/>
  <c r="V17" i="42"/>
  <c r="V57" i="41"/>
  <c r="V17" i="41"/>
  <c r="P93" i="34"/>
  <c r="T60" i="34"/>
  <c r="Q60" i="34"/>
  <c r="R60" i="34" s="1"/>
  <c r="P64" i="34"/>
  <c r="P23" i="34"/>
  <c r="T19" i="34"/>
  <c r="Q19" i="34"/>
  <c r="R19" i="34" s="1"/>
  <c r="K70" i="41"/>
  <c r="N37" i="3"/>
  <c r="R83" i="34"/>
  <c r="V83" i="34" s="1"/>
  <c r="T60" i="41"/>
  <c r="Q60" i="41"/>
  <c r="R60" i="41" s="1"/>
  <c r="J42" i="42"/>
  <c r="I60" i="42"/>
  <c r="V17" i="34"/>
  <c r="T22" i="34"/>
  <c r="P67" i="34"/>
  <c r="Q22" i="34"/>
  <c r="R22" i="34" s="1"/>
  <c r="T19" i="41"/>
  <c r="P23" i="41"/>
  <c r="Q19" i="41"/>
  <c r="R19" i="41" s="1"/>
  <c r="M75" i="41"/>
  <c r="L93" i="41"/>
  <c r="V57" i="34"/>
  <c r="E80" i="41"/>
  <c r="D101" i="41"/>
  <c r="D86" i="41"/>
  <c r="L50" i="41"/>
  <c r="L67" i="41" s="1"/>
  <c r="L64" i="41"/>
  <c r="T22" i="41"/>
  <c r="Q22" i="41"/>
  <c r="R22" i="41" s="1"/>
  <c r="O101" i="34"/>
  <c r="O103" i="34" s="1"/>
  <c r="O70" i="34"/>
  <c r="T86" i="34"/>
  <c r="Q86" i="34"/>
  <c r="R86" i="34" s="1"/>
  <c r="T22" i="42"/>
  <c r="Q22" i="42"/>
  <c r="R22" i="42" s="1"/>
  <c r="P23" i="42"/>
  <c r="T19" i="42"/>
  <c r="Q19" i="42"/>
  <c r="R19" i="42" s="1"/>
  <c r="T90" i="34"/>
  <c r="Q90" i="34"/>
  <c r="R90" i="34" s="1"/>
  <c r="V90" i="34" l="1"/>
  <c r="V22" i="34"/>
  <c r="V86" i="34"/>
  <c r="V22" i="41"/>
  <c r="V19" i="34"/>
  <c r="V60" i="34"/>
  <c r="V19" i="41"/>
  <c r="V60" i="41"/>
  <c r="T23" i="42"/>
  <c r="Q23" i="42"/>
  <c r="R23" i="42" s="1"/>
  <c r="P25" i="42"/>
  <c r="V19" i="42"/>
  <c r="V22" i="42"/>
  <c r="L51" i="41"/>
  <c r="M78" i="41"/>
  <c r="M90" i="41"/>
  <c r="P100" i="34"/>
  <c r="T67" i="34"/>
  <c r="Q67" i="34"/>
  <c r="R67" i="34" s="1"/>
  <c r="P37" i="3"/>
  <c r="I37" i="3"/>
  <c r="O57" i="3"/>
  <c r="O59" i="3" s="1"/>
  <c r="O60" i="3" s="1"/>
  <c r="O61" i="3" s="1"/>
  <c r="E97" i="41"/>
  <c r="E83" i="41"/>
  <c r="T23" i="41"/>
  <c r="Q23" i="41"/>
  <c r="R23" i="41" s="1"/>
  <c r="P25" i="41"/>
  <c r="P68" i="34"/>
  <c r="T23" i="34"/>
  <c r="Q23" i="34"/>
  <c r="R23" i="34" s="1"/>
  <c r="P73" i="34"/>
  <c r="P25" i="34"/>
  <c r="D103" i="41"/>
  <c r="J45" i="42"/>
  <c r="J57" i="42"/>
  <c r="T64" i="34"/>
  <c r="P97" i="34"/>
  <c r="Q64" i="34"/>
  <c r="R64" i="34" s="1"/>
  <c r="T93" i="34"/>
  <c r="Q93" i="34"/>
  <c r="R93" i="34" s="1"/>
  <c r="V23" i="34" l="1"/>
  <c r="V23" i="42"/>
  <c r="M47" i="41"/>
  <c r="L53" i="41"/>
  <c r="L68" i="41"/>
  <c r="T25" i="41"/>
  <c r="Q25" i="41"/>
  <c r="R25" i="41" s="1"/>
  <c r="E100" i="41"/>
  <c r="H38" i="3"/>
  <c r="J37" i="3"/>
  <c r="R37" i="3" s="1"/>
  <c r="S37" i="3" s="1"/>
  <c r="T100" i="34"/>
  <c r="Q100" i="34"/>
  <c r="R100" i="34" s="1"/>
  <c r="V64" i="34"/>
  <c r="K42" i="42"/>
  <c r="J60" i="42"/>
  <c r="V23" i="41"/>
  <c r="T25" i="42"/>
  <c r="Q25" i="42"/>
  <c r="R25" i="42" s="1"/>
  <c r="V93" i="34"/>
  <c r="T97" i="34"/>
  <c r="Q97" i="34"/>
  <c r="R97" i="34" s="1"/>
  <c r="T25" i="34"/>
  <c r="Q25" i="34"/>
  <c r="R25" i="34" s="1"/>
  <c r="P101" i="34"/>
  <c r="T68" i="34"/>
  <c r="Q68" i="34"/>
  <c r="R68" i="34" s="1"/>
  <c r="P70" i="34"/>
  <c r="E84" i="41"/>
  <c r="V67" i="34"/>
  <c r="N75" i="41"/>
  <c r="M93" i="41"/>
  <c r="V68" i="34" l="1"/>
  <c r="V97" i="34"/>
  <c r="V25" i="34"/>
  <c r="V100" i="34"/>
  <c r="T70" i="34"/>
  <c r="Q70" i="34"/>
  <c r="R70" i="34" s="1"/>
  <c r="L70" i="41"/>
  <c r="K45" i="42"/>
  <c r="K57" i="42"/>
  <c r="V25" i="41"/>
  <c r="N78" i="41"/>
  <c r="N90" i="41"/>
  <c r="F80" i="41"/>
  <c r="E101" i="41"/>
  <c r="E86" i="41"/>
  <c r="T101" i="34"/>
  <c r="Q101" i="34"/>
  <c r="R101" i="34" s="1"/>
  <c r="P103" i="34"/>
  <c r="V25" i="42"/>
  <c r="M50" i="41"/>
  <c r="M67" i="41" s="1"/>
  <c r="M64" i="41"/>
  <c r="M51" i="41" l="1"/>
  <c r="N47" i="41" s="1"/>
  <c r="F97" i="41"/>
  <c r="F83" i="41"/>
  <c r="F84" i="41" s="1"/>
  <c r="L42" i="42"/>
  <c r="K60" i="42"/>
  <c r="T103" i="34"/>
  <c r="Q103" i="34"/>
  <c r="R103" i="34" s="1"/>
  <c r="O75" i="41"/>
  <c r="N93" i="41"/>
  <c r="V70" i="34"/>
  <c r="V101" i="34"/>
  <c r="E103" i="41"/>
  <c r="M68" i="41" l="1"/>
  <c r="M70" i="41" s="1"/>
  <c r="V103" i="34"/>
  <c r="M53" i="41"/>
  <c r="G80" i="41"/>
  <c r="F101" i="41"/>
  <c r="F86" i="41"/>
  <c r="N50" i="41"/>
  <c r="N67" i="41" s="1"/>
  <c r="N64" i="41"/>
  <c r="O78" i="41"/>
  <c r="O90" i="41"/>
  <c r="L45" i="42"/>
  <c r="L57" i="42"/>
  <c r="F100" i="41"/>
  <c r="M42" i="42" l="1"/>
  <c r="L60" i="42"/>
  <c r="N51" i="41"/>
  <c r="F103" i="41"/>
  <c r="P75" i="41"/>
  <c r="O93" i="41"/>
  <c r="G97" i="41"/>
  <c r="G83" i="41"/>
  <c r="G84" i="41" s="1"/>
  <c r="H80" i="41" l="1"/>
  <c r="G86" i="41"/>
  <c r="G101" i="41"/>
  <c r="P78" i="41"/>
  <c r="T75" i="41"/>
  <c r="Q75" i="41"/>
  <c r="R75" i="41" s="1"/>
  <c r="P90" i="41"/>
  <c r="O47" i="41"/>
  <c r="N53" i="41"/>
  <c r="N68" i="41"/>
  <c r="G100" i="41"/>
  <c r="M45" i="42"/>
  <c r="M57" i="42"/>
  <c r="V75" i="41" l="1"/>
  <c r="O50" i="41"/>
  <c r="O67" i="41" s="1"/>
  <c r="O64" i="41"/>
  <c r="D78" i="42"/>
  <c r="T78" i="41"/>
  <c r="Q78" i="41"/>
  <c r="R78" i="41" s="1"/>
  <c r="P93" i="41"/>
  <c r="H97" i="41"/>
  <c r="H83" i="41"/>
  <c r="T90" i="41"/>
  <c r="Q90" i="41"/>
  <c r="R90" i="41" s="1"/>
  <c r="N42" i="42"/>
  <c r="M60" i="42"/>
  <c r="N70" i="41"/>
  <c r="G103" i="41"/>
  <c r="V90" i="41" l="1"/>
  <c r="V78" i="41"/>
  <c r="H100" i="41"/>
  <c r="E75" i="42"/>
  <c r="D93" i="42"/>
  <c r="N45" i="42"/>
  <c r="N57" i="42"/>
  <c r="H84" i="41"/>
  <c r="T93" i="41"/>
  <c r="Q93" i="41"/>
  <c r="R93" i="41" s="1"/>
  <c r="O51" i="41"/>
  <c r="O42" i="42" l="1"/>
  <c r="N60" i="42"/>
  <c r="V93" i="41"/>
  <c r="I80" i="41"/>
  <c r="H86" i="41"/>
  <c r="H101" i="41"/>
  <c r="E78" i="42"/>
  <c r="E90" i="42"/>
  <c r="P47" i="41"/>
  <c r="O53" i="41"/>
  <c r="O68" i="41"/>
  <c r="T47" i="41" l="1"/>
  <c r="P50" i="41"/>
  <c r="P51" i="41" s="1"/>
  <c r="Q47" i="41"/>
  <c r="R47" i="41" s="1"/>
  <c r="P64" i="41"/>
  <c r="H103" i="41"/>
  <c r="O70" i="41"/>
  <c r="I83" i="41"/>
  <c r="I97" i="41"/>
  <c r="O45" i="42"/>
  <c r="O57" i="42"/>
  <c r="F75" i="42"/>
  <c r="E93" i="42"/>
  <c r="V47" i="41" l="1"/>
  <c r="F78" i="42"/>
  <c r="F90" i="42"/>
  <c r="T50" i="41"/>
  <c r="Q50" i="41"/>
  <c r="P67" i="41"/>
  <c r="I100" i="41"/>
  <c r="D51" i="42"/>
  <c r="T51" i="41"/>
  <c r="P53" i="41"/>
  <c r="Q51" i="41"/>
  <c r="R51" i="41" s="1"/>
  <c r="P73" i="41"/>
  <c r="P68" i="41"/>
  <c r="P42" i="42"/>
  <c r="O60" i="42"/>
  <c r="I84" i="41"/>
  <c r="T64" i="41"/>
  <c r="Q64" i="41"/>
  <c r="R64" i="41" s="1"/>
  <c r="V51" i="41" l="1"/>
  <c r="E47" i="42"/>
  <c r="D68" i="42"/>
  <c r="D53" i="42"/>
  <c r="P45" i="42"/>
  <c r="T42" i="42"/>
  <c r="P57" i="42"/>
  <c r="Q42" i="42"/>
  <c r="R42" i="42" s="1"/>
  <c r="J80" i="41"/>
  <c r="I86" i="41"/>
  <c r="I101" i="41"/>
  <c r="I103" i="41" s="1"/>
  <c r="T53" i="41"/>
  <c r="Q53" i="41"/>
  <c r="R53" i="41" s="1"/>
  <c r="T67" i="41"/>
  <c r="Q67" i="41"/>
  <c r="R67" i="41" s="1"/>
  <c r="V64" i="41"/>
  <c r="T68" i="41"/>
  <c r="Q68" i="41"/>
  <c r="R68" i="41" s="1"/>
  <c r="P70" i="41"/>
  <c r="M38" i="3"/>
  <c r="R50" i="41"/>
  <c r="V50" i="41" s="1"/>
  <c r="G75" i="42"/>
  <c r="F93" i="42"/>
  <c r="V68" i="41" l="1"/>
  <c r="V67" i="41"/>
  <c r="V53" i="41"/>
  <c r="T57" i="42"/>
  <c r="Q57" i="42"/>
  <c r="R57" i="42" s="1"/>
  <c r="D70" i="42"/>
  <c r="G78" i="42"/>
  <c r="G90" i="42"/>
  <c r="J97" i="41"/>
  <c r="J83" i="41"/>
  <c r="J100" i="41" s="1"/>
  <c r="T45" i="42"/>
  <c r="Q45" i="42"/>
  <c r="R45" i="42" s="1"/>
  <c r="P60" i="42"/>
  <c r="E64" i="42"/>
  <c r="E50" i="42"/>
  <c r="E51" i="42" s="1"/>
  <c r="T70" i="41"/>
  <c r="Q70" i="41"/>
  <c r="R70" i="41" s="1"/>
  <c r="V42" i="42"/>
  <c r="V57" i="42" l="1"/>
  <c r="V70" i="41"/>
  <c r="F47" i="42"/>
  <c r="E68" i="42"/>
  <c r="E53" i="42"/>
  <c r="V45" i="42"/>
  <c r="T60" i="42"/>
  <c r="Q60" i="42"/>
  <c r="R60" i="42" s="1"/>
  <c r="H75" i="42"/>
  <c r="G93" i="42"/>
  <c r="E67" i="42"/>
  <c r="J84" i="41"/>
  <c r="V60" i="42" l="1"/>
  <c r="H78" i="42"/>
  <c r="H90" i="42"/>
  <c r="E70" i="42"/>
  <c r="F64" i="42"/>
  <c r="F50" i="42"/>
  <c r="F51" i="42" s="1"/>
  <c r="K80" i="41"/>
  <c r="J86" i="41"/>
  <c r="J101" i="41"/>
  <c r="J103" i="41" s="1"/>
  <c r="G47" i="42" l="1"/>
  <c r="F68" i="42"/>
  <c r="F53" i="42"/>
  <c r="K83" i="41"/>
  <c r="K100" i="41" s="1"/>
  <c r="K97" i="41"/>
  <c r="F67" i="42"/>
  <c r="I75" i="42"/>
  <c r="H93" i="42"/>
  <c r="K84" i="41" l="1"/>
  <c r="F70" i="42"/>
  <c r="I78" i="42"/>
  <c r="I90" i="42"/>
  <c r="G64" i="42"/>
  <c r="G50" i="42"/>
  <c r="G67" i="42" l="1"/>
  <c r="L80" i="41"/>
  <c r="K86" i="41"/>
  <c r="K101" i="41"/>
  <c r="K103" i="41" s="1"/>
  <c r="J75" i="42"/>
  <c r="I93" i="42"/>
  <c r="G51" i="42"/>
  <c r="J78" i="42" l="1"/>
  <c r="J90" i="42"/>
  <c r="L83" i="41"/>
  <c r="L100" i="41" s="1"/>
  <c r="L97" i="41"/>
  <c r="H47" i="42"/>
  <c r="G68" i="42"/>
  <c r="G53" i="42"/>
  <c r="L84" i="41" l="1"/>
  <c r="M80" i="41" s="1"/>
  <c r="G70" i="42"/>
  <c r="H64" i="42"/>
  <c r="H50" i="42"/>
  <c r="H51" i="42" s="1"/>
  <c r="K75" i="42"/>
  <c r="J93" i="42"/>
  <c r="L101" i="41" l="1"/>
  <c r="L103" i="41" s="1"/>
  <c r="L86" i="41"/>
  <c r="K78" i="42"/>
  <c r="K90" i="42"/>
  <c r="I47" i="42"/>
  <c r="H68" i="42"/>
  <c r="H53" i="42"/>
  <c r="H67" i="42"/>
  <c r="M83" i="41"/>
  <c r="M100" i="41" s="1"/>
  <c r="M97" i="41"/>
  <c r="M84" i="41" l="1"/>
  <c r="N80" i="41" s="1"/>
  <c r="I64" i="42"/>
  <c r="I50" i="42"/>
  <c r="I51" i="42" s="1"/>
  <c r="H70" i="42"/>
  <c r="L75" i="42"/>
  <c r="K93" i="42"/>
  <c r="M101" i="41" l="1"/>
  <c r="M103" i="41" s="1"/>
  <c r="M86" i="41"/>
  <c r="J47" i="42"/>
  <c r="I68" i="42"/>
  <c r="I53" i="42"/>
  <c r="L78" i="42"/>
  <c r="L90" i="42"/>
  <c r="N83" i="41"/>
  <c r="N100" i="41" s="1"/>
  <c r="N97" i="41"/>
  <c r="I67" i="42"/>
  <c r="N84" i="41" l="1"/>
  <c r="O80" i="41" s="1"/>
  <c r="J64" i="42"/>
  <c r="J50" i="42"/>
  <c r="J67" i="42" s="1"/>
  <c r="M75" i="42"/>
  <c r="L93" i="42"/>
  <c r="I70" i="42"/>
  <c r="J51" i="42" l="1"/>
  <c r="K47" i="42" s="1"/>
  <c r="N101" i="41"/>
  <c r="N103" i="41" s="1"/>
  <c r="N86" i="41"/>
  <c r="O83" i="41"/>
  <c r="O100" i="41" s="1"/>
  <c r="O97" i="41"/>
  <c r="M78" i="42"/>
  <c r="M90" i="42"/>
  <c r="J53" i="42" l="1"/>
  <c r="J68" i="42"/>
  <c r="J70" i="42" s="1"/>
  <c r="N75" i="42"/>
  <c r="M93" i="42"/>
  <c r="K64" i="42"/>
  <c r="K50" i="42"/>
  <c r="K67" i="42" s="1"/>
  <c r="O84" i="41"/>
  <c r="N78" i="42" l="1"/>
  <c r="N90" i="42"/>
  <c r="K51" i="42"/>
  <c r="P80" i="41"/>
  <c r="O86" i="41"/>
  <c r="O101" i="41"/>
  <c r="O103" i="41" s="1"/>
  <c r="T80" i="41" l="1"/>
  <c r="P83" i="41"/>
  <c r="Q80" i="41"/>
  <c r="R80" i="41" s="1"/>
  <c r="P97" i="41"/>
  <c r="L47" i="42"/>
  <c r="K68" i="42"/>
  <c r="K53" i="42"/>
  <c r="O75" i="42"/>
  <c r="N93" i="42"/>
  <c r="T97" i="41" l="1"/>
  <c r="Q97" i="41"/>
  <c r="R97" i="41" s="1"/>
  <c r="V80" i="41"/>
  <c r="K70" i="42"/>
  <c r="T83" i="41"/>
  <c r="Q83" i="41"/>
  <c r="P100" i="41"/>
  <c r="O78" i="42"/>
  <c r="O90" i="42"/>
  <c r="L64" i="42"/>
  <c r="L50" i="42"/>
  <c r="L67" i="42" s="1"/>
  <c r="P84" i="41"/>
  <c r="L51" i="42" l="1"/>
  <c r="L53" i="42" s="1"/>
  <c r="T100" i="41"/>
  <c r="Q100" i="41"/>
  <c r="R100" i="41" s="1"/>
  <c r="N38" i="3"/>
  <c r="R83" i="41"/>
  <c r="V83" i="41" s="1"/>
  <c r="D84" i="42"/>
  <c r="T84" i="41"/>
  <c r="P86" i="41"/>
  <c r="Q84" i="41"/>
  <c r="R84" i="41" s="1"/>
  <c r="P101" i="41"/>
  <c r="P75" i="42"/>
  <c r="O93" i="42"/>
  <c r="V97" i="41"/>
  <c r="V84" i="41" l="1"/>
  <c r="V100" i="41"/>
  <c r="L68" i="42"/>
  <c r="L70" i="42" s="1"/>
  <c r="M47" i="42"/>
  <c r="M64" i="42" s="1"/>
  <c r="T101" i="41"/>
  <c r="P103" i="41"/>
  <c r="Q101" i="41"/>
  <c r="R101" i="41" s="1"/>
  <c r="E80" i="42"/>
  <c r="D86" i="42"/>
  <c r="D101" i="42"/>
  <c r="P78" i="42"/>
  <c r="T75" i="42"/>
  <c r="P90" i="42"/>
  <c r="Q75" i="42"/>
  <c r="R75" i="42" s="1"/>
  <c r="T86" i="41"/>
  <c r="Q86" i="41"/>
  <c r="R86" i="41" s="1"/>
  <c r="P57" i="3"/>
  <c r="P59" i="3" s="1"/>
  <c r="P60" i="3" s="1"/>
  <c r="P61" i="3" s="1"/>
  <c r="P38" i="3"/>
  <c r="I38" i="3"/>
  <c r="V86" i="41" l="1"/>
  <c r="V101" i="41"/>
  <c r="M50" i="42"/>
  <c r="D103" i="42"/>
  <c r="H39" i="3"/>
  <c r="J38" i="3"/>
  <c r="R38" i="3" s="1"/>
  <c r="S38" i="3" s="1"/>
  <c r="T78" i="42"/>
  <c r="P93" i="42"/>
  <c r="Q78" i="42"/>
  <c r="R78" i="42" s="1"/>
  <c r="V75" i="42"/>
  <c r="T103" i="41"/>
  <c r="Q103" i="41"/>
  <c r="R103" i="41" s="1"/>
  <c r="T90" i="42"/>
  <c r="Q90" i="42"/>
  <c r="R90" i="42" s="1"/>
  <c r="E83" i="42"/>
  <c r="E84" i="42" s="1"/>
  <c r="E97" i="42"/>
  <c r="V78" i="42" l="1"/>
  <c r="M67" i="42"/>
  <c r="M51" i="42"/>
  <c r="F80" i="42"/>
  <c r="E86" i="42"/>
  <c r="E101" i="42"/>
  <c r="T93" i="42"/>
  <c r="Q93" i="42"/>
  <c r="R93" i="42" s="1"/>
  <c r="V93" i="42" s="1"/>
  <c r="V90" i="42"/>
  <c r="V103" i="41"/>
  <c r="E100" i="42"/>
  <c r="N47" i="42" l="1"/>
  <c r="M68" i="42"/>
  <c r="M70" i="42" s="1"/>
  <c r="M53" i="42"/>
  <c r="F83" i="42"/>
  <c r="F84" i="42" s="1"/>
  <c r="F97" i="42"/>
  <c r="E103" i="42"/>
  <c r="N50" i="42" l="1"/>
  <c r="N67" i="42" s="1"/>
  <c r="N64" i="42"/>
  <c r="G80" i="42"/>
  <c r="F86" i="42"/>
  <c r="F101" i="42"/>
  <c r="F100" i="42"/>
  <c r="N51" i="42" l="1"/>
  <c r="G83" i="42"/>
  <c r="G97" i="42"/>
  <c r="F103" i="42"/>
  <c r="N53" i="42" l="1"/>
  <c r="O47" i="42"/>
  <c r="N68" i="42"/>
  <c r="N70" i="42" s="1"/>
  <c r="G100" i="42"/>
  <c r="G84" i="42"/>
  <c r="O50" i="42" l="1"/>
  <c r="O67" i="42" s="1"/>
  <c r="O64" i="42"/>
  <c r="H80" i="42"/>
  <c r="G86" i="42"/>
  <c r="G101" i="42"/>
  <c r="O51" i="42" l="1"/>
  <c r="H83" i="42"/>
  <c r="H97" i="42"/>
  <c r="G103" i="42"/>
  <c r="O53" i="42" l="1"/>
  <c r="P47" i="42"/>
  <c r="O68" i="42"/>
  <c r="O70" i="42" s="1"/>
  <c r="H100" i="42"/>
  <c r="H84" i="42"/>
  <c r="P64" i="42" l="1"/>
  <c r="P50" i="42"/>
  <c r="T47" i="42"/>
  <c r="Q47" i="42"/>
  <c r="R47" i="42" s="1"/>
  <c r="V47" i="42" s="1"/>
  <c r="I80" i="42"/>
  <c r="H86" i="42"/>
  <c r="H101" i="42"/>
  <c r="Q50" i="42" l="1"/>
  <c r="T50" i="42"/>
  <c r="P67" i="42"/>
  <c r="P51" i="42"/>
  <c r="T64" i="42"/>
  <c r="Q64" i="42"/>
  <c r="R64" i="42" s="1"/>
  <c r="H103" i="42"/>
  <c r="I83" i="42"/>
  <c r="I97" i="42"/>
  <c r="R50" i="42" l="1"/>
  <c r="V50" i="42" s="1"/>
  <c r="M39" i="3"/>
  <c r="P68" i="42"/>
  <c r="T51" i="42"/>
  <c r="P73" i="42"/>
  <c r="P53" i="42"/>
  <c r="Q51" i="42"/>
  <c r="R51" i="42" s="1"/>
  <c r="T67" i="42"/>
  <c r="Q67" i="42"/>
  <c r="R67" i="42" s="1"/>
  <c r="V64" i="42"/>
  <c r="I100" i="42"/>
  <c r="I84" i="42"/>
  <c r="V67" i="42" l="1"/>
  <c r="V51" i="42"/>
  <c r="T68" i="42"/>
  <c r="P70" i="42"/>
  <c r="Q68" i="42"/>
  <c r="R68" i="42" s="1"/>
  <c r="T53" i="42"/>
  <c r="Q53" i="42"/>
  <c r="R53" i="42" s="1"/>
  <c r="Q57" i="3"/>
  <c r="Q59" i="3" s="1"/>
  <c r="Q60" i="3" s="1"/>
  <c r="Q61" i="3" s="1"/>
  <c r="P39" i="3"/>
  <c r="I39" i="3"/>
  <c r="J80" i="42"/>
  <c r="I86" i="42"/>
  <c r="I101" i="42"/>
  <c r="I103" i="42" s="1"/>
  <c r="V68" i="42" l="1"/>
  <c r="H40" i="3"/>
  <c r="J39" i="3"/>
  <c r="R39" i="3" s="1"/>
  <c r="S39" i="3" s="1"/>
  <c r="Q70" i="42"/>
  <c r="R70" i="42" s="1"/>
  <c r="T70" i="42"/>
  <c r="V53" i="42"/>
  <c r="J83" i="42"/>
  <c r="J100" i="42" s="1"/>
  <c r="J97" i="42"/>
  <c r="I40" i="3" l="1"/>
  <c r="J40" i="3" s="1"/>
  <c r="R40" i="3" s="1"/>
  <c r="S40" i="3" s="1"/>
  <c r="V70" i="42"/>
  <c r="J84" i="42"/>
  <c r="K80" i="42" l="1"/>
  <c r="J86" i="42"/>
  <c r="J101" i="42"/>
  <c r="J103" i="42" s="1"/>
  <c r="K83" i="42" l="1"/>
  <c r="K100" i="42" s="1"/>
  <c r="K97" i="42"/>
  <c r="K84" i="42" l="1"/>
  <c r="K86" i="42" s="1"/>
  <c r="L80" i="42" l="1"/>
  <c r="L97" i="42" s="1"/>
  <c r="K101" i="42"/>
  <c r="K103" i="42" s="1"/>
  <c r="L83" i="42" l="1"/>
  <c r="L100" i="42" s="1"/>
  <c r="L84" i="42" l="1"/>
  <c r="M80" i="42" s="1"/>
  <c r="M83" i="42" s="1"/>
  <c r="M100" i="42" s="1"/>
  <c r="L101" i="42" l="1"/>
  <c r="L103" i="42" s="1"/>
  <c r="M97" i="42"/>
  <c r="L86" i="42"/>
  <c r="M84" i="42"/>
  <c r="N80" i="42" s="1"/>
  <c r="M101" i="42" l="1"/>
  <c r="M103" i="42" s="1"/>
  <c r="M86" i="42"/>
  <c r="N83" i="42"/>
  <c r="N100" i="42" s="1"/>
  <c r="N97" i="42"/>
  <c r="N84" i="42" l="1"/>
  <c r="O80" i="42" s="1"/>
  <c r="N101" i="42" l="1"/>
  <c r="N103" i="42" s="1"/>
  <c r="N86" i="42"/>
  <c r="O83" i="42"/>
  <c r="O100" i="42" s="1"/>
  <c r="O97" i="42"/>
  <c r="O84" i="42" l="1"/>
  <c r="P80" i="42" s="1"/>
  <c r="O101" i="42" l="1"/>
  <c r="O103" i="42" s="1"/>
  <c r="O86" i="42"/>
  <c r="T80" i="42"/>
  <c r="P83" i="42"/>
  <c r="P84" i="42" s="1"/>
  <c r="P97" i="42"/>
  <c r="Q80" i="42"/>
  <c r="R80" i="42" s="1"/>
  <c r="V80" i="42" l="1"/>
  <c r="T84" i="42"/>
  <c r="P86" i="42"/>
  <c r="P101" i="42"/>
  <c r="Q84" i="42"/>
  <c r="R84" i="42" s="1"/>
  <c r="T97" i="42"/>
  <c r="Q97" i="42"/>
  <c r="R97" i="42" s="1"/>
  <c r="T83" i="42"/>
  <c r="P100" i="42"/>
  <c r="Q83" i="42"/>
  <c r="R83" i="42" s="1"/>
  <c r="V83" i="42" l="1"/>
  <c r="T100" i="42"/>
  <c r="Q100" i="42"/>
  <c r="R100" i="42" s="1"/>
  <c r="V84" i="42"/>
  <c r="T101" i="42"/>
  <c r="P103" i="42"/>
  <c r="Q101" i="42"/>
  <c r="R101" i="42" s="1"/>
  <c r="V97" i="42"/>
  <c r="T86" i="42"/>
  <c r="Q86" i="42"/>
  <c r="R86" i="42" s="1"/>
  <c r="V86" i="42" l="1"/>
  <c r="T103" i="42"/>
  <c r="Q103" i="42"/>
  <c r="R103" i="42" s="1"/>
  <c r="V101" i="42"/>
  <c r="V100" i="42"/>
  <c r="V103" i="42" l="1"/>
</calcChain>
</file>

<file path=xl/comments1.xml><?xml version="1.0" encoding="utf-8"?>
<comments xmlns="http://schemas.openxmlformats.org/spreadsheetml/2006/main">
  <authors>
    <author>Mireille Boucher-Martin</author>
  </authors>
  <commentList>
    <comment ref="Q106" authorId="0">
      <text>
        <r>
          <rPr>
            <b/>
            <sz val="9"/>
            <color indexed="81"/>
            <rFont val="Tahoma"/>
            <family val="2"/>
          </rPr>
          <t>MBM:</t>
        </r>
        <r>
          <rPr>
            <sz val="9"/>
            <color indexed="81"/>
            <rFont val="Tahoma"/>
            <family val="2"/>
          </rPr>
          <t xml:space="preserve">
début 2015, ns avons obtenu l'autorisation de ne pas franciser les manuels techniques</t>
        </r>
      </text>
    </comment>
    <comment ref="J125" authorId="0">
      <text>
        <r>
          <rPr>
            <b/>
            <sz val="9"/>
            <color indexed="81"/>
            <rFont val="Tahoma"/>
            <family val="2"/>
          </rPr>
          <t>MBM:</t>
        </r>
        <r>
          <rPr>
            <sz val="9"/>
            <color indexed="81"/>
            <rFont val="Tahoma"/>
            <family val="2"/>
          </rPr>
          <t xml:space="preserve">
voir annotation page 11</t>
        </r>
      </text>
    </comment>
    <comment ref="J126" authorId="0">
      <text>
        <r>
          <rPr>
            <b/>
            <sz val="9"/>
            <color indexed="81"/>
            <rFont val="Tahoma"/>
            <family val="2"/>
          </rPr>
          <t>MBM:</t>
        </r>
        <r>
          <rPr>
            <sz val="9"/>
            <color indexed="81"/>
            <rFont val="Tahoma"/>
            <family val="2"/>
          </rPr>
          <t xml:space="preserve">
voir Suivi Fermeture 2014, réimprimé pr les besoins ici, voir page 10</t>
        </r>
      </text>
    </comment>
    <comment ref="O131" authorId="0">
      <text>
        <r>
          <rPr>
            <b/>
            <sz val="9"/>
            <color indexed="81"/>
            <rFont val="Tahoma"/>
            <family val="2"/>
          </rPr>
          <t>MBM:</t>
        </r>
        <r>
          <rPr>
            <sz val="9"/>
            <color indexed="81"/>
            <rFont val="Tahoma"/>
            <family val="2"/>
          </rPr>
          <t xml:space="preserve">
voir annotation page 11</t>
        </r>
      </text>
    </comment>
  </commentList>
</comments>
</file>

<file path=xl/sharedStrings.xml><?xml version="1.0" encoding="utf-8"?>
<sst xmlns="http://schemas.openxmlformats.org/spreadsheetml/2006/main" count="2002" uniqueCount="404">
  <si>
    <t>#475</t>
  </si>
  <si>
    <t>Taux d'amortissement:</t>
  </si>
  <si>
    <t>Conduite principale (475)</t>
  </si>
  <si>
    <t>par année</t>
  </si>
  <si>
    <t>Coût en capital pondéré avant impôt</t>
  </si>
  <si>
    <t>(1)</t>
  </si>
  <si>
    <t xml:space="preserve">Taux de taxe sur le capital provincial </t>
  </si>
  <si>
    <t>Coût total ($):</t>
  </si>
  <si>
    <t>Calcul de l'allocation du coût en capital</t>
  </si>
  <si>
    <t>IMPACT SUR LE COÛT DE SERVICE:</t>
  </si>
  <si>
    <t>Conduite prinicpale</t>
  </si>
  <si>
    <t>Additions</t>
  </si>
  <si>
    <t>ACC</t>
  </si>
  <si>
    <t>Année</t>
  </si>
  <si>
    <t>Conduite</t>
  </si>
  <si>
    <t xml:space="preserve">Investissement </t>
  </si>
  <si>
    <t>Base de</t>
  </si>
  <si>
    <t>Amortissement</t>
  </si>
  <si>
    <t>Rendement</t>
  </si>
  <si>
    <t>Solde de fin</t>
  </si>
  <si>
    <t>principale</t>
  </si>
  <si>
    <t>total</t>
  </si>
  <si>
    <t>tarification</t>
  </si>
  <si>
    <t>incluant</t>
  </si>
  <si>
    <t>début</t>
  </si>
  <si>
    <t>fin</t>
  </si>
  <si>
    <t>moyenne</t>
  </si>
  <si>
    <t>impôt</t>
  </si>
  <si>
    <t>net</t>
  </si>
  <si>
    <t>(2)</t>
  </si>
  <si>
    <t>(3)</t>
  </si>
  <si>
    <t>(4)</t>
  </si>
  <si>
    <t>(5)</t>
  </si>
  <si>
    <t>(6)</t>
  </si>
  <si>
    <t>(7)</t>
  </si>
  <si>
    <t>(8)</t>
  </si>
  <si>
    <t>(9)</t>
  </si>
  <si>
    <t>(11)</t>
  </si>
  <si>
    <t>(12)</t>
  </si>
  <si>
    <t>(13)</t>
  </si>
  <si>
    <t>(14)</t>
  </si>
  <si>
    <t>(15)</t>
  </si>
  <si>
    <t>(16)</t>
  </si>
  <si>
    <t>Notes:</t>
  </si>
  <si>
    <t>Coût en capital</t>
  </si>
  <si>
    <t>Taux</t>
  </si>
  <si>
    <t>pondéré</t>
  </si>
  <si>
    <t>Pondération</t>
  </si>
  <si>
    <t>Taux d'impôt</t>
  </si>
  <si>
    <t>avant impôt</t>
  </si>
  <si>
    <t>(5)=(4)*(1)</t>
  </si>
  <si>
    <t>Dette à long terme</t>
  </si>
  <si>
    <t>Dette à court terme</t>
  </si>
  <si>
    <t>Rendement sur l'avoir</t>
  </si>
  <si>
    <t xml:space="preserve">Impact on </t>
  </si>
  <si>
    <t>earnings</t>
  </si>
  <si>
    <t>Branchements d'immeubles</t>
  </si>
  <si>
    <t>Branchements d'immeubles (473)</t>
  </si>
  <si>
    <t>Conduites principales</t>
  </si>
  <si>
    <t>(000$)</t>
  </si>
  <si>
    <t>en %</t>
  </si>
  <si>
    <t>Hypothèses de travail:</t>
  </si>
  <si>
    <t>budget d'investissement en capital 2014, dont voici le détail (voir GI-25, document 2, page 1 de 1, de la cause tarifaire 2014);</t>
  </si>
  <si>
    <t>Coûts totaux</t>
  </si>
  <si>
    <t>Branchements  d'immeuble (473)</t>
  </si>
  <si>
    <t>Branchements</t>
  </si>
  <si>
    <t>d'immeubles</t>
  </si>
  <si>
    <t>Equipement informatique / logiciel</t>
  </si>
  <si>
    <t>(a) frais de francisation des modules intranet liés à la paie  -&gt;directement attibuable à la classe "Equipement informatique / logiciel"</t>
  </si>
  <si>
    <t>Nature</t>
  </si>
  <si>
    <t>Coût de la francisation initiale</t>
  </si>
  <si>
    <t>Francisation module internet paie</t>
  </si>
  <si>
    <t>Répartition de la subvention</t>
  </si>
  <si>
    <t>10.2% du coût de la francisation initiale</t>
  </si>
  <si>
    <t>Investissement net, part activités règlementées</t>
  </si>
  <si>
    <t>OK</t>
  </si>
  <si>
    <t>Répartition par classes d'actifs:</t>
  </si>
  <si>
    <t xml:space="preserve">Equipement </t>
  </si>
  <si>
    <t>info / logiciel</t>
  </si>
  <si>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la répartition des coûts totaux entre les natures d'immobilisation "(475) Conduite principale" et "(473) Branchements d'immeubles" se fera sur la base de leur poids (en %) dans le </t>
    </r>
  </si>
  <si>
    <t>Taxe provinciale sur les services publics</t>
  </si>
  <si>
    <t>Equipement informatique / logiciel (491)</t>
  </si>
  <si>
    <t>Voici le détail;</t>
  </si>
  <si>
    <t>vérification: grand total;</t>
  </si>
  <si>
    <t>#491</t>
  </si>
  <si>
    <t>Taxe provin-</t>
  </si>
  <si>
    <t>services publics</t>
  </si>
  <si>
    <t xml:space="preserve">ciale sur les </t>
  </si>
  <si>
    <t>Equipement informatique / logicie</t>
  </si>
  <si>
    <t xml:space="preserve">(2) Sachant qu'une portion (10.2%) du coût du projet doit être allouée aux activités non réglementées, sauf lorsque ces coûts réfèrent à une activité réglementée identifiable, il nous faut retraiter cette portion. </t>
  </si>
  <si>
    <t xml:space="preserve">Ainsi, la francisation du module internet de paie doit être retraitée de la part allouée aux activités non réglementées.  Quant à la traduction de manuels, ces coûts portent sur une activité 100% dite réglementée </t>
  </si>
  <si>
    <t xml:space="preserve">Sachant également que Gazifère bénéficiera d'une subvention de l'OLF de 50K$ attibuable à la traduction des manuels, nous allons neutraliser ces éléments. </t>
  </si>
  <si>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Les coûts sont répartis en terme d'année selon ce qui a été présenté dans les tableaux 1 et 2 de la demande R38xx-2013, de façon uniforme, à l'exception de la subvention survenant à l'achèvement du </t>
    </r>
  </si>
  <si>
    <t>Répartition, incluant la subvention</t>
  </si>
  <si>
    <t>Répartition, sans la subvention</t>
  </si>
  <si>
    <t>Les coûts totaux sont de 3 natures:</t>
  </si>
  <si>
    <t>(a) frais de francisation des manuels de formation liés aux manuels techniques (ci-dessous)  -&gt;directement attibuable aux frais reportés (≠ immobilisation), amortissables sur 3 ans</t>
  </si>
  <si>
    <t xml:space="preserve">(c) frais de traduction des manuels techniques des opération (incluant leur validation) </t>
  </si>
  <si>
    <t xml:space="preserve">  -&gt;il nous faut répartir cette 3e catégorie de frais entre les classes "Conduites principales" et "Branchements d'Immeubles".  </t>
  </si>
  <si>
    <t>Traduction de manuels techniques</t>
  </si>
  <si>
    <t>Traduction des manuels de formation</t>
  </si>
  <si>
    <t>Frais reportés</t>
  </si>
  <si>
    <t>Déduction</t>
  </si>
  <si>
    <t>Impact sur l'impôt</t>
  </si>
  <si>
    <t xml:space="preserve"> dû à l'écart</t>
  </si>
  <si>
    <t xml:space="preserve"> temporaire entre</t>
  </si>
  <si>
    <t xml:space="preserve"> l'ACC/déductions</t>
  </si>
  <si>
    <t>et l'amortissement</t>
  </si>
  <si>
    <t>et ne sont donc pas sujets au retraitement du 10.2%, par contre, ils doivent être retraités de la subvention de l'OLF. Nous affecterons ce retraitement aux manuels de formations (car amortissement plus rapide).</t>
  </si>
  <si>
    <t>#473</t>
  </si>
  <si>
    <t xml:space="preserve">vérification; (204 600 + 647 680 - 50 000) + (264 000 * (1-10.2%))  = </t>
  </si>
  <si>
    <t>et 841 288 + 50000 =</t>
  </si>
  <si>
    <t>versus 841 288</t>
  </si>
  <si>
    <t/>
  </si>
  <si>
    <t>Impact sur</t>
  </si>
  <si>
    <t>les charges</t>
  </si>
  <si>
    <t>d'exploitation</t>
  </si>
  <si>
    <t>valeur nette de fin</t>
  </si>
  <si>
    <t xml:space="preserve">vérification; (167 400 + 529 920 - 50 000) + (216 000 * (1-10.2%))  = </t>
  </si>
  <si>
    <t>versus 1 039 352</t>
  </si>
  <si>
    <t>(10)</t>
  </si>
  <si>
    <t>(17)</t>
  </si>
  <si>
    <t>(18)</t>
  </si>
  <si>
    <t>(19)</t>
  </si>
  <si>
    <t>(20)</t>
  </si>
  <si>
    <t>Coût en capital pondéré avant impôt:</t>
  </si>
  <si>
    <t>Impact du</t>
  </si>
  <si>
    <t>coût de service</t>
  </si>
  <si>
    <t xml:space="preserve">programme (2014@1er déc 2016).  </t>
  </si>
  <si>
    <t>GAZIFÈRE INC.</t>
  </si>
  <si>
    <t>BASE DE TARIFICATION ET CALCUL DE L'AMORTISSEMENT 2014- Coûts de la francisation initiale</t>
  </si>
  <si>
    <t>Tarif</t>
  </si>
  <si>
    <t>13 MO</t>
  </si>
  <si>
    <t xml:space="preserve">MOYENNE </t>
  </si>
  <si>
    <t xml:space="preserve">Ecart entre </t>
  </si>
  <si>
    <t>proposé</t>
  </si>
  <si>
    <t>DEC</t>
  </si>
  <si>
    <t>JAN</t>
  </si>
  <si>
    <t>FEV</t>
  </si>
  <si>
    <t>MARS</t>
  </si>
  <si>
    <t>AVR</t>
  </si>
  <si>
    <t>MAI</t>
  </si>
  <si>
    <t>JUIN</t>
  </si>
  <si>
    <t>JUIL</t>
  </si>
  <si>
    <t>AOUT</t>
  </si>
  <si>
    <t>SEPT</t>
  </si>
  <si>
    <t>OCT</t>
  </si>
  <si>
    <t>NOV</t>
  </si>
  <si>
    <t>TOTAL</t>
  </si>
  <si>
    <t>MOYENNE</t>
  </si>
  <si>
    <t>(ouv+clo/) 2</t>
  </si>
  <si>
    <t>2 moyennes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</si>
  <si>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</si>
  <si>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</si>
  <si>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</si>
  <si>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</si>
  <si>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</si>
  <si>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</si>
  <si>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</si>
  <si>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</si>
  <si>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</si>
  <si>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</si>
  <si>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</si>
  <si>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</si>
  <si>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</si>
  <si>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</si>
  <si>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</si>
  <si>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#475 Conduite principale</t>
  </si>
  <si>
    <t xml:space="preserve"> Additions</t>
  </si>
  <si>
    <t xml:space="preserve"> Retraits (Échanges)</t>
  </si>
  <si>
    <t xml:space="preserve"> Solde de la fin</t>
  </si>
  <si>
    <t xml:space="preserve"> #103 Amortissement cumulé</t>
  </si>
  <si>
    <t xml:space="preserve"> Produits de disposition</t>
  </si>
  <si>
    <t xml:space="preserve"> Amortissement</t>
  </si>
  <si>
    <t xml:space="preserve"> Valeur nette </t>
  </si>
  <si>
    <t>#473 Branchements d'immeubles</t>
  </si>
  <si>
    <t>#491 Equipement info / logiciels</t>
  </si>
  <si>
    <t>TOTAL DES IMMOBILISATIONS - Francisation</t>
  </si>
  <si>
    <t xml:space="preserve"> Additions </t>
  </si>
  <si>
    <t>Frais reportés - amortissement cumulé</t>
  </si>
  <si>
    <t>TOTAL DES IMMOBILISATIONS + FRAIS REPORTES - Francisation</t>
  </si>
  <si>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Impact sur les charges d'exploitation.  Ceux-ci nous sont fournis dans le tableau 2 de la demande R38xx-2013.  Il nous faut retraiter la portion affectée aux activités non règlementées </t>
    </r>
  </si>
  <si>
    <t xml:space="preserve">concernant les charges d'exploitation qui relèvent à la fois d'activitrés règlementées et d'activités non règlementées.  </t>
  </si>
  <si>
    <t>Voici un sommaire (se référer au tableau 2 de la demande pour un descriptif de la charge);</t>
  </si>
  <si>
    <t>année</t>
  </si>
  <si>
    <t>nature de la charge</t>
  </si>
  <si>
    <t>Ress humaines - documents</t>
  </si>
  <si>
    <t>Ress humaines - formations</t>
  </si>
  <si>
    <t>Formations tech - formateur</t>
  </si>
  <si>
    <t>Formations tech - traductions MAJ manuels</t>
  </si>
  <si>
    <t>Technologies de l'information</t>
  </si>
  <si>
    <t>Sous-total</t>
  </si>
  <si>
    <t>Ss-total à affecter aux AR (89.8% du ss-total)</t>
  </si>
  <si>
    <t>Charges d'expl totales - AR</t>
  </si>
  <si>
    <t>Manuels techniques</t>
  </si>
  <si>
    <t>Frais reportés *</t>
  </si>
  <si>
    <t>* pr fins d'analyse, la déductibilités des frais 2014 se fera en 2015</t>
  </si>
  <si>
    <t>Impact sur les impôts:</t>
  </si>
  <si>
    <t>Moins: ACC et déduction fiscale</t>
  </si>
  <si>
    <t>Écart temporaire</t>
  </si>
  <si>
    <t>Multiplié par taux d'imposition</t>
  </si>
  <si>
    <t>Majoré pour déterminer l'impact sur le coût de service</t>
  </si>
  <si>
    <t>ACC et déduction</t>
  </si>
  <si>
    <t>Amortissement (actif et CFR)</t>
  </si>
  <si>
    <t>et 1 039 352 + 50 000 =</t>
  </si>
  <si>
    <t>VENTILATION DES COÛTS DU PROJET DE REALISATION DU PROGRAMME DE FRANCISATION ET IMPACT SUR LE COUT DE SERVICE - AVEC SENSIBILITE +10% DES COUTS</t>
  </si>
  <si>
    <t>VENTILATION DES COÛTS DU PROJET DE REALISATION DU PROGRAMME DE FRANCISATION ET IMPACT SUR LE COUT DE SERVICE - AVEC SENSIBILITE -10% DES COUTS</t>
  </si>
  <si>
    <t xml:space="preserve"> dû à l'écart tem-</t>
  </si>
  <si>
    <t xml:space="preserve"> poraire entre l'ACC</t>
  </si>
  <si>
    <t>mortissement (2)</t>
  </si>
  <si>
    <t xml:space="preserve"> /déductions et l'a-</t>
  </si>
  <si>
    <t>Impact sur l'impôt dû à l'écart temporaire entre l'ACC/déductions et l'amortissement</t>
  </si>
  <si>
    <t>Impact sur les charges d'exploitation</t>
  </si>
  <si>
    <t>Variation du coût</t>
  </si>
  <si>
    <t>de service d'une</t>
  </si>
  <si>
    <t>année dur</t>
  </si>
  <si>
    <t>l'autre</t>
  </si>
  <si>
    <t>année sur</t>
  </si>
  <si>
    <t>et 862 288 + 50000 =</t>
  </si>
  <si>
    <t>versus 862 288</t>
  </si>
  <si>
    <t xml:space="preserve">vérification; (167 400 + 550 890 - 50 000) + (216 000 * (1-10.2%))  = </t>
  </si>
  <si>
    <t xml:space="preserve">vérification; (204 600 + 673 310 - 50 000) + (264 000 * (1-10.2%))  = </t>
  </si>
  <si>
    <t>et 1 064 982 + 50 000 =</t>
  </si>
  <si>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Impact sur les charges d'exploitation.  Ceux-ci nous sont fournis dans le tableau 2 de la demande R3862-2013.  Il nous faut retraiter la portion affectée aux activités non règlementées </t>
    </r>
  </si>
  <si>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Les coûts sont répartis en terme d'année selon ce qui a été présenté dans les tableaux 1 et 2 de la demande R3862-2013, de façon uniforme, à l'exception de la subvention survenant à l'achèvement du </t>
    </r>
  </si>
  <si>
    <t>Cause tarif. 2014</t>
  </si>
  <si>
    <t>GAZIFERE INC</t>
  </si>
  <si>
    <t>TABLEAU 4.2 A</t>
  </si>
  <si>
    <t>TABLEAU 4.2 B</t>
  </si>
  <si>
    <t>Allocation aux activités non règlementées (10.2%)</t>
  </si>
  <si>
    <t>Sous-total (impact sur les charges d'exploitation règlementées)</t>
  </si>
  <si>
    <t>Charges d'exploitation totales - Activités règlementées</t>
  </si>
  <si>
    <t>Formations techniques - formateur</t>
  </si>
  <si>
    <t>Formations techniques - traductions du matériel</t>
  </si>
  <si>
    <t xml:space="preserve">vérification; (0 + 612 100 - 50 000) + (240 000 * (1-10.2%))  = </t>
  </si>
  <si>
    <t>Francisation</t>
  </si>
  <si>
    <t>Rappels:</t>
  </si>
  <si>
    <t>19209 - MCFROP</t>
  </si>
  <si>
    <t>Frais reportés (actif) consistant en la traduction du matériel de formation technique existant</t>
  </si>
  <si>
    <t>19209 - MCFRGE</t>
  </si>
  <si>
    <t>Frais reportés (actif) consistant en la traduction du matériel de formation obligatoire -ensemble des employés</t>
  </si>
  <si>
    <t>19209 - MCTRAN</t>
  </si>
  <si>
    <t>Compte de frais reportés 2014 pour lequel on demande une liquidation en 2016 (consiste en des frais d'opérations non inclus à la Cause 2014)</t>
  </si>
  <si>
    <t>Comptes</t>
  </si>
  <si>
    <t>R2014</t>
  </si>
  <si>
    <t>F2015</t>
  </si>
  <si>
    <t>B2016</t>
  </si>
  <si>
    <t>Traitement 2015</t>
  </si>
  <si>
    <t>Traitement 2016</t>
  </si>
  <si>
    <t>Amortir au fil de l'eau sur les 8 mois restants</t>
  </si>
  <si>
    <t>Amortir pleinement le F2015 + au fil de l'eau l'ajout 2016</t>
  </si>
  <si>
    <t>Amortir pleinement le R2014 + au fil de l'eau l'ajout 2015</t>
  </si>
  <si>
    <t>Amortir pleinement le R2014+F2015</t>
  </si>
  <si>
    <t>Calculer des intérêts dessus car hors base</t>
  </si>
  <si>
    <t>A liquider (fera partie des CFR liquidés via le CC25452)</t>
  </si>
  <si>
    <t>Déc 14</t>
  </si>
  <si>
    <t>Jan 15</t>
  </si>
  <si>
    <t>Fév 15</t>
  </si>
  <si>
    <t>Mars 15</t>
  </si>
  <si>
    <t>Avril 15</t>
  </si>
  <si>
    <t>Mai 15</t>
  </si>
  <si>
    <t>Juin 15</t>
  </si>
  <si>
    <t>Juil 15</t>
  </si>
  <si>
    <t>Août 15</t>
  </si>
  <si>
    <t>Sept 15</t>
  </si>
  <si>
    <t>Oct 15</t>
  </si>
  <si>
    <t>Nov 15</t>
  </si>
  <si>
    <t>Déc 15</t>
  </si>
  <si>
    <t>Total</t>
  </si>
  <si>
    <t>Commentaires</t>
  </si>
  <si>
    <t>Ouverture</t>
  </si>
  <si>
    <t>19209 MCFROP - ajout -base</t>
  </si>
  <si>
    <t>19209 MCFRGE - ajout -base</t>
  </si>
  <si>
    <t>19209 MCTRAN -&gt; hors base!</t>
  </si>
  <si>
    <t>Sous-total - base fin de mois</t>
  </si>
  <si>
    <t>Vérif: ouv de 5 808 + 182 000 + 17 400 = 205 208$  .:OK)</t>
  </si>
  <si>
    <t>19209 MCFROP - passation en charge (61511 ds 679.15/CC25401)</t>
  </si>
  <si>
    <t>Au moment du budget des CC, j'ai utilisé la règle de demie-année, sans décalage de mois… dans la vraie vie, j'aurai un décalage d'un mois.  Ecart N/S</t>
  </si>
  <si>
    <t>19209 MCFRGE - passation en charge (60401 ds le CC25450)</t>
  </si>
  <si>
    <t>Sous-total - amortissement mensuel</t>
  </si>
  <si>
    <t>Sous-total - amortissement cumulé</t>
  </si>
  <si>
    <r>
      <t xml:space="preserve">Base </t>
    </r>
    <r>
      <rPr>
        <b/>
        <u/>
        <sz val="12"/>
        <color indexed="8"/>
        <rFont val="Calibri"/>
        <family val="2"/>
      </rPr>
      <t>nette</t>
    </r>
    <r>
      <rPr>
        <b/>
        <sz val="12"/>
        <color indexed="8"/>
        <rFont val="Calibri"/>
        <family val="2"/>
      </rPr>
      <t xml:space="preserve"> F2015 concernant la francisation</t>
    </r>
  </si>
  <si>
    <t>Vérif:</t>
  </si>
  <si>
    <t>Base brute</t>
  </si>
  <si>
    <t>Amort</t>
  </si>
  <si>
    <t>Base nette</t>
  </si>
  <si>
    <t>Jan 16</t>
  </si>
  <si>
    <t>Fév 16</t>
  </si>
  <si>
    <t>Mars 16</t>
  </si>
  <si>
    <t>Avril 16</t>
  </si>
  <si>
    <t>Mai 16</t>
  </si>
  <si>
    <t>Juin 16</t>
  </si>
  <si>
    <t>Juil 16</t>
  </si>
  <si>
    <t>Août 16</t>
  </si>
  <si>
    <t>Sept 16</t>
  </si>
  <si>
    <t>Oct 16</t>
  </si>
  <si>
    <t>Nov 16</t>
  </si>
  <si>
    <t>Déc 16</t>
  </si>
  <si>
    <t>Vérif: ouv de 205 208 + 300 000 + 0 = 505 208$  .:OK)</t>
  </si>
  <si>
    <r>
      <t xml:space="preserve">Base </t>
    </r>
    <r>
      <rPr>
        <b/>
        <u/>
        <sz val="12"/>
        <color indexed="8"/>
        <rFont val="Calibri"/>
        <family val="2"/>
      </rPr>
      <t>nette</t>
    </r>
    <r>
      <rPr>
        <b/>
        <sz val="12"/>
        <color indexed="8"/>
        <rFont val="Calibri"/>
        <family val="2"/>
      </rPr>
      <t xml:space="preserve"> B2016 concernant la francisation</t>
    </r>
  </si>
  <si>
    <t>Tableaux d'amortissement</t>
  </si>
  <si>
    <t>Jan 17</t>
  </si>
  <si>
    <t>Fév 17</t>
  </si>
  <si>
    <t>Mars 17</t>
  </si>
  <si>
    <t>Avril 17</t>
  </si>
  <si>
    <t>Mai 17</t>
  </si>
  <si>
    <t>Juin 17</t>
  </si>
  <si>
    <t>Juil 17</t>
  </si>
  <si>
    <t>Août 17</t>
  </si>
  <si>
    <t>Sept 17</t>
  </si>
  <si>
    <t>Oct 17</t>
  </si>
  <si>
    <t>Nov 17</t>
  </si>
  <si>
    <t>Déc 17</t>
  </si>
  <si>
    <t>Jan 18</t>
  </si>
  <si>
    <t>Fév 18</t>
  </si>
  <si>
    <t>Mars 18</t>
  </si>
  <si>
    <t>Avril 18</t>
  </si>
  <si>
    <t>Mai 18</t>
  </si>
  <si>
    <t>Juin 18</t>
  </si>
  <si>
    <t>Juil 18</t>
  </si>
  <si>
    <t>Août 18</t>
  </si>
  <si>
    <t>Sept 18</t>
  </si>
  <si>
    <t>Oct 18</t>
  </si>
  <si>
    <t>Nov 18</t>
  </si>
  <si>
    <t>Déc 18</t>
  </si>
  <si>
    <t>Jan 19</t>
  </si>
  <si>
    <t>Fév 19</t>
  </si>
  <si>
    <t>Mars 19</t>
  </si>
  <si>
    <t>Avril 19</t>
  </si>
  <si>
    <t>Mai 19</t>
  </si>
  <si>
    <t>Juin 19</t>
  </si>
  <si>
    <t>Juil 19</t>
  </si>
  <si>
    <t>Août 19</t>
  </si>
  <si>
    <t>Sept 19</t>
  </si>
  <si>
    <t>Oct 19</t>
  </si>
  <si>
    <t>Nov 19</t>
  </si>
  <si>
    <t>Déc 19</t>
  </si>
  <si>
    <t>19209 MCFROP - ajout de base 2015 - mai</t>
  </si>
  <si>
    <t>19209 MCFROP - ajout de base 2015 - juin</t>
  </si>
  <si>
    <t>19209 MCFROP - ajout de base 2015 - juillet</t>
  </si>
  <si>
    <t>19209 MCFROP - ajout de base 2015 - août</t>
  </si>
  <si>
    <t>19209 MCFROP - ajout de base 2015 - septembre</t>
  </si>
  <si>
    <t>19209 MCFROP - ajout de base 2015 - octobre</t>
  </si>
  <si>
    <t>19209 MCFROP - ajout de base 2015 - novembre</t>
  </si>
  <si>
    <t>19209 MCFROP - ajout de base 2015 - décembre</t>
  </si>
  <si>
    <t>Ajout de base F2015 .:OK</t>
  </si>
  <si>
    <t>Sous-Total Amort 2015 - 19209 MCFROP</t>
  </si>
  <si>
    <t>19209 MCFRGE - 2014</t>
  </si>
  <si>
    <t>Solde 2014 .:OK</t>
  </si>
  <si>
    <t>19209 MCFRGE - ajout de base 2015 - mai</t>
  </si>
  <si>
    <t>19209 MCFRGE - ajout de base 2015 - juin</t>
  </si>
  <si>
    <t>19209 MCFRGE - ajout de base 2015 - juillet</t>
  </si>
  <si>
    <t>19209 MCFRGE - ajout de base 2015 - août</t>
  </si>
  <si>
    <t>19209 MCFRGE - ajout de base 2015 - sept</t>
  </si>
  <si>
    <t>19209 MCFRGE - ajout de base 2015 - oct</t>
  </si>
  <si>
    <t>19209 MCFRGE - ajout de base 2015 - nov</t>
  </si>
  <si>
    <t>19209 MCFRGE - ajout de base 2015 - déc</t>
  </si>
  <si>
    <t>Sous-Total Amort 2015 - 19209 MCFRGE</t>
  </si>
  <si>
    <t>TOTAL -Charge d'amortissement 2015</t>
  </si>
  <si>
    <t>19209 MCFROP - ajout de base 2016 - janvier</t>
  </si>
  <si>
    <t>19209 MCFROP - ajout de base 2016 - février</t>
  </si>
  <si>
    <t>19209 MCFROP - ajout de base 2016 - mars</t>
  </si>
  <si>
    <t>19209 MCFROP - ajout de base 2016 - avril</t>
  </si>
  <si>
    <t>19209 MCFROP - ajout de base 2016 - mai</t>
  </si>
  <si>
    <t>19209 MCFROP - ajout de base 2016 - juin</t>
  </si>
  <si>
    <t>19209 MCFROP - ajout de base 2016 - juil</t>
  </si>
  <si>
    <t>19209 MCFROP - ajout de base 2016 - août</t>
  </si>
  <si>
    <t>19209 MCFROP - ajout de base 2016 - sept</t>
  </si>
  <si>
    <t>19209 MCFROP - ajout de base 2016 - oct</t>
  </si>
  <si>
    <t>19209 MCFROP - ajout de base 2016 - nov</t>
  </si>
  <si>
    <t>19209 MCFROP - ajout de base 2016 - déc</t>
  </si>
  <si>
    <t>Ajout de base B2016 .:OK</t>
  </si>
  <si>
    <t>Sous-Total Amort 2016 - 19209 MCFROP</t>
  </si>
  <si>
    <t>Sous-Total Amort 2016 - 19209 MCFRGE</t>
  </si>
  <si>
    <t>TOTAL -Charge d'amortissement 2016</t>
  </si>
  <si>
    <t>Cause tarif. 2016</t>
  </si>
  <si>
    <t>Impact sur l'impôt dû à l'écart temporaire entre l'ACC/déduction et l'amortissement</t>
  </si>
  <si>
    <t>(1/1-0,269)</t>
  </si>
  <si>
    <t>Ress humaines - documents relatifs à l'emploi</t>
  </si>
  <si>
    <t>Ress humaines - formations à l'ensemble des employés</t>
  </si>
  <si>
    <t>Allocation aux activités non réglementées (10,2%)</t>
  </si>
  <si>
    <t>Sous-total (impact sur les charges d'exploitation réglementées)</t>
  </si>
  <si>
    <t>Charges d'exploitation totales - Activités réglementées</t>
  </si>
  <si>
    <t>versus 777 620</t>
  </si>
  <si>
    <t>et 777 620 + 50000 =</t>
  </si>
  <si>
    <t>GAZIFÈRE INC</t>
  </si>
  <si>
    <t>IMPACT SUR LE COÛT DE SERVICE DU PROJET DE RÉALISATION DU PROGRAMME DE FRANCISATION</t>
  </si>
  <si>
    <t>CAUSE TARIFAIRE 2016 (Phase 3)</t>
  </si>
  <si>
    <t xml:space="preserve">No de </t>
  </si>
  <si>
    <t>ligne</t>
  </si>
  <si>
    <t>Notes:         (1)</t>
  </si>
  <si>
    <t>BASE DE TARIFICATION ET CALCUL DE L'AMORTISSEMENT - Projet de réalisation du programme de francisation (000$)</t>
  </si>
  <si>
    <t>Tableau d'amortissement 2016</t>
  </si>
  <si>
    <t>Original:  2015-08-28</t>
  </si>
  <si>
    <t>Révisé: 2015-09-09</t>
  </si>
  <si>
    <t>GI-34</t>
  </si>
  <si>
    <t>Document 3</t>
  </si>
  <si>
    <t>Page 2 de 2</t>
  </si>
  <si>
    <t>Requête 3924-2015</t>
  </si>
  <si>
    <t>Page 1 de 2</t>
  </si>
  <si>
    <r>
      <rPr>
        <b/>
        <sz val="10"/>
        <color theme="0"/>
        <rFont val="Arial"/>
        <family val="2"/>
      </rPr>
      <t>(1)</t>
    </r>
    <r>
      <rPr>
        <sz val="10"/>
        <color theme="0"/>
        <rFont val="Arial"/>
        <family val="2"/>
      </rPr>
      <t xml:space="preserve"> la répartition des coûts totaux entre les natures d'immobilisation "(475) Conduite principale" et "(473) Branchements d'immeubles" se fera sur la base de leur poids (en %) dans le </t>
    </r>
  </si>
  <si>
    <r>
      <rPr>
        <b/>
        <sz val="10"/>
        <color theme="0"/>
        <rFont val="Arial"/>
        <family val="2"/>
      </rPr>
      <t>(3)</t>
    </r>
    <r>
      <rPr>
        <sz val="10"/>
        <color theme="0"/>
        <rFont val="Arial"/>
        <family val="2"/>
      </rPr>
      <t xml:space="preserve"> Les coûts sont répartis en terme d'année selon ce qui a été présenté dans les tableaux 1 et 2 de la demande R38xx-2013, de façon uniforme, à l'exception de la subvention survenant à l'achèvement du </t>
    </r>
  </si>
  <si>
    <r>
      <rPr>
        <b/>
        <sz val="10"/>
        <color theme="0"/>
        <rFont val="Arial"/>
        <family val="2"/>
      </rPr>
      <t>(4)</t>
    </r>
    <r>
      <rPr>
        <sz val="10"/>
        <color theme="0"/>
        <rFont val="Arial"/>
        <family val="2"/>
      </rPr>
      <t xml:space="preserve"> Impact sur les charges d'exploitation.  Ceux-ci nous sont fournis dans le tableau 2 de la demande R3862-2013.  Il nous faut retraiter la portion affectée aux activités non règlementées </t>
    </r>
  </si>
  <si>
    <t>TOTAL DES IMMOS + FRAIS REPORTES - Francisation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</si>
</sst>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;;;"/>
    <numFmt numFmtId="166" formatCode="General_)"/>
    <numFmt numFmtId="167" formatCode="#,##0;[Red]\(#,##0\)"/>
    <numFmt numFmtId="168" formatCode="#,##0.00;[Red]\(#,##0.00\)"/>
    <numFmt numFmtId="169" formatCode="&quot;$&quot;#,##0;[Red]\(&quot;$&quot;#,##0\)"/>
    <numFmt numFmtId="170" formatCode="0.0%"/>
    <numFmt numFmtId="171" formatCode="#,##0.0_);\(#,##0.0\)"/>
  </numFmts>
  <fonts count="24">
    <font>
      <sz val="10"/>
      <name val="Arial"/>
    </font>
    <font>
      <sz val="10"/>
      <name val="Helvetica-Narrow"/>
      <family val="2"/>
    </font>
    <font>
      <sz val="10"/>
      <name val="Arial MT"/>
    </font>
    <font>
      <sz val="8"/>
      <color indexed="45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0"/>
      <name val="Helvetica-Narrow"/>
    </font>
    <font>
      <sz val="8"/>
      <name val="Courier"/>
      <family val="3"/>
    </font>
    <font>
      <sz val="12"/>
      <color indexed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MS Sans Serif"/>
      <family val="2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12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5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6" fillId="0" borderId="0"/>
    <xf numFmtId="166" fontId="14" fillId="0" borderId="0"/>
    <xf numFmtId="0" fontId="6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4" fillId="0" borderId="0"/>
    <xf numFmtId="166" fontId="14" fillId="0" borderId="0"/>
    <xf numFmtId="0" fontId="6" fillId="0" borderId="0"/>
    <xf numFmtId="166" fontId="14" fillId="0" borderId="0"/>
    <xf numFmtId="0" fontId="6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4" fillId="0" borderId="0"/>
    <xf numFmtId="166" fontId="14" fillId="0" borderId="0"/>
    <xf numFmtId="166" fontId="14" fillId="0" borderId="0" applyAlignment="0">
      <alignment vertical="top"/>
    </xf>
    <xf numFmtId="16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4" fillId="0" borderId="0"/>
    <xf numFmtId="166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166" fontId="14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4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9" fontId="20" fillId="0" borderId="0" applyFont="0" applyFill="0" applyBorder="0" applyAlignment="0" applyProtection="0"/>
    <xf numFmtId="171" fontId="21" fillId="0" borderId="0"/>
    <xf numFmtId="171" fontId="21" fillId="0" borderId="0"/>
  </cellStyleXfs>
  <cellXfs count="36">
    <xf numFmtId="0" fontId="0" fillId="0" borderId="0" xfId="0"/>
    <xf numFmtId="0" fontId="0" fillId="0" borderId="0" xfId="0"/>
    <xf numFmtId="10" fontId="0" fillId="0" borderId="0" xfId="0" applyNumberFormat="1"/>
    <xf numFmtId="0" fontId="19" fillId="0" borderId="0" xfId="0" applyFont="1"/>
    <xf numFmtId="0" fontId="0" fillId="0" borderId="0" xfId="0"/>
    <xf numFmtId="3" fontId="0" fillId="0" borderId="0" xfId="0" applyNumberFormat="1"/>
    <xf numFmtId="10" fontId="0" fillId="0" borderId="1" xfId="0" applyNumberForma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170" fontId="0" fillId="0" borderId="0" xfId="6124" applyNumberFormat="1" applyFont="1"/>
    <xf numFmtId="3" fontId="0" fillId="0" borderId="3" xfId="0" applyNumberFormat="1" applyBorder="1"/>
    <xf numFmtId="3" fontId="0" fillId="0" borderId="1" xfId="0" applyNumberFormat="1" applyBorder="1"/>
    <xf numFmtId="0" fontId="0" fillId="0" borderId="4" xfId="0" applyBorder="1"/>
    <xf numFmtId="3" fontId="0" fillId="0" borderId="4" xfId="0" applyNumberFormat="1" applyBorder="1"/>
    <xf numFmtId="0" fontId="0" fillId="0" borderId="5" xfId="0" applyBorder="1"/>
    <xf numFmtId="3" fontId="0" fillId="0" borderId="5" xfId="0" applyNumberFormat="1" applyBorder="1"/>
    <xf numFmtId="3" fontId="0" fillId="0" borderId="2" xfId="0" applyNumberFormat="1" applyBorder="1"/>
    <xf numFmtId="2" fontId="0" fillId="0" borderId="0" xfId="0" applyNumberFormat="1"/>
    <xf numFmtId="171" fontId="7" fillId="0" borderId="0" xfId="6126" applyFont="1" applyBorder="1" applyProtection="1"/>
    <xf numFmtId="0" fontId="7" fillId="0" borderId="0" xfId="1921" applyFont="1"/>
    <xf numFmtId="171" fontId="7" fillId="0" borderId="0" xfId="6125" applyFont="1" applyAlignment="1" applyProtection="1">
      <alignment horizontal="right"/>
    </xf>
    <xf numFmtId="171" fontId="7" fillId="0" borderId="0" xfId="6125" applyFont="1" applyBorder="1" applyAlignment="1" applyProtection="1">
      <alignment horizontal="right"/>
    </xf>
    <xf numFmtId="0" fontId="0" fillId="0" borderId="0" xfId="0" applyBorder="1"/>
    <xf numFmtId="3" fontId="0" fillId="0" borderId="0" xfId="0" applyNumberFormat="1" applyBorder="1"/>
    <xf numFmtId="3" fontId="19" fillId="0" borderId="0" xfId="0" applyNumberFormat="1" applyFont="1"/>
    <xf numFmtId="9" fontId="19" fillId="0" borderId="0" xfId="6124" applyFont="1"/>
    <xf numFmtId="3" fontId="19" fillId="0" borderId="5" xfId="0" applyNumberFormat="1" applyFont="1" applyBorder="1"/>
    <xf numFmtId="0" fontId="0" fillId="0" borderId="0" xfId="0"/>
    <xf numFmtId="0" fontId="19" fillId="0" borderId="0" xfId="0" applyFont="1"/>
    <xf numFmtId="0" fontId="18" fillId="0" borderId="0" xfId="1921" applyFont="1" applyFill="1" applyAlignment="1">
      <alignment horizontal="center"/>
    </xf>
    <xf numFmtId="0" fontId="18" fillId="0" borderId="0" xfId="6123" applyFont="1" applyAlignment="1">
      <alignment horizontal="center"/>
    </xf>
    <xf numFmtId="0" fontId="18" fillId="0" borderId="0" xfId="1955" applyFont="1" applyAlignment="1">
      <alignment horizontal="center"/>
    </xf>
    <xf numFmtId="171" fontId="22" fillId="0" borderId="0" xfId="6125" applyFont="1" applyBorder="1" applyAlignment="1" applyProtection="1">
      <alignment horizontal="center"/>
    </xf>
    <xf numFmtId="171" fontId="22" fillId="0" borderId="0" xfId="6126" applyFont="1" applyBorder="1" applyAlignment="1" applyProtection="1">
      <alignment horizontal="center"/>
    </xf>
    <xf numFmtId="171" fontId="22" fillId="0" borderId="0" xfId="6125" quotePrefix="1" applyFont="1" applyBorder="1" applyAlignment="1" applyProtection="1">
      <alignment horizontal="center"/>
    </xf>
  </cellXfs>
  <cellStyles count="6127">
    <cellStyle name="Comma [0.0]" xfId="1"/>
    <cellStyle name="Comma [0.0] 10" xfId="2"/>
    <cellStyle name="Comma [0.0] 10 10" xfId="3"/>
    <cellStyle name="Comma [0.0] 10 11" xfId="4"/>
    <cellStyle name="Comma [0.0] 10 12" xfId="5"/>
    <cellStyle name="Comma [0.0] 10 13" xfId="6"/>
    <cellStyle name="Comma [0.0] 10 14" xfId="7"/>
    <cellStyle name="Comma [0.0] 10 15" xfId="8"/>
    <cellStyle name="Comma [0.0] 10 16" xfId="9"/>
    <cellStyle name="Comma [0.0] 10 17" xfId="10"/>
    <cellStyle name="Comma [0.0] 10 18" xfId="11"/>
    <cellStyle name="Comma [0.0] 10 19" xfId="12"/>
    <cellStyle name="Comma [0.0] 10 2" xfId="13"/>
    <cellStyle name="Comma [0.0] 10 20" xfId="14"/>
    <cellStyle name="Comma [0.0] 10 21" xfId="15"/>
    <cellStyle name="Comma [0.0] 10 22" xfId="16"/>
    <cellStyle name="Comma [0.0] 10 23" xfId="17"/>
    <cellStyle name="Comma [0.0] 10 24" xfId="18"/>
    <cellStyle name="Comma [0.0] 10 25" xfId="19"/>
    <cellStyle name="Comma [0.0] 10 26" xfId="20"/>
    <cellStyle name="Comma [0.0] 10 27" xfId="21"/>
    <cellStyle name="Comma [0.0] 10 28" xfId="22"/>
    <cellStyle name="Comma [0.0] 10 3" xfId="23"/>
    <cellStyle name="Comma [0.0] 10 4" xfId="24"/>
    <cellStyle name="Comma [0.0] 10 5" xfId="25"/>
    <cellStyle name="Comma [0.0] 10 6" xfId="26"/>
    <cellStyle name="Comma [0.0] 10 7" xfId="27"/>
    <cellStyle name="Comma [0.0] 10 8" xfId="28"/>
    <cellStyle name="Comma [0.0] 10 9" xfId="29"/>
    <cellStyle name="Comma [0.0] 11" xfId="30"/>
    <cellStyle name="Comma [0.0] 11 10" xfId="31"/>
    <cellStyle name="Comma [0.0] 11 11" xfId="32"/>
    <cellStyle name="Comma [0.0] 11 12" xfId="33"/>
    <cellStyle name="Comma [0.0] 11 13" xfId="34"/>
    <cellStyle name="Comma [0.0] 11 14" xfId="35"/>
    <cellStyle name="Comma [0.0] 11 15" xfId="36"/>
    <cellStyle name="Comma [0.0] 11 16" xfId="37"/>
    <cellStyle name="Comma [0.0] 11 17" xfId="38"/>
    <cellStyle name="Comma [0.0] 11 18" xfId="39"/>
    <cellStyle name="Comma [0.0] 11 19" xfId="40"/>
    <cellStyle name="Comma [0.0] 11 2" xfId="41"/>
    <cellStyle name="Comma [0.0] 11 20" xfId="42"/>
    <cellStyle name="Comma [0.0] 11 21" xfId="43"/>
    <cellStyle name="Comma [0.0] 11 22" xfId="44"/>
    <cellStyle name="Comma [0.0] 11 23" xfId="45"/>
    <cellStyle name="Comma [0.0] 11 24" xfId="46"/>
    <cellStyle name="Comma [0.0] 11 25" xfId="47"/>
    <cellStyle name="Comma [0.0] 11 26" xfId="48"/>
    <cellStyle name="Comma [0.0] 11 27" xfId="49"/>
    <cellStyle name="Comma [0.0] 11 28" xfId="50"/>
    <cellStyle name="Comma [0.0] 11 3" xfId="51"/>
    <cellStyle name="Comma [0.0] 11 4" xfId="52"/>
    <cellStyle name="Comma [0.0] 11 5" xfId="53"/>
    <cellStyle name="Comma [0.0] 11 6" xfId="54"/>
    <cellStyle name="Comma [0.0] 11 7" xfId="55"/>
    <cellStyle name="Comma [0.0] 11 8" xfId="56"/>
    <cellStyle name="Comma [0.0] 11 9" xfId="57"/>
    <cellStyle name="Comma [0.0] 12" xfId="58"/>
    <cellStyle name="Comma [0.0] 12 10" xfId="59"/>
    <cellStyle name="Comma [0.0] 12 11" xfId="60"/>
    <cellStyle name="Comma [0.0] 12 12" xfId="61"/>
    <cellStyle name="Comma [0.0] 12 13" xfId="62"/>
    <cellStyle name="Comma [0.0] 12 14" xfId="63"/>
    <cellStyle name="Comma [0.0] 12 15" xfId="64"/>
    <cellStyle name="Comma [0.0] 12 16" xfId="65"/>
    <cellStyle name="Comma [0.0] 12 17" xfId="66"/>
    <cellStyle name="Comma [0.0] 12 18" xfId="67"/>
    <cellStyle name="Comma [0.0] 12 19" xfId="68"/>
    <cellStyle name="Comma [0.0] 12 2" xfId="69"/>
    <cellStyle name="Comma [0.0] 12 20" xfId="70"/>
    <cellStyle name="Comma [0.0] 12 21" xfId="71"/>
    <cellStyle name="Comma [0.0] 12 22" xfId="72"/>
    <cellStyle name="Comma [0.0] 12 23" xfId="73"/>
    <cellStyle name="Comma [0.0] 12 24" xfId="74"/>
    <cellStyle name="Comma [0.0] 12 25" xfId="75"/>
    <cellStyle name="Comma [0.0] 12 26" xfId="76"/>
    <cellStyle name="Comma [0.0] 12 27" xfId="77"/>
    <cellStyle name="Comma [0.0] 12 28" xfId="78"/>
    <cellStyle name="Comma [0.0] 12 3" xfId="79"/>
    <cellStyle name="Comma [0.0] 12 4" xfId="80"/>
    <cellStyle name="Comma [0.0] 12 5" xfId="81"/>
    <cellStyle name="Comma [0.0] 12 6" xfId="82"/>
    <cellStyle name="Comma [0.0] 12 7" xfId="83"/>
    <cellStyle name="Comma [0.0] 12 8" xfId="84"/>
    <cellStyle name="Comma [0.0] 12 9" xfId="85"/>
    <cellStyle name="Comma [0.0] 13" xfId="86"/>
    <cellStyle name="Comma [0.0] 13 10" xfId="87"/>
    <cellStyle name="Comma [0.0] 13 11" xfId="88"/>
    <cellStyle name="Comma [0.0] 13 12" xfId="89"/>
    <cellStyle name="Comma [0.0] 13 13" xfId="90"/>
    <cellStyle name="Comma [0.0] 13 14" xfId="91"/>
    <cellStyle name="Comma [0.0] 13 15" xfId="92"/>
    <cellStyle name="Comma [0.0] 13 16" xfId="93"/>
    <cellStyle name="Comma [0.0] 13 17" xfId="94"/>
    <cellStyle name="Comma [0.0] 13 18" xfId="95"/>
    <cellStyle name="Comma [0.0] 13 19" xfId="96"/>
    <cellStyle name="Comma [0.0] 13 2" xfId="97"/>
    <cellStyle name="Comma [0.0] 13 20" xfId="98"/>
    <cellStyle name="Comma [0.0] 13 21" xfId="99"/>
    <cellStyle name="Comma [0.0] 13 22" xfId="100"/>
    <cellStyle name="Comma [0.0] 13 23" xfId="101"/>
    <cellStyle name="Comma [0.0] 13 24" xfId="102"/>
    <cellStyle name="Comma [0.0] 13 25" xfId="103"/>
    <cellStyle name="Comma [0.0] 13 26" xfId="104"/>
    <cellStyle name="Comma [0.0] 13 27" xfId="105"/>
    <cellStyle name="Comma [0.0] 13 28" xfId="106"/>
    <cellStyle name="Comma [0.0] 13 3" xfId="107"/>
    <cellStyle name="Comma [0.0] 13 4" xfId="108"/>
    <cellStyle name="Comma [0.0] 13 5" xfId="109"/>
    <cellStyle name="Comma [0.0] 13 6" xfId="110"/>
    <cellStyle name="Comma [0.0] 13 7" xfId="111"/>
    <cellStyle name="Comma [0.0] 13 8" xfId="112"/>
    <cellStyle name="Comma [0.0] 13 9" xfId="113"/>
    <cellStyle name="Comma [0.0] 14" xfId="114"/>
    <cellStyle name="Comma [0.0] 14 10" xfId="115"/>
    <cellStyle name="Comma [0.0] 14 11" xfId="116"/>
    <cellStyle name="Comma [0.0] 14 12" xfId="117"/>
    <cellStyle name="Comma [0.0] 14 13" xfId="118"/>
    <cellStyle name="Comma [0.0] 14 14" xfId="119"/>
    <cellStyle name="Comma [0.0] 14 15" xfId="120"/>
    <cellStyle name="Comma [0.0] 14 16" xfId="121"/>
    <cellStyle name="Comma [0.0] 14 17" xfId="122"/>
    <cellStyle name="Comma [0.0] 14 18" xfId="123"/>
    <cellStyle name="Comma [0.0] 14 19" xfId="124"/>
    <cellStyle name="Comma [0.0] 14 2" xfId="125"/>
    <cellStyle name="Comma [0.0] 14 20" xfId="126"/>
    <cellStyle name="Comma [0.0] 14 21" xfId="127"/>
    <cellStyle name="Comma [0.0] 14 22" xfId="128"/>
    <cellStyle name="Comma [0.0] 14 23" xfId="129"/>
    <cellStyle name="Comma [0.0] 14 24" xfId="130"/>
    <cellStyle name="Comma [0.0] 14 25" xfId="131"/>
    <cellStyle name="Comma [0.0] 14 26" xfId="132"/>
    <cellStyle name="Comma [0.0] 14 27" xfId="133"/>
    <cellStyle name="Comma [0.0] 14 28" xfId="134"/>
    <cellStyle name="Comma [0.0] 14 3" xfId="135"/>
    <cellStyle name="Comma [0.0] 14 4" xfId="136"/>
    <cellStyle name="Comma [0.0] 14 5" xfId="137"/>
    <cellStyle name="Comma [0.0] 14 6" xfId="138"/>
    <cellStyle name="Comma [0.0] 14 7" xfId="139"/>
    <cellStyle name="Comma [0.0] 14 8" xfId="140"/>
    <cellStyle name="Comma [0.0] 14 9" xfId="141"/>
    <cellStyle name="Comma [0.0] 15" xfId="142"/>
    <cellStyle name="Comma [0.0] 15 10" xfId="143"/>
    <cellStyle name="Comma [0.0] 15 11" xfId="144"/>
    <cellStyle name="Comma [0.0] 15 12" xfId="145"/>
    <cellStyle name="Comma [0.0] 15 13" xfId="146"/>
    <cellStyle name="Comma [0.0] 15 14" xfId="147"/>
    <cellStyle name="Comma [0.0] 15 15" xfId="148"/>
    <cellStyle name="Comma [0.0] 15 16" xfId="149"/>
    <cellStyle name="Comma [0.0] 15 17" xfId="150"/>
    <cellStyle name="Comma [0.0] 15 18" xfId="151"/>
    <cellStyle name="Comma [0.0] 15 19" xfId="152"/>
    <cellStyle name="Comma [0.0] 15 2" xfId="153"/>
    <cellStyle name="Comma [0.0] 15 20" xfId="154"/>
    <cellStyle name="Comma [0.0] 15 21" xfId="155"/>
    <cellStyle name="Comma [0.0] 15 22" xfId="156"/>
    <cellStyle name="Comma [0.0] 15 23" xfId="157"/>
    <cellStyle name="Comma [0.0] 15 24" xfId="158"/>
    <cellStyle name="Comma [0.0] 15 25" xfId="159"/>
    <cellStyle name="Comma [0.0] 15 26" xfId="160"/>
    <cellStyle name="Comma [0.0] 15 27" xfId="161"/>
    <cellStyle name="Comma [0.0] 15 28" xfId="162"/>
    <cellStyle name="Comma [0.0] 15 3" xfId="163"/>
    <cellStyle name="Comma [0.0] 15 4" xfId="164"/>
    <cellStyle name="Comma [0.0] 15 5" xfId="165"/>
    <cellStyle name="Comma [0.0] 15 6" xfId="166"/>
    <cellStyle name="Comma [0.0] 15 7" xfId="167"/>
    <cellStyle name="Comma [0.0] 15 8" xfId="168"/>
    <cellStyle name="Comma [0.0] 15 9" xfId="169"/>
    <cellStyle name="Comma [0.0] 16" xfId="170"/>
    <cellStyle name="Comma [0.0] 16 10" xfId="171"/>
    <cellStyle name="Comma [0.0] 16 11" xfId="172"/>
    <cellStyle name="Comma [0.0] 16 12" xfId="173"/>
    <cellStyle name="Comma [0.0] 16 13" xfId="174"/>
    <cellStyle name="Comma [0.0] 16 14" xfId="175"/>
    <cellStyle name="Comma [0.0] 16 15" xfId="176"/>
    <cellStyle name="Comma [0.0] 16 16" xfId="177"/>
    <cellStyle name="Comma [0.0] 16 17" xfId="178"/>
    <cellStyle name="Comma [0.0] 16 18" xfId="179"/>
    <cellStyle name="Comma [0.0] 16 19" xfId="180"/>
    <cellStyle name="Comma [0.0] 16 2" xfId="181"/>
    <cellStyle name="Comma [0.0] 16 20" xfId="182"/>
    <cellStyle name="Comma [0.0] 16 21" xfId="183"/>
    <cellStyle name="Comma [0.0] 16 22" xfId="184"/>
    <cellStyle name="Comma [0.0] 16 23" xfId="185"/>
    <cellStyle name="Comma [0.0] 16 24" xfId="186"/>
    <cellStyle name="Comma [0.0] 16 25" xfId="187"/>
    <cellStyle name="Comma [0.0] 16 26" xfId="188"/>
    <cellStyle name="Comma [0.0] 16 27" xfId="189"/>
    <cellStyle name="Comma [0.0] 16 28" xfId="190"/>
    <cellStyle name="Comma [0.0] 16 3" xfId="191"/>
    <cellStyle name="Comma [0.0] 16 4" xfId="192"/>
    <cellStyle name="Comma [0.0] 16 5" xfId="193"/>
    <cellStyle name="Comma [0.0] 16 6" xfId="194"/>
    <cellStyle name="Comma [0.0] 16 7" xfId="195"/>
    <cellStyle name="Comma [0.0] 16 8" xfId="196"/>
    <cellStyle name="Comma [0.0] 16 9" xfId="197"/>
    <cellStyle name="Comma [0.0] 17" xfId="198"/>
    <cellStyle name="Comma [0.0] 17 10" xfId="199"/>
    <cellStyle name="Comma [0.0] 17 11" xfId="200"/>
    <cellStyle name="Comma [0.0] 17 12" xfId="201"/>
    <cellStyle name="Comma [0.0] 17 13" xfId="202"/>
    <cellStyle name="Comma [0.0] 17 14" xfId="203"/>
    <cellStyle name="Comma [0.0] 17 15" xfId="204"/>
    <cellStyle name="Comma [0.0] 17 16" xfId="205"/>
    <cellStyle name="Comma [0.0] 17 17" xfId="206"/>
    <cellStyle name="Comma [0.0] 17 18" xfId="207"/>
    <cellStyle name="Comma [0.0] 17 19" xfId="208"/>
    <cellStyle name="Comma [0.0] 17 2" xfId="209"/>
    <cellStyle name="Comma [0.0] 17 20" xfId="210"/>
    <cellStyle name="Comma [0.0] 17 21" xfId="211"/>
    <cellStyle name="Comma [0.0] 17 22" xfId="212"/>
    <cellStyle name="Comma [0.0] 17 23" xfId="213"/>
    <cellStyle name="Comma [0.0] 17 24" xfId="214"/>
    <cellStyle name="Comma [0.0] 17 25" xfId="215"/>
    <cellStyle name="Comma [0.0] 17 26" xfId="216"/>
    <cellStyle name="Comma [0.0] 17 27" xfId="217"/>
    <cellStyle name="Comma [0.0] 17 28" xfId="218"/>
    <cellStyle name="Comma [0.0] 17 3" xfId="219"/>
    <cellStyle name="Comma [0.0] 17 4" xfId="220"/>
    <cellStyle name="Comma [0.0] 17 5" xfId="221"/>
    <cellStyle name="Comma [0.0] 17 6" xfId="222"/>
    <cellStyle name="Comma [0.0] 17 7" xfId="223"/>
    <cellStyle name="Comma [0.0] 17 8" xfId="224"/>
    <cellStyle name="Comma [0.0] 17 9" xfId="225"/>
    <cellStyle name="Comma [0.0] 18" xfId="226"/>
    <cellStyle name="Comma [0.0] 18 10" xfId="227"/>
    <cellStyle name="Comma [0.0] 18 11" xfId="228"/>
    <cellStyle name="Comma [0.0] 18 12" xfId="229"/>
    <cellStyle name="Comma [0.0] 18 13" xfId="230"/>
    <cellStyle name="Comma [0.0] 18 14" xfId="231"/>
    <cellStyle name="Comma [0.0] 18 15" xfId="232"/>
    <cellStyle name="Comma [0.0] 18 16" xfId="233"/>
    <cellStyle name="Comma [0.0] 18 17" xfId="234"/>
    <cellStyle name="Comma [0.0] 18 18" xfId="235"/>
    <cellStyle name="Comma [0.0] 18 19" xfId="236"/>
    <cellStyle name="Comma [0.0] 18 2" xfId="237"/>
    <cellStyle name="Comma [0.0] 18 20" xfId="238"/>
    <cellStyle name="Comma [0.0] 18 21" xfId="239"/>
    <cellStyle name="Comma [0.0] 18 22" xfId="240"/>
    <cellStyle name="Comma [0.0] 18 23" xfId="241"/>
    <cellStyle name="Comma [0.0] 18 24" xfId="242"/>
    <cellStyle name="Comma [0.0] 18 25" xfId="243"/>
    <cellStyle name="Comma [0.0] 18 26" xfId="244"/>
    <cellStyle name="Comma [0.0] 18 27" xfId="245"/>
    <cellStyle name="Comma [0.0] 18 28" xfId="246"/>
    <cellStyle name="Comma [0.0] 18 3" xfId="247"/>
    <cellStyle name="Comma [0.0] 18 4" xfId="248"/>
    <cellStyle name="Comma [0.0] 18 5" xfId="249"/>
    <cellStyle name="Comma [0.0] 18 6" xfId="250"/>
    <cellStyle name="Comma [0.0] 18 7" xfId="251"/>
    <cellStyle name="Comma [0.0] 18 8" xfId="252"/>
    <cellStyle name="Comma [0.0] 18 9" xfId="253"/>
    <cellStyle name="Comma [0.0] 19" xfId="254"/>
    <cellStyle name="Comma [0.0] 19 10" xfId="255"/>
    <cellStyle name="Comma [0.0] 19 11" xfId="256"/>
    <cellStyle name="Comma [0.0] 19 12" xfId="257"/>
    <cellStyle name="Comma [0.0] 19 13" xfId="258"/>
    <cellStyle name="Comma [0.0] 19 14" xfId="259"/>
    <cellStyle name="Comma [0.0] 19 15" xfId="260"/>
    <cellStyle name="Comma [0.0] 19 16" xfId="261"/>
    <cellStyle name="Comma [0.0] 19 17" xfId="262"/>
    <cellStyle name="Comma [0.0] 19 18" xfId="263"/>
    <cellStyle name="Comma [0.0] 19 19" xfId="264"/>
    <cellStyle name="Comma [0.0] 19 2" xfId="265"/>
    <cellStyle name="Comma [0.0] 19 20" xfId="266"/>
    <cellStyle name="Comma [0.0] 19 21" xfId="267"/>
    <cellStyle name="Comma [0.0] 19 22" xfId="268"/>
    <cellStyle name="Comma [0.0] 19 23" xfId="269"/>
    <cellStyle name="Comma [0.0] 19 24" xfId="270"/>
    <cellStyle name="Comma [0.0] 19 25" xfId="271"/>
    <cellStyle name="Comma [0.0] 19 26" xfId="272"/>
    <cellStyle name="Comma [0.0] 19 27" xfId="273"/>
    <cellStyle name="Comma [0.0] 19 28" xfId="274"/>
    <cellStyle name="Comma [0.0] 19 3" xfId="275"/>
    <cellStyle name="Comma [0.0] 19 4" xfId="276"/>
    <cellStyle name="Comma [0.0] 19 5" xfId="277"/>
    <cellStyle name="Comma [0.0] 19 6" xfId="278"/>
    <cellStyle name="Comma [0.0] 19 7" xfId="279"/>
    <cellStyle name="Comma [0.0] 19 8" xfId="280"/>
    <cellStyle name="Comma [0.0] 19 9" xfId="281"/>
    <cellStyle name="Comma [0.0] 2" xfId="282"/>
    <cellStyle name="Comma [0.0] 2 10" xfId="283"/>
    <cellStyle name="Comma [0.0] 2 11" xfId="284"/>
    <cellStyle name="Comma [0.0] 2 12" xfId="285"/>
    <cellStyle name="Comma [0.0] 2 13" xfId="286"/>
    <cellStyle name="Comma [0.0] 2 14" xfId="287"/>
    <cellStyle name="Comma [0.0] 2 15" xfId="288"/>
    <cellStyle name="Comma [0.0] 2 16" xfId="289"/>
    <cellStyle name="Comma [0.0] 2 17" xfId="290"/>
    <cellStyle name="Comma [0.0] 2 18" xfId="291"/>
    <cellStyle name="Comma [0.0] 2 19" xfId="292"/>
    <cellStyle name="Comma [0.0] 2 2" xfId="293"/>
    <cellStyle name="Comma [0.0] 2 20" xfId="294"/>
    <cellStyle name="Comma [0.0] 2 21" xfId="295"/>
    <cellStyle name="Comma [0.0] 2 22" xfId="296"/>
    <cellStyle name="Comma [0.0] 2 23" xfId="297"/>
    <cellStyle name="Comma [0.0] 2 24" xfId="298"/>
    <cellStyle name="Comma [0.0] 2 25" xfId="299"/>
    <cellStyle name="Comma [0.0] 2 26" xfId="300"/>
    <cellStyle name="Comma [0.0] 2 27" xfId="301"/>
    <cellStyle name="Comma [0.0] 2 28" xfId="302"/>
    <cellStyle name="Comma [0.0] 2 3" xfId="303"/>
    <cellStyle name="Comma [0.0] 2 4" xfId="304"/>
    <cellStyle name="Comma [0.0] 2 5" xfId="305"/>
    <cellStyle name="Comma [0.0] 2 6" xfId="306"/>
    <cellStyle name="Comma [0.0] 2 7" xfId="307"/>
    <cellStyle name="Comma [0.0] 2 8" xfId="308"/>
    <cellStyle name="Comma [0.0] 2 9" xfId="309"/>
    <cellStyle name="Comma [0.0] 20" xfId="310"/>
    <cellStyle name="Comma [0.0] 20 10" xfId="311"/>
    <cellStyle name="Comma [0.0] 20 11" xfId="312"/>
    <cellStyle name="Comma [0.0] 20 12" xfId="313"/>
    <cellStyle name="Comma [0.0] 20 13" xfId="314"/>
    <cellStyle name="Comma [0.0] 20 14" xfId="315"/>
    <cellStyle name="Comma [0.0] 20 15" xfId="316"/>
    <cellStyle name="Comma [0.0] 20 16" xfId="317"/>
    <cellStyle name="Comma [0.0] 20 17" xfId="318"/>
    <cellStyle name="Comma [0.0] 20 18" xfId="319"/>
    <cellStyle name="Comma [0.0] 20 19" xfId="320"/>
    <cellStyle name="Comma [0.0] 20 2" xfId="321"/>
    <cellStyle name="Comma [0.0] 20 20" xfId="322"/>
    <cellStyle name="Comma [0.0] 20 21" xfId="323"/>
    <cellStyle name="Comma [0.0] 20 22" xfId="324"/>
    <cellStyle name="Comma [0.0] 20 23" xfId="325"/>
    <cellStyle name="Comma [0.0] 20 24" xfId="326"/>
    <cellStyle name="Comma [0.0] 20 25" xfId="327"/>
    <cellStyle name="Comma [0.0] 20 26" xfId="328"/>
    <cellStyle name="Comma [0.0] 20 27" xfId="329"/>
    <cellStyle name="Comma [0.0] 20 28" xfId="330"/>
    <cellStyle name="Comma [0.0] 20 3" xfId="331"/>
    <cellStyle name="Comma [0.0] 20 4" xfId="332"/>
    <cellStyle name="Comma [0.0] 20 5" xfId="333"/>
    <cellStyle name="Comma [0.0] 20 6" xfId="334"/>
    <cellStyle name="Comma [0.0] 20 7" xfId="335"/>
    <cellStyle name="Comma [0.0] 20 8" xfId="336"/>
    <cellStyle name="Comma [0.0] 20 9" xfId="337"/>
    <cellStyle name="Comma [0.0] 21" xfId="338"/>
    <cellStyle name="Comma [0.0] 21 10" xfId="339"/>
    <cellStyle name="Comma [0.0] 21 11" xfId="340"/>
    <cellStyle name="Comma [0.0] 21 12" xfId="341"/>
    <cellStyle name="Comma [0.0] 21 13" xfId="342"/>
    <cellStyle name="Comma [0.0] 21 14" xfId="343"/>
    <cellStyle name="Comma [0.0] 21 15" xfId="344"/>
    <cellStyle name="Comma [0.0] 21 16" xfId="345"/>
    <cellStyle name="Comma [0.0] 21 17" xfId="346"/>
    <cellStyle name="Comma [0.0] 21 18" xfId="347"/>
    <cellStyle name="Comma [0.0] 21 19" xfId="348"/>
    <cellStyle name="Comma [0.0] 21 2" xfId="349"/>
    <cellStyle name="Comma [0.0] 21 20" xfId="350"/>
    <cellStyle name="Comma [0.0] 21 21" xfId="351"/>
    <cellStyle name="Comma [0.0] 21 22" xfId="352"/>
    <cellStyle name="Comma [0.0] 21 23" xfId="353"/>
    <cellStyle name="Comma [0.0] 21 24" xfId="354"/>
    <cellStyle name="Comma [0.0] 21 25" xfId="355"/>
    <cellStyle name="Comma [0.0] 21 26" xfId="356"/>
    <cellStyle name="Comma [0.0] 21 27" xfId="357"/>
    <cellStyle name="Comma [0.0] 21 28" xfId="358"/>
    <cellStyle name="Comma [0.0] 21 3" xfId="359"/>
    <cellStyle name="Comma [0.0] 21 4" xfId="360"/>
    <cellStyle name="Comma [0.0] 21 5" xfId="361"/>
    <cellStyle name="Comma [0.0] 21 6" xfId="362"/>
    <cellStyle name="Comma [0.0] 21 7" xfId="363"/>
    <cellStyle name="Comma [0.0] 21 8" xfId="364"/>
    <cellStyle name="Comma [0.0] 21 9" xfId="365"/>
    <cellStyle name="Comma [0.0] 22" xfId="366"/>
    <cellStyle name="Comma [0.0] 22 10" xfId="367"/>
    <cellStyle name="Comma [0.0] 22 11" xfId="368"/>
    <cellStyle name="Comma [0.0] 22 12" xfId="369"/>
    <cellStyle name="Comma [0.0] 22 13" xfId="370"/>
    <cellStyle name="Comma [0.0] 22 14" xfId="371"/>
    <cellStyle name="Comma [0.0] 22 15" xfId="372"/>
    <cellStyle name="Comma [0.0] 22 16" xfId="373"/>
    <cellStyle name="Comma [0.0] 22 17" xfId="374"/>
    <cellStyle name="Comma [0.0] 22 18" xfId="375"/>
    <cellStyle name="Comma [0.0] 22 19" xfId="376"/>
    <cellStyle name="Comma [0.0] 22 2" xfId="377"/>
    <cellStyle name="Comma [0.0] 22 20" xfId="378"/>
    <cellStyle name="Comma [0.0] 22 21" xfId="379"/>
    <cellStyle name="Comma [0.0] 22 22" xfId="380"/>
    <cellStyle name="Comma [0.0] 22 23" xfId="381"/>
    <cellStyle name="Comma [0.0] 22 24" xfId="382"/>
    <cellStyle name="Comma [0.0] 22 25" xfId="383"/>
    <cellStyle name="Comma [0.0] 22 26" xfId="384"/>
    <cellStyle name="Comma [0.0] 22 27" xfId="385"/>
    <cellStyle name="Comma [0.0] 22 28" xfId="386"/>
    <cellStyle name="Comma [0.0] 22 3" xfId="387"/>
    <cellStyle name="Comma [0.0] 22 4" xfId="388"/>
    <cellStyle name="Comma [0.0] 22 5" xfId="389"/>
    <cellStyle name="Comma [0.0] 22 6" xfId="390"/>
    <cellStyle name="Comma [0.0] 22 7" xfId="391"/>
    <cellStyle name="Comma [0.0] 22 8" xfId="392"/>
    <cellStyle name="Comma [0.0] 22 9" xfId="393"/>
    <cellStyle name="Comma [0.0] 23" xfId="394"/>
    <cellStyle name="Comma [0.0] 23 10" xfId="395"/>
    <cellStyle name="Comma [0.0] 23 11" xfId="396"/>
    <cellStyle name="Comma [0.0] 23 12" xfId="397"/>
    <cellStyle name="Comma [0.0] 23 13" xfId="398"/>
    <cellStyle name="Comma [0.0] 23 14" xfId="399"/>
    <cellStyle name="Comma [0.0] 23 15" xfId="400"/>
    <cellStyle name="Comma [0.0] 23 16" xfId="401"/>
    <cellStyle name="Comma [0.0] 23 17" xfId="402"/>
    <cellStyle name="Comma [0.0] 23 18" xfId="403"/>
    <cellStyle name="Comma [0.0] 23 19" xfId="404"/>
    <cellStyle name="Comma [0.0] 23 2" xfId="405"/>
    <cellStyle name="Comma [0.0] 23 20" xfId="406"/>
    <cellStyle name="Comma [0.0] 23 21" xfId="407"/>
    <cellStyle name="Comma [0.0] 23 22" xfId="408"/>
    <cellStyle name="Comma [0.0] 23 23" xfId="409"/>
    <cellStyle name="Comma [0.0] 23 24" xfId="410"/>
    <cellStyle name="Comma [0.0] 23 25" xfId="411"/>
    <cellStyle name="Comma [0.0] 23 26" xfId="412"/>
    <cellStyle name="Comma [0.0] 23 27" xfId="413"/>
    <cellStyle name="Comma [0.0] 23 28" xfId="414"/>
    <cellStyle name="Comma [0.0] 23 3" xfId="415"/>
    <cellStyle name="Comma [0.0] 23 4" xfId="416"/>
    <cellStyle name="Comma [0.0] 23 5" xfId="417"/>
    <cellStyle name="Comma [0.0] 23 6" xfId="418"/>
    <cellStyle name="Comma [0.0] 23 7" xfId="419"/>
    <cellStyle name="Comma [0.0] 23 8" xfId="420"/>
    <cellStyle name="Comma [0.0] 23 9" xfId="421"/>
    <cellStyle name="Comma [0.0] 24" xfId="422"/>
    <cellStyle name="Comma [0.0] 24 10" xfId="423"/>
    <cellStyle name="Comma [0.0] 24 11" xfId="424"/>
    <cellStyle name="Comma [0.0] 24 12" xfId="425"/>
    <cellStyle name="Comma [0.0] 24 13" xfId="426"/>
    <cellStyle name="Comma [0.0] 24 14" xfId="427"/>
    <cellStyle name="Comma [0.0] 24 15" xfId="428"/>
    <cellStyle name="Comma [0.0] 24 16" xfId="429"/>
    <cellStyle name="Comma [0.0] 24 17" xfId="430"/>
    <cellStyle name="Comma [0.0] 24 18" xfId="431"/>
    <cellStyle name="Comma [0.0] 24 19" xfId="432"/>
    <cellStyle name="Comma [0.0] 24 2" xfId="433"/>
    <cellStyle name="Comma [0.0] 24 20" xfId="434"/>
    <cellStyle name="Comma [0.0] 24 21" xfId="435"/>
    <cellStyle name="Comma [0.0] 24 22" xfId="436"/>
    <cellStyle name="Comma [0.0] 24 23" xfId="437"/>
    <cellStyle name="Comma [0.0] 24 24" xfId="438"/>
    <cellStyle name="Comma [0.0] 24 25" xfId="439"/>
    <cellStyle name="Comma [0.0] 24 26" xfId="440"/>
    <cellStyle name="Comma [0.0] 24 27" xfId="441"/>
    <cellStyle name="Comma [0.0] 24 28" xfId="442"/>
    <cellStyle name="Comma [0.0] 24 3" xfId="443"/>
    <cellStyle name="Comma [0.0] 24 4" xfId="444"/>
    <cellStyle name="Comma [0.0] 24 5" xfId="445"/>
    <cellStyle name="Comma [0.0] 24 6" xfId="446"/>
    <cellStyle name="Comma [0.0] 24 7" xfId="447"/>
    <cellStyle name="Comma [0.0] 24 8" xfId="448"/>
    <cellStyle name="Comma [0.0] 24 9" xfId="449"/>
    <cellStyle name="Comma [0.0] 25" xfId="450"/>
    <cellStyle name="Comma [0.0] 25 10" xfId="451"/>
    <cellStyle name="Comma [0.0] 25 11" xfId="452"/>
    <cellStyle name="Comma [0.0] 25 12" xfId="453"/>
    <cellStyle name="Comma [0.0] 25 13" xfId="454"/>
    <cellStyle name="Comma [0.0] 25 14" xfId="455"/>
    <cellStyle name="Comma [0.0] 25 15" xfId="456"/>
    <cellStyle name="Comma [0.0] 25 16" xfId="457"/>
    <cellStyle name="Comma [0.0] 25 17" xfId="458"/>
    <cellStyle name="Comma [0.0] 25 18" xfId="459"/>
    <cellStyle name="Comma [0.0] 25 19" xfId="460"/>
    <cellStyle name="Comma [0.0] 25 2" xfId="461"/>
    <cellStyle name="Comma [0.0] 25 20" xfId="462"/>
    <cellStyle name="Comma [0.0] 25 21" xfId="463"/>
    <cellStyle name="Comma [0.0] 25 22" xfId="464"/>
    <cellStyle name="Comma [0.0] 25 23" xfId="465"/>
    <cellStyle name="Comma [0.0] 25 24" xfId="466"/>
    <cellStyle name="Comma [0.0] 25 25" xfId="467"/>
    <cellStyle name="Comma [0.0] 25 26" xfId="468"/>
    <cellStyle name="Comma [0.0] 25 27" xfId="469"/>
    <cellStyle name="Comma [0.0] 25 28" xfId="470"/>
    <cellStyle name="Comma [0.0] 25 3" xfId="471"/>
    <cellStyle name="Comma [0.0] 25 4" xfId="472"/>
    <cellStyle name="Comma [0.0] 25 5" xfId="473"/>
    <cellStyle name="Comma [0.0] 25 6" xfId="474"/>
    <cellStyle name="Comma [0.0] 25 7" xfId="475"/>
    <cellStyle name="Comma [0.0] 25 8" xfId="476"/>
    <cellStyle name="Comma [0.0] 25 9" xfId="477"/>
    <cellStyle name="Comma [0.0] 26" xfId="478"/>
    <cellStyle name="Comma [0.0] 26 10" xfId="479"/>
    <cellStyle name="Comma [0.0] 26 11" xfId="480"/>
    <cellStyle name="Comma [0.0] 26 12" xfId="481"/>
    <cellStyle name="Comma [0.0] 26 13" xfId="482"/>
    <cellStyle name="Comma [0.0] 26 14" xfId="483"/>
    <cellStyle name="Comma [0.0] 26 15" xfId="484"/>
    <cellStyle name="Comma [0.0] 26 2" xfId="485"/>
    <cellStyle name="Comma [0.0] 26 3" xfId="486"/>
    <cellStyle name="Comma [0.0] 26 4" xfId="487"/>
    <cellStyle name="Comma [0.0] 26 5" xfId="488"/>
    <cellStyle name="Comma [0.0] 26 6" xfId="489"/>
    <cellStyle name="Comma [0.0] 26 7" xfId="490"/>
    <cellStyle name="Comma [0.0] 26 8" xfId="491"/>
    <cellStyle name="Comma [0.0] 26 9" xfId="492"/>
    <cellStyle name="Comma [0.0] 27" xfId="493"/>
    <cellStyle name="Comma [0.0] 27 10" xfId="494"/>
    <cellStyle name="Comma [0.0] 27 11" xfId="495"/>
    <cellStyle name="Comma [0.0] 27 12" xfId="496"/>
    <cellStyle name="Comma [0.0] 27 13" xfId="497"/>
    <cellStyle name="Comma [0.0] 27 14" xfId="498"/>
    <cellStyle name="Comma [0.0] 27 15" xfId="499"/>
    <cellStyle name="Comma [0.0] 27 2" xfId="500"/>
    <cellStyle name="Comma [0.0] 27 3" xfId="501"/>
    <cellStyle name="Comma [0.0] 27 4" xfId="502"/>
    <cellStyle name="Comma [0.0] 27 5" xfId="503"/>
    <cellStyle name="Comma [0.0] 27 6" xfId="504"/>
    <cellStyle name="Comma [0.0] 27 7" xfId="505"/>
    <cellStyle name="Comma [0.0] 27 8" xfId="506"/>
    <cellStyle name="Comma [0.0] 27 9" xfId="507"/>
    <cellStyle name="Comma [0.0] 28" xfId="508"/>
    <cellStyle name="Comma [0.0] 28 10" xfId="509"/>
    <cellStyle name="Comma [0.0] 28 11" xfId="510"/>
    <cellStyle name="Comma [0.0] 28 12" xfId="511"/>
    <cellStyle name="Comma [0.0] 28 13" xfId="512"/>
    <cellStyle name="Comma [0.0] 28 14" xfId="513"/>
    <cellStyle name="Comma [0.0] 28 15" xfId="514"/>
    <cellStyle name="Comma [0.0] 28 2" xfId="515"/>
    <cellStyle name="Comma [0.0] 28 3" xfId="516"/>
    <cellStyle name="Comma [0.0] 28 4" xfId="517"/>
    <cellStyle name="Comma [0.0] 28 5" xfId="518"/>
    <cellStyle name="Comma [0.0] 28 6" xfId="519"/>
    <cellStyle name="Comma [0.0] 28 7" xfId="520"/>
    <cellStyle name="Comma [0.0] 28 8" xfId="521"/>
    <cellStyle name="Comma [0.0] 28 9" xfId="522"/>
    <cellStyle name="Comma [0.0] 29" xfId="523"/>
    <cellStyle name="Comma [0.0] 29 10" xfId="524"/>
    <cellStyle name="Comma [0.0] 29 11" xfId="525"/>
    <cellStyle name="Comma [0.0] 29 12" xfId="526"/>
    <cellStyle name="Comma [0.0] 29 13" xfId="527"/>
    <cellStyle name="Comma [0.0] 29 14" xfId="528"/>
    <cellStyle name="Comma [0.0] 29 15" xfId="529"/>
    <cellStyle name="Comma [0.0] 29 2" xfId="530"/>
    <cellStyle name="Comma [0.0] 29 3" xfId="531"/>
    <cellStyle name="Comma [0.0] 29 4" xfId="532"/>
    <cellStyle name="Comma [0.0] 29 5" xfId="533"/>
    <cellStyle name="Comma [0.0] 29 6" xfId="534"/>
    <cellStyle name="Comma [0.0] 29 7" xfId="535"/>
    <cellStyle name="Comma [0.0] 29 8" xfId="536"/>
    <cellStyle name="Comma [0.0] 29 9" xfId="537"/>
    <cellStyle name="Comma [0.0] 3" xfId="538"/>
    <cellStyle name="Comma [0.0] 3 10" xfId="539"/>
    <cellStyle name="Comma [0.0] 3 11" xfId="540"/>
    <cellStyle name="Comma [0.0] 3 12" xfId="541"/>
    <cellStyle name="Comma [0.0] 3 13" xfId="542"/>
    <cellStyle name="Comma [0.0] 3 14" xfId="543"/>
    <cellStyle name="Comma [0.0] 3 15" xfId="544"/>
    <cellStyle name="Comma [0.0] 3 16" xfId="545"/>
    <cellStyle name="Comma [0.0] 3 17" xfId="546"/>
    <cellStyle name="Comma [0.0] 3 18" xfId="547"/>
    <cellStyle name="Comma [0.0] 3 19" xfId="548"/>
    <cellStyle name="Comma [0.0] 3 2" xfId="549"/>
    <cellStyle name="Comma [0.0] 3 20" xfId="550"/>
    <cellStyle name="Comma [0.0] 3 21" xfId="551"/>
    <cellStyle name="Comma [0.0] 3 22" xfId="552"/>
    <cellStyle name="Comma [0.0] 3 23" xfId="553"/>
    <cellStyle name="Comma [0.0] 3 24" xfId="554"/>
    <cellStyle name="Comma [0.0] 3 25" xfId="555"/>
    <cellStyle name="Comma [0.0] 3 26" xfId="556"/>
    <cellStyle name="Comma [0.0] 3 27" xfId="557"/>
    <cellStyle name="Comma [0.0] 3 28" xfId="558"/>
    <cellStyle name="Comma [0.0] 3 3" xfId="559"/>
    <cellStyle name="Comma [0.0] 3 4" xfId="560"/>
    <cellStyle name="Comma [0.0] 3 5" xfId="561"/>
    <cellStyle name="Comma [0.0] 3 6" xfId="562"/>
    <cellStyle name="Comma [0.0] 3 7" xfId="563"/>
    <cellStyle name="Comma [0.0] 3 8" xfId="564"/>
    <cellStyle name="Comma [0.0] 3 9" xfId="565"/>
    <cellStyle name="Comma [0.0] 30" xfId="566"/>
    <cellStyle name="Comma [0.0] 30 10" xfId="567"/>
    <cellStyle name="Comma [0.0] 30 11" xfId="568"/>
    <cellStyle name="Comma [0.0] 30 12" xfId="569"/>
    <cellStyle name="Comma [0.0] 30 13" xfId="570"/>
    <cellStyle name="Comma [0.0] 30 14" xfId="571"/>
    <cellStyle name="Comma [0.0] 30 15" xfId="572"/>
    <cellStyle name="Comma [0.0] 30 2" xfId="573"/>
    <cellStyle name="Comma [0.0] 30 3" xfId="574"/>
    <cellStyle name="Comma [0.0] 30 4" xfId="575"/>
    <cellStyle name="Comma [0.0] 30 5" xfId="576"/>
    <cellStyle name="Comma [0.0] 30 6" xfId="577"/>
    <cellStyle name="Comma [0.0] 30 7" xfId="578"/>
    <cellStyle name="Comma [0.0] 30 8" xfId="579"/>
    <cellStyle name="Comma [0.0] 30 9" xfId="580"/>
    <cellStyle name="Comma [0.0] 31" xfId="581"/>
    <cellStyle name="Comma [0.0] 31 10" xfId="582"/>
    <cellStyle name="Comma [0.0] 31 11" xfId="583"/>
    <cellStyle name="Comma [0.0] 31 12" xfId="584"/>
    <cellStyle name="Comma [0.0] 31 13" xfId="585"/>
    <cellStyle name="Comma [0.0] 31 14" xfId="586"/>
    <cellStyle name="Comma [0.0] 31 15" xfId="587"/>
    <cellStyle name="Comma [0.0] 31 2" xfId="588"/>
    <cellStyle name="Comma [0.0] 31 3" xfId="589"/>
    <cellStyle name="Comma [0.0] 31 4" xfId="590"/>
    <cellStyle name="Comma [0.0] 31 5" xfId="591"/>
    <cellStyle name="Comma [0.0] 31 6" xfId="592"/>
    <cellStyle name="Comma [0.0] 31 7" xfId="593"/>
    <cellStyle name="Comma [0.0] 31 8" xfId="594"/>
    <cellStyle name="Comma [0.0] 31 9" xfId="595"/>
    <cellStyle name="Comma [0.0] 32" xfId="596"/>
    <cellStyle name="Comma [0.0] 32 10" xfId="597"/>
    <cellStyle name="Comma [0.0] 32 11" xfId="598"/>
    <cellStyle name="Comma [0.0] 32 12" xfId="599"/>
    <cellStyle name="Comma [0.0] 32 2" xfId="600"/>
    <cellStyle name="Comma [0.0] 32 3" xfId="601"/>
    <cellStyle name="Comma [0.0] 32 4" xfId="602"/>
    <cellStyle name="Comma [0.0] 32 5" xfId="603"/>
    <cellStyle name="Comma [0.0] 32 6" xfId="604"/>
    <cellStyle name="Comma [0.0] 32 7" xfId="605"/>
    <cellStyle name="Comma [0.0] 32 8" xfId="606"/>
    <cellStyle name="Comma [0.0] 32 9" xfId="607"/>
    <cellStyle name="Comma [0.0] 33" xfId="608"/>
    <cellStyle name="Comma [0.0] 33 10" xfId="609"/>
    <cellStyle name="Comma [0.0] 33 11" xfId="610"/>
    <cellStyle name="Comma [0.0] 33 12" xfId="611"/>
    <cellStyle name="Comma [0.0] 33 2" xfId="612"/>
    <cellStyle name="Comma [0.0] 33 3" xfId="613"/>
    <cellStyle name="Comma [0.0] 33 4" xfId="614"/>
    <cellStyle name="Comma [0.0] 33 5" xfId="615"/>
    <cellStyle name="Comma [0.0] 33 6" xfId="616"/>
    <cellStyle name="Comma [0.0] 33 7" xfId="617"/>
    <cellStyle name="Comma [0.0] 33 8" xfId="618"/>
    <cellStyle name="Comma [0.0] 33 9" xfId="619"/>
    <cellStyle name="Comma [0.0] 34" xfId="620"/>
    <cellStyle name="Comma [0.0] 34 10" xfId="621"/>
    <cellStyle name="Comma [0.0] 34 11" xfId="622"/>
    <cellStyle name="Comma [0.0] 34 12" xfId="623"/>
    <cellStyle name="Comma [0.0] 34 2" xfId="624"/>
    <cellStyle name="Comma [0.0] 34 3" xfId="625"/>
    <cellStyle name="Comma [0.0] 34 4" xfId="626"/>
    <cellStyle name="Comma [0.0] 34 5" xfId="627"/>
    <cellStyle name="Comma [0.0] 34 6" xfId="628"/>
    <cellStyle name="Comma [0.0] 34 7" xfId="629"/>
    <cellStyle name="Comma [0.0] 34 8" xfId="630"/>
    <cellStyle name="Comma [0.0] 34 9" xfId="631"/>
    <cellStyle name="Comma [0.0] 35" xfId="632"/>
    <cellStyle name="Comma [0.0] 35 10" xfId="633"/>
    <cellStyle name="Comma [0.0] 35 11" xfId="634"/>
    <cellStyle name="Comma [0.0] 35 12" xfId="635"/>
    <cellStyle name="Comma [0.0] 35 2" xfId="636"/>
    <cellStyle name="Comma [0.0] 35 3" xfId="637"/>
    <cellStyle name="Comma [0.0] 35 4" xfId="638"/>
    <cellStyle name="Comma [0.0] 35 5" xfId="639"/>
    <cellStyle name="Comma [0.0] 35 6" xfId="640"/>
    <cellStyle name="Comma [0.0] 35 7" xfId="641"/>
    <cellStyle name="Comma [0.0] 35 8" xfId="642"/>
    <cellStyle name="Comma [0.0] 35 9" xfId="643"/>
    <cellStyle name="Comma [0.0] 36" xfId="644"/>
    <cellStyle name="Comma [0.0] 36 10" xfId="645"/>
    <cellStyle name="Comma [0.0] 36 11" xfId="646"/>
    <cellStyle name="Comma [0.0] 36 12" xfId="647"/>
    <cellStyle name="Comma [0.0] 36 2" xfId="648"/>
    <cellStyle name="Comma [0.0] 36 3" xfId="649"/>
    <cellStyle name="Comma [0.0] 36 4" xfId="650"/>
    <cellStyle name="Comma [0.0] 36 5" xfId="651"/>
    <cellStyle name="Comma [0.0] 36 6" xfId="652"/>
    <cellStyle name="Comma [0.0] 36 7" xfId="653"/>
    <cellStyle name="Comma [0.0] 36 8" xfId="654"/>
    <cellStyle name="Comma [0.0] 36 9" xfId="655"/>
    <cellStyle name="Comma [0.0] 37" xfId="656"/>
    <cellStyle name="Comma [0.0] 37 10" xfId="657"/>
    <cellStyle name="Comma [0.0] 37 11" xfId="658"/>
    <cellStyle name="Comma [0.0] 37 12" xfId="659"/>
    <cellStyle name="Comma [0.0] 37 2" xfId="660"/>
    <cellStyle name="Comma [0.0] 37 3" xfId="661"/>
    <cellStyle name="Comma [0.0] 37 4" xfId="662"/>
    <cellStyle name="Comma [0.0] 37 5" xfId="663"/>
    <cellStyle name="Comma [0.0] 37 6" xfId="664"/>
    <cellStyle name="Comma [0.0] 37 7" xfId="665"/>
    <cellStyle name="Comma [0.0] 37 8" xfId="666"/>
    <cellStyle name="Comma [0.0] 37 9" xfId="667"/>
    <cellStyle name="Comma [0.0] 38" xfId="668"/>
    <cellStyle name="Comma [0.0] 38 10" xfId="669"/>
    <cellStyle name="Comma [0.0] 38 11" xfId="670"/>
    <cellStyle name="Comma [0.0] 38 12" xfId="671"/>
    <cellStyle name="Comma [0.0] 38 2" xfId="672"/>
    <cellStyle name="Comma [0.0] 38 3" xfId="673"/>
    <cellStyle name="Comma [0.0] 38 4" xfId="674"/>
    <cellStyle name="Comma [0.0] 38 5" xfId="675"/>
    <cellStyle name="Comma [0.0] 38 6" xfId="676"/>
    <cellStyle name="Comma [0.0] 38 7" xfId="677"/>
    <cellStyle name="Comma [0.0] 38 8" xfId="678"/>
    <cellStyle name="Comma [0.0] 38 9" xfId="679"/>
    <cellStyle name="Comma [0.0] 39" xfId="680"/>
    <cellStyle name="Comma [0.0] 39 10" xfId="681"/>
    <cellStyle name="Comma [0.0] 39 11" xfId="682"/>
    <cellStyle name="Comma [0.0] 39 12" xfId="683"/>
    <cellStyle name="Comma [0.0] 39 2" xfId="684"/>
    <cellStyle name="Comma [0.0] 39 3" xfId="685"/>
    <cellStyle name="Comma [0.0] 39 4" xfId="686"/>
    <cellStyle name="Comma [0.0] 39 5" xfId="687"/>
    <cellStyle name="Comma [0.0] 39 6" xfId="688"/>
    <cellStyle name="Comma [0.0] 39 7" xfId="689"/>
    <cellStyle name="Comma [0.0] 39 8" xfId="690"/>
    <cellStyle name="Comma [0.0] 39 9" xfId="691"/>
    <cellStyle name="Comma [0.0] 4" xfId="692"/>
    <cellStyle name="Comma [0.0] 4 10" xfId="693"/>
    <cellStyle name="Comma [0.0] 4 11" xfId="694"/>
    <cellStyle name="Comma [0.0] 4 12" xfId="695"/>
    <cellStyle name="Comma [0.0] 4 13" xfId="696"/>
    <cellStyle name="Comma [0.0] 4 14" xfId="697"/>
    <cellStyle name="Comma [0.0] 4 15" xfId="698"/>
    <cellStyle name="Comma [0.0] 4 16" xfId="699"/>
    <cellStyle name="Comma [0.0] 4 17" xfId="700"/>
    <cellStyle name="Comma [0.0] 4 18" xfId="701"/>
    <cellStyle name="Comma [0.0] 4 19" xfId="702"/>
    <cellStyle name="Comma [0.0] 4 2" xfId="703"/>
    <cellStyle name="Comma [0.0] 4 20" xfId="704"/>
    <cellStyle name="Comma [0.0] 4 21" xfId="705"/>
    <cellStyle name="Comma [0.0] 4 22" xfId="706"/>
    <cellStyle name="Comma [0.0] 4 23" xfId="707"/>
    <cellStyle name="Comma [0.0] 4 24" xfId="708"/>
    <cellStyle name="Comma [0.0] 4 25" xfId="709"/>
    <cellStyle name="Comma [0.0] 4 26" xfId="710"/>
    <cellStyle name="Comma [0.0] 4 27" xfId="711"/>
    <cellStyle name="Comma [0.0] 4 28" xfId="712"/>
    <cellStyle name="Comma [0.0] 4 3" xfId="713"/>
    <cellStyle name="Comma [0.0] 4 4" xfId="714"/>
    <cellStyle name="Comma [0.0] 4 5" xfId="715"/>
    <cellStyle name="Comma [0.0] 4 6" xfId="716"/>
    <cellStyle name="Comma [0.0] 4 7" xfId="717"/>
    <cellStyle name="Comma [0.0] 4 8" xfId="718"/>
    <cellStyle name="Comma [0.0] 4 9" xfId="719"/>
    <cellStyle name="Comma [0.0] 40" xfId="720"/>
    <cellStyle name="Comma [0.0] 40 2" xfId="721"/>
    <cellStyle name="Comma [0.0] 40 3" xfId="722"/>
    <cellStyle name="Comma [0.0] 41" xfId="723"/>
    <cellStyle name="Comma [0.0] 42" xfId="724"/>
    <cellStyle name="Comma [0.0] 43" xfId="725"/>
    <cellStyle name="Comma [0.0] 44" xfId="726"/>
    <cellStyle name="Comma [0.0] 45" xfId="727"/>
    <cellStyle name="Comma [0.0] 46" xfId="728"/>
    <cellStyle name="Comma [0.0] 47" xfId="729"/>
    <cellStyle name="Comma [0.0] 48" xfId="730"/>
    <cellStyle name="Comma [0.0] 49" xfId="731"/>
    <cellStyle name="Comma [0.0] 5" xfId="732"/>
    <cellStyle name="Comma [0.0] 5 10" xfId="733"/>
    <cellStyle name="Comma [0.0] 5 11" xfId="734"/>
    <cellStyle name="Comma [0.0] 5 12" xfId="735"/>
    <cellStyle name="Comma [0.0] 5 13" xfId="736"/>
    <cellStyle name="Comma [0.0] 5 14" xfId="737"/>
    <cellStyle name="Comma [0.0] 5 15" xfId="738"/>
    <cellStyle name="Comma [0.0] 5 16" xfId="739"/>
    <cellStyle name="Comma [0.0] 5 17" xfId="740"/>
    <cellStyle name="Comma [0.0] 5 18" xfId="741"/>
    <cellStyle name="Comma [0.0] 5 19" xfId="742"/>
    <cellStyle name="Comma [0.0] 5 2" xfId="743"/>
    <cellStyle name="Comma [0.0] 5 20" xfId="744"/>
    <cellStyle name="Comma [0.0] 5 21" xfId="745"/>
    <cellStyle name="Comma [0.0] 5 22" xfId="746"/>
    <cellStyle name="Comma [0.0] 5 23" xfId="747"/>
    <cellStyle name="Comma [0.0] 5 24" xfId="748"/>
    <cellStyle name="Comma [0.0] 5 25" xfId="749"/>
    <cellStyle name="Comma [0.0] 5 26" xfId="750"/>
    <cellStyle name="Comma [0.0] 5 27" xfId="751"/>
    <cellStyle name="Comma [0.0] 5 28" xfId="752"/>
    <cellStyle name="Comma [0.0] 5 3" xfId="753"/>
    <cellStyle name="Comma [0.0] 5 4" xfId="754"/>
    <cellStyle name="Comma [0.0] 5 5" xfId="755"/>
    <cellStyle name="Comma [0.0] 5 6" xfId="756"/>
    <cellStyle name="Comma [0.0] 5 7" xfId="757"/>
    <cellStyle name="Comma [0.0] 5 8" xfId="758"/>
    <cellStyle name="Comma [0.0] 5 9" xfId="759"/>
    <cellStyle name="Comma [0.0] 50" xfId="760"/>
    <cellStyle name="Comma [0.0] 51" xfId="761"/>
    <cellStyle name="Comma [0.0] 52" xfId="762"/>
    <cellStyle name="Comma [0.0] 53" xfId="763"/>
    <cellStyle name="Comma [0.0] 54" xfId="764"/>
    <cellStyle name="Comma [0.0] 55" xfId="765"/>
    <cellStyle name="Comma [0.0] 56" xfId="766"/>
    <cellStyle name="Comma [0.0] 57" xfId="767"/>
    <cellStyle name="Comma [0.0] 58" xfId="768"/>
    <cellStyle name="Comma [0.0] 59" xfId="769"/>
    <cellStyle name="Comma [0.0] 6" xfId="770"/>
    <cellStyle name="Comma [0.0] 6 10" xfId="771"/>
    <cellStyle name="Comma [0.0] 6 11" xfId="772"/>
    <cellStyle name="Comma [0.0] 6 12" xfId="773"/>
    <cellStyle name="Comma [0.0] 6 13" xfId="774"/>
    <cellStyle name="Comma [0.0] 6 14" xfId="775"/>
    <cellStyle name="Comma [0.0] 6 15" xfId="776"/>
    <cellStyle name="Comma [0.0] 6 16" xfId="777"/>
    <cellStyle name="Comma [0.0] 6 17" xfId="778"/>
    <cellStyle name="Comma [0.0] 6 18" xfId="779"/>
    <cellStyle name="Comma [0.0] 6 19" xfId="780"/>
    <cellStyle name="Comma [0.0] 6 2" xfId="781"/>
    <cellStyle name="Comma [0.0] 6 20" xfId="782"/>
    <cellStyle name="Comma [0.0] 6 21" xfId="783"/>
    <cellStyle name="Comma [0.0] 6 22" xfId="784"/>
    <cellStyle name="Comma [0.0] 6 23" xfId="785"/>
    <cellStyle name="Comma [0.0] 6 24" xfId="786"/>
    <cellStyle name="Comma [0.0] 6 25" xfId="787"/>
    <cellStyle name="Comma [0.0] 6 26" xfId="788"/>
    <cellStyle name="Comma [0.0] 6 27" xfId="789"/>
    <cellStyle name="Comma [0.0] 6 28" xfId="790"/>
    <cellStyle name="Comma [0.0] 6 3" xfId="791"/>
    <cellStyle name="Comma [0.0] 6 4" xfId="792"/>
    <cellStyle name="Comma [0.0] 6 5" xfId="793"/>
    <cellStyle name="Comma [0.0] 6 6" xfId="794"/>
    <cellStyle name="Comma [0.0] 6 7" xfId="795"/>
    <cellStyle name="Comma [0.0] 6 8" xfId="796"/>
    <cellStyle name="Comma [0.0] 6 9" xfId="797"/>
    <cellStyle name="Comma [0.0] 60" xfId="798"/>
    <cellStyle name="Comma [0.0] 61" xfId="799"/>
    <cellStyle name="Comma [0.0] 62" xfId="800"/>
    <cellStyle name="Comma [0.0] 63" xfId="801"/>
    <cellStyle name="Comma [0.0] 64" xfId="802"/>
    <cellStyle name="Comma [0.0] 65" xfId="803"/>
    <cellStyle name="Comma [0.0] 66" xfId="804"/>
    <cellStyle name="Comma [0.0] 67" xfId="805"/>
    <cellStyle name="Comma [0.0] 68" xfId="806"/>
    <cellStyle name="Comma [0.0] 69" xfId="807"/>
    <cellStyle name="Comma [0.0] 7" xfId="808"/>
    <cellStyle name="Comma [0.0] 7 10" xfId="809"/>
    <cellStyle name="Comma [0.0] 7 11" xfId="810"/>
    <cellStyle name="Comma [0.0] 7 12" xfId="811"/>
    <cellStyle name="Comma [0.0] 7 13" xfId="812"/>
    <cellStyle name="Comma [0.0] 7 14" xfId="813"/>
    <cellStyle name="Comma [0.0] 7 15" xfId="814"/>
    <cellStyle name="Comma [0.0] 7 16" xfId="815"/>
    <cellStyle name="Comma [0.0] 7 17" xfId="816"/>
    <cellStyle name="Comma [0.0] 7 18" xfId="817"/>
    <cellStyle name="Comma [0.0] 7 19" xfId="818"/>
    <cellStyle name="Comma [0.0] 7 2" xfId="819"/>
    <cellStyle name="Comma [0.0] 7 20" xfId="820"/>
    <cellStyle name="Comma [0.0] 7 21" xfId="821"/>
    <cellStyle name="Comma [0.0] 7 22" xfId="822"/>
    <cellStyle name="Comma [0.0] 7 23" xfId="823"/>
    <cellStyle name="Comma [0.0] 7 24" xfId="824"/>
    <cellStyle name="Comma [0.0] 7 25" xfId="825"/>
    <cellStyle name="Comma [0.0] 7 26" xfId="826"/>
    <cellStyle name="Comma [0.0] 7 27" xfId="827"/>
    <cellStyle name="Comma [0.0] 7 28" xfId="828"/>
    <cellStyle name="Comma [0.0] 7 3" xfId="829"/>
    <cellStyle name="Comma [0.0] 7 4" xfId="830"/>
    <cellStyle name="Comma [0.0] 7 5" xfId="831"/>
    <cellStyle name="Comma [0.0] 7 6" xfId="832"/>
    <cellStyle name="Comma [0.0] 7 7" xfId="833"/>
    <cellStyle name="Comma [0.0] 7 8" xfId="834"/>
    <cellStyle name="Comma [0.0] 7 9" xfId="835"/>
    <cellStyle name="Comma [0.0] 70" xfId="836"/>
    <cellStyle name="Comma [0.0] 71" xfId="837"/>
    <cellStyle name="Comma [0.0] 72" xfId="838"/>
    <cellStyle name="Comma [0.0] 73" xfId="839"/>
    <cellStyle name="Comma [0.0] 74" xfId="840"/>
    <cellStyle name="Comma [0.0] 75" xfId="841"/>
    <cellStyle name="Comma [0.0] 76" xfId="842"/>
    <cellStyle name="Comma [0.0] 77" xfId="843"/>
    <cellStyle name="Comma [0.0] 78" xfId="844"/>
    <cellStyle name="Comma [0.0] 79" xfId="845"/>
    <cellStyle name="Comma [0.0] 8" xfId="846"/>
    <cellStyle name="Comma [0.0] 8 10" xfId="847"/>
    <cellStyle name="Comma [0.0] 8 11" xfId="848"/>
    <cellStyle name="Comma [0.0] 8 12" xfId="849"/>
    <cellStyle name="Comma [0.0] 8 13" xfId="850"/>
    <cellStyle name="Comma [0.0] 8 14" xfId="851"/>
    <cellStyle name="Comma [0.0] 8 15" xfId="852"/>
    <cellStyle name="Comma [0.0] 8 16" xfId="853"/>
    <cellStyle name="Comma [0.0] 8 17" xfId="854"/>
    <cellStyle name="Comma [0.0] 8 18" xfId="855"/>
    <cellStyle name="Comma [0.0] 8 19" xfId="856"/>
    <cellStyle name="Comma [0.0] 8 2" xfId="857"/>
    <cellStyle name="Comma [0.0] 8 20" xfId="858"/>
    <cellStyle name="Comma [0.0] 8 21" xfId="859"/>
    <cellStyle name="Comma [0.0] 8 22" xfId="860"/>
    <cellStyle name="Comma [0.0] 8 23" xfId="861"/>
    <cellStyle name="Comma [0.0] 8 24" xfId="862"/>
    <cellStyle name="Comma [0.0] 8 25" xfId="863"/>
    <cellStyle name="Comma [0.0] 8 26" xfId="864"/>
    <cellStyle name="Comma [0.0] 8 27" xfId="865"/>
    <cellStyle name="Comma [0.0] 8 28" xfId="866"/>
    <cellStyle name="Comma [0.0] 8 3" xfId="867"/>
    <cellStyle name="Comma [0.0] 8 4" xfId="868"/>
    <cellStyle name="Comma [0.0] 8 5" xfId="869"/>
    <cellStyle name="Comma [0.0] 8 6" xfId="870"/>
    <cellStyle name="Comma [0.0] 8 7" xfId="871"/>
    <cellStyle name="Comma [0.0] 8 8" xfId="872"/>
    <cellStyle name="Comma [0.0] 8 9" xfId="873"/>
    <cellStyle name="Comma [0.0] 80" xfId="874"/>
    <cellStyle name="Comma [0.0] 81" xfId="875"/>
    <cellStyle name="Comma [0.0] 82" xfId="876"/>
    <cellStyle name="Comma [0.0] 83" xfId="877"/>
    <cellStyle name="Comma [0.0] 84" xfId="878"/>
    <cellStyle name="Comma [0.0] 85" xfId="879"/>
    <cellStyle name="Comma [0.0] 86" xfId="880"/>
    <cellStyle name="Comma [0.0] 87" xfId="881"/>
    <cellStyle name="Comma [0.0] 9" xfId="882"/>
    <cellStyle name="Comma [0.0] 9 10" xfId="883"/>
    <cellStyle name="Comma [0.0] 9 11" xfId="884"/>
    <cellStyle name="Comma [0.0] 9 12" xfId="885"/>
    <cellStyle name="Comma [0.0] 9 13" xfId="886"/>
    <cellStyle name="Comma [0.0] 9 14" xfId="887"/>
    <cellStyle name="Comma [0.0] 9 15" xfId="888"/>
    <cellStyle name="Comma [0.0] 9 16" xfId="889"/>
    <cellStyle name="Comma [0.0] 9 17" xfId="890"/>
    <cellStyle name="Comma [0.0] 9 18" xfId="891"/>
    <cellStyle name="Comma [0.0] 9 19" xfId="892"/>
    <cellStyle name="Comma [0.0] 9 2" xfId="893"/>
    <cellStyle name="Comma [0.0] 9 20" xfId="894"/>
    <cellStyle name="Comma [0.0] 9 21" xfId="895"/>
    <cellStyle name="Comma [0.0] 9 22" xfId="896"/>
    <cellStyle name="Comma [0.0] 9 23" xfId="897"/>
    <cellStyle name="Comma [0.0] 9 24" xfId="898"/>
    <cellStyle name="Comma [0.0] 9 25" xfId="899"/>
    <cellStyle name="Comma [0.0] 9 26" xfId="900"/>
    <cellStyle name="Comma [0.0] 9 27" xfId="901"/>
    <cellStyle name="Comma [0.0] 9 28" xfId="902"/>
    <cellStyle name="Comma [0.0] 9 3" xfId="903"/>
    <cellStyle name="Comma [0.0] 9 4" xfId="904"/>
    <cellStyle name="Comma [0.0] 9 5" xfId="905"/>
    <cellStyle name="Comma [0.0] 9 6" xfId="906"/>
    <cellStyle name="Comma [0.0] 9 7" xfId="907"/>
    <cellStyle name="Comma [0.0] 9 8" xfId="908"/>
    <cellStyle name="Comma [0.0] 9 9" xfId="909"/>
    <cellStyle name="Comma [0]_Sheet2" xfId="910"/>
    <cellStyle name="Comma 10" xfId="911"/>
    <cellStyle name="Comma 10 2" xfId="912"/>
    <cellStyle name="Comma 12" xfId="913"/>
    <cellStyle name="Comma 12 2" xfId="914"/>
    <cellStyle name="Comma 13" xfId="915"/>
    <cellStyle name="Comma 13 2" xfId="916"/>
    <cellStyle name="Comma 14" xfId="917"/>
    <cellStyle name="Comma 14 2" xfId="918"/>
    <cellStyle name="Comma 2" xfId="919"/>
    <cellStyle name="Comma 2 10" xfId="920"/>
    <cellStyle name="Comma 2 11" xfId="921"/>
    <cellStyle name="Comma 2 12" xfId="922"/>
    <cellStyle name="Comma 2 13" xfId="923"/>
    <cellStyle name="Comma 2 14" xfId="924"/>
    <cellStyle name="Comma 2 15" xfId="925"/>
    <cellStyle name="Comma 2 16" xfId="926"/>
    <cellStyle name="Comma 2 17" xfId="927"/>
    <cellStyle name="Comma 2 18" xfId="928"/>
    <cellStyle name="Comma 2 19" xfId="929"/>
    <cellStyle name="Comma 2 2" xfId="930"/>
    <cellStyle name="Comma 2 20" xfId="931"/>
    <cellStyle name="Comma 2 21" xfId="932"/>
    <cellStyle name="Comma 2 22" xfId="933"/>
    <cellStyle name="Comma 2 23" xfId="934"/>
    <cellStyle name="Comma 2 24" xfId="935"/>
    <cellStyle name="Comma 2 25" xfId="936"/>
    <cellStyle name="Comma 2 26" xfId="937"/>
    <cellStyle name="Comma 2 27" xfId="938"/>
    <cellStyle name="Comma 2 28" xfId="939"/>
    <cellStyle name="Comma 2 29" xfId="940"/>
    <cellStyle name="Comma 2 3" xfId="941"/>
    <cellStyle name="Comma 2 30" xfId="942"/>
    <cellStyle name="Comma 2 31" xfId="943"/>
    <cellStyle name="Comma 2 32" xfId="944"/>
    <cellStyle name="Comma 2 33" xfId="945"/>
    <cellStyle name="Comma 2 34" xfId="946"/>
    <cellStyle name="Comma 2 35" xfId="947"/>
    <cellStyle name="Comma 2 4" xfId="948"/>
    <cellStyle name="Comma 2 5" xfId="949"/>
    <cellStyle name="Comma 2 6" xfId="950"/>
    <cellStyle name="Comma 2 7" xfId="951"/>
    <cellStyle name="Comma 2 8" xfId="952"/>
    <cellStyle name="Comma 2 9" xfId="953"/>
    <cellStyle name="Comma 26" xfId="954"/>
    <cellStyle name="Comma 3" xfId="955"/>
    <cellStyle name="Comma 3 2" xfId="956"/>
    <cellStyle name="Comma 3 3" xfId="957"/>
    <cellStyle name="Comma 3 4" xfId="958"/>
    <cellStyle name="Comma 4" xfId="959"/>
    <cellStyle name="Comma 4 2" xfId="960"/>
    <cellStyle name="Comma 5" xfId="961"/>
    <cellStyle name="Comma 5 2" xfId="962"/>
    <cellStyle name="Comma 6" xfId="963"/>
    <cellStyle name="Comma 6 2" xfId="964"/>
    <cellStyle name="Comma 7" xfId="965"/>
    <cellStyle name="Comma 7 2" xfId="966"/>
    <cellStyle name="Comma 9" xfId="967"/>
    <cellStyle name="Comma 9 2" xfId="968"/>
    <cellStyle name="Comma_Sheet2" xfId="969"/>
    <cellStyle name="Currency [0] 23" xfId="970"/>
    <cellStyle name="Currency [0]_Sheet2" xfId="971"/>
    <cellStyle name="Currency 2" xfId="972"/>
    <cellStyle name="Currency 2 2" xfId="973"/>
    <cellStyle name="Exhibits" xfId="974"/>
    <cellStyle name="Hidden" xfId="975"/>
    <cellStyle name="Hidden 10" xfId="976"/>
    <cellStyle name="Hidden 10 10" xfId="977"/>
    <cellStyle name="Hidden 10 11" xfId="978"/>
    <cellStyle name="Hidden 10 12" xfId="979"/>
    <cellStyle name="Hidden 10 13" xfId="980"/>
    <cellStyle name="Hidden 10 14" xfId="981"/>
    <cellStyle name="Hidden 10 15" xfId="982"/>
    <cellStyle name="Hidden 10 16" xfId="983"/>
    <cellStyle name="Hidden 10 17" xfId="984"/>
    <cellStyle name="Hidden 10 18" xfId="985"/>
    <cellStyle name="Hidden 10 19" xfId="986"/>
    <cellStyle name="Hidden 10 2" xfId="987"/>
    <cellStyle name="Hidden 10 20" xfId="988"/>
    <cellStyle name="Hidden 10 21" xfId="989"/>
    <cellStyle name="Hidden 10 22" xfId="990"/>
    <cellStyle name="Hidden 10 23" xfId="991"/>
    <cellStyle name="Hidden 10 24" xfId="992"/>
    <cellStyle name="Hidden 10 25" xfId="993"/>
    <cellStyle name="Hidden 10 26" xfId="994"/>
    <cellStyle name="Hidden 10 27" xfId="995"/>
    <cellStyle name="Hidden 10 28" xfId="996"/>
    <cellStyle name="Hidden 10 3" xfId="997"/>
    <cellStyle name="Hidden 10 4" xfId="998"/>
    <cellStyle name="Hidden 10 5" xfId="999"/>
    <cellStyle name="Hidden 10 6" xfId="1000"/>
    <cellStyle name="Hidden 10 7" xfId="1001"/>
    <cellStyle name="Hidden 10 8" xfId="1002"/>
    <cellStyle name="Hidden 10 9" xfId="1003"/>
    <cellStyle name="Hidden 11" xfId="1004"/>
    <cellStyle name="Hidden 11 10" xfId="1005"/>
    <cellStyle name="Hidden 11 11" xfId="1006"/>
    <cellStyle name="Hidden 11 12" xfId="1007"/>
    <cellStyle name="Hidden 11 13" xfId="1008"/>
    <cellStyle name="Hidden 11 14" xfId="1009"/>
    <cellStyle name="Hidden 11 15" xfId="1010"/>
    <cellStyle name="Hidden 11 16" xfId="1011"/>
    <cellStyle name="Hidden 11 17" xfId="1012"/>
    <cellStyle name="Hidden 11 18" xfId="1013"/>
    <cellStyle name="Hidden 11 19" xfId="1014"/>
    <cellStyle name="Hidden 11 2" xfId="1015"/>
    <cellStyle name="Hidden 11 20" xfId="1016"/>
    <cellStyle name="Hidden 11 21" xfId="1017"/>
    <cellStyle name="Hidden 11 22" xfId="1018"/>
    <cellStyle name="Hidden 11 23" xfId="1019"/>
    <cellStyle name="Hidden 11 24" xfId="1020"/>
    <cellStyle name="Hidden 11 25" xfId="1021"/>
    <cellStyle name="Hidden 11 26" xfId="1022"/>
    <cellStyle name="Hidden 11 27" xfId="1023"/>
    <cellStyle name="Hidden 11 28" xfId="1024"/>
    <cellStyle name="Hidden 11 3" xfId="1025"/>
    <cellStyle name="Hidden 11 4" xfId="1026"/>
    <cellStyle name="Hidden 11 5" xfId="1027"/>
    <cellStyle name="Hidden 11 6" xfId="1028"/>
    <cellStyle name="Hidden 11 7" xfId="1029"/>
    <cellStyle name="Hidden 11 8" xfId="1030"/>
    <cellStyle name="Hidden 11 9" xfId="1031"/>
    <cellStyle name="Hidden 12" xfId="1032"/>
    <cellStyle name="Hidden 12 10" xfId="1033"/>
    <cellStyle name="Hidden 12 11" xfId="1034"/>
    <cellStyle name="Hidden 12 12" xfId="1035"/>
    <cellStyle name="Hidden 12 13" xfId="1036"/>
    <cellStyle name="Hidden 12 14" xfId="1037"/>
    <cellStyle name="Hidden 12 15" xfId="1038"/>
    <cellStyle name="Hidden 12 16" xfId="1039"/>
    <cellStyle name="Hidden 12 17" xfId="1040"/>
    <cellStyle name="Hidden 12 18" xfId="1041"/>
    <cellStyle name="Hidden 12 19" xfId="1042"/>
    <cellStyle name="Hidden 12 2" xfId="1043"/>
    <cellStyle name="Hidden 12 20" xfId="1044"/>
    <cellStyle name="Hidden 12 21" xfId="1045"/>
    <cellStyle name="Hidden 12 22" xfId="1046"/>
    <cellStyle name="Hidden 12 23" xfId="1047"/>
    <cellStyle name="Hidden 12 24" xfId="1048"/>
    <cellStyle name="Hidden 12 25" xfId="1049"/>
    <cellStyle name="Hidden 12 26" xfId="1050"/>
    <cellStyle name="Hidden 12 27" xfId="1051"/>
    <cellStyle name="Hidden 12 28" xfId="1052"/>
    <cellStyle name="Hidden 12 3" xfId="1053"/>
    <cellStyle name="Hidden 12 4" xfId="1054"/>
    <cellStyle name="Hidden 12 5" xfId="1055"/>
    <cellStyle name="Hidden 12 6" xfId="1056"/>
    <cellStyle name="Hidden 12 7" xfId="1057"/>
    <cellStyle name="Hidden 12 8" xfId="1058"/>
    <cellStyle name="Hidden 12 9" xfId="1059"/>
    <cellStyle name="Hidden 13" xfId="1060"/>
    <cellStyle name="Hidden 13 10" xfId="1061"/>
    <cellStyle name="Hidden 13 11" xfId="1062"/>
    <cellStyle name="Hidden 13 12" xfId="1063"/>
    <cellStyle name="Hidden 13 13" xfId="1064"/>
    <cellStyle name="Hidden 13 14" xfId="1065"/>
    <cellStyle name="Hidden 13 15" xfId="1066"/>
    <cellStyle name="Hidden 13 16" xfId="1067"/>
    <cellStyle name="Hidden 13 17" xfId="1068"/>
    <cellStyle name="Hidden 13 18" xfId="1069"/>
    <cellStyle name="Hidden 13 19" xfId="1070"/>
    <cellStyle name="Hidden 13 2" xfId="1071"/>
    <cellStyle name="Hidden 13 20" xfId="1072"/>
    <cellStyle name="Hidden 13 21" xfId="1073"/>
    <cellStyle name="Hidden 13 22" xfId="1074"/>
    <cellStyle name="Hidden 13 23" xfId="1075"/>
    <cellStyle name="Hidden 13 24" xfId="1076"/>
    <cellStyle name="Hidden 13 25" xfId="1077"/>
    <cellStyle name="Hidden 13 26" xfId="1078"/>
    <cellStyle name="Hidden 13 27" xfId="1079"/>
    <cellStyle name="Hidden 13 28" xfId="1080"/>
    <cellStyle name="Hidden 13 3" xfId="1081"/>
    <cellStyle name="Hidden 13 4" xfId="1082"/>
    <cellStyle name="Hidden 13 5" xfId="1083"/>
    <cellStyle name="Hidden 13 6" xfId="1084"/>
    <cellStyle name="Hidden 13 7" xfId="1085"/>
    <cellStyle name="Hidden 13 8" xfId="1086"/>
    <cellStyle name="Hidden 13 9" xfId="1087"/>
    <cellStyle name="Hidden 14" xfId="1088"/>
    <cellStyle name="Hidden 14 10" xfId="1089"/>
    <cellStyle name="Hidden 14 11" xfId="1090"/>
    <cellStyle name="Hidden 14 12" xfId="1091"/>
    <cellStyle name="Hidden 14 13" xfId="1092"/>
    <cellStyle name="Hidden 14 14" xfId="1093"/>
    <cellStyle name="Hidden 14 15" xfId="1094"/>
    <cellStyle name="Hidden 14 16" xfId="1095"/>
    <cellStyle name="Hidden 14 17" xfId="1096"/>
    <cellStyle name="Hidden 14 18" xfId="1097"/>
    <cellStyle name="Hidden 14 19" xfId="1098"/>
    <cellStyle name="Hidden 14 2" xfId="1099"/>
    <cellStyle name="Hidden 14 20" xfId="1100"/>
    <cellStyle name="Hidden 14 21" xfId="1101"/>
    <cellStyle name="Hidden 14 22" xfId="1102"/>
    <cellStyle name="Hidden 14 23" xfId="1103"/>
    <cellStyle name="Hidden 14 24" xfId="1104"/>
    <cellStyle name="Hidden 14 25" xfId="1105"/>
    <cellStyle name="Hidden 14 26" xfId="1106"/>
    <cellStyle name="Hidden 14 27" xfId="1107"/>
    <cellStyle name="Hidden 14 28" xfId="1108"/>
    <cellStyle name="Hidden 14 3" xfId="1109"/>
    <cellStyle name="Hidden 14 4" xfId="1110"/>
    <cellStyle name="Hidden 14 5" xfId="1111"/>
    <cellStyle name="Hidden 14 6" xfId="1112"/>
    <cellStyle name="Hidden 14 7" xfId="1113"/>
    <cellStyle name="Hidden 14 8" xfId="1114"/>
    <cellStyle name="Hidden 14 9" xfId="1115"/>
    <cellStyle name="Hidden 15" xfId="1116"/>
    <cellStyle name="Hidden 15 10" xfId="1117"/>
    <cellStyle name="Hidden 15 11" xfId="1118"/>
    <cellStyle name="Hidden 15 12" xfId="1119"/>
    <cellStyle name="Hidden 15 13" xfId="1120"/>
    <cellStyle name="Hidden 15 14" xfId="1121"/>
    <cellStyle name="Hidden 15 15" xfId="1122"/>
    <cellStyle name="Hidden 15 16" xfId="1123"/>
    <cellStyle name="Hidden 15 17" xfId="1124"/>
    <cellStyle name="Hidden 15 18" xfId="1125"/>
    <cellStyle name="Hidden 15 19" xfId="1126"/>
    <cellStyle name="Hidden 15 2" xfId="1127"/>
    <cellStyle name="Hidden 15 20" xfId="1128"/>
    <cellStyle name="Hidden 15 21" xfId="1129"/>
    <cellStyle name="Hidden 15 22" xfId="1130"/>
    <cellStyle name="Hidden 15 23" xfId="1131"/>
    <cellStyle name="Hidden 15 24" xfId="1132"/>
    <cellStyle name="Hidden 15 25" xfId="1133"/>
    <cellStyle name="Hidden 15 26" xfId="1134"/>
    <cellStyle name="Hidden 15 27" xfId="1135"/>
    <cellStyle name="Hidden 15 28" xfId="1136"/>
    <cellStyle name="Hidden 15 3" xfId="1137"/>
    <cellStyle name="Hidden 15 4" xfId="1138"/>
    <cellStyle name="Hidden 15 5" xfId="1139"/>
    <cellStyle name="Hidden 15 6" xfId="1140"/>
    <cellStyle name="Hidden 15 7" xfId="1141"/>
    <cellStyle name="Hidden 15 8" xfId="1142"/>
    <cellStyle name="Hidden 15 9" xfId="1143"/>
    <cellStyle name="Hidden 16" xfId="1144"/>
    <cellStyle name="Hidden 16 10" xfId="1145"/>
    <cellStyle name="Hidden 16 11" xfId="1146"/>
    <cellStyle name="Hidden 16 12" xfId="1147"/>
    <cellStyle name="Hidden 16 13" xfId="1148"/>
    <cellStyle name="Hidden 16 14" xfId="1149"/>
    <cellStyle name="Hidden 16 15" xfId="1150"/>
    <cellStyle name="Hidden 16 16" xfId="1151"/>
    <cellStyle name="Hidden 16 17" xfId="1152"/>
    <cellStyle name="Hidden 16 18" xfId="1153"/>
    <cellStyle name="Hidden 16 19" xfId="1154"/>
    <cellStyle name="Hidden 16 2" xfId="1155"/>
    <cellStyle name="Hidden 16 20" xfId="1156"/>
    <cellStyle name="Hidden 16 21" xfId="1157"/>
    <cellStyle name="Hidden 16 22" xfId="1158"/>
    <cellStyle name="Hidden 16 23" xfId="1159"/>
    <cellStyle name="Hidden 16 24" xfId="1160"/>
    <cellStyle name="Hidden 16 25" xfId="1161"/>
    <cellStyle name="Hidden 16 26" xfId="1162"/>
    <cellStyle name="Hidden 16 27" xfId="1163"/>
    <cellStyle name="Hidden 16 28" xfId="1164"/>
    <cellStyle name="Hidden 16 3" xfId="1165"/>
    <cellStyle name="Hidden 16 4" xfId="1166"/>
    <cellStyle name="Hidden 16 5" xfId="1167"/>
    <cellStyle name="Hidden 16 6" xfId="1168"/>
    <cellStyle name="Hidden 16 7" xfId="1169"/>
    <cellStyle name="Hidden 16 8" xfId="1170"/>
    <cellStyle name="Hidden 16 9" xfId="1171"/>
    <cellStyle name="Hidden 17" xfId="1172"/>
    <cellStyle name="Hidden 17 10" xfId="1173"/>
    <cellStyle name="Hidden 17 11" xfId="1174"/>
    <cellStyle name="Hidden 17 12" xfId="1175"/>
    <cellStyle name="Hidden 17 13" xfId="1176"/>
    <cellStyle name="Hidden 17 14" xfId="1177"/>
    <cellStyle name="Hidden 17 15" xfId="1178"/>
    <cellStyle name="Hidden 17 16" xfId="1179"/>
    <cellStyle name="Hidden 17 17" xfId="1180"/>
    <cellStyle name="Hidden 17 18" xfId="1181"/>
    <cellStyle name="Hidden 17 19" xfId="1182"/>
    <cellStyle name="Hidden 17 2" xfId="1183"/>
    <cellStyle name="Hidden 17 20" xfId="1184"/>
    <cellStyle name="Hidden 17 21" xfId="1185"/>
    <cellStyle name="Hidden 17 22" xfId="1186"/>
    <cellStyle name="Hidden 17 23" xfId="1187"/>
    <cellStyle name="Hidden 17 24" xfId="1188"/>
    <cellStyle name="Hidden 17 25" xfId="1189"/>
    <cellStyle name="Hidden 17 26" xfId="1190"/>
    <cellStyle name="Hidden 17 27" xfId="1191"/>
    <cellStyle name="Hidden 17 28" xfId="1192"/>
    <cellStyle name="Hidden 17 3" xfId="1193"/>
    <cellStyle name="Hidden 17 4" xfId="1194"/>
    <cellStyle name="Hidden 17 5" xfId="1195"/>
    <cellStyle name="Hidden 17 6" xfId="1196"/>
    <cellStyle name="Hidden 17 7" xfId="1197"/>
    <cellStyle name="Hidden 17 8" xfId="1198"/>
    <cellStyle name="Hidden 17 9" xfId="1199"/>
    <cellStyle name="Hidden 18" xfId="1200"/>
    <cellStyle name="Hidden 18 10" xfId="1201"/>
    <cellStyle name="Hidden 18 11" xfId="1202"/>
    <cellStyle name="Hidden 18 12" xfId="1203"/>
    <cellStyle name="Hidden 18 13" xfId="1204"/>
    <cellStyle name="Hidden 18 14" xfId="1205"/>
    <cellStyle name="Hidden 18 15" xfId="1206"/>
    <cellStyle name="Hidden 18 16" xfId="1207"/>
    <cellStyle name="Hidden 18 17" xfId="1208"/>
    <cellStyle name="Hidden 18 18" xfId="1209"/>
    <cellStyle name="Hidden 18 19" xfId="1210"/>
    <cellStyle name="Hidden 18 2" xfId="1211"/>
    <cellStyle name="Hidden 18 20" xfId="1212"/>
    <cellStyle name="Hidden 18 21" xfId="1213"/>
    <cellStyle name="Hidden 18 22" xfId="1214"/>
    <cellStyle name="Hidden 18 23" xfId="1215"/>
    <cellStyle name="Hidden 18 24" xfId="1216"/>
    <cellStyle name="Hidden 18 25" xfId="1217"/>
    <cellStyle name="Hidden 18 26" xfId="1218"/>
    <cellStyle name="Hidden 18 27" xfId="1219"/>
    <cellStyle name="Hidden 18 28" xfId="1220"/>
    <cellStyle name="Hidden 18 3" xfId="1221"/>
    <cellStyle name="Hidden 18 4" xfId="1222"/>
    <cellStyle name="Hidden 18 5" xfId="1223"/>
    <cellStyle name="Hidden 18 6" xfId="1224"/>
    <cellStyle name="Hidden 18 7" xfId="1225"/>
    <cellStyle name="Hidden 18 8" xfId="1226"/>
    <cellStyle name="Hidden 18 9" xfId="1227"/>
    <cellStyle name="Hidden 19" xfId="1228"/>
    <cellStyle name="Hidden 19 10" xfId="1229"/>
    <cellStyle name="Hidden 19 11" xfId="1230"/>
    <cellStyle name="Hidden 19 12" xfId="1231"/>
    <cellStyle name="Hidden 19 13" xfId="1232"/>
    <cellStyle name="Hidden 19 14" xfId="1233"/>
    <cellStyle name="Hidden 19 15" xfId="1234"/>
    <cellStyle name="Hidden 19 16" xfId="1235"/>
    <cellStyle name="Hidden 19 17" xfId="1236"/>
    <cellStyle name="Hidden 19 18" xfId="1237"/>
    <cellStyle name="Hidden 19 19" xfId="1238"/>
    <cellStyle name="Hidden 19 2" xfId="1239"/>
    <cellStyle name="Hidden 19 20" xfId="1240"/>
    <cellStyle name="Hidden 19 21" xfId="1241"/>
    <cellStyle name="Hidden 19 22" xfId="1242"/>
    <cellStyle name="Hidden 19 23" xfId="1243"/>
    <cellStyle name="Hidden 19 24" xfId="1244"/>
    <cellStyle name="Hidden 19 25" xfId="1245"/>
    <cellStyle name="Hidden 19 26" xfId="1246"/>
    <cellStyle name="Hidden 19 27" xfId="1247"/>
    <cellStyle name="Hidden 19 28" xfId="1248"/>
    <cellStyle name="Hidden 19 3" xfId="1249"/>
    <cellStyle name="Hidden 19 4" xfId="1250"/>
    <cellStyle name="Hidden 19 5" xfId="1251"/>
    <cellStyle name="Hidden 19 6" xfId="1252"/>
    <cellStyle name="Hidden 19 7" xfId="1253"/>
    <cellStyle name="Hidden 19 8" xfId="1254"/>
    <cellStyle name="Hidden 19 9" xfId="1255"/>
    <cellStyle name="Hidden 2" xfId="1256"/>
    <cellStyle name="Hidden 2 10" xfId="1257"/>
    <cellStyle name="Hidden 2 11" xfId="1258"/>
    <cellStyle name="Hidden 2 12" xfId="1259"/>
    <cellStyle name="Hidden 2 13" xfId="1260"/>
    <cellStyle name="Hidden 2 14" xfId="1261"/>
    <cellStyle name="Hidden 2 15" xfId="1262"/>
    <cellStyle name="Hidden 2 16" xfId="1263"/>
    <cellStyle name="Hidden 2 17" xfId="1264"/>
    <cellStyle name="Hidden 2 18" xfId="1265"/>
    <cellStyle name="Hidden 2 19" xfId="1266"/>
    <cellStyle name="Hidden 2 2" xfId="1267"/>
    <cellStyle name="Hidden 2 20" xfId="1268"/>
    <cellStyle name="Hidden 2 21" xfId="1269"/>
    <cellStyle name="Hidden 2 22" xfId="1270"/>
    <cellStyle name="Hidden 2 23" xfId="1271"/>
    <cellStyle name="Hidden 2 24" xfId="1272"/>
    <cellStyle name="Hidden 2 25" xfId="1273"/>
    <cellStyle name="Hidden 2 26" xfId="1274"/>
    <cellStyle name="Hidden 2 27" xfId="1275"/>
    <cellStyle name="Hidden 2 28" xfId="1276"/>
    <cellStyle name="Hidden 2 3" xfId="1277"/>
    <cellStyle name="Hidden 2 4" xfId="1278"/>
    <cellStyle name="Hidden 2 5" xfId="1279"/>
    <cellStyle name="Hidden 2 6" xfId="1280"/>
    <cellStyle name="Hidden 2 7" xfId="1281"/>
    <cellStyle name="Hidden 2 8" xfId="1282"/>
    <cellStyle name="Hidden 2 9" xfId="1283"/>
    <cellStyle name="Hidden 20" xfId="1284"/>
    <cellStyle name="Hidden 20 10" xfId="1285"/>
    <cellStyle name="Hidden 20 11" xfId="1286"/>
    <cellStyle name="Hidden 20 12" xfId="1287"/>
    <cellStyle name="Hidden 20 13" xfId="1288"/>
    <cellStyle name="Hidden 20 14" xfId="1289"/>
    <cellStyle name="Hidden 20 15" xfId="1290"/>
    <cellStyle name="Hidden 20 16" xfId="1291"/>
    <cellStyle name="Hidden 20 17" xfId="1292"/>
    <cellStyle name="Hidden 20 18" xfId="1293"/>
    <cellStyle name="Hidden 20 19" xfId="1294"/>
    <cellStyle name="Hidden 20 2" xfId="1295"/>
    <cellStyle name="Hidden 20 20" xfId="1296"/>
    <cellStyle name="Hidden 20 21" xfId="1297"/>
    <cellStyle name="Hidden 20 22" xfId="1298"/>
    <cellStyle name="Hidden 20 23" xfId="1299"/>
    <cellStyle name="Hidden 20 24" xfId="1300"/>
    <cellStyle name="Hidden 20 25" xfId="1301"/>
    <cellStyle name="Hidden 20 26" xfId="1302"/>
    <cellStyle name="Hidden 20 27" xfId="1303"/>
    <cellStyle name="Hidden 20 28" xfId="1304"/>
    <cellStyle name="Hidden 20 3" xfId="1305"/>
    <cellStyle name="Hidden 20 4" xfId="1306"/>
    <cellStyle name="Hidden 20 5" xfId="1307"/>
    <cellStyle name="Hidden 20 6" xfId="1308"/>
    <cellStyle name="Hidden 20 7" xfId="1309"/>
    <cellStyle name="Hidden 20 8" xfId="1310"/>
    <cellStyle name="Hidden 20 9" xfId="1311"/>
    <cellStyle name="Hidden 21" xfId="1312"/>
    <cellStyle name="Hidden 21 10" xfId="1313"/>
    <cellStyle name="Hidden 21 11" xfId="1314"/>
    <cellStyle name="Hidden 21 12" xfId="1315"/>
    <cellStyle name="Hidden 21 13" xfId="1316"/>
    <cellStyle name="Hidden 21 14" xfId="1317"/>
    <cellStyle name="Hidden 21 15" xfId="1318"/>
    <cellStyle name="Hidden 21 16" xfId="1319"/>
    <cellStyle name="Hidden 21 17" xfId="1320"/>
    <cellStyle name="Hidden 21 18" xfId="1321"/>
    <cellStyle name="Hidden 21 19" xfId="1322"/>
    <cellStyle name="Hidden 21 2" xfId="1323"/>
    <cellStyle name="Hidden 21 20" xfId="1324"/>
    <cellStyle name="Hidden 21 21" xfId="1325"/>
    <cellStyle name="Hidden 21 22" xfId="1326"/>
    <cellStyle name="Hidden 21 23" xfId="1327"/>
    <cellStyle name="Hidden 21 24" xfId="1328"/>
    <cellStyle name="Hidden 21 25" xfId="1329"/>
    <cellStyle name="Hidden 21 26" xfId="1330"/>
    <cellStyle name="Hidden 21 27" xfId="1331"/>
    <cellStyle name="Hidden 21 28" xfId="1332"/>
    <cellStyle name="Hidden 21 3" xfId="1333"/>
    <cellStyle name="Hidden 21 4" xfId="1334"/>
    <cellStyle name="Hidden 21 5" xfId="1335"/>
    <cellStyle name="Hidden 21 6" xfId="1336"/>
    <cellStyle name="Hidden 21 7" xfId="1337"/>
    <cellStyle name="Hidden 21 8" xfId="1338"/>
    <cellStyle name="Hidden 21 9" xfId="1339"/>
    <cellStyle name="Hidden 22" xfId="1340"/>
    <cellStyle name="Hidden 22 10" xfId="1341"/>
    <cellStyle name="Hidden 22 11" xfId="1342"/>
    <cellStyle name="Hidden 22 12" xfId="1343"/>
    <cellStyle name="Hidden 22 13" xfId="1344"/>
    <cellStyle name="Hidden 22 14" xfId="1345"/>
    <cellStyle name="Hidden 22 15" xfId="1346"/>
    <cellStyle name="Hidden 22 16" xfId="1347"/>
    <cellStyle name="Hidden 22 17" xfId="1348"/>
    <cellStyle name="Hidden 22 18" xfId="1349"/>
    <cellStyle name="Hidden 22 19" xfId="1350"/>
    <cellStyle name="Hidden 22 2" xfId="1351"/>
    <cellStyle name="Hidden 22 20" xfId="1352"/>
    <cellStyle name="Hidden 22 21" xfId="1353"/>
    <cellStyle name="Hidden 22 22" xfId="1354"/>
    <cellStyle name="Hidden 22 23" xfId="1355"/>
    <cellStyle name="Hidden 22 24" xfId="1356"/>
    <cellStyle name="Hidden 22 25" xfId="1357"/>
    <cellStyle name="Hidden 22 26" xfId="1358"/>
    <cellStyle name="Hidden 22 27" xfId="1359"/>
    <cellStyle name="Hidden 22 28" xfId="1360"/>
    <cellStyle name="Hidden 22 3" xfId="1361"/>
    <cellStyle name="Hidden 22 4" xfId="1362"/>
    <cellStyle name="Hidden 22 5" xfId="1363"/>
    <cellStyle name="Hidden 22 6" xfId="1364"/>
    <cellStyle name="Hidden 22 7" xfId="1365"/>
    <cellStyle name="Hidden 22 8" xfId="1366"/>
    <cellStyle name="Hidden 22 9" xfId="1367"/>
    <cellStyle name="Hidden 23" xfId="1368"/>
    <cellStyle name="Hidden 23 10" xfId="1369"/>
    <cellStyle name="Hidden 23 11" xfId="1370"/>
    <cellStyle name="Hidden 23 12" xfId="1371"/>
    <cellStyle name="Hidden 23 13" xfId="1372"/>
    <cellStyle name="Hidden 23 14" xfId="1373"/>
    <cellStyle name="Hidden 23 15" xfId="1374"/>
    <cellStyle name="Hidden 23 16" xfId="1375"/>
    <cellStyle name="Hidden 23 17" xfId="1376"/>
    <cellStyle name="Hidden 23 18" xfId="1377"/>
    <cellStyle name="Hidden 23 19" xfId="1378"/>
    <cellStyle name="Hidden 23 2" xfId="1379"/>
    <cellStyle name="Hidden 23 20" xfId="1380"/>
    <cellStyle name="Hidden 23 21" xfId="1381"/>
    <cellStyle name="Hidden 23 22" xfId="1382"/>
    <cellStyle name="Hidden 23 23" xfId="1383"/>
    <cellStyle name="Hidden 23 24" xfId="1384"/>
    <cellStyle name="Hidden 23 25" xfId="1385"/>
    <cellStyle name="Hidden 23 26" xfId="1386"/>
    <cellStyle name="Hidden 23 27" xfId="1387"/>
    <cellStyle name="Hidden 23 28" xfId="1388"/>
    <cellStyle name="Hidden 23 3" xfId="1389"/>
    <cellStyle name="Hidden 23 4" xfId="1390"/>
    <cellStyle name="Hidden 23 5" xfId="1391"/>
    <cellStyle name="Hidden 23 6" xfId="1392"/>
    <cellStyle name="Hidden 23 7" xfId="1393"/>
    <cellStyle name="Hidden 23 8" xfId="1394"/>
    <cellStyle name="Hidden 23 9" xfId="1395"/>
    <cellStyle name="Hidden 24" xfId="1396"/>
    <cellStyle name="Hidden 24 10" xfId="1397"/>
    <cellStyle name="Hidden 24 11" xfId="1398"/>
    <cellStyle name="Hidden 24 12" xfId="1399"/>
    <cellStyle name="Hidden 24 13" xfId="1400"/>
    <cellStyle name="Hidden 24 14" xfId="1401"/>
    <cellStyle name="Hidden 24 15" xfId="1402"/>
    <cellStyle name="Hidden 24 16" xfId="1403"/>
    <cellStyle name="Hidden 24 17" xfId="1404"/>
    <cellStyle name="Hidden 24 18" xfId="1405"/>
    <cellStyle name="Hidden 24 19" xfId="1406"/>
    <cellStyle name="Hidden 24 2" xfId="1407"/>
    <cellStyle name="Hidden 24 20" xfId="1408"/>
    <cellStyle name="Hidden 24 21" xfId="1409"/>
    <cellStyle name="Hidden 24 22" xfId="1410"/>
    <cellStyle name="Hidden 24 23" xfId="1411"/>
    <cellStyle name="Hidden 24 24" xfId="1412"/>
    <cellStyle name="Hidden 24 25" xfId="1413"/>
    <cellStyle name="Hidden 24 26" xfId="1414"/>
    <cellStyle name="Hidden 24 27" xfId="1415"/>
    <cellStyle name="Hidden 24 28" xfId="1416"/>
    <cellStyle name="Hidden 24 3" xfId="1417"/>
    <cellStyle name="Hidden 24 4" xfId="1418"/>
    <cellStyle name="Hidden 24 5" xfId="1419"/>
    <cellStyle name="Hidden 24 6" xfId="1420"/>
    <cellStyle name="Hidden 24 7" xfId="1421"/>
    <cellStyle name="Hidden 24 8" xfId="1422"/>
    <cellStyle name="Hidden 24 9" xfId="1423"/>
    <cellStyle name="Hidden 25" xfId="1424"/>
    <cellStyle name="Hidden 25 10" xfId="1425"/>
    <cellStyle name="Hidden 25 11" xfId="1426"/>
    <cellStyle name="Hidden 25 12" xfId="1427"/>
    <cellStyle name="Hidden 25 13" xfId="1428"/>
    <cellStyle name="Hidden 25 14" xfId="1429"/>
    <cellStyle name="Hidden 25 15" xfId="1430"/>
    <cellStyle name="Hidden 25 16" xfId="1431"/>
    <cellStyle name="Hidden 25 17" xfId="1432"/>
    <cellStyle name="Hidden 25 18" xfId="1433"/>
    <cellStyle name="Hidden 25 19" xfId="1434"/>
    <cellStyle name="Hidden 25 2" xfId="1435"/>
    <cellStyle name="Hidden 25 20" xfId="1436"/>
    <cellStyle name="Hidden 25 21" xfId="1437"/>
    <cellStyle name="Hidden 25 22" xfId="1438"/>
    <cellStyle name="Hidden 25 23" xfId="1439"/>
    <cellStyle name="Hidden 25 24" xfId="1440"/>
    <cellStyle name="Hidden 25 25" xfId="1441"/>
    <cellStyle name="Hidden 25 26" xfId="1442"/>
    <cellStyle name="Hidden 25 27" xfId="1443"/>
    <cellStyle name="Hidden 25 28" xfId="1444"/>
    <cellStyle name="Hidden 25 3" xfId="1445"/>
    <cellStyle name="Hidden 25 4" xfId="1446"/>
    <cellStyle name="Hidden 25 5" xfId="1447"/>
    <cellStyle name="Hidden 25 6" xfId="1448"/>
    <cellStyle name="Hidden 25 7" xfId="1449"/>
    <cellStyle name="Hidden 25 8" xfId="1450"/>
    <cellStyle name="Hidden 25 9" xfId="1451"/>
    <cellStyle name="Hidden 26" xfId="1452"/>
    <cellStyle name="Hidden 26 10" xfId="1453"/>
    <cellStyle name="Hidden 26 11" xfId="1454"/>
    <cellStyle name="Hidden 26 12" xfId="1455"/>
    <cellStyle name="Hidden 26 13" xfId="1456"/>
    <cellStyle name="Hidden 26 14" xfId="1457"/>
    <cellStyle name="Hidden 26 15" xfId="1458"/>
    <cellStyle name="Hidden 26 2" xfId="1459"/>
    <cellStyle name="Hidden 26 3" xfId="1460"/>
    <cellStyle name="Hidden 26 4" xfId="1461"/>
    <cellStyle name="Hidden 26 5" xfId="1462"/>
    <cellStyle name="Hidden 26 6" xfId="1463"/>
    <cellStyle name="Hidden 26 7" xfId="1464"/>
    <cellStyle name="Hidden 26 8" xfId="1465"/>
    <cellStyle name="Hidden 26 9" xfId="1466"/>
    <cellStyle name="Hidden 27" xfId="1467"/>
    <cellStyle name="Hidden 27 10" xfId="1468"/>
    <cellStyle name="Hidden 27 11" xfId="1469"/>
    <cellStyle name="Hidden 27 12" xfId="1470"/>
    <cellStyle name="Hidden 27 13" xfId="1471"/>
    <cellStyle name="Hidden 27 14" xfId="1472"/>
    <cellStyle name="Hidden 27 15" xfId="1473"/>
    <cellStyle name="Hidden 27 2" xfId="1474"/>
    <cellStyle name="Hidden 27 3" xfId="1475"/>
    <cellStyle name="Hidden 27 4" xfId="1476"/>
    <cellStyle name="Hidden 27 5" xfId="1477"/>
    <cellStyle name="Hidden 27 6" xfId="1478"/>
    <cellStyle name="Hidden 27 7" xfId="1479"/>
    <cellStyle name="Hidden 27 8" xfId="1480"/>
    <cellStyle name="Hidden 27 9" xfId="1481"/>
    <cellStyle name="Hidden 28" xfId="1482"/>
    <cellStyle name="Hidden 28 10" xfId="1483"/>
    <cellStyle name="Hidden 28 11" xfId="1484"/>
    <cellStyle name="Hidden 28 12" xfId="1485"/>
    <cellStyle name="Hidden 28 13" xfId="1486"/>
    <cellStyle name="Hidden 28 14" xfId="1487"/>
    <cellStyle name="Hidden 28 15" xfId="1488"/>
    <cellStyle name="Hidden 28 2" xfId="1489"/>
    <cellStyle name="Hidden 28 3" xfId="1490"/>
    <cellStyle name="Hidden 28 4" xfId="1491"/>
    <cellStyle name="Hidden 28 5" xfId="1492"/>
    <cellStyle name="Hidden 28 6" xfId="1493"/>
    <cellStyle name="Hidden 28 7" xfId="1494"/>
    <cellStyle name="Hidden 28 8" xfId="1495"/>
    <cellStyle name="Hidden 28 9" xfId="1496"/>
    <cellStyle name="Hidden 29" xfId="1497"/>
    <cellStyle name="Hidden 29 10" xfId="1498"/>
    <cellStyle name="Hidden 29 11" xfId="1499"/>
    <cellStyle name="Hidden 29 12" xfId="1500"/>
    <cellStyle name="Hidden 29 13" xfId="1501"/>
    <cellStyle name="Hidden 29 14" xfId="1502"/>
    <cellStyle name="Hidden 29 15" xfId="1503"/>
    <cellStyle name="Hidden 29 2" xfId="1504"/>
    <cellStyle name="Hidden 29 3" xfId="1505"/>
    <cellStyle name="Hidden 29 4" xfId="1506"/>
    <cellStyle name="Hidden 29 5" xfId="1507"/>
    <cellStyle name="Hidden 29 6" xfId="1508"/>
    <cellStyle name="Hidden 29 7" xfId="1509"/>
    <cellStyle name="Hidden 29 8" xfId="1510"/>
    <cellStyle name="Hidden 29 9" xfId="1511"/>
    <cellStyle name="Hidden 3" xfId="1512"/>
    <cellStyle name="Hidden 3 10" xfId="1513"/>
    <cellStyle name="Hidden 3 11" xfId="1514"/>
    <cellStyle name="Hidden 3 12" xfId="1515"/>
    <cellStyle name="Hidden 3 13" xfId="1516"/>
    <cellStyle name="Hidden 3 14" xfId="1517"/>
    <cellStyle name="Hidden 3 15" xfId="1518"/>
    <cellStyle name="Hidden 3 16" xfId="1519"/>
    <cellStyle name="Hidden 3 17" xfId="1520"/>
    <cellStyle name="Hidden 3 18" xfId="1521"/>
    <cellStyle name="Hidden 3 19" xfId="1522"/>
    <cellStyle name="Hidden 3 2" xfId="1523"/>
    <cellStyle name="Hidden 3 20" xfId="1524"/>
    <cellStyle name="Hidden 3 21" xfId="1525"/>
    <cellStyle name="Hidden 3 22" xfId="1526"/>
    <cellStyle name="Hidden 3 23" xfId="1527"/>
    <cellStyle name="Hidden 3 24" xfId="1528"/>
    <cellStyle name="Hidden 3 25" xfId="1529"/>
    <cellStyle name="Hidden 3 26" xfId="1530"/>
    <cellStyle name="Hidden 3 27" xfId="1531"/>
    <cellStyle name="Hidden 3 28" xfId="1532"/>
    <cellStyle name="Hidden 3 3" xfId="1533"/>
    <cellStyle name="Hidden 3 4" xfId="1534"/>
    <cellStyle name="Hidden 3 5" xfId="1535"/>
    <cellStyle name="Hidden 3 6" xfId="1536"/>
    <cellStyle name="Hidden 3 7" xfId="1537"/>
    <cellStyle name="Hidden 3 8" xfId="1538"/>
    <cellStyle name="Hidden 3 9" xfId="1539"/>
    <cellStyle name="Hidden 30" xfId="1540"/>
    <cellStyle name="Hidden 30 10" xfId="1541"/>
    <cellStyle name="Hidden 30 11" xfId="1542"/>
    <cellStyle name="Hidden 30 12" xfId="1543"/>
    <cellStyle name="Hidden 30 13" xfId="1544"/>
    <cellStyle name="Hidden 30 14" xfId="1545"/>
    <cellStyle name="Hidden 30 15" xfId="1546"/>
    <cellStyle name="Hidden 30 2" xfId="1547"/>
    <cellStyle name="Hidden 30 3" xfId="1548"/>
    <cellStyle name="Hidden 30 4" xfId="1549"/>
    <cellStyle name="Hidden 30 5" xfId="1550"/>
    <cellStyle name="Hidden 30 6" xfId="1551"/>
    <cellStyle name="Hidden 30 7" xfId="1552"/>
    <cellStyle name="Hidden 30 8" xfId="1553"/>
    <cellStyle name="Hidden 30 9" xfId="1554"/>
    <cellStyle name="Hidden 31" xfId="1555"/>
    <cellStyle name="Hidden 31 10" xfId="1556"/>
    <cellStyle name="Hidden 31 11" xfId="1557"/>
    <cellStyle name="Hidden 31 12" xfId="1558"/>
    <cellStyle name="Hidden 31 13" xfId="1559"/>
    <cellStyle name="Hidden 31 14" xfId="1560"/>
    <cellStyle name="Hidden 31 15" xfId="1561"/>
    <cellStyle name="Hidden 31 2" xfId="1562"/>
    <cellStyle name="Hidden 31 3" xfId="1563"/>
    <cellStyle name="Hidden 31 4" xfId="1564"/>
    <cellStyle name="Hidden 31 5" xfId="1565"/>
    <cellStyle name="Hidden 31 6" xfId="1566"/>
    <cellStyle name="Hidden 31 7" xfId="1567"/>
    <cellStyle name="Hidden 31 8" xfId="1568"/>
    <cellStyle name="Hidden 31 9" xfId="1569"/>
    <cellStyle name="Hidden 32" xfId="1570"/>
    <cellStyle name="Hidden 32 10" xfId="1571"/>
    <cellStyle name="Hidden 32 11" xfId="1572"/>
    <cellStyle name="Hidden 32 12" xfId="1573"/>
    <cellStyle name="Hidden 32 2" xfId="1574"/>
    <cellStyle name="Hidden 32 3" xfId="1575"/>
    <cellStyle name="Hidden 32 4" xfId="1576"/>
    <cellStyle name="Hidden 32 5" xfId="1577"/>
    <cellStyle name="Hidden 32 6" xfId="1578"/>
    <cellStyle name="Hidden 32 7" xfId="1579"/>
    <cellStyle name="Hidden 32 8" xfId="1580"/>
    <cellStyle name="Hidden 32 9" xfId="1581"/>
    <cellStyle name="Hidden 33" xfId="1582"/>
    <cellStyle name="Hidden 33 10" xfId="1583"/>
    <cellStyle name="Hidden 33 11" xfId="1584"/>
    <cellStyle name="Hidden 33 12" xfId="1585"/>
    <cellStyle name="Hidden 33 2" xfId="1586"/>
    <cellStyle name="Hidden 33 3" xfId="1587"/>
    <cellStyle name="Hidden 33 4" xfId="1588"/>
    <cellStyle name="Hidden 33 5" xfId="1589"/>
    <cellStyle name="Hidden 33 6" xfId="1590"/>
    <cellStyle name="Hidden 33 7" xfId="1591"/>
    <cellStyle name="Hidden 33 8" xfId="1592"/>
    <cellStyle name="Hidden 33 9" xfId="1593"/>
    <cellStyle name="Hidden 34" xfId="1594"/>
    <cellStyle name="Hidden 34 10" xfId="1595"/>
    <cellStyle name="Hidden 34 11" xfId="1596"/>
    <cellStyle name="Hidden 34 12" xfId="1597"/>
    <cellStyle name="Hidden 34 2" xfId="1598"/>
    <cellStyle name="Hidden 34 3" xfId="1599"/>
    <cellStyle name="Hidden 34 4" xfId="1600"/>
    <cellStyle name="Hidden 34 5" xfId="1601"/>
    <cellStyle name="Hidden 34 6" xfId="1602"/>
    <cellStyle name="Hidden 34 7" xfId="1603"/>
    <cellStyle name="Hidden 34 8" xfId="1604"/>
    <cellStyle name="Hidden 34 9" xfId="1605"/>
    <cellStyle name="Hidden 35" xfId="1606"/>
    <cellStyle name="Hidden 35 10" xfId="1607"/>
    <cellStyle name="Hidden 35 11" xfId="1608"/>
    <cellStyle name="Hidden 35 12" xfId="1609"/>
    <cellStyle name="Hidden 35 2" xfId="1610"/>
    <cellStyle name="Hidden 35 3" xfId="1611"/>
    <cellStyle name="Hidden 35 4" xfId="1612"/>
    <cellStyle name="Hidden 35 5" xfId="1613"/>
    <cellStyle name="Hidden 35 6" xfId="1614"/>
    <cellStyle name="Hidden 35 7" xfId="1615"/>
    <cellStyle name="Hidden 35 8" xfId="1616"/>
    <cellStyle name="Hidden 35 9" xfId="1617"/>
    <cellStyle name="Hidden 36" xfId="1618"/>
    <cellStyle name="Hidden 36 10" xfId="1619"/>
    <cellStyle name="Hidden 36 11" xfId="1620"/>
    <cellStyle name="Hidden 36 12" xfId="1621"/>
    <cellStyle name="Hidden 36 2" xfId="1622"/>
    <cellStyle name="Hidden 36 3" xfId="1623"/>
    <cellStyle name="Hidden 36 4" xfId="1624"/>
    <cellStyle name="Hidden 36 5" xfId="1625"/>
    <cellStyle name="Hidden 36 6" xfId="1626"/>
    <cellStyle name="Hidden 36 7" xfId="1627"/>
    <cellStyle name="Hidden 36 8" xfId="1628"/>
    <cellStyle name="Hidden 36 9" xfId="1629"/>
    <cellStyle name="Hidden 37" xfId="1630"/>
    <cellStyle name="Hidden 37 10" xfId="1631"/>
    <cellStyle name="Hidden 37 11" xfId="1632"/>
    <cellStyle name="Hidden 37 12" xfId="1633"/>
    <cellStyle name="Hidden 37 2" xfId="1634"/>
    <cellStyle name="Hidden 37 3" xfId="1635"/>
    <cellStyle name="Hidden 37 4" xfId="1636"/>
    <cellStyle name="Hidden 37 5" xfId="1637"/>
    <cellStyle name="Hidden 37 6" xfId="1638"/>
    <cellStyle name="Hidden 37 7" xfId="1639"/>
    <cellStyle name="Hidden 37 8" xfId="1640"/>
    <cellStyle name="Hidden 37 9" xfId="1641"/>
    <cellStyle name="Hidden 38" xfId="1642"/>
    <cellStyle name="Hidden 38 10" xfId="1643"/>
    <cellStyle name="Hidden 38 11" xfId="1644"/>
    <cellStyle name="Hidden 38 12" xfId="1645"/>
    <cellStyle name="Hidden 38 2" xfId="1646"/>
    <cellStyle name="Hidden 38 3" xfId="1647"/>
    <cellStyle name="Hidden 38 4" xfId="1648"/>
    <cellStyle name="Hidden 38 5" xfId="1649"/>
    <cellStyle name="Hidden 38 6" xfId="1650"/>
    <cellStyle name="Hidden 38 7" xfId="1651"/>
    <cellStyle name="Hidden 38 8" xfId="1652"/>
    <cellStyle name="Hidden 38 9" xfId="1653"/>
    <cellStyle name="Hidden 39" xfId="1654"/>
    <cellStyle name="Hidden 39 10" xfId="1655"/>
    <cellStyle name="Hidden 39 11" xfId="1656"/>
    <cellStyle name="Hidden 39 12" xfId="1657"/>
    <cellStyle name="Hidden 39 2" xfId="1658"/>
    <cellStyle name="Hidden 39 3" xfId="1659"/>
    <cellStyle name="Hidden 39 4" xfId="1660"/>
    <cellStyle name="Hidden 39 5" xfId="1661"/>
    <cellStyle name="Hidden 39 6" xfId="1662"/>
    <cellStyle name="Hidden 39 7" xfId="1663"/>
    <cellStyle name="Hidden 39 8" xfId="1664"/>
    <cellStyle name="Hidden 39 9" xfId="1665"/>
    <cellStyle name="Hidden 4" xfId="1666"/>
    <cellStyle name="Hidden 4 10" xfId="1667"/>
    <cellStyle name="Hidden 4 11" xfId="1668"/>
    <cellStyle name="Hidden 4 12" xfId="1669"/>
    <cellStyle name="Hidden 4 13" xfId="1670"/>
    <cellStyle name="Hidden 4 14" xfId="1671"/>
    <cellStyle name="Hidden 4 15" xfId="1672"/>
    <cellStyle name="Hidden 4 16" xfId="1673"/>
    <cellStyle name="Hidden 4 17" xfId="1674"/>
    <cellStyle name="Hidden 4 18" xfId="1675"/>
    <cellStyle name="Hidden 4 19" xfId="1676"/>
    <cellStyle name="Hidden 4 2" xfId="1677"/>
    <cellStyle name="Hidden 4 20" xfId="1678"/>
    <cellStyle name="Hidden 4 21" xfId="1679"/>
    <cellStyle name="Hidden 4 22" xfId="1680"/>
    <cellStyle name="Hidden 4 23" xfId="1681"/>
    <cellStyle name="Hidden 4 24" xfId="1682"/>
    <cellStyle name="Hidden 4 25" xfId="1683"/>
    <cellStyle name="Hidden 4 26" xfId="1684"/>
    <cellStyle name="Hidden 4 27" xfId="1685"/>
    <cellStyle name="Hidden 4 28" xfId="1686"/>
    <cellStyle name="Hidden 4 3" xfId="1687"/>
    <cellStyle name="Hidden 4 4" xfId="1688"/>
    <cellStyle name="Hidden 4 5" xfId="1689"/>
    <cellStyle name="Hidden 4 6" xfId="1690"/>
    <cellStyle name="Hidden 4 7" xfId="1691"/>
    <cellStyle name="Hidden 4 8" xfId="1692"/>
    <cellStyle name="Hidden 4 9" xfId="1693"/>
    <cellStyle name="Hidden 40" xfId="1694"/>
    <cellStyle name="Hidden 40 2" xfId="1695"/>
    <cellStyle name="Hidden 40 3" xfId="1696"/>
    <cellStyle name="Hidden 41" xfId="1697"/>
    <cellStyle name="Hidden 42" xfId="1698"/>
    <cellStyle name="Hidden 43" xfId="1699"/>
    <cellStyle name="Hidden 44" xfId="1700"/>
    <cellStyle name="Hidden 45" xfId="1701"/>
    <cellStyle name="Hidden 46" xfId="1702"/>
    <cellStyle name="Hidden 47" xfId="1703"/>
    <cellStyle name="Hidden 48" xfId="1704"/>
    <cellStyle name="Hidden 49" xfId="1705"/>
    <cellStyle name="Hidden 5" xfId="1706"/>
    <cellStyle name="Hidden 5 10" xfId="1707"/>
    <cellStyle name="Hidden 5 11" xfId="1708"/>
    <cellStyle name="Hidden 5 12" xfId="1709"/>
    <cellStyle name="Hidden 5 13" xfId="1710"/>
    <cellStyle name="Hidden 5 14" xfId="1711"/>
    <cellStyle name="Hidden 5 15" xfId="1712"/>
    <cellStyle name="Hidden 5 16" xfId="1713"/>
    <cellStyle name="Hidden 5 17" xfId="1714"/>
    <cellStyle name="Hidden 5 18" xfId="1715"/>
    <cellStyle name="Hidden 5 19" xfId="1716"/>
    <cellStyle name="Hidden 5 2" xfId="1717"/>
    <cellStyle name="Hidden 5 20" xfId="1718"/>
    <cellStyle name="Hidden 5 21" xfId="1719"/>
    <cellStyle name="Hidden 5 22" xfId="1720"/>
    <cellStyle name="Hidden 5 23" xfId="1721"/>
    <cellStyle name="Hidden 5 24" xfId="1722"/>
    <cellStyle name="Hidden 5 25" xfId="1723"/>
    <cellStyle name="Hidden 5 26" xfId="1724"/>
    <cellStyle name="Hidden 5 27" xfId="1725"/>
    <cellStyle name="Hidden 5 28" xfId="1726"/>
    <cellStyle name="Hidden 5 3" xfId="1727"/>
    <cellStyle name="Hidden 5 4" xfId="1728"/>
    <cellStyle name="Hidden 5 5" xfId="1729"/>
    <cellStyle name="Hidden 5 6" xfId="1730"/>
    <cellStyle name="Hidden 5 7" xfId="1731"/>
    <cellStyle name="Hidden 5 8" xfId="1732"/>
    <cellStyle name="Hidden 5 9" xfId="1733"/>
    <cellStyle name="Hidden 50" xfId="1734"/>
    <cellStyle name="Hidden 51" xfId="1735"/>
    <cellStyle name="Hidden 52" xfId="1736"/>
    <cellStyle name="Hidden 53" xfId="1737"/>
    <cellStyle name="Hidden 54" xfId="1738"/>
    <cellStyle name="Hidden 55" xfId="1739"/>
    <cellStyle name="Hidden 56" xfId="1740"/>
    <cellStyle name="Hidden 57" xfId="1741"/>
    <cellStyle name="Hidden 58" xfId="1742"/>
    <cellStyle name="Hidden 59" xfId="1743"/>
    <cellStyle name="Hidden 6" xfId="1744"/>
    <cellStyle name="Hidden 6 10" xfId="1745"/>
    <cellStyle name="Hidden 6 11" xfId="1746"/>
    <cellStyle name="Hidden 6 12" xfId="1747"/>
    <cellStyle name="Hidden 6 13" xfId="1748"/>
    <cellStyle name="Hidden 6 14" xfId="1749"/>
    <cellStyle name="Hidden 6 15" xfId="1750"/>
    <cellStyle name="Hidden 6 16" xfId="1751"/>
    <cellStyle name="Hidden 6 17" xfId="1752"/>
    <cellStyle name="Hidden 6 18" xfId="1753"/>
    <cellStyle name="Hidden 6 19" xfId="1754"/>
    <cellStyle name="Hidden 6 2" xfId="1755"/>
    <cellStyle name="Hidden 6 20" xfId="1756"/>
    <cellStyle name="Hidden 6 21" xfId="1757"/>
    <cellStyle name="Hidden 6 22" xfId="1758"/>
    <cellStyle name="Hidden 6 23" xfId="1759"/>
    <cellStyle name="Hidden 6 24" xfId="1760"/>
    <cellStyle name="Hidden 6 25" xfId="1761"/>
    <cellStyle name="Hidden 6 26" xfId="1762"/>
    <cellStyle name="Hidden 6 27" xfId="1763"/>
    <cellStyle name="Hidden 6 28" xfId="1764"/>
    <cellStyle name="Hidden 6 3" xfId="1765"/>
    <cellStyle name="Hidden 6 4" xfId="1766"/>
    <cellStyle name="Hidden 6 5" xfId="1767"/>
    <cellStyle name="Hidden 6 6" xfId="1768"/>
    <cellStyle name="Hidden 6 7" xfId="1769"/>
    <cellStyle name="Hidden 6 8" xfId="1770"/>
    <cellStyle name="Hidden 6 9" xfId="1771"/>
    <cellStyle name="Hidden 60" xfId="1772"/>
    <cellStyle name="Hidden 61" xfId="1773"/>
    <cellStyle name="Hidden 62" xfId="1774"/>
    <cellStyle name="Hidden 63" xfId="1775"/>
    <cellStyle name="Hidden 64" xfId="1776"/>
    <cellStyle name="Hidden 65" xfId="1777"/>
    <cellStyle name="Hidden 66" xfId="1778"/>
    <cellStyle name="Hidden 67" xfId="1779"/>
    <cellStyle name="Hidden 68" xfId="1780"/>
    <cellStyle name="Hidden 69" xfId="1781"/>
    <cellStyle name="Hidden 7" xfId="1782"/>
    <cellStyle name="Hidden 7 10" xfId="1783"/>
    <cellStyle name="Hidden 7 11" xfId="1784"/>
    <cellStyle name="Hidden 7 12" xfId="1785"/>
    <cellStyle name="Hidden 7 13" xfId="1786"/>
    <cellStyle name="Hidden 7 14" xfId="1787"/>
    <cellStyle name="Hidden 7 15" xfId="1788"/>
    <cellStyle name="Hidden 7 16" xfId="1789"/>
    <cellStyle name="Hidden 7 17" xfId="1790"/>
    <cellStyle name="Hidden 7 18" xfId="1791"/>
    <cellStyle name="Hidden 7 19" xfId="1792"/>
    <cellStyle name="Hidden 7 2" xfId="1793"/>
    <cellStyle name="Hidden 7 20" xfId="1794"/>
    <cellStyle name="Hidden 7 21" xfId="1795"/>
    <cellStyle name="Hidden 7 22" xfId="1796"/>
    <cellStyle name="Hidden 7 23" xfId="1797"/>
    <cellStyle name="Hidden 7 24" xfId="1798"/>
    <cellStyle name="Hidden 7 25" xfId="1799"/>
    <cellStyle name="Hidden 7 26" xfId="1800"/>
    <cellStyle name="Hidden 7 27" xfId="1801"/>
    <cellStyle name="Hidden 7 28" xfId="1802"/>
    <cellStyle name="Hidden 7 3" xfId="1803"/>
    <cellStyle name="Hidden 7 4" xfId="1804"/>
    <cellStyle name="Hidden 7 5" xfId="1805"/>
    <cellStyle name="Hidden 7 6" xfId="1806"/>
    <cellStyle name="Hidden 7 7" xfId="1807"/>
    <cellStyle name="Hidden 7 8" xfId="1808"/>
    <cellStyle name="Hidden 7 9" xfId="1809"/>
    <cellStyle name="Hidden 70" xfId="1810"/>
    <cellStyle name="Hidden 71" xfId="1811"/>
    <cellStyle name="Hidden 72" xfId="1812"/>
    <cellStyle name="Hidden 73" xfId="1813"/>
    <cellStyle name="Hidden 74" xfId="1814"/>
    <cellStyle name="Hidden 75" xfId="1815"/>
    <cellStyle name="Hidden 76" xfId="1816"/>
    <cellStyle name="Hidden 77" xfId="1817"/>
    <cellStyle name="Hidden 78" xfId="1818"/>
    <cellStyle name="Hidden 79" xfId="1819"/>
    <cellStyle name="Hidden 8" xfId="1820"/>
    <cellStyle name="Hidden 8 10" xfId="1821"/>
    <cellStyle name="Hidden 8 11" xfId="1822"/>
    <cellStyle name="Hidden 8 12" xfId="1823"/>
    <cellStyle name="Hidden 8 13" xfId="1824"/>
    <cellStyle name="Hidden 8 14" xfId="1825"/>
    <cellStyle name="Hidden 8 15" xfId="1826"/>
    <cellStyle name="Hidden 8 16" xfId="1827"/>
    <cellStyle name="Hidden 8 17" xfId="1828"/>
    <cellStyle name="Hidden 8 18" xfId="1829"/>
    <cellStyle name="Hidden 8 19" xfId="1830"/>
    <cellStyle name="Hidden 8 2" xfId="1831"/>
    <cellStyle name="Hidden 8 20" xfId="1832"/>
    <cellStyle name="Hidden 8 21" xfId="1833"/>
    <cellStyle name="Hidden 8 22" xfId="1834"/>
    <cellStyle name="Hidden 8 23" xfId="1835"/>
    <cellStyle name="Hidden 8 24" xfId="1836"/>
    <cellStyle name="Hidden 8 25" xfId="1837"/>
    <cellStyle name="Hidden 8 26" xfId="1838"/>
    <cellStyle name="Hidden 8 27" xfId="1839"/>
    <cellStyle name="Hidden 8 28" xfId="1840"/>
    <cellStyle name="Hidden 8 3" xfId="1841"/>
    <cellStyle name="Hidden 8 4" xfId="1842"/>
    <cellStyle name="Hidden 8 5" xfId="1843"/>
    <cellStyle name="Hidden 8 6" xfId="1844"/>
    <cellStyle name="Hidden 8 7" xfId="1845"/>
    <cellStyle name="Hidden 8 8" xfId="1846"/>
    <cellStyle name="Hidden 8 9" xfId="1847"/>
    <cellStyle name="Hidden 80" xfId="1848"/>
    <cellStyle name="Hidden 81" xfId="1849"/>
    <cellStyle name="Hidden 82" xfId="1850"/>
    <cellStyle name="Hidden 83" xfId="1851"/>
    <cellStyle name="Hidden 84" xfId="1852"/>
    <cellStyle name="Hidden 85" xfId="1853"/>
    <cellStyle name="Hidden 86" xfId="1854"/>
    <cellStyle name="Hidden 87" xfId="1855"/>
    <cellStyle name="Hidden 9" xfId="1856"/>
    <cellStyle name="Hidden 9 10" xfId="1857"/>
    <cellStyle name="Hidden 9 11" xfId="1858"/>
    <cellStyle name="Hidden 9 12" xfId="1859"/>
    <cellStyle name="Hidden 9 13" xfId="1860"/>
    <cellStyle name="Hidden 9 14" xfId="1861"/>
    <cellStyle name="Hidden 9 15" xfId="1862"/>
    <cellStyle name="Hidden 9 16" xfId="1863"/>
    <cellStyle name="Hidden 9 17" xfId="1864"/>
    <cellStyle name="Hidden 9 18" xfId="1865"/>
    <cellStyle name="Hidden 9 19" xfId="1866"/>
    <cellStyle name="Hidden 9 2" xfId="1867"/>
    <cellStyle name="Hidden 9 20" xfId="1868"/>
    <cellStyle name="Hidden 9 21" xfId="1869"/>
    <cellStyle name="Hidden 9 22" xfId="1870"/>
    <cellStyle name="Hidden 9 23" xfId="1871"/>
    <cellStyle name="Hidden 9 24" xfId="1872"/>
    <cellStyle name="Hidden 9 25" xfId="1873"/>
    <cellStyle name="Hidden 9 26" xfId="1874"/>
    <cellStyle name="Hidden 9 27" xfId="1875"/>
    <cellStyle name="Hidden 9 28" xfId="1876"/>
    <cellStyle name="Hidden 9 3" xfId="1877"/>
    <cellStyle name="Hidden 9 4" xfId="1878"/>
    <cellStyle name="Hidden 9 5" xfId="1879"/>
    <cellStyle name="Hidden 9 6" xfId="1880"/>
    <cellStyle name="Hidden 9 7" xfId="1881"/>
    <cellStyle name="Hidden 9 8" xfId="1882"/>
    <cellStyle name="Hidden 9 9" xfId="1883"/>
    <cellStyle name="Input 10" xfId="1884"/>
    <cellStyle name="Input 11" xfId="1885"/>
    <cellStyle name="Input 12" xfId="1886"/>
    <cellStyle name="Input 13" xfId="1887"/>
    <cellStyle name="Input 14" xfId="1888"/>
    <cellStyle name="Input 15" xfId="1889"/>
    <cellStyle name="Input 16" xfId="1890"/>
    <cellStyle name="Input 17" xfId="1891"/>
    <cellStyle name="Input 18" xfId="1892"/>
    <cellStyle name="Input 19" xfId="1893"/>
    <cellStyle name="Input 2" xfId="1894"/>
    <cellStyle name="Input 20" xfId="1895"/>
    <cellStyle name="Input 3" xfId="1896"/>
    <cellStyle name="Input 4" xfId="1897"/>
    <cellStyle name="Input 5" xfId="1898"/>
    <cellStyle name="Input 6" xfId="1899"/>
    <cellStyle name="Input 7" xfId="1900"/>
    <cellStyle name="Input 8" xfId="1901"/>
    <cellStyle name="Input 9" xfId="1902"/>
    <cellStyle name="Milliers 2" xfId="1903"/>
    <cellStyle name="Milliers 3" xfId="1904"/>
    <cellStyle name="Normal" xfId="0" builtinId="0"/>
    <cellStyle name="Normal 10" xfId="1905"/>
    <cellStyle name="Normal 10 2" xfId="1906"/>
    <cellStyle name="Normal 11" xfId="1907"/>
    <cellStyle name="Normal 11 2" xfId="1908"/>
    <cellStyle name="Normal 12" xfId="1909"/>
    <cellStyle name="Normal 12 2" xfId="1910"/>
    <cellStyle name="Normal 13" xfId="1911"/>
    <cellStyle name="Normal 13 2" xfId="1912"/>
    <cellStyle name="Normal 14" xfId="1913"/>
    <cellStyle name="Normal 14 2" xfId="1914"/>
    <cellStyle name="Normal 15" xfId="1915"/>
    <cellStyle name="Normal 15 2" xfId="1916"/>
    <cellStyle name="Normal 16" xfId="1917"/>
    <cellStyle name="Normal 16 2" xfId="1918"/>
    <cellStyle name="Normal 17" xfId="1919"/>
    <cellStyle name="Normal 17 2" xfId="1920"/>
    <cellStyle name="Normal 18" xfId="1921"/>
    <cellStyle name="Normal 18 2" xfId="1922"/>
    <cellStyle name="Normal 18 2 2" xfId="1923"/>
    <cellStyle name="Normal 18 2 2 2" xfId="1924"/>
    <cellStyle name="Normal 18 2 2 3" xfId="1925"/>
    <cellStyle name="Normal 18 2 2 4" xfId="1926"/>
    <cellStyle name="Normal 18 2 2 5" xfId="1927"/>
    <cellStyle name="Normal 18 2 2 6" xfId="1928"/>
    <cellStyle name="Normal 18 2 2 7" xfId="1929"/>
    <cellStyle name="Normal 18 2 3" xfId="1930"/>
    <cellStyle name="Normal 18 2 4" xfId="1931"/>
    <cellStyle name="Normal 18 2 5" xfId="1932"/>
    <cellStyle name="Normal 18 2 6" xfId="1933"/>
    <cellStyle name="Normal 18 2 7" xfId="1934"/>
    <cellStyle name="Normal 18 3" xfId="1935"/>
    <cellStyle name="Normal 18 4" xfId="1936"/>
    <cellStyle name="Normal 19" xfId="1937"/>
    <cellStyle name="Normal 19 2" xfId="1938"/>
    <cellStyle name="Normal 19 2 2" xfId="1939"/>
    <cellStyle name="Normal 19 2 2 2" xfId="1940"/>
    <cellStyle name="Normal 19 2 2 3" xfId="1941"/>
    <cellStyle name="Normal 19 2 2 4" xfId="1942"/>
    <cellStyle name="Normal 19 2 2 5" xfId="1943"/>
    <cellStyle name="Normal 19 2 2 6" xfId="1944"/>
    <cellStyle name="Normal 19 2 2 7" xfId="1945"/>
    <cellStyle name="Normal 19 2 3" xfId="1946"/>
    <cellStyle name="Normal 19 2 4" xfId="1947"/>
    <cellStyle name="Normal 19 2 5" xfId="1948"/>
    <cellStyle name="Normal 19 2 6" xfId="1949"/>
    <cellStyle name="Normal 19 2 7" xfId="1950"/>
    <cellStyle name="Normal 19 3" xfId="1951"/>
    <cellStyle name="Normal 19 4" xfId="1952"/>
    <cellStyle name="Normal 2" xfId="1953"/>
    <cellStyle name="Normal 2 10" xfId="1954"/>
    <cellStyle name="Normal 2 10 10" xfId="1955"/>
    <cellStyle name="Normal 2 10 11" xfId="1956"/>
    <cellStyle name="Normal 2 10 12" xfId="1957"/>
    <cellStyle name="Normal 2 10 13" xfId="1958"/>
    <cellStyle name="Normal 2 10 14" xfId="1959"/>
    <cellStyle name="Normal 2 10 15" xfId="1960"/>
    <cellStyle name="Normal 2 10 2" xfId="1961"/>
    <cellStyle name="Normal 2 10 3" xfId="1962"/>
    <cellStyle name="Normal 2 10 4" xfId="1963"/>
    <cellStyle name="Normal 2 10 5" xfId="1964"/>
    <cellStyle name="Normal 2 10 6" xfId="1965"/>
    <cellStyle name="Normal 2 10 7" xfId="1966"/>
    <cellStyle name="Normal 2 10 8" xfId="1967"/>
    <cellStyle name="Normal 2 10 9" xfId="1968"/>
    <cellStyle name="Normal 2 11" xfId="1969"/>
    <cellStyle name="Normal 2 11 10" xfId="1970"/>
    <cellStyle name="Normal 2 11 11" xfId="1971"/>
    <cellStyle name="Normal 2 11 12" xfId="1972"/>
    <cellStyle name="Normal 2 11 13" xfId="1973"/>
    <cellStyle name="Normal 2 11 14" xfId="1974"/>
    <cellStyle name="Normal 2 11 15" xfId="1975"/>
    <cellStyle name="Normal 2 11 16" xfId="1976"/>
    <cellStyle name="Normal 2 11 17" xfId="1977"/>
    <cellStyle name="Normal 2 11 18" xfId="1978"/>
    <cellStyle name="Normal 2 11 19" xfId="1979"/>
    <cellStyle name="Normal 2 11 2" xfId="1980"/>
    <cellStyle name="Normal 2 11 2 2" xfId="1981"/>
    <cellStyle name="Normal 2 11 2 3" xfId="1982"/>
    <cellStyle name="Normal 2 11 2 4" xfId="1983"/>
    <cellStyle name="Normal 2 11 2 5" xfId="1984"/>
    <cellStyle name="Normal 2 11 2 6" xfId="1985"/>
    <cellStyle name="Normal 2 11 2 7" xfId="1986"/>
    <cellStyle name="Normal 2 11 20" xfId="1987"/>
    <cellStyle name="Normal 2 11 21" xfId="1988"/>
    <cellStyle name="Normal 2 11 22" xfId="1989"/>
    <cellStyle name="Normal 2 11 23" xfId="1990"/>
    <cellStyle name="Normal 2 11 3" xfId="1991"/>
    <cellStyle name="Normal 2 11 3 2" xfId="1992"/>
    <cellStyle name="Normal 2 11 3 3" xfId="1993"/>
    <cellStyle name="Normal 2 11 3 4" xfId="1994"/>
    <cellStyle name="Normal 2 11 3 5" xfId="1995"/>
    <cellStyle name="Normal 2 11 3 6" xfId="1996"/>
    <cellStyle name="Normal 2 11 3 7" xfId="1997"/>
    <cellStyle name="Normal 2 11 4" xfId="1998"/>
    <cellStyle name="Normal 2 11 4 2" xfId="1999"/>
    <cellStyle name="Normal 2 11 4 3" xfId="2000"/>
    <cellStyle name="Normal 2 11 4 4" xfId="2001"/>
    <cellStyle name="Normal 2 11 4 5" xfId="2002"/>
    <cellStyle name="Normal 2 11 4 6" xfId="2003"/>
    <cellStyle name="Normal 2 11 4 7" xfId="2004"/>
    <cellStyle name="Normal 2 11 5" xfId="2005"/>
    <cellStyle name="Normal 2 11 6" xfId="2006"/>
    <cellStyle name="Normal 2 11 7" xfId="2007"/>
    <cellStyle name="Normal 2 11 8" xfId="2008"/>
    <cellStyle name="Normal 2 11 9" xfId="2009"/>
    <cellStyle name="Normal 2 12" xfId="2010"/>
    <cellStyle name="Normal 2 12 10" xfId="2011"/>
    <cellStyle name="Normal 2 12 11" xfId="2012"/>
    <cellStyle name="Normal 2 12 12" xfId="2013"/>
    <cellStyle name="Normal 2 12 13" xfId="2014"/>
    <cellStyle name="Normal 2 12 14" xfId="2015"/>
    <cellStyle name="Normal 2 12 15" xfId="2016"/>
    <cellStyle name="Normal 2 12 2" xfId="2017"/>
    <cellStyle name="Normal 2 12 3" xfId="2018"/>
    <cellStyle name="Normal 2 12 4" xfId="2019"/>
    <cellStyle name="Normal 2 12 5" xfId="2020"/>
    <cellStyle name="Normal 2 12 6" xfId="2021"/>
    <cellStyle name="Normal 2 12 7" xfId="2022"/>
    <cellStyle name="Normal 2 12 8" xfId="2023"/>
    <cellStyle name="Normal 2 12 9" xfId="2024"/>
    <cellStyle name="Normal 2 13" xfId="2025"/>
    <cellStyle name="Normal 2 13 10" xfId="2026"/>
    <cellStyle name="Normal 2 13 11" xfId="2027"/>
    <cellStyle name="Normal 2 13 12" xfId="2028"/>
    <cellStyle name="Normal 2 13 13" xfId="2029"/>
    <cellStyle name="Normal 2 13 14" xfId="2030"/>
    <cellStyle name="Normal 2 13 15" xfId="2031"/>
    <cellStyle name="Normal 2 13 2" xfId="2032"/>
    <cellStyle name="Normal 2 13 3" xfId="2033"/>
    <cellStyle name="Normal 2 13 4" xfId="2034"/>
    <cellStyle name="Normal 2 13 5" xfId="2035"/>
    <cellStyle name="Normal 2 13 6" xfId="2036"/>
    <cellStyle name="Normal 2 13 7" xfId="2037"/>
    <cellStyle name="Normal 2 13 8" xfId="2038"/>
    <cellStyle name="Normal 2 13 9" xfId="2039"/>
    <cellStyle name="Normal 2 14" xfId="2040"/>
    <cellStyle name="Normal 2 14 10" xfId="2041"/>
    <cellStyle name="Normal 2 14 11" xfId="2042"/>
    <cellStyle name="Normal 2 14 12" xfId="2043"/>
    <cellStyle name="Normal 2 14 13" xfId="2044"/>
    <cellStyle name="Normal 2 14 14" xfId="2045"/>
    <cellStyle name="Normal 2 14 15" xfId="2046"/>
    <cellStyle name="Normal 2 14 2" xfId="2047"/>
    <cellStyle name="Normal 2 14 3" xfId="2048"/>
    <cellStyle name="Normal 2 14 4" xfId="2049"/>
    <cellStyle name="Normal 2 14 5" xfId="2050"/>
    <cellStyle name="Normal 2 14 6" xfId="2051"/>
    <cellStyle name="Normal 2 14 7" xfId="2052"/>
    <cellStyle name="Normal 2 14 8" xfId="2053"/>
    <cellStyle name="Normal 2 14 9" xfId="2054"/>
    <cellStyle name="Normal 2 15" xfId="2055"/>
    <cellStyle name="Normal 2 16" xfId="2056"/>
    <cellStyle name="Normal 2 17" xfId="2057"/>
    <cellStyle name="Normal 2 18" xfId="2058"/>
    <cellStyle name="Normal 2 19" xfId="2059"/>
    <cellStyle name="Normal 2 2" xfId="2060"/>
    <cellStyle name="Normal 2 2 10" xfId="2061"/>
    <cellStyle name="Normal 2 2 10 10" xfId="2062"/>
    <cellStyle name="Normal 2 2 10 11" xfId="2063"/>
    <cellStyle name="Normal 2 2 10 12" xfId="2064"/>
    <cellStyle name="Normal 2 2 10 13" xfId="2065"/>
    <cellStyle name="Normal 2 2 10 14" xfId="2066"/>
    <cellStyle name="Normal 2 2 10 15" xfId="2067"/>
    <cellStyle name="Normal 2 2 10 16" xfId="2068"/>
    <cellStyle name="Normal 2 2 10 17" xfId="2069"/>
    <cellStyle name="Normal 2 2 10 18" xfId="2070"/>
    <cellStyle name="Normal 2 2 10 19" xfId="2071"/>
    <cellStyle name="Normal 2 2 10 2" xfId="2072"/>
    <cellStyle name="Normal 2 2 10 2 2" xfId="2073"/>
    <cellStyle name="Normal 2 2 10 2 3" xfId="2074"/>
    <cellStyle name="Normal 2 2 10 2 4" xfId="2075"/>
    <cellStyle name="Normal 2 2 10 2 5" xfId="2076"/>
    <cellStyle name="Normal 2 2 10 2 6" xfId="2077"/>
    <cellStyle name="Normal 2 2 10 2 7" xfId="2078"/>
    <cellStyle name="Normal 2 2 10 20" xfId="2079"/>
    <cellStyle name="Normal 2 2 10 21" xfId="2080"/>
    <cellStyle name="Normal 2 2 10 22" xfId="2081"/>
    <cellStyle name="Normal 2 2 10 23" xfId="2082"/>
    <cellStyle name="Normal 2 2 10 3" xfId="2083"/>
    <cellStyle name="Normal 2 2 10 3 2" xfId="2084"/>
    <cellStyle name="Normal 2 2 10 3 3" xfId="2085"/>
    <cellStyle name="Normal 2 2 10 3 4" xfId="2086"/>
    <cellStyle name="Normal 2 2 10 3 5" xfId="2087"/>
    <cellStyle name="Normal 2 2 10 3 6" xfId="2088"/>
    <cellStyle name="Normal 2 2 10 3 7" xfId="2089"/>
    <cellStyle name="Normal 2 2 10 4" xfId="2090"/>
    <cellStyle name="Normal 2 2 10 4 2" xfId="2091"/>
    <cellStyle name="Normal 2 2 10 4 3" xfId="2092"/>
    <cellStyle name="Normal 2 2 10 4 4" xfId="2093"/>
    <cellStyle name="Normal 2 2 10 4 5" xfId="2094"/>
    <cellStyle name="Normal 2 2 10 4 6" xfId="2095"/>
    <cellStyle name="Normal 2 2 10 4 7" xfId="2096"/>
    <cellStyle name="Normal 2 2 10 5" xfId="2097"/>
    <cellStyle name="Normal 2 2 10 6" xfId="2098"/>
    <cellStyle name="Normal 2 2 10 7" xfId="2099"/>
    <cellStyle name="Normal 2 2 10 8" xfId="2100"/>
    <cellStyle name="Normal 2 2 10 9" xfId="2101"/>
    <cellStyle name="Normal 2 2 11" xfId="2102"/>
    <cellStyle name="Normal 2 2 11 10" xfId="2103"/>
    <cellStyle name="Normal 2 2 11 11" xfId="2104"/>
    <cellStyle name="Normal 2 2 11 12" xfId="2105"/>
    <cellStyle name="Normal 2 2 11 13" xfId="2106"/>
    <cellStyle name="Normal 2 2 11 14" xfId="2107"/>
    <cellStyle name="Normal 2 2 11 15" xfId="2108"/>
    <cellStyle name="Normal 2 2 11 16" xfId="2109"/>
    <cellStyle name="Normal 2 2 11 17" xfId="2110"/>
    <cellStyle name="Normal 2 2 11 18" xfId="2111"/>
    <cellStyle name="Normal 2 2 11 19" xfId="2112"/>
    <cellStyle name="Normal 2 2 11 2" xfId="2113"/>
    <cellStyle name="Normal 2 2 11 2 2" xfId="2114"/>
    <cellStyle name="Normal 2 2 11 2 3" xfId="2115"/>
    <cellStyle name="Normal 2 2 11 2 4" xfId="2116"/>
    <cellStyle name="Normal 2 2 11 2 5" xfId="2117"/>
    <cellStyle name="Normal 2 2 11 2 6" xfId="2118"/>
    <cellStyle name="Normal 2 2 11 2 7" xfId="2119"/>
    <cellStyle name="Normal 2 2 11 20" xfId="2120"/>
    <cellStyle name="Normal 2 2 11 21" xfId="2121"/>
    <cellStyle name="Normal 2 2 11 22" xfId="2122"/>
    <cellStyle name="Normal 2 2 11 23" xfId="2123"/>
    <cellStyle name="Normal 2 2 11 3" xfId="2124"/>
    <cellStyle name="Normal 2 2 11 3 2" xfId="2125"/>
    <cellStyle name="Normal 2 2 11 3 3" xfId="2126"/>
    <cellStyle name="Normal 2 2 11 3 4" xfId="2127"/>
    <cellStyle name="Normal 2 2 11 3 5" xfId="2128"/>
    <cellStyle name="Normal 2 2 11 3 6" xfId="2129"/>
    <cellStyle name="Normal 2 2 11 3 7" xfId="2130"/>
    <cellStyle name="Normal 2 2 11 4" xfId="2131"/>
    <cellStyle name="Normal 2 2 11 4 2" xfId="2132"/>
    <cellStyle name="Normal 2 2 11 4 3" xfId="2133"/>
    <cellStyle name="Normal 2 2 11 4 4" xfId="2134"/>
    <cellStyle name="Normal 2 2 11 4 5" xfId="2135"/>
    <cellStyle name="Normal 2 2 11 4 6" xfId="2136"/>
    <cellStyle name="Normal 2 2 11 4 7" xfId="2137"/>
    <cellStyle name="Normal 2 2 11 5" xfId="2138"/>
    <cellStyle name="Normal 2 2 11 6" xfId="2139"/>
    <cellStyle name="Normal 2 2 11 7" xfId="2140"/>
    <cellStyle name="Normal 2 2 11 8" xfId="2141"/>
    <cellStyle name="Normal 2 2 11 9" xfId="2142"/>
    <cellStyle name="Normal 2 2 12" xfId="2143"/>
    <cellStyle name="Normal 2 2 12 10" xfId="2144"/>
    <cellStyle name="Normal 2 2 12 11" xfId="2145"/>
    <cellStyle name="Normal 2 2 12 12" xfId="2146"/>
    <cellStyle name="Normal 2 2 12 13" xfId="2147"/>
    <cellStyle name="Normal 2 2 12 14" xfId="2148"/>
    <cellStyle name="Normal 2 2 12 15" xfId="2149"/>
    <cellStyle name="Normal 2 2 12 16" xfId="2150"/>
    <cellStyle name="Normal 2 2 12 17" xfId="2151"/>
    <cellStyle name="Normal 2 2 12 18" xfId="2152"/>
    <cellStyle name="Normal 2 2 12 19" xfId="2153"/>
    <cellStyle name="Normal 2 2 12 2" xfId="2154"/>
    <cellStyle name="Normal 2 2 12 2 2" xfId="2155"/>
    <cellStyle name="Normal 2 2 12 2 3" xfId="2156"/>
    <cellStyle name="Normal 2 2 12 2 4" xfId="2157"/>
    <cellStyle name="Normal 2 2 12 2 5" xfId="2158"/>
    <cellStyle name="Normal 2 2 12 2 6" xfId="2159"/>
    <cellStyle name="Normal 2 2 12 2 7" xfId="2160"/>
    <cellStyle name="Normal 2 2 12 20" xfId="2161"/>
    <cellStyle name="Normal 2 2 12 21" xfId="2162"/>
    <cellStyle name="Normal 2 2 12 22" xfId="2163"/>
    <cellStyle name="Normal 2 2 12 23" xfId="2164"/>
    <cellStyle name="Normal 2 2 12 3" xfId="2165"/>
    <cellStyle name="Normal 2 2 12 3 2" xfId="2166"/>
    <cellStyle name="Normal 2 2 12 3 3" xfId="2167"/>
    <cellStyle name="Normal 2 2 12 3 4" xfId="2168"/>
    <cellStyle name="Normal 2 2 12 3 5" xfId="2169"/>
    <cellStyle name="Normal 2 2 12 3 6" xfId="2170"/>
    <cellStyle name="Normal 2 2 12 3 7" xfId="2171"/>
    <cellStyle name="Normal 2 2 12 4" xfId="2172"/>
    <cellStyle name="Normal 2 2 12 4 2" xfId="2173"/>
    <cellStyle name="Normal 2 2 12 4 3" xfId="2174"/>
    <cellStyle name="Normal 2 2 12 4 4" xfId="2175"/>
    <cellStyle name="Normal 2 2 12 4 5" xfId="2176"/>
    <cellStyle name="Normal 2 2 12 4 6" xfId="2177"/>
    <cellStyle name="Normal 2 2 12 4 7" xfId="2178"/>
    <cellStyle name="Normal 2 2 12 5" xfId="2179"/>
    <cellStyle name="Normal 2 2 12 6" xfId="2180"/>
    <cellStyle name="Normal 2 2 12 7" xfId="2181"/>
    <cellStyle name="Normal 2 2 12 8" xfId="2182"/>
    <cellStyle name="Normal 2 2 12 9" xfId="2183"/>
    <cellStyle name="Normal 2 2 13" xfId="2184"/>
    <cellStyle name="Normal 2 2 13 10" xfId="2185"/>
    <cellStyle name="Normal 2 2 13 11" xfId="2186"/>
    <cellStyle name="Normal 2 2 13 12" xfId="2187"/>
    <cellStyle name="Normal 2 2 13 13" xfId="2188"/>
    <cellStyle name="Normal 2 2 13 14" xfId="2189"/>
    <cellStyle name="Normal 2 2 13 15" xfId="2190"/>
    <cellStyle name="Normal 2 2 13 16" xfId="2191"/>
    <cellStyle name="Normal 2 2 13 17" xfId="2192"/>
    <cellStyle name="Normal 2 2 13 18" xfId="2193"/>
    <cellStyle name="Normal 2 2 13 19" xfId="2194"/>
    <cellStyle name="Normal 2 2 13 2" xfId="2195"/>
    <cellStyle name="Normal 2 2 13 2 2" xfId="2196"/>
    <cellStyle name="Normal 2 2 13 2 3" xfId="2197"/>
    <cellStyle name="Normal 2 2 13 2 4" xfId="2198"/>
    <cellStyle name="Normal 2 2 13 2 5" xfId="2199"/>
    <cellStyle name="Normal 2 2 13 2 6" xfId="2200"/>
    <cellStyle name="Normal 2 2 13 2 7" xfId="2201"/>
    <cellStyle name="Normal 2 2 13 20" xfId="2202"/>
    <cellStyle name="Normal 2 2 13 21" xfId="2203"/>
    <cellStyle name="Normal 2 2 13 22" xfId="2204"/>
    <cellStyle name="Normal 2 2 13 23" xfId="2205"/>
    <cellStyle name="Normal 2 2 13 3" xfId="2206"/>
    <cellStyle name="Normal 2 2 13 3 2" xfId="2207"/>
    <cellStyle name="Normal 2 2 13 3 3" xfId="2208"/>
    <cellStyle name="Normal 2 2 13 3 4" xfId="2209"/>
    <cellStyle name="Normal 2 2 13 3 5" xfId="2210"/>
    <cellStyle name="Normal 2 2 13 3 6" xfId="2211"/>
    <cellStyle name="Normal 2 2 13 3 7" xfId="2212"/>
    <cellStyle name="Normal 2 2 13 4" xfId="2213"/>
    <cellStyle name="Normal 2 2 13 4 2" xfId="2214"/>
    <cellStyle name="Normal 2 2 13 4 3" xfId="2215"/>
    <cellStyle name="Normal 2 2 13 4 4" xfId="2216"/>
    <cellStyle name="Normal 2 2 13 4 5" xfId="2217"/>
    <cellStyle name="Normal 2 2 13 4 6" xfId="2218"/>
    <cellStyle name="Normal 2 2 13 4 7" xfId="2219"/>
    <cellStyle name="Normal 2 2 13 5" xfId="2220"/>
    <cellStyle name="Normal 2 2 13 6" xfId="2221"/>
    <cellStyle name="Normal 2 2 13 7" xfId="2222"/>
    <cellStyle name="Normal 2 2 13 8" xfId="2223"/>
    <cellStyle name="Normal 2 2 13 9" xfId="2224"/>
    <cellStyle name="Normal 2 2 14" xfId="2225"/>
    <cellStyle name="Normal 2 2 14 10" xfId="2226"/>
    <cellStyle name="Normal 2 2 14 11" xfId="2227"/>
    <cellStyle name="Normal 2 2 14 12" xfId="2228"/>
    <cellStyle name="Normal 2 2 14 13" xfId="2229"/>
    <cellStyle name="Normal 2 2 14 14" xfId="2230"/>
    <cellStyle name="Normal 2 2 14 15" xfId="2231"/>
    <cellStyle name="Normal 2 2 14 16" xfId="2232"/>
    <cellStyle name="Normal 2 2 14 17" xfId="2233"/>
    <cellStyle name="Normal 2 2 14 18" xfId="2234"/>
    <cellStyle name="Normal 2 2 14 19" xfId="2235"/>
    <cellStyle name="Normal 2 2 14 2" xfId="2236"/>
    <cellStyle name="Normal 2 2 14 2 2" xfId="2237"/>
    <cellStyle name="Normal 2 2 14 2 3" xfId="2238"/>
    <cellStyle name="Normal 2 2 14 2 4" xfId="2239"/>
    <cellStyle name="Normal 2 2 14 2 5" xfId="2240"/>
    <cellStyle name="Normal 2 2 14 2 6" xfId="2241"/>
    <cellStyle name="Normal 2 2 14 2 7" xfId="2242"/>
    <cellStyle name="Normal 2 2 14 20" xfId="2243"/>
    <cellStyle name="Normal 2 2 14 21" xfId="2244"/>
    <cellStyle name="Normal 2 2 14 22" xfId="2245"/>
    <cellStyle name="Normal 2 2 14 23" xfId="2246"/>
    <cellStyle name="Normal 2 2 14 3" xfId="2247"/>
    <cellStyle name="Normal 2 2 14 3 2" xfId="2248"/>
    <cellStyle name="Normal 2 2 14 3 3" xfId="2249"/>
    <cellStyle name="Normal 2 2 14 3 4" xfId="2250"/>
    <cellStyle name="Normal 2 2 14 3 5" xfId="2251"/>
    <cellStyle name="Normal 2 2 14 3 6" xfId="2252"/>
    <cellStyle name="Normal 2 2 14 3 7" xfId="2253"/>
    <cellStyle name="Normal 2 2 14 4" xfId="2254"/>
    <cellStyle name="Normal 2 2 14 4 2" xfId="2255"/>
    <cellStyle name="Normal 2 2 14 4 3" xfId="2256"/>
    <cellStyle name="Normal 2 2 14 4 4" xfId="2257"/>
    <cellStyle name="Normal 2 2 14 4 5" xfId="2258"/>
    <cellStyle name="Normal 2 2 14 4 6" xfId="2259"/>
    <cellStyle name="Normal 2 2 14 4 7" xfId="2260"/>
    <cellStyle name="Normal 2 2 14 5" xfId="2261"/>
    <cellStyle name="Normal 2 2 14 6" xfId="2262"/>
    <cellStyle name="Normal 2 2 14 7" xfId="2263"/>
    <cellStyle name="Normal 2 2 14 8" xfId="2264"/>
    <cellStyle name="Normal 2 2 14 9" xfId="2265"/>
    <cellStyle name="Normal 2 2 15" xfId="2266"/>
    <cellStyle name="Normal 2 2 15 10" xfId="2267"/>
    <cellStyle name="Normal 2 2 15 11" xfId="2268"/>
    <cellStyle name="Normal 2 2 15 12" xfId="2269"/>
    <cellStyle name="Normal 2 2 15 13" xfId="2270"/>
    <cellStyle name="Normal 2 2 15 14" xfId="2271"/>
    <cellStyle name="Normal 2 2 15 15" xfId="2272"/>
    <cellStyle name="Normal 2 2 15 16" xfId="2273"/>
    <cellStyle name="Normal 2 2 15 17" xfId="2274"/>
    <cellStyle name="Normal 2 2 15 18" xfId="2275"/>
    <cellStyle name="Normal 2 2 15 19" xfId="2276"/>
    <cellStyle name="Normal 2 2 15 2" xfId="2277"/>
    <cellStyle name="Normal 2 2 15 2 2" xfId="2278"/>
    <cellStyle name="Normal 2 2 15 2 3" xfId="2279"/>
    <cellStyle name="Normal 2 2 15 2 4" xfId="2280"/>
    <cellStyle name="Normal 2 2 15 2 5" xfId="2281"/>
    <cellStyle name="Normal 2 2 15 2 6" xfId="2282"/>
    <cellStyle name="Normal 2 2 15 2 7" xfId="2283"/>
    <cellStyle name="Normal 2 2 15 20" xfId="2284"/>
    <cellStyle name="Normal 2 2 15 21" xfId="2285"/>
    <cellStyle name="Normal 2 2 15 22" xfId="2286"/>
    <cellStyle name="Normal 2 2 15 23" xfId="2287"/>
    <cellStyle name="Normal 2 2 15 3" xfId="2288"/>
    <cellStyle name="Normal 2 2 15 3 2" xfId="2289"/>
    <cellStyle name="Normal 2 2 15 3 3" xfId="2290"/>
    <cellStyle name="Normal 2 2 15 3 4" xfId="2291"/>
    <cellStyle name="Normal 2 2 15 3 5" xfId="2292"/>
    <cellStyle name="Normal 2 2 15 3 6" xfId="2293"/>
    <cellStyle name="Normal 2 2 15 3 7" xfId="2294"/>
    <cellStyle name="Normal 2 2 15 4" xfId="2295"/>
    <cellStyle name="Normal 2 2 15 4 2" xfId="2296"/>
    <cellStyle name="Normal 2 2 15 4 3" xfId="2297"/>
    <cellStyle name="Normal 2 2 15 4 4" xfId="2298"/>
    <cellStyle name="Normal 2 2 15 4 5" xfId="2299"/>
    <cellStyle name="Normal 2 2 15 4 6" xfId="2300"/>
    <cellStyle name="Normal 2 2 15 4 7" xfId="2301"/>
    <cellStyle name="Normal 2 2 15 5" xfId="2302"/>
    <cellStyle name="Normal 2 2 15 6" xfId="2303"/>
    <cellStyle name="Normal 2 2 15 7" xfId="2304"/>
    <cellStyle name="Normal 2 2 15 8" xfId="2305"/>
    <cellStyle name="Normal 2 2 15 9" xfId="2306"/>
    <cellStyle name="Normal 2 2 16" xfId="2307"/>
    <cellStyle name="Normal 2 2 16 10" xfId="2308"/>
    <cellStyle name="Normal 2 2 16 11" xfId="2309"/>
    <cellStyle name="Normal 2 2 16 12" xfId="2310"/>
    <cellStyle name="Normal 2 2 16 13" xfId="2311"/>
    <cellStyle name="Normal 2 2 16 14" xfId="2312"/>
    <cellStyle name="Normal 2 2 16 15" xfId="2313"/>
    <cellStyle name="Normal 2 2 16 16" xfId="2314"/>
    <cellStyle name="Normal 2 2 16 17" xfId="2315"/>
    <cellStyle name="Normal 2 2 16 18" xfId="2316"/>
    <cellStyle name="Normal 2 2 16 19" xfId="2317"/>
    <cellStyle name="Normal 2 2 16 2" xfId="2318"/>
    <cellStyle name="Normal 2 2 16 2 2" xfId="2319"/>
    <cellStyle name="Normal 2 2 16 2 3" xfId="2320"/>
    <cellStyle name="Normal 2 2 16 2 4" xfId="2321"/>
    <cellStyle name="Normal 2 2 16 2 5" xfId="2322"/>
    <cellStyle name="Normal 2 2 16 2 6" xfId="2323"/>
    <cellStyle name="Normal 2 2 16 2 7" xfId="2324"/>
    <cellStyle name="Normal 2 2 16 20" xfId="2325"/>
    <cellStyle name="Normal 2 2 16 21" xfId="2326"/>
    <cellStyle name="Normal 2 2 16 22" xfId="2327"/>
    <cellStyle name="Normal 2 2 16 23" xfId="2328"/>
    <cellStyle name="Normal 2 2 16 3" xfId="2329"/>
    <cellStyle name="Normal 2 2 16 3 2" xfId="2330"/>
    <cellStyle name="Normal 2 2 16 3 3" xfId="2331"/>
    <cellStyle name="Normal 2 2 16 3 4" xfId="2332"/>
    <cellStyle name="Normal 2 2 16 3 5" xfId="2333"/>
    <cellStyle name="Normal 2 2 16 3 6" xfId="2334"/>
    <cellStyle name="Normal 2 2 16 3 7" xfId="2335"/>
    <cellStyle name="Normal 2 2 16 4" xfId="2336"/>
    <cellStyle name="Normal 2 2 16 4 2" xfId="2337"/>
    <cellStyle name="Normal 2 2 16 4 3" xfId="2338"/>
    <cellStyle name="Normal 2 2 16 4 4" xfId="2339"/>
    <cellStyle name="Normal 2 2 16 4 5" xfId="2340"/>
    <cellStyle name="Normal 2 2 16 4 6" xfId="2341"/>
    <cellStyle name="Normal 2 2 16 4 7" xfId="2342"/>
    <cellStyle name="Normal 2 2 16 5" xfId="2343"/>
    <cellStyle name="Normal 2 2 16 6" xfId="2344"/>
    <cellStyle name="Normal 2 2 16 7" xfId="2345"/>
    <cellStyle name="Normal 2 2 16 8" xfId="2346"/>
    <cellStyle name="Normal 2 2 16 9" xfId="2347"/>
    <cellStyle name="Normal 2 2 17" xfId="2348"/>
    <cellStyle name="Normal 2 2 17 10" xfId="2349"/>
    <cellStyle name="Normal 2 2 17 2" xfId="2350"/>
    <cellStyle name="Normal 2 2 17 2 2" xfId="2351"/>
    <cellStyle name="Normal 2 2 17 2 3" xfId="2352"/>
    <cellStyle name="Normal 2 2 17 2 4" xfId="2353"/>
    <cellStyle name="Normal 2 2 17 2 5" xfId="2354"/>
    <cellStyle name="Normal 2 2 17 2 6" xfId="2355"/>
    <cellStyle name="Normal 2 2 17 2 7" xfId="2356"/>
    <cellStyle name="Normal 2 2 17 3" xfId="2357"/>
    <cellStyle name="Normal 2 2 17 3 2" xfId="2358"/>
    <cellStyle name="Normal 2 2 17 3 3" xfId="2359"/>
    <cellStyle name="Normal 2 2 17 3 4" xfId="2360"/>
    <cellStyle name="Normal 2 2 17 3 5" xfId="2361"/>
    <cellStyle name="Normal 2 2 17 3 6" xfId="2362"/>
    <cellStyle name="Normal 2 2 17 3 7" xfId="2363"/>
    <cellStyle name="Normal 2 2 17 4" xfId="2364"/>
    <cellStyle name="Normal 2 2 17 4 2" xfId="2365"/>
    <cellStyle name="Normal 2 2 17 4 3" xfId="2366"/>
    <cellStyle name="Normal 2 2 17 4 4" xfId="2367"/>
    <cellStyle name="Normal 2 2 17 4 5" xfId="2368"/>
    <cellStyle name="Normal 2 2 17 4 6" xfId="2369"/>
    <cellStyle name="Normal 2 2 17 4 7" xfId="2370"/>
    <cellStyle name="Normal 2 2 17 5" xfId="2371"/>
    <cellStyle name="Normal 2 2 17 6" xfId="2372"/>
    <cellStyle name="Normal 2 2 17 7" xfId="2373"/>
    <cellStyle name="Normal 2 2 17 8" xfId="2374"/>
    <cellStyle name="Normal 2 2 17 9" xfId="2375"/>
    <cellStyle name="Normal 2 2 18" xfId="2376"/>
    <cellStyle name="Normal 2 2 18 10" xfId="2377"/>
    <cellStyle name="Normal 2 2 18 2" xfId="2378"/>
    <cellStyle name="Normal 2 2 18 2 2" xfId="2379"/>
    <cellStyle name="Normal 2 2 18 2 3" xfId="2380"/>
    <cellStyle name="Normal 2 2 18 2 4" xfId="2381"/>
    <cellStyle name="Normal 2 2 18 2 5" xfId="2382"/>
    <cellStyle name="Normal 2 2 18 2 6" xfId="2383"/>
    <cellStyle name="Normal 2 2 18 2 7" xfId="2384"/>
    <cellStyle name="Normal 2 2 18 3" xfId="2385"/>
    <cellStyle name="Normal 2 2 18 3 2" xfId="2386"/>
    <cellStyle name="Normal 2 2 18 3 3" xfId="2387"/>
    <cellStyle name="Normal 2 2 18 3 4" xfId="2388"/>
    <cellStyle name="Normal 2 2 18 3 5" xfId="2389"/>
    <cellStyle name="Normal 2 2 18 3 6" xfId="2390"/>
    <cellStyle name="Normal 2 2 18 3 7" xfId="2391"/>
    <cellStyle name="Normal 2 2 18 4" xfId="2392"/>
    <cellStyle name="Normal 2 2 18 4 2" xfId="2393"/>
    <cellStyle name="Normal 2 2 18 4 3" xfId="2394"/>
    <cellStyle name="Normal 2 2 18 4 4" xfId="2395"/>
    <cellStyle name="Normal 2 2 18 4 5" xfId="2396"/>
    <cellStyle name="Normal 2 2 18 4 6" xfId="2397"/>
    <cellStyle name="Normal 2 2 18 4 7" xfId="2398"/>
    <cellStyle name="Normal 2 2 18 5" xfId="2399"/>
    <cellStyle name="Normal 2 2 18 6" xfId="2400"/>
    <cellStyle name="Normal 2 2 18 7" xfId="2401"/>
    <cellStyle name="Normal 2 2 18 8" xfId="2402"/>
    <cellStyle name="Normal 2 2 18 9" xfId="2403"/>
    <cellStyle name="Normal 2 2 19" xfId="2404"/>
    <cellStyle name="Normal 2 2 19 10" xfId="2405"/>
    <cellStyle name="Normal 2 2 19 2" xfId="2406"/>
    <cellStyle name="Normal 2 2 19 2 2" xfId="2407"/>
    <cellStyle name="Normal 2 2 19 2 3" xfId="2408"/>
    <cellStyle name="Normal 2 2 19 2 4" xfId="2409"/>
    <cellStyle name="Normal 2 2 19 2 5" xfId="2410"/>
    <cellStyle name="Normal 2 2 19 2 6" xfId="2411"/>
    <cellStyle name="Normal 2 2 19 2 7" xfId="2412"/>
    <cellStyle name="Normal 2 2 19 3" xfId="2413"/>
    <cellStyle name="Normal 2 2 19 3 2" xfId="2414"/>
    <cellStyle name="Normal 2 2 19 3 3" xfId="2415"/>
    <cellStyle name="Normal 2 2 19 3 4" xfId="2416"/>
    <cellStyle name="Normal 2 2 19 3 5" xfId="2417"/>
    <cellStyle name="Normal 2 2 19 3 6" xfId="2418"/>
    <cellStyle name="Normal 2 2 19 3 7" xfId="2419"/>
    <cellStyle name="Normal 2 2 19 4" xfId="2420"/>
    <cellStyle name="Normal 2 2 19 4 2" xfId="2421"/>
    <cellStyle name="Normal 2 2 19 4 3" xfId="2422"/>
    <cellStyle name="Normal 2 2 19 4 4" xfId="2423"/>
    <cellStyle name="Normal 2 2 19 4 5" xfId="2424"/>
    <cellStyle name="Normal 2 2 19 4 6" xfId="2425"/>
    <cellStyle name="Normal 2 2 19 4 7" xfId="2426"/>
    <cellStyle name="Normal 2 2 19 5" xfId="2427"/>
    <cellStyle name="Normal 2 2 19 6" xfId="2428"/>
    <cellStyle name="Normal 2 2 19 7" xfId="2429"/>
    <cellStyle name="Normal 2 2 19 8" xfId="2430"/>
    <cellStyle name="Normal 2 2 19 9" xfId="2431"/>
    <cellStyle name="Normal 2 2 2" xfId="2432"/>
    <cellStyle name="Normal 2 2 2 10" xfId="2433"/>
    <cellStyle name="Normal 2 2 2 11" xfId="2434"/>
    <cellStyle name="Normal 2 2 2 12" xfId="2435"/>
    <cellStyle name="Normal 2 2 2 13" xfId="2436"/>
    <cellStyle name="Normal 2 2 2 14" xfId="2437"/>
    <cellStyle name="Normal 2 2 2 15" xfId="2438"/>
    <cellStyle name="Normal 2 2 2 16" xfId="2439"/>
    <cellStyle name="Normal 2 2 2 17" xfId="2440"/>
    <cellStyle name="Normal 2 2 2 18" xfId="2441"/>
    <cellStyle name="Normal 2 2 2 19" xfId="2442"/>
    <cellStyle name="Normal 2 2 2 2" xfId="2443"/>
    <cellStyle name="Normal 2 2 2 2 10" xfId="2444"/>
    <cellStyle name="Normal 2 2 2 2 11" xfId="2445"/>
    <cellStyle name="Normal 2 2 2 2 12" xfId="2446"/>
    <cellStyle name="Normal 2 2 2 2 13" xfId="2447"/>
    <cellStyle name="Normal 2 2 2 2 14" xfId="2448"/>
    <cellStyle name="Normal 2 2 2 2 15" xfId="2449"/>
    <cellStyle name="Normal 2 2 2 2 16" xfId="2450"/>
    <cellStyle name="Normal 2 2 2 2 17" xfId="2451"/>
    <cellStyle name="Normal 2 2 2 2 18" xfId="2452"/>
    <cellStyle name="Normal 2 2 2 2 19" xfId="2453"/>
    <cellStyle name="Normal 2 2 2 2 2" xfId="2454"/>
    <cellStyle name="Normal 2 2 2 2 2 2" xfId="2455"/>
    <cellStyle name="Normal 2 2 2 2 2 3" xfId="2456"/>
    <cellStyle name="Normal 2 2 2 2 2 4" xfId="2457"/>
    <cellStyle name="Normal 2 2 2 2 2 5" xfId="2458"/>
    <cellStyle name="Normal 2 2 2 2 2 6" xfId="2459"/>
    <cellStyle name="Normal 2 2 2 2 2 7" xfId="2460"/>
    <cellStyle name="Normal 2 2 2 2 20" xfId="2461"/>
    <cellStyle name="Normal 2 2 2 2 21" xfId="2462"/>
    <cellStyle name="Normal 2 2 2 2 22" xfId="2463"/>
    <cellStyle name="Normal 2 2 2 2 23" xfId="2464"/>
    <cellStyle name="Normal 2 2 2 2 3" xfId="2465"/>
    <cellStyle name="Normal 2 2 2 2 3 2" xfId="2466"/>
    <cellStyle name="Normal 2 2 2 2 3 3" xfId="2467"/>
    <cellStyle name="Normal 2 2 2 2 3 4" xfId="2468"/>
    <cellStyle name="Normal 2 2 2 2 3 5" xfId="2469"/>
    <cellStyle name="Normal 2 2 2 2 3 6" xfId="2470"/>
    <cellStyle name="Normal 2 2 2 2 3 7" xfId="2471"/>
    <cellStyle name="Normal 2 2 2 2 4" xfId="2472"/>
    <cellStyle name="Normal 2 2 2 2 4 2" xfId="2473"/>
    <cellStyle name="Normal 2 2 2 2 4 3" xfId="2474"/>
    <cellStyle name="Normal 2 2 2 2 4 4" xfId="2475"/>
    <cellStyle name="Normal 2 2 2 2 4 5" xfId="2476"/>
    <cellStyle name="Normal 2 2 2 2 4 6" xfId="2477"/>
    <cellStyle name="Normal 2 2 2 2 4 7" xfId="2478"/>
    <cellStyle name="Normal 2 2 2 2 5" xfId="2479"/>
    <cellStyle name="Normal 2 2 2 2 6" xfId="2480"/>
    <cellStyle name="Normal 2 2 2 2 7" xfId="2481"/>
    <cellStyle name="Normal 2 2 2 2 8" xfId="2482"/>
    <cellStyle name="Normal 2 2 2 2 9" xfId="2483"/>
    <cellStyle name="Normal 2 2 2 20" xfId="2484"/>
    <cellStyle name="Normal 2 2 2 21" xfId="2485"/>
    <cellStyle name="Normal 2 2 2 22" xfId="2486"/>
    <cellStyle name="Normal 2 2 2 23" xfId="2487"/>
    <cellStyle name="Normal 2 2 2 24" xfId="2488"/>
    <cellStyle name="Normal 2 2 2 3" xfId="2489"/>
    <cellStyle name="Normal 2 2 2 3 10" xfId="2490"/>
    <cellStyle name="Normal 2 2 2 3 2" xfId="2491"/>
    <cellStyle name="Normal 2 2 2 3 2 2" xfId="2492"/>
    <cellStyle name="Normal 2 2 2 3 2 3" xfId="2493"/>
    <cellStyle name="Normal 2 2 2 3 2 4" xfId="2494"/>
    <cellStyle name="Normal 2 2 2 3 2 5" xfId="2495"/>
    <cellStyle name="Normal 2 2 2 3 2 6" xfId="2496"/>
    <cellStyle name="Normal 2 2 2 3 2 7" xfId="2497"/>
    <cellStyle name="Normal 2 2 2 3 3" xfId="2498"/>
    <cellStyle name="Normal 2 2 2 3 3 2" xfId="2499"/>
    <cellStyle name="Normal 2 2 2 3 3 3" xfId="2500"/>
    <cellStyle name="Normal 2 2 2 3 3 4" xfId="2501"/>
    <cellStyle name="Normal 2 2 2 3 3 5" xfId="2502"/>
    <cellStyle name="Normal 2 2 2 3 3 6" xfId="2503"/>
    <cellStyle name="Normal 2 2 2 3 3 7" xfId="2504"/>
    <cellStyle name="Normal 2 2 2 3 4" xfId="2505"/>
    <cellStyle name="Normal 2 2 2 3 4 2" xfId="2506"/>
    <cellStyle name="Normal 2 2 2 3 4 3" xfId="2507"/>
    <cellStyle name="Normal 2 2 2 3 4 4" xfId="2508"/>
    <cellStyle name="Normal 2 2 2 3 4 5" xfId="2509"/>
    <cellStyle name="Normal 2 2 2 3 4 6" xfId="2510"/>
    <cellStyle name="Normal 2 2 2 3 4 7" xfId="2511"/>
    <cellStyle name="Normal 2 2 2 3 5" xfId="2512"/>
    <cellStyle name="Normal 2 2 2 3 6" xfId="2513"/>
    <cellStyle name="Normal 2 2 2 3 7" xfId="2514"/>
    <cellStyle name="Normal 2 2 2 3 8" xfId="2515"/>
    <cellStyle name="Normal 2 2 2 3 9" xfId="2516"/>
    <cellStyle name="Normal 2 2 2 4" xfId="2517"/>
    <cellStyle name="Normal 2 2 2 4 10" xfId="2518"/>
    <cellStyle name="Normal 2 2 2 4 2" xfId="2519"/>
    <cellStyle name="Normal 2 2 2 4 2 2" xfId="2520"/>
    <cellStyle name="Normal 2 2 2 4 2 3" xfId="2521"/>
    <cellStyle name="Normal 2 2 2 4 2 4" xfId="2522"/>
    <cellStyle name="Normal 2 2 2 4 2 5" xfId="2523"/>
    <cellStyle name="Normal 2 2 2 4 2 6" xfId="2524"/>
    <cellStyle name="Normal 2 2 2 4 2 7" xfId="2525"/>
    <cellStyle name="Normal 2 2 2 4 3" xfId="2526"/>
    <cellStyle name="Normal 2 2 2 4 3 2" xfId="2527"/>
    <cellStyle name="Normal 2 2 2 4 3 3" xfId="2528"/>
    <cellStyle name="Normal 2 2 2 4 3 4" xfId="2529"/>
    <cellStyle name="Normal 2 2 2 4 3 5" xfId="2530"/>
    <cellStyle name="Normal 2 2 2 4 3 6" xfId="2531"/>
    <cellStyle name="Normal 2 2 2 4 3 7" xfId="2532"/>
    <cellStyle name="Normal 2 2 2 4 4" xfId="2533"/>
    <cellStyle name="Normal 2 2 2 4 4 2" xfId="2534"/>
    <cellStyle name="Normal 2 2 2 4 4 3" xfId="2535"/>
    <cellStyle name="Normal 2 2 2 4 4 4" xfId="2536"/>
    <cellStyle name="Normal 2 2 2 4 4 5" xfId="2537"/>
    <cellStyle name="Normal 2 2 2 4 4 6" xfId="2538"/>
    <cellStyle name="Normal 2 2 2 4 4 7" xfId="2539"/>
    <cellStyle name="Normal 2 2 2 4 5" xfId="2540"/>
    <cellStyle name="Normal 2 2 2 4 6" xfId="2541"/>
    <cellStyle name="Normal 2 2 2 4 7" xfId="2542"/>
    <cellStyle name="Normal 2 2 2 4 8" xfId="2543"/>
    <cellStyle name="Normal 2 2 2 4 9" xfId="2544"/>
    <cellStyle name="Normal 2 2 2 5" xfId="2545"/>
    <cellStyle name="Normal 2 2 2 5 10" xfId="2546"/>
    <cellStyle name="Normal 2 2 2 5 2" xfId="2547"/>
    <cellStyle name="Normal 2 2 2 5 2 2" xfId="2548"/>
    <cellStyle name="Normal 2 2 2 5 2 3" xfId="2549"/>
    <cellStyle name="Normal 2 2 2 5 2 4" xfId="2550"/>
    <cellStyle name="Normal 2 2 2 5 2 5" xfId="2551"/>
    <cellStyle name="Normal 2 2 2 5 2 6" xfId="2552"/>
    <cellStyle name="Normal 2 2 2 5 2 7" xfId="2553"/>
    <cellStyle name="Normal 2 2 2 5 3" xfId="2554"/>
    <cellStyle name="Normal 2 2 2 5 3 2" xfId="2555"/>
    <cellStyle name="Normal 2 2 2 5 3 3" xfId="2556"/>
    <cellStyle name="Normal 2 2 2 5 3 4" xfId="2557"/>
    <cellStyle name="Normal 2 2 2 5 3 5" xfId="2558"/>
    <cellStyle name="Normal 2 2 2 5 3 6" xfId="2559"/>
    <cellStyle name="Normal 2 2 2 5 3 7" xfId="2560"/>
    <cellStyle name="Normal 2 2 2 5 4" xfId="2561"/>
    <cellStyle name="Normal 2 2 2 5 4 2" xfId="2562"/>
    <cellStyle name="Normal 2 2 2 5 4 3" xfId="2563"/>
    <cellStyle name="Normal 2 2 2 5 4 4" xfId="2564"/>
    <cellStyle name="Normal 2 2 2 5 4 5" xfId="2565"/>
    <cellStyle name="Normal 2 2 2 5 4 6" xfId="2566"/>
    <cellStyle name="Normal 2 2 2 5 4 7" xfId="2567"/>
    <cellStyle name="Normal 2 2 2 5 5" xfId="2568"/>
    <cellStyle name="Normal 2 2 2 5 6" xfId="2569"/>
    <cellStyle name="Normal 2 2 2 5 7" xfId="2570"/>
    <cellStyle name="Normal 2 2 2 5 8" xfId="2571"/>
    <cellStyle name="Normal 2 2 2 5 9" xfId="2572"/>
    <cellStyle name="Normal 2 2 2 6" xfId="2573"/>
    <cellStyle name="Normal 2 2 2 7" xfId="2574"/>
    <cellStyle name="Normal 2 2 2 8" xfId="2575"/>
    <cellStyle name="Normal 2 2 2 9" xfId="2576"/>
    <cellStyle name="Normal 2 2 20" xfId="2577"/>
    <cellStyle name="Normal 2 2 20 10" xfId="2578"/>
    <cellStyle name="Normal 2 2 20 2" xfId="2579"/>
    <cellStyle name="Normal 2 2 20 2 2" xfId="2580"/>
    <cellStyle name="Normal 2 2 20 2 3" xfId="2581"/>
    <cellStyle name="Normal 2 2 20 2 4" xfId="2582"/>
    <cellStyle name="Normal 2 2 20 2 5" xfId="2583"/>
    <cellStyle name="Normal 2 2 20 2 6" xfId="2584"/>
    <cellStyle name="Normal 2 2 20 2 7" xfId="2585"/>
    <cellStyle name="Normal 2 2 20 3" xfId="2586"/>
    <cellStyle name="Normal 2 2 20 3 2" xfId="2587"/>
    <cellStyle name="Normal 2 2 20 3 3" xfId="2588"/>
    <cellStyle name="Normal 2 2 20 3 4" xfId="2589"/>
    <cellStyle name="Normal 2 2 20 3 5" xfId="2590"/>
    <cellStyle name="Normal 2 2 20 3 6" xfId="2591"/>
    <cellStyle name="Normal 2 2 20 3 7" xfId="2592"/>
    <cellStyle name="Normal 2 2 20 4" xfId="2593"/>
    <cellStyle name="Normal 2 2 20 4 2" xfId="2594"/>
    <cellStyle name="Normal 2 2 20 4 3" xfId="2595"/>
    <cellStyle name="Normal 2 2 20 4 4" xfId="2596"/>
    <cellStyle name="Normal 2 2 20 4 5" xfId="2597"/>
    <cellStyle name="Normal 2 2 20 4 6" xfId="2598"/>
    <cellStyle name="Normal 2 2 20 4 7" xfId="2599"/>
    <cellStyle name="Normal 2 2 20 5" xfId="2600"/>
    <cellStyle name="Normal 2 2 20 6" xfId="2601"/>
    <cellStyle name="Normal 2 2 20 7" xfId="2602"/>
    <cellStyle name="Normal 2 2 20 8" xfId="2603"/>
    <cellStyle name="Normal 2 2 20 9" xfId="2604"/>
    <cellStyle name="Normal 2 2 21" xfId="2605"/>
    <cellStyle name="Normal 2 2 22" xfId="2606"/>
    <cellStyle name="Normal 2 2 23" xfId="2607"/>
    <cellStyle name="Normal 2 2 23 2" xfId="2608"/>
    <cellStyle name="Normal 2 2 23 3" xfId="2609"/>
    <cellStyle name="Normal 2 2 23 4" xfId="2610"/>
    <cellStyle name="Normal 2 2 23 5" xfId="2611"/>
    <cellStyle name="Normal 2 2 23 6" xfId="2612"/>
    <cellStyle name="Normal 2 2 23 7" xfId="2613"/>
    <cellStyle name="Normal 2 2 24" xfId="2614"/>
    <cellStyle name="Normal 2 2 24 2" xfId="2615"/>
    <cellStyle name="Normal 2 2 24 3" xfId="2616"/>
    <cellStyle name="Normal 2 2 24 4" xfId="2617"/>
    <cellStyle name="Normal 2 2 24 5" xfId="2618"/>
    <cellStyle name="Normal 2 2 24 6" xfId="2619"/>
    <cellStyle name="Normal 2 2 24 7" xfId="2620"/>
    <cellStyle name="Normal 2 2 25" xfId="2621"/>
    <cellStyle name="Normal 2 2 25 2" xfId="2622"/>
    <cellStyle name="Normal 2 2 25 3" xfId="2623"/>
    <cellStyle name="Normal 2 2 25 4" xfId="2624"/>
    <cellStyle name="Normal 2 2 25 5" xfId="2625"/>
    <cellStyle name="Normal 2 2 25 6" xfId="2626"/>
    <cellStyle name="Normal 2 2 25 7" xfId="2627"/>
    <cellStyle name="Normal 2 2 26" xfId="2628"/>
    <cellStyle name="Normal 2 2 26 2" xfId="2629"/>
    <cellStyle name="Normal 2 2 26 3" xfId="2630"/>
    <cellStyle name="Normal 2 2 26 4" xfId="2631"/>
    <cellStyle name="Normal 2 2 26 5" xfId="2632"/>
    <cellStyle name="Normal 2 2 26 6" xfId="2633"/>
    <cellStyle name="Normal 2 2 26 7" xfId="2634"/>
    <cellStyle name="Normal 2 2 27" xfId="2635"/>
    <cellStyle name="Normal 2 2 27 2" xfId="2636"/>
    <cellStyle name="Normal 2 2 27 3" xfId="2637"/>
    <cellStyle name="Normal 2 2 27 4" xfId="2638"/>
    <cellStyle name="Normal 2 2 27 5" xfId="2639"/>
    <cellStyle name="Normal 2 2 27 6" xfId="2640"/>
    <cellStyle name="Normal 2 2 27 7" xfId="2641"/>
    <cellStyle name="Normal 2 2 28" xfId="2642"/>
    <cellStyle name="Normal 2 2 29" xfId="2643"/>
    <cellStyle name="Normal 2 2 3" xfId="2644"/>
    <cellStyle name="Normal 2 2 3 10" xfId="2645"/>
    <cellStyle name="Normal 2 2 3 11" xfId="2646"/>
    <cellStyle name="Normal 2 2 3 12" xfId="2647"/>
    <cellStyle name="Normal 2 2 3 13" xfId="2648"/>
    <cellStyle name="Normal 2 2 3 14" xfId="2649"/>
    <cellStyle name="Normal 2 2 3 15" xfId="2650"/>
    <cellStyle name="Normal 2 2 3 16" xfId="2651"/>
    <cellStyle name="Normal 2 2 3 17" xfId="2652"/>
    <cellStyle name="Normal 2 2 3 18" xfId="2653"/>
    <cellStyle name="Normal 2 2 3 19" xfId="2654"/>
    <cellStyle name="Normal 2 2 3 2" xfId="2655"/>
    <cellStyle name="Normal 2 2 3 2 10" xfId="2656"/>
    <cellStyle name="Normal 2 2 3 2 2" xfId="2657"/>
    <cellStyle name="Normal 2 2 3 2 2 2" xfId="2658"/>
    <cellStyle name="Normal 2 2 3 2 2 3" xfId="2659"/>
    <cellStyle name="Normal 2 2 3 2 2 4" xfId="2660"/>
    <cellStyle name="Normal 2 2 3 2 2 5" xfId="2661"/>
    <cellStyle name="Normal 2 2 3 2 2 6" xfId="2662"/>
    <cellStyle name="Normal 2 2 3 2 2 7" xfId="2663"/>
    <cellStyle name="Normal 2 2 3 2 3" xfId="2664"/>
    <cellStyle name="Normal 2 2 3 2 3 2" xfId="2665"/>
    <cellStyle name="Normal 2 2 3 2 3 3" xfId="2666"/>
    <cellStyle name="Normal 2 2 3 2 3 4" xfId="2667"/>
    <cellStyle name="Normal 2 2 3 2 3 5" xfId="2668"/>
    <cellStyle name="Normal 2 2 3 2 3 6" xfId="2669"/>
    <cellStyle name="Normal 2 2 3 2 3 7" xfId="2670"/>
    <cellStyle name="Normal 2 2 3 2 4" xfId="2671"/>
    <cellStyle name="Normal 2 2 3 2 4 2" xfId="2672"/>
    <cellStyle name="Normal 2 2 3 2 4 3" xfId="2673"/>
    <cellStyle name="Normal 2 2 3 2 4 4" xfId="2674"/>
    <cellStyle name="Normal 2 2 3 2 4 5" xfId="2675"/>
    <cellStyle name="Normal 2 2 3 2 4 6" xfId="2676"/>
    <cellStyle name="Normal 2 2 3 2 4 7" xfId="2677"/>
    <cellStyle name="Normal 2 2 3 2 5" xfId="2678"/>
    <cellStyle name="Normal 2 2 3 2 6" xfId="2679"/>
    <cellStyle name="Normal 2 2 3 2 7" xfId="2680"/>
    <cellStyle name="Normal 2 2 3 2 8" xfId="2681"/>
    <cellStyle name="Normal 2 2 3 2 9" xfId="2682"/>
    <cellStyle name="Normal 2 2 3 20" xfId="2683"/>
    <cellStyle name="Normal 2 2 3 21" xfId="2684"/>
    <cellStyle name="Normal 2 2 3 22" xfId="2685"/>
    <cellStyle name="Normal 2 2 3 23" xfId="2686"/>
    <cellStyle name="Normal 2 2 3 24" xfId="2687"/>
    <cellStyle name="Normal 2 2 3 25" xfId="2688"/>
    <cellStyle name="Normal 2 2 3 3" xfId="2689"/>
    <cellStyle name="Normal 2 2 3 3 10" xfId="2690"/>
    <cellStyle name="Normal 2 2 3 3 2" xfId="2691"/>
    <cellStyle name="Normal 2 2 3 3 2 2" xfId="2692"/>
    <cellStyle name="Normal 2 2 3 3 2 3" xfId="2693"/>
    <cellStyle name="Normal 2 2 3 3 2 4" xfId="2694"/>
    <cellStyle name="Normal 2 2 3 3 2 5" xfId="2695"/>
    <cellStyle name="Normal 2 2 3 3 2 6" xfId="2696"/>
    <cellStyle name="Normal 2 2 3 3 2 7" xfId="2697"/>
    <cellStyle name="Normal 2 2 3 3 3" xfId="2698"/>
    <cellStyle name="Normal 2 2 3 3 3 2" xfId="2699"/>
    <cellStyle name="Normal 2 2 3 3 3 3" xfId="2700"/>
    <cellStyle name="Normal 2 2 3 3 3 4" xfId="2701"/>
    <cellStyle name="Normal 2 2 3 3 3 5" xfId="2702"/>
    <cellStyle name="Normal 2 2 3 3 3 6" xfId="2703"/>
    <cellStyle name="Normal 2 2 3 3 3 7" xfId="2704"/>
    <cellStyle name="Normal 2 2 3 3 4" xfId="2705"/>
    <cellStyle name="Normal 2 2 3 3 4 2" xfId="2706"/>
    <cellStyle name="Normal 2 2 3 3 4 3" xfId="2707"/>
    <cellStyle name="Normal 2 2 3 3 4 4" xfId="2708"/>
    <cellStyle name="Normal 2 2 3 3 4 5" xfId="2709"/>
    <cellStyle name="Normal 2 2 3 3 4 6" xfId="2710"/>
    <cellStyle name="Normal 2 2 3 3 4 7" xfId="2711"/>
    <cellStyle name="Normal 2 2 3 3 5" xfId="2712"/>
    <cellStyle name="Normal 2 2 3 3 6" xfId="2713"/>
    <cellStyle name="Normal 2 2 3 3 7" xfId="2714"/>
    <cellStyle name="Normal 2 2 3 3 8" xfId="2715"/>
    <cellStyle name="Normal 2 2 3 3 9" xfId="2716"/>
    <cellStyle name="Normal 2 2 3 4" xfId="2717"/>
    <cellStyle name="Normal 2 2 3 4 2" xfId="2718"/>
    <cellStyle name="Normal 2 2 3 4 3" xfId="2719"/>
    <cellStyle name="Normal 2 2 3 4 4" xfId="2720"/>
    <cellStyle name="Normal 2 2 3 4 5" xfId="2721"/>
    <cellStyle name="Normal 2 2 3 4 6" xfId="2722"/>
    <cellStyle name="Normal 2 2 3 4 7" xfId="2723"/>
    <cellStyle name="Normal 2 2 3 5" xfId="2724"/>
    <cellStyle name="Normal 2 2 3 5 2" xfId="2725"/>
    <cellStyle name="Normal 2 2 3 5 3" xfId="2726"/>
    <cellStyle name="Normal 2 2 3 5 4" xfId="2727"/>
    <cellStyle name="Normal 2 2 3 5 5" xfId="2728"/>
    <cellStyle name="Normal 2 2 3 5 6" xfId="2729"/>
    <cellStyle name="Normal 2 2 3 5 7" xfId="2730"/>
    <cellStyle name="Normal 2 2 3 6" xfId="2731"/>
    <cellStyle name="Normal 2 2 3 6 2" xfId="2732"/>
    <cellStyle name="Normal 2 2 3 6 3" xfId="2733"/>
    <cellStyle name="Normal 2 2 3 6 4" xfId="2734"/>
    <cellStyle name="Normal 2 2 3 6 5" xfId="2735"/>
    <cellStyle name="Normal 2 2 3 6 6" xfId="2736"/>
    <cellStyle name="Normal 2 2 3 6 7" xfId="2737"/>
    <cellStyle name="Normal 2 2 3 7" xfId="2738"/>
    <cellStyle name="Normal 2 2 3 8" xfId="2739"/>
    <cellStyle name="Normal 2 2 3 9" xfId="2740"/>
    <cellStyle name="Normal 2 2 30" xfId="2741"/>
    <cellStyle name="Normal 2 2 31" xfId="2742"/>
    <cellStyle name="Normal 2 2 32" xfId="2743"/>
    <cellStyle name="Normal 2 2 33" xfId="2744"/>
    <cellStyle name="Normal 2 2 34" xfId="2745"/>
    <cellStyle name="Normal 2 2 35" xfId="2746"/>
    <cellStyle name="Normal 2 2 36" xfId="2747"/>
    <cellStyle name="Normal 2 2 37" xfId="2748"/>
    <cellStyle name="Normal 2 2 38" xfId="2749"/>
    <cellStyle name="Normal 2 2 39" xfId="2750"/>
    <cellStyle name="Normal 2 2 4" xfId="2751"/>
    <cellStyle name="Normal 2 2 4 10" xfId="2752"/>
    <cellStyle name="Normal 2 2 4 11" xfId="2753"/>
    <cellStyle name="Normal 2 2 4 12" xfId="2754"/>
    <cellStyle name="Normal 2 2 4 13" xfId="2755"/>
    <cellStyle name="Normal 2 2 4 14" xfId="2756"/>
    <cellStyle name="Normal 2 2 4 15" xfId="2757"/>
    <cellStyle name="Normal 2 2 4 16" xfId="2758"/>
    <cellStyle name="Normal 2 2 4 17" xfId="2759"/>
    <cellStyle name="Normal 2 2 4 18" xfId="2760"/>
    <cellStyle name="Normal 2 2 4 19" xfId="2761"/>
    <cellStyle name="Normal 2 2 4 2" xfId="2762"/>
    <cellStyle name="Normal 2 2 4 2 2" xfId="2763"/>
    <cellStyle name="Normal 2 2 4 2 3" xfId="2764"/>
    <cellStyle name="Normal 2 2 4 2 4" xfId="2765"/>
    <cellStyle name="Normal 2 2 4 2 5" xfId="2766"/>
    <cellStyle name="Normal 2 2 4 2 6" xfId="2767"/>
    <cellStyle name="Normal 2 2 4 2 7" xfId="2768"/>
    <cellStyle name="Normal 2 2 4 20" xfId="2769"/>
    <cellStyle name="Normal 2 2 4 21" xfId="2770"/>
    <cellStyle name="Normal 2 2 4 22" xfId="2771"/>
    <cellStyle name="Normal 2 2 4 23" xfId="2772"/>
    <cellStyle name="Normal 2 2 4 3" xfId="2773"/>
    <cellStyle name="Normal 2 2 4 3 2" xfId="2774"/>
    <cellStyle name="Normal 2 2 4 3 3" xfId="2775"/>
    <cellStyle name="Normal 2 2 4 3 4" xfId="2776"/>
    <cellStyle name="Normal 2 2 4 3 5" xfId="2777"/>
    <cellStyle name="Normal 2 2 4 3 6" xfId="2778"/>
    <cellStyle name="Normal 2 2 4 3 7" xfId="2779"/>
    <cellStyle name="Normal 2 2 4 4" xfId="2780"/>
    <cellStyle name="Normal 2 2 4 4 2" xfId="2781"/>
    <cellStyle name="Normal 2 2 4 4 3" xfId="2782"/>
    <cellStyle name="Normal 2 2 4 4 4" xfId="2783"/>
    <cellStyle name="Normal 2 2 4 4 5" xfId="2784"/>
    <cellStyle name="Normal 2 2 4 4 6" xfId="2785"/>
    <cellStyle name="Normal 2 2 4 4 7" xfId="2786"/>
    <cellStyle name="Normal 2 2 4 5" xfId="2787"/>
    <cellStyle name="Normal 2 2 4 6" xfId="2788"/>
    <cellStyle name="Normal 2 2 4 7" xfId="2789"/>
    <cellStyle name="Normal 2 2 4 8" xfId="2790"/>
    <cellStyle name="Normal 2 2 4 9" xfId="2791"/>
    <cellStyle name="Normal 2 2 40" xfId="2792"/>
    <cellStyle name="Normal 2 2 41" xfId="2793"/>
    <cellStyle name="Normal 2 2 42" xfId="2794"/>
    <cellStyle name="Normal 2 2 43" xfId="2795"/>
    <cellStyle name="Normal 2 2 44" xfId="2796"/>
    <cellStyle name="Normal 2 2 45" xfId="2797"/>
    <cellStyle name="Normal 2 2 46" xfId="2798"/>
    <cellStyle name="Normal 2 2 5" xfId="2799"/>
    <cellStyle name="Normal 2 2 5 10" xfId="2800"/>
    <cellStyle name="Normal 2 2 5 11" xfId="2801"/>
    <cellStyle name="Normal 2 2 5 12" xfId="2802"/>
    <cellStyle name="Normal 2 2 5 13" xfId="2803"/>
    <cellStyle name="Normal 2 2 5 14" xfId="2804"/>
    <cellStyle name="Normal 2 2 5 15" xfId="2805"/>
    <cellStyle name="Normal 2 2 5 16" xfId="2806"/>
    <cellStyle name="Normal 2 2 5 17" xfId="2807"/>
    <cellStyle name="Normal 2 2 5 18" xfId="2808"/>
    <cellStyle name="Normal 2 2 5 19" xfId="2809"/>
    <cellStyle name="Normal 2 2 5 2" xfId="2810"/>
    <cellStyle name="Normal 2 2 5 2 2" xfId="2811"/>
    <cellStyle name="Normal 2 2 5 2 3" xfId="2812"/>
    <cellStyle name="Normal 2 2 5 2 4" xfId="2813"/>
    <cellStyle name="Normal 2 2 5 2 5" xfId="2814"/>
    <cellStyle name="Normal 2 2 5 2 6" xfId="2815"/>
    <cellStyle name="Normal 2 2 5 2 7" xfId="2816"/>
    <cellStyle name="Normal 2 2 5 20" xfId="2817"/>
    <cellStyle name="Normal 2 2 5 21" xfId="2818"/>
    <cellStyle name="Normal 2 2 5 22" xfId="2819"/>
    <cellStyle name="Normal 2 2 5 23" xfId="2820"/>
    <cellStyle name="Normal 2 2 5 3" xfId="2821"/>
    <cellStyle name="Normal 2 2 5 3 2" xfId="2822"/>
    <cellStyle name="Normal 2 2 5 3 3" xfId="2823"/>
    <cellStyle name="Normal 2 2 5 3 4" xfId="2824"/>
    <cellStyle name="Normal 2 2 5 3 5" xfId="2825"/>
    <cellStyle name="Normal 2 2 5 3 6" xfId="2826"/>
    <cellStyle name="Normal 2 2 5 3 7" xfId="2827"/>
    <cellStyle name="Normal 2 2 5 4" xfId="2828"/>
    <cellStyle name="Normal 2 2 5 4 2" xfId="2829"/>
    <cellStyle name="Normal 2 2 5 4 3" xfId="2830"/>
    <cellStyle name="Normal 2 2 5 4 4" xfId="2831"/>
    <cellStyle name="Normal 2 2 5 4 5" xfId="2832"/>
    <cellStyle name="Normal 2 2 5 4 6" xfId="2833"/>
    <cellStyle name="Normal 2 2 5 4 7" xfId="2834"/>
    <cellStyle name="Normal 2 2 5 5" xfId="2835"/>
    <cellStyle name="Normal 2 2 5 6" xfId="2836"/>
    <cellStyle name="Normal 2 2 5 7" xfId="2837"/>
    <cellStyle name="Normal 2 2 5 8" xfId="2838"/>
    <cellStyle name="Normal 2 2 5 9" xfId="2839"/>
    <cellStyle name="Normal 2 2 6" xfId="2840"/>
    <cellStyle name="Normal 2 2 6 10" xfId="2841"/>
    <cellStyle name="Normal 2 2 6 11" xfId="2842"/>
    <cellStyle name="Normal 2 2 6 12" xfId="2843"/>
    <cellStyle name="Normal 2 2 6 13" xfId="2844"/>
    <cellStyle name="Normal 2 2 6 14" xfId="2845"/>
    <cellStyle name="Normal 2 2 6 15" xfId="2846"/>
    <cellStyle name="Normal 2 2 6 16" xfId="2847"/>
    <cellStyle name="Normal 2 2 6 17" xfId="2848"/>
    <cellStyle name="Normal 2 2 6 18" xfId="2849"/>
    <cellStyle name="Normal 2 2 6 19" xfId="2850"/>
    <cellStyle name="Normal 2 2 6 2" xfId="2851"/>
    <cellStyle name="Normal 2 2 6 2 2" xfId="2852"/>
    <cellStyle name="Normal 2 2 6 2 3" xfId="2853"/>
    <cellStyle name="Normal 2 2 6 2 4" xfId="2854"/>
    <cellStyle name="Normal 2 2 6 2 5" xfId="2855"/>
    <cellStyle name="Normal 2 2 6 2 6" xfId="2856"/>
    <cellStyle name="Normal 2 2 6 2 7" xfId="2857"/>
    <cellStyle name="Normal 2 2 6 20" xfId="2858"/>
    <cellStyle name="Normal 2 2 6 21" xfId="2859"/>
    <cellStyle name="Normal 2 2 6 22" xfId="2860"/>
    <cellStyle name="Normal 2 2 6 23" xfId="2861"/>
    <cellStyle name="Normal 2 2 6 3" xfId="2862"/>
    <cellStyle name="Normal 2 2 6 3 2" xfId="2863"/>
    <cellStyle name="Normal 2 2 6 3 3" xfId="2864"/>
    <cellStyle name="Normal 2 2 6 3 4" xfId="2865"/>
    <cellStyle name="Normal 2 2 6 3 5" xfId="2866"/>
    <cellStyle name="Normal 2 2 6 3 6" xfId="2867"/>
    <cellStyle name="Normal 2 2 6 3 7" xfId="2868"/>
    <cellStyle name="Normal 2 2 6 4" xfId="2869"/>
    <cellStyle name="Normal 2 2 6 4 2" xfId="2870"/>
    <cellStyle name="Normal 2 2 6 4 3" xfId="2871"/>
    <cellStyle name="Normal 2 2 6 4 4" xfId="2872"/>
    <cellStyle name="Normal 2 2 6 4 5" xfId="2873"/>
    <cellStyle name="Normal 2 2 6 4 6" xfId="2874"/>
    <cellStyle name="Normal 2 2 6 4 7" xfId="2875"/>
    <cellStyle name="Normal 2 2 6 5" xfId="2876"/>
    <cellStyle name="Normal 2 2 6 6" xfId="2877"/>
    <cellStyle name="Normal 2 2 6 7" xfId="2878"/>
    <cellStyle name="Normal 2 2 6 8" xfId="2879"/>
    <cellStyle name="Normal 2 2 6 9" xfId="2880"/>
    <cellStyle name="Normal 2 2 7" xfId="2881"/>
    <cellStyle name="Normal 2 2 7 10" xfId="2882"/>
    <cellStyle name="Normal 2 2 7 11" xfId="2883"/>
    <cellStyle name="Normal 2 2 7 12" xfId="2884"/>
    <cellStyle name="Normal 2 2 7 13" xfId="2885"/>
    <cellStyle name="Normal 2 2 7 14" xfId="2886"/>
    <cellStyle name="Normal 2 2 7 15" xfId="2887"/>
    <cellStyle name="Normal 2 2 7 16" xfId="2888"/>
    <cellStyle name="Normal 2 2 7 17" xfId="2889"/>
    <cellStyle name="Normal 2 2 7 18" xfId="2890"/>
    <cellStyle name="Normal 2 2 7 19" xfId="2891"/>
    <cellStyle name="Normal 2 2 7 2" xfId="2892"/>
    <cellStyle name="Normal 2 2 7 2 2" xfId="2893"/>
    <cellStyle name="Normal 2 2 7 2 3" xfId="2894"/>
    <cellStyle name="Normal 2 2 7 2 4" xfId="2895"/>
    <cellStyle name="Normal 2 2 7 2 5" xfId="2896"/>
    <cellStyle name="Normal 2 2 7 2 6" xfId="2897"/>
    <cellStyle name="Normal 2 2 7 2 7" xfId="2898"/>
    <cellStyle name="Normal 2 2 7 20" xfId="2899"/>
    <cellStyle name="Normal 2 2 7 21" xfId="2900"/>
    <cellStyle name="Normal 2 2 7 22" xfId="2901"/>
    <cellStyle name="Normal 2 2 7 23" xfId="2902"/>
    <cellStyle name="Normal 2 2 7 3" xfId="2903"/>
    <cellStyle name="Normal 2 2 7 3 2" xfId="2904"/>
    <cellStyle name="Normal 2 2 7 3 3" xfId="2905"/>
    <cellStyle name="Normal 2 2 7 3 4" xfId="2906"/>
    <cellStyle name="Normal 2 2 7 3 5" xfId="2907"/>
    <cellStyle name="Normal 2 2 7 3 6" xfId="2908"/>
    <cellStyle name="Normal 2 2 7 3 7" xfId="2909"/>
    <cellStyle name="Normal 2 2 7 4" xfId="2910"/>
    <cellStyle name="Normal 2 2 7 4 2" xfId="2911"/>
    <cellStyle name="Normal 2 2 7 4 3" xfId="2912"/>
    <cellStyle name="Normal 2 2 7 4 4" xfId="2913"/>
    <cellStyle name="Normal 2 2 7 4 5" xfId="2914"/>
    <cellStyle name="Normal 2 2 7 4 6" xfId="2915"/>
    <cellStyle name="Normal 2 2 7 4 7" xfId="2916"/>
    <cellStyle name="Normal 2 2 7 5" xfId="2917"/>
    <cellStyle name="Normal 2 2 7 6" xfId="2918"/>
    <cellStyle name="Normal 2 2 7 7" xfId="2919"/>
    <cellStyle name="Normal 2 2 7 8" xfId="2920"/>
    <cellStyle name="Normal 2 2 7 9" xfId="2921"/>
    <cellStyle name="Normal 2 2 8" xfId="2922"/>
    <cellStyle name="Normal 2 2 8 10" xfId="2923"/>
    <cellStyle name="Normal 2 2 8 11" xfId="2924"/>
    <cellStyle name="Normal 2 2 8 12" xfId="2925"/>
    <cellStyle name="Normal 2 2 8 13" xfId="2926"/>
    <cellStyle name="Normal 2 2 8 14" xfId="2927"/>
    <cellStyle name="Normal 2 2 8 15" xfId="2928"/>
    <cellStyle name="Normal 2 2 8 16" xfId="2929"/>
    <cellStyle name="Normal 2 2 8 17" xfId="2930"/>
    <cellStyle name="Normal 2 2 8 18" xfId="2931"/>
    <cellStyle name="Normal 2 2 8 19" xfId="2932"/>
    <cellStyle name="Normal 2 2 8 2" xfId="2933"/>
    <cellStyle name="Normal 2 2 8 2 2" xfId="2934"/>
    <cellStyle name="Normal 2 2 8 2 3" xfId="2935"/>
    <cellStyle name="Normal 2 2 8 2 4" xfId="2936"/>
    <cellStyle name="Normal 2 2 8 2 5" xfId="2937"/>
    <cellStyle name="Normal 2 2 8 2 6" xfId="2938"/>
    <cellStyle name="Normal 2 2 8 2 7" xfId="2939"/>
    <cellStyle name="Normal 2 2 8 20" xfId="2940"/>
    <cellStyle name="Normal 2 2 8 21" xfId="2941"/>
    <cellStyle name="Normal 2 2 8 22" xfId="2942"/>
    <cellStyle name="Normal 2 2 8 23" xfId="2943"/>
    <cellStyle name="Normal 2 2 8 3" xfId="2944"/>
    <cellStyle name="Normal 2 2 8 3 2" xfId="2945"/>
    <cellStyle name="Normal 2 2 8 3 3" xfId="2946"/>
    <cellStyle name="Normal 2 2 8 3 4" xfId="2947"/>
    <cellStyle name="Normal 2 2 8 3 5" xfId="2948"/>
    <cellStyle name="Normal 2 2 8 3 6" xfId="2949"/>
    <cellStyle name="Normal 2 2 8 3 7" xfId="2950"/>
    <cellStyle name="Normal 2 2 8 4" xfId="2951"/>
    <cellStyle name="Normal 2 2 8 4 2" xfId="2952"/>
    <cellStyle name="Normal 2 2 8 4 3" xfId="2953"/>
    <cellStyle name="Normal 2 2 8 4 4" xfId="2954"/>
    <cellStyle name="Normal 2 2 8 4 5" xfId="2955"/>
    <cellStyle name="Normal 2 2 8 4 6" xfId="2956"/>
    <cellStyle name="Normal 2 2 8 4 7" xfId="2957"/>
    <cellStyle name="Normal 2 2 8 5" xfId="2958"/>
    <cellStyle name="Normal 2 2 8 6" xfId="2959"/>
    <cellStyle name="Normal 2 2 8 7" xfId="2960"/>
    <cellStyle name="Normal 2 2 8 8" xfId="2961"/>
    <cellStyle name="Normal 2 2 8 9" xfId="2962"/>
    <cellStyle name="Normal 2 2 9" xfId="2963"/>
    <cellStyle name="Normal 2 2 9 10" xfId="2964"/>
    <cellStyle name="Normal 2 2 9 11" xfId="2965"/>
    <cellStyle name="Normal 2 2 9 12" xfId="2966"/>
    <cellStyle name="Normal 2 2 9 13" xfId="2967"/>
    <cellStyle name="Normal 2 2 9 14" xfId="2968"/>
    <cellStyle name="Normal 2 2 9 15" xfId="2969"/>
    <cellStyle name="Normal 2 2 9 16" xfId="2970"/>
    <cellStyle name="Normal 2 2 9 17" xfId="2971"/>
    <cellStyle name="Normal 2 2 9 18" xfId="2972"/>
    <cellStyle name="Normal 2 2 9 19" xfId="2973"/>
    <cellStyle name="Normal 2 2 9 2" xfId="2974"/>
    <cellStyle name="Normal 2 2 9 2 2" xfId="2975"/>
    <cellStyle name="Normal 2 2 9 2 3" xfId="2976"/>
    <cellStyle name="Normal 2 2 9 2 4" xfId="2977"/>
    <cellStyle name="Normal 2 2 9 2 5" xfId="2978"/>
    <cellStyle name="Normal 2 2 9 2 6" xfId="2979"/>
    <cellStyle name="Normal 2 2 9 2 7" xfId="2980"/>
    <cellStyle name="Normal 2 2 9 20" xfId="2981"/>
    <cellStyle name="Normal 2 2 9 21" xfId="2982"/>
    <cellStyle name="Normal 2 2 9 22" xfId="2983"/>
    <cellStyle name="Normal 2 2 9 23" xfId="2984"/>
    <cellStyle name="Normal 2 2 9 3" xfId="2985"/>
    <cellStyle name="Normal 2 2 9 3 2" xfId="2986"/>
    <cellStyle name="Normal 2 2 9 3 3" xfId="2987"/>
    <cellStyle name="Normal 2 2 9 3 4" xfId="2988"/>
    <cellStyle name="Normal 2 2 9 3 5" xfId="2989"/>
    <cellStyle name="Normal 2 2 9 3 6" xfId="2990"/>
    <cellStyle name="Normal 2 2 9 3 7" xfId="2991"/>
    <cellStyle name="Normal 2 2 9 4" xfId="2992"/>
    <cellStyle name="Normal 2 2 9 4 2" xfId="2993"/>
    <cellStyle name="Normal 2 2 9 4 3" xfId="2994"/>
    <cellStyle name="Normal 2 2 9 4 4" xfId="2995"/>
    <cellStyle name="Normal 2 2 9 4 5" xfId="2996"/>
    <cellStyle name="Normal 2 2 9 4 6" xfId="2997"/>
    <cellStyle name="Normal 2 2 9 4 7" xfId="2998"/>
    <cellStyle name="Normal 2 2 9 5" xfId="2999"/>
    <cellStyle name="Normal 2 2 9 6" xfId="3000"/>
    <cellStyle name="Normal 2 2 9 7" xfId="3001"/>
    <cellStyle name="Normal 2 2 9 8" xfId="3002"/>
    <cellStyle name="Normal 2 2 9 9" xfId="3003"/>
    <cellStyle name="Normal 2 20" xfId="3004"/>
    <cellStyle name="Normal 2 21" xfId="3005"/>
    <cellStyle name="Normal 2 22" xfId="3006"/>
    <cellStyle name="Normal 2 23" xfId="3007"/>
    <cellStyle name="Normal 2 24" xfId="3008"/>
    <cellStyle name="Normal 2 25" xfId="3009"/>
    <cellStyle name="Normal 2 26" xfId="3010"/>
    <cellStyle name="Normal 2 27" xfId="3011"/>
    <cellStyle name="Normal 2 28" xfId="3012"/>
    <cellStyle name="Normal 2 29" xfId="3013"/>
    <cellStyle name="Normal 2 3" xfId="3014"/>
    <cellStyle name="Normal 2 3 10" xfId="3015"/>
    <cellStyle name="Normal 2 3 10 10" xfId="3016"/>
    <cellStyle name="Normal 2 3 10 2" xfId="3017"/>
    <cellStyle name="Normal 2 3 10 2 2" xfId="3018"/>
    <cellStyle name="Normal 2 3 10 2 3" xfId="3019"/>
    <cellStyle name="Normal 2 3 10 2 4" xfId="3020"/>
    <cellStyle name="Normal 2 3 10 2 5" xfId="3021"/>
    <cellStyle name="Normal 2 3 10 2 6" xfId="3022"/>
    <cellStyle name="Normal 2 3 10 2 7" xfId="3023"/>
    <cellStyle name="Normal 2 3 10 3" xfId="3024"/>
    <cellStyle name="Normal 2 3 10 3 2" xfId="3025"/>
    <cellStyle name="Normal 2 3 10 3 3" xfId="3026"/>
    <cellStyle name="Normal 2 3 10 3 4" xfId="3027"/>
    <cellStyle name="Normal 2 3 10 3 5" xfId="3028"/>
    <cellStyle name="Normal 2 3 10 3 6" xfId="3029"/>
    <cellStyle name="Normal 2 3 10 3 7" xfId="3030"/>
    <cellStyle name="Normal 2 3 10 4" xfId="3031"/>
    <cellStyle name="Normal 2 3 10 4 2" xfId="3032"/>
    <cellStyle name="Normal 2 3 10 4 3" xfId="3033"/>
    <cellStyle name="Normal 2 3 10 4 4" xfId="3034"/>
    <cellStyle name="Normal 2 3 10 4 5" xfId="3035"/>
    <cellStyle name="Normal 2 3 10 4 6" xfId="3036"/>
    <cellStyle name="Normal 2 3 10 4 7" xfId="3037"/>
    <cellStyle name="Normal 2 3 10 5" xfId="3038"/>
    <cellStyle name="Normal 2 3 10 6" xfId="3039"/>
    <cellStyle name="Normal 2 3 10 7" xfId="3040"/>
    <cellStyle name="Normal 2 3 10 8" xfId="3041"/>
    <cellStyle name="Normal 2 3 10 9" xfId="3042"/>
    <cellStyle name="Normal 2 3 11" xfId="3043"/>
    <cellStyle name="Normal 2 3 11 10" xfId="3044"/>
    <cellStyle name="Normal 2 3 11 2" xfId="3045"/>
    <cellStyle name="Normal 2 3 11 2 2" xfId="3046"/>
    <cellStyle name="Normal 2 3 11 2 3" xfId="3047"/>
    <cellStyle name="Normal 2 3 11 2 4" xfId="3048"/>
    <cellStyle name="Normal 2 3 11 2 5" xfId="3049"/>
    <cellStyle name="Normal 2 3 11 2 6" xfId="3050"/>
    <cellStyle name="Normal 2 3 11 2 7" xfId="3051"/>
    <cellStyle name="Normal 2 3 11 3" xfId="3052"/>
    <cellStyle name="Normal 2 3 11 3 2" xfId="3053"/>
    <cellStyle name="Normal 2 3 11 3 3" xfId="3054"/>
    <cellStyle name="Normal 2 3 11 3 4" xfId="3055"/>
    <cellStyle name="Normal 2 3 11 3 5" xfId="3056"/>
    <cellStyle name="Normal 2 3 11 3 6" xfId="3057"/>
    <cellStyle name="Normal 2 3 11 3 7" xfId="3058"/>
    <cellStyle name="Normal 2 3 11 4" xfId="3059"/>
    <cellStyle name="Normal 2 3 11 4 2" xfId="3060"/>
    <cellStyle name="Normal 2 3 11 4 3" xfId="3061"/>
    <cellStyle name="Normal 2 3 11 4 4" xfId="3062"/>
    <cellStyle name="Normal 2 3 11 4 5" xfId="3063"/>
    <cellStyle name="Normal 2 3 11 4 6" xfId="3064"/>
    <cellStyle name="Normal 2 3 11 4 7" xfId="3065"/>
    <cellStyle name="Normal 2 3 11 5" xfId="3066"/>
    <cellStyle name="Normal 2 3 11 6" xfId="3067"/>
    <cellStyle name="Normal 2 3 11 7" xfId="3068"/>
    <cellStyle name="Normal 2 3 11 8" xfId="3069"/>
    <cellStyle name="Normal 2 3 11 9" xfId="3070"/>
    <cellStyle name="Normal 2 3 12" xfId="3071"/>
    <cellStyle name="Normal 2 3 12 10" xfId="3072"/>
    <cellStyle name="Normal 2 3 12 2" xfId="3073"/>
    <cellStyle name="Normal 2 3 12 2 2" xfId="3074"/>
    <cellStyle name="Normal 2 3 12 2 3" xfId="3075"/>
    <cellStyle name="Normal 2 3 12 2 4" xfId="3076"/>
    <cellStyle name="Normal 2 3 12 2 5" xfId="3077"/>
    <cellStyle name="Normal 2 3 12 2 6" xfId="3078"/>
    <cellStyle name="Normal 2 3 12 2 7" xfId="3079"/>
    <cellStyle name="Normal 2 3 12 3" xfId="3080"/>
    <cellStyle name="Normal 2 3 12 3 2" xfId="3081"/>
    <cellStyle name="Normal 2 3 12 3 3" xfId="3082"/>
    <cellStyle name="Normal 2 3 12 3 4" xfId="3083"/>
    <cellStyle name="Normal 2 3 12 3 5" xfId="3084"/>
    <cellStyle name="Normal 2 3 12 3 6" xfId="3085"/>
    <cellStyle name="Normal 2 3 12 3 7" xfId="3086"/>
    <cellStyle name="Normal 2 3 12 4" xfId="3087"/>
    <cellStyle name="Normal 2 3 12 4 2" xfId="3088"/>
    <cellStyle name="Normal 2 3 12 4 3" xfId="3089"/>
    <cellStyle name="Normal 2 3 12 4 4" xfId="3090"/>
    <cellStyle name="Normal 2 3 12 4 5" xfId="3091"/>
    <cellStyle name="Normal 2 3 12 4 6" xfId="3092"/>
    <cellStyle name="Normal 2 3 12 4 7" xfId="3093"/>
    <cellStyle name="Normal 2 3 12 5" xfId="3094"/>
    <cellStyle name="Normal 2 3 12 6" xfId="3095"/>
    <cellStyle name="Normal 2 3 12 7" xfId="3096"/>
    <cellStyle name="Normal 2 3 12 8" xfId="3097"/>
    <cellStyle name="Normal 2 3 12 9" xfId="3098"/>
    <cellStyle name="Normal 2 3 13" xfId="3099"/>
    <cellStyle name="Normal 2 3 13 10" xfId="3100"/>
    <cellStyle name="Normal 2 3 13 2" xfId="3101"/>
    <cellStyle name="Normal 2 3 13 2 2" xfId="3102"/>
    <cellStyle name="Normal 2 3 13 2 3" xfId="3103"/>
    <cellStyle name="Normal 2 3 13 2 4" xfId="3104"/>
    <cellStyle name="Normal 2 3 13 2 5" xfId="3105"/>
    <cellStyle name="Normal 2 3 13 2 6" xfId="3106"/>
    <cellStyle name="Normal 2 3 13 2 7" xfId="3107"/>
    <cellStyle name="Normal 2 3 13 3" xfId="3108"/>
    <cellStyle name="Normal 2 3 13 3 2" xfId="3109"/>
    <cellStyle name="Normal 2 3 13 3 3" xfId="3110"/>
    <cellStyle name="Normal 2 3 13 3 4" xfId="3111"/>
    <cellStyle name="Normal 2 3 13 3 5" xfId="3112"/>
    <cellStyle name="Normal 2 3 13 3 6" xfId="3113"/>
    <cellStyle name="Normal 2 3 13 3 7" xfId="3114"/>
    <cellStyle name="Normal 2 3 13 4" xfId="3115"/>
    <cellStyle name="Normal 2 3 13 4 2" xfId="3116"/>
    <cellStyle name="Normal 2 3 13 4 3" xfId="3117"/>
    <cellStyle name="Normal 2 3 13 4 4" xfId="3118"/>
    <cellStyle name="Normal 2 3 13 4 5" xfId="3119"/>
    <cellStyle name="Normal 2 3 13 4 6" xfId="3120"/>
    <cellStyle name="Normal 2 3 13 4 7" xfId="3121"/>
    <cellStyle name="Normal 2 3 13 5" xfId="3122"/>
    <cellStyle name="Normal 2 3 13 6" xfId="3123"/>
    <cellStyle name="Normal 2 3 13 7" xfId="3124"/>
    <cellStyle name="Normal 2 3 13 8" xfId="3125"/>
    <cellStyle name="Normal 2 3 13 9" xfId="3126"/>
    <cellStyle name="Normal 2 3 14" xfId="3127"/>
    <cellStyle name="Normal 2 3 14 10" xfId="3128"/>
    <cellStyle name="Normal 2 3 14 2" xfId="3129"/>
    <cellStyle name="Normal 2 3 14 2 2" xfId="3130"/>
    <cellStyle name="Normal 2 3 14 2 3" xfId="3131"/>
    <cellStyle name="Normal 2 3 14 2 4" xfId="3132"/>
    <cellStyle name="Normal 2 3 14 2 5" xfId="3133"/>
    <cellStyle name="Normal 2 3 14 2 6" xfId="3134"/>
    <cellStyle name="Normal 2 3 14 2 7" xfId="3135"/>
    <cellStyle name="Normal 2 3 14 3" xfId="3136"/>
    <cellStyle name="Normal 2 3 14 3 2" xfId="3137"/>
    <cellStyle name="Normal 2 3 14 3 3" xfId="3138"/>
    <cellStyle name="Normal 2 3 14 3 4" xfId="3139"/>
    <cellStyle name="Normal 2 3 14 3 5" xfId="3140"/>
    <cellStyle name="Normal 2 3 14 3 6" xfId="3141"/>
    <cellStyle name="Normal 2 3 14 3 7" xfId="3142"/>
    <cellStyle name="Normal 2 3 14 4" xfId="3143"/>
    <cellStyle name="Normal 2 3 14 4 2" xfId="3144"/>
    <cellStyle name="Normal 2 3 14 4 3" xfId="3145"/>
    <cellStyle name="Normal 2 3 14 4 4" xfId="3146"/>
    <cellStyle name="Normal 2 3 14 4 5" xfId="3147"/>
    <cellStyle name="Normal 2 3 14 4 6" xfId="3148"/>
    <cellStyle name="Normal 2 3 14 4 7" xfId="3149"/>
    <cellStyle name="Normal 2 3 14 5" xfId="3150"/>
    <cellStyle name="Normal 2 3 14 6" xfId="3151"/>
    <cellStyle name="Normal 2 3 14 7" xfId="3152"/>
    <cellStyle name="Normal 2 3 14 8" xfId="3153"/>
    <cellStyle name="Normal 2 3 14 9" xfId="3154"/>
    <cellStyle name="Normal 2 3 15" xfId="3155"/>
    <cellStyle name="Normal 2 3 15 10" xfId="3156"/>
    <cellStyle name="Normal 2 3 15 2" xfId="3157"/>
    <cellStyle name="Normal 2 3 15 2 2" xfId="3158"/>
    <cellStyle name="Normal 2 3 15 2 3" xfId="3159"/>
    <cellStyle name="Normal 2 3 15 2 4" xfId="3160"/>
    <cellStyle name="Normal 2 3 15 2 5" xfId="3161"/>
    <cellStyle name="Normal 2 3 15 2 6" xfId="3162"/>
    <cellStyle name="Normal 2 3 15 2 7" xfId="3163"/>
    <cellStyle name="Normal 2 3 15 3" xfId="3164"/>
    <cellStyle name="Normal 2 3 15 3 2" xfId="3165"/>
    <cellStyle name="Normal 2 3 15 3 3" xfId="3166"/>
    <cellStyle name="Normal 2 3 15 3 4" xfId="3167"/>
    <cellStyle name="Normal 2 3 15 3 5" xfId="3168"/>
    <cellStyle name="Normal 2 3 15 3 6" xfId="3169"/>
    <cellStyle name="Normal 2 3 15 3 7" xfId="3170"/>
    <cellStyle name="Normal 2 3 15 4" xfId="3171"/>
    <cellStyle name="Normal 2 3 15 4 2" xfId="3172"/>
    <cellStyle name="Normal 2 3 15 4 3" xfId="3173"/>
    <cellStyle name="Normal 2 3 15 4 4" xfId="3174"/>
    <cellStyle name="Normal 2 3 15 4 5" xfId="3175"/>
    <cellStyle name="Normal 2 3 15 4 6" xfId="3176"/>
    <cellStyle name="Normal 2 3 15 4 7" xfId="3177"/>
    <cellStyle name="Normal 2 3 15 5" xfId="3178"/>
    <cellStyle name="Normal 2 3 15 6" xfId="3179"/>
    <cellStyle name="Normal 2 3 15 7" xfId="3180"/>
    <cellStyle name="Normal 2 3 15 8" xfId="3181"/>
    <cellStyle name="Normal 2 3 15 9" xfId="3182"/>
    <cellStyle name="Normal 2 3 16" xfId="3183"/>
    <cellStyle name="Normal 2 3 16 10" xfId="3184"/>
    <cellStyle name="Normal 2 3 16 2" xfId="3185"/>
    <cellStyle name="Normal 2 3 16 2 2" xfId="3186"/>
    <cellStyle name="Normal 2 3 16 2 3" xfId="3187"/>
    <cellStyle name="Normal 2 3 16 2 4" xfId="3188"/>
    <cellStyle name="Normal 2 3 16 2 5" xfId="3189"/>
    <cellStyle name="Normal 2 3 16 2 6" xfId="3190"/>
    <cellStyle name="Normal 2 3 16 2 7" xfId="3191"/>
    <cellStyle name="Normal 2 3 16 3" xfId="3192"/>
    <cellStyle name="Normal 2 3 16 3 2" xfId="3193"/>
    <cellStyle name="Normal 2 3 16 3 3" xfId="3194"/>
    <cellStyle name="Normal 2 3 16 3 4" xfId="3195"/>
    <cellStyle name="Normal 2 3 16 3 5" xfId="3196"/>
    <cellStyle name="Normal 2 3 16 3 6" xfId="3197"/>
    <cellStyle name="Normal 2 3 16 3 7" xfId="3198"/>
    <cellStyle name="Normal 2 3 16 4" xfId="3199"/>
    <cellStyle name="Normal 2 3 16 4 2" xfId="3200"/>
    <cellStyle name="Normal 2 3 16 4 3" xfId="3201"/>
    <cellStyle name="Normal 2 3 16 4 4" xfId="3202"/>
    <cellStyle name="Normal 2 3 16 4 5" xfId="3203"/>
    <cellStyle name="Normal 2 3 16 4 6" xfId="3204"/>
    <cellStyle name="Normal 2 3 16 4 7" xfId="3205"/>
    <cellStyle name="Normal 2 3 16 5" xfId="3206"/>
    <cellStyle name="Normal 2 3 16 6" xfId="3207"/>
    <cellStyle name="Normal 2 3 16 7" xfId="3208"/>
    <cellStyle name="Normal 2 3 16 8" xfId="3209"/>
    <cellStyle name="Normal 2 3 16 9" xfId="3210"/>
    <cellStyle name="Normal 2 3 17" xfId="3211"/>
    <cellStyle name="Normal 2 3 17 10" xfId="3212"/>
    <cellStyle name="Normal 2 3 17 2" xfId="3213"/>
    <cellStyle name="Normal 2 3 17 2 2" xfId="3214"/>
    <cellStyle name="Normal 2 3 17 2 3" xfId="3215"/>
    <cellStyle name="Normal 2 3 17 2 4" xfId="3216"/>
    <cellStyle name="Normal 2 3 17 2 5" xfId="3217"/>
    <cellStyle name="Normal 2 3 17 2 6" xfId="3218"/>
    <cellStyle name="Normal 2 3 17 2 7" xfId="3219"/>
    <cellStyle name="Normal 2 3 17 3" xfId="3220"/>
    <cellStyle name="Normal 2 3 17 3 2" xfId="3221"/>
    <cellStyle name="Normal 2 3 17 3 3" xfId="3222"/>
    <cellStyle name="Normal 2 3 17 3 4" xfId="3223"/>
    <cellStyle name="Normal 2 3 17 3 5" xfId="3224"/>
    <cellStyle name="Normal 2 3 17 3 6" xfId="3225"/>
    <cellStyle name="Normal 2 3 17 3 7" xfId="3226"/>
    <cellStyle name="Normal 2 3 17 4" xfId="3227"/>
    <cellStyle name="Normal 2 3 17 4 2" xfId="3228"/>
    <cellStyle name="Normal 2 3 17 4 3" xfId="3229"/>
    <cellStyle name="Normal 2 3 17 4 4" xfId="3230"/>
    <cellStyle name="Normal 2 3 17 4 5" xfId="3231"/>
    <cellStyle name="Normal 2 3 17 4 6" xfId="3232"/>
    <cellStyle name="Normal 2 3 17 4 7" xfId="3233"/>
    <cellStyle name="Normal 2 3 17 5" xfId="3234"/>
    <cellStyle name="Normal 2 3 17 6" xfId="3235"/>
    <cellStyle name="Normal 2 3 17 7" xfId="3236"/>
    <cellStyle name="Normal 2 3 17 8" xfId="3237"/>
    <cellStyle name="Normal 2 3 17 9" xfId="3238"/>
    <cellStyle name="Normal 2 3 18" xfId="3239"/>
    <cellStyle name="Normal 2 3 18 10" xfId="3240"/>
    <cellStyle name="Normal 2 3 18 2" xfId="3241"/>
    <cellStyle name="Normal 2 3 18 2 2" xfId="3242"/>
    <cellStyle name="Normal 2 3 18 2 3" xfId="3243"/>
    <cellStyle name="Normal 2 3 18 2 4" xfId="3244"/>
    <cellStyle name="Normal 2 3 18 2 5" xfId="3245"/>
    <cellStyle name="Normal 2 3 18 2 6" xfId="3246"/>
    <cellStyle name="Normal 2 3 18 2 7" xfId="3247"/>
    <cellStyle name="Normal 2 3 18 3" xfId="3248"/>
    <cellStyle name="Normal 2 3 18 3 2" xfId="3249"/>
    <cellStyle name="Normal 2 3 18 3 3" xfId="3250"/>
    <cellStyle name="Normal 2 3 18 3 4" xfId="3251"/>
    <cellStyle name="Normal 2 3 18 3 5" xfId="3252"/>
    <cellStyle name="Normal 2 3 18 3 6" xfId="3253"/>
    <cellStyle name="Normal 2 3 18 3 7" xfId="3254"/>
    <cellStyle name="Normal 2 3 18 4" xfId="3255"/>
    <cellStyle name="Normal 2 3 18 4 2" xfId="3256"/>
    <cellStyle name="Normal 2 3 18 4 3" xfId="3257"/>
    <cellStyle name="Normal 2 3 18 4 4" xfId="3258"/>
    <cellStyle name="Normal 2 3 18 4 5" xfId="3259"/>
    <cellStyle name="Normal 2 3 18 4 6" xfId="3260"/>
    <cellStyle name="Normal 2 3 18 4 7" xfId="3261"/>
    <cellStyle name="Normal 2 3 18 5" xfId="3262"/>
    <cellStyle name="Normal 2 3 18 6" xfId="3263"/>
    <cellStyle name="Normal 2 3 18 7" xfId="3264"/>
    <cellStyle name="Normal 2 3 18 8" xfId="3265"/>
    <cellStyle name="Normal 2 3 18 9" xfId="3266"/>
    <cellStyle name="Normal 2 3 19" xfId="3267"/>
    <cellStyle name="Normal 2 3 19 10" xfId="3268"/>
    <cellStyle name="Normal 2 3 19 2" xfId="3269"/>
    <cellStyle name="Normal 2 3 19 2 2" xfId="3270"/>
    <cellStyle name="Normal 2 3 19 2 3" xfId="3271"/>
    <cellStyle name="Normal 2 3 19 2 4" xfId="3272"/>
    <cellStyle name="Normal 2 3 19 2 5" xfId="3273"/>
    <cellStyle name="Normal 2 3 19 2 6" xfId="3274"/>
    <cellStyle name="Normal 2 3 19 2 7" xfId="3275"/>
    <cellStyle name="Normal 2 3 19 3" xfId="3276"/>
    <cellStyle name="Normal 2 3 19 3 2" xfId="3277"/>
    <cellStyle name="Normal 2 3 19 3 3" xfId="3278"/>
    <cellStyle name="Normal 2 3 19 3 4" xfId="3279"/>
    <cellStyle name="Normal 2 3 19 3 5" xfId="3280"/>
    <cellStyle name="Normal 2 3 19 3 6" xfId="3281"/>
    <cellStyle name="Normal 2 3 19 3 7" xfId="3282"/>
    <cellStyle name="Normal 2 3 19 4" xfId="3283"/>
    <cellStyle name="Normal 2 3 19 4 2" xfId="3284"/>
    <cellStyle name="Normal 2 3 19 4 3" xfId="3285"/>
    <cellStyle name="Normal 2 3 19 4 4" xfId="3286"/>
    <cellStyle name="Normal 2 3 19 4 5" xfId="3287"/>
    <cellStyle name="Normal 2 3 19 4 6" xfId="3288"/>
    <cellStyle name="Normal 2 3 19 4 7" xfId="3289"/>
    <cellStyle name="Normal 2 3 19 5" xfId="3290"/>
    <cellStyle name="Normal 2 3 19 6" xfId="3291"/>
    <cellStyle name="Normal 2 3 19 7" xfId="3292"/>
    <cellStyle name="Normal 2 3 19 8" xfId="3293"/>
    <cellStyle name="Normal 2 3 19 9" xfId="3294"/>
    <cellStyle name="Normal 2 3 2" xfId="3295"/>
    <cellStyle name="Normal 2 3 2 10" xfId="3296"/>
    <cellStyle name="Normal 2 3 2 2" xfId="3297"/>
    <cellStyle name="Normal 2 3 2 2 2" xfId="3298"/>
    <cellStyle name="Normal 2 3 2 2 3" xfId="3299"/>
    <cellStyle name="Normal 2 3 2 2 4" xfId="3300"/>
    <cellStyle name="Normal 2 3 2 2 5" xfId="3301"/>
    <cellStyle name="Normal 2 3 2 2 6" xfId="3302"/>
    <cellStyle name="Normal 2 3 2 2 7" xfId="3303"/>
    <cellStyle name="Normal 2 3 2 3" xfId="3304"/>
    <cellStyle name="Normal 2 3 2 3 2" xfId="3305"/>
    <cellStyle name="Normal 2 3 2 3 3" xfId="3306"/>
    <cellStyle name="Normal 2 3 2 3 4" xfId="3307"/>
    <cellStyle name="Normal 2 3 2 3 5" xfId="3308"/>
    <cellStyle name="Normal 2 3 2 3 6" xfId="3309"/>
    <cellStyle name="Normal 2 3 2 3 7" xfId="3310"/>
    <cellStyle name="Normal 2 3 2 4" xfId="3311"/>
    <cellStyle name="Normal 2 3 2 4 2" xfId="3312"/>
    <cellStyle name="Normal 2 3 2 4 3" xfId="3313"/>
    <cellStyle name="Normal 2 3 2 4 4" xfId="3314"/>
    <cellStyle name="Normal 2 3 2 4 5" xfId="3315"/>
    <cellStyle name="Normal 2 3 2 4 6" xfId="3316"/>
    <cellStyle name="Normal 2 3 2 4 7" xfId="3317"/>
    <cellStyle name="Normal 2 3 2 5" xfId="3318"/>
    <cellStyle name="Normal 2 3 2 6" xfId="3319"/>
    <cellStyle name="Normal 2 3 2 7" xfId="3320"/>
    <cellStyle name="Normal 2 3 2 8" xfId="3321"/>
    <cellStyle name="Normal 2 3 2 9" xfId="3322"/>
    <cellStyle name="Normal 2 3 20" xfId="3323"/>
    <cellStyle name="Normal 2 3 20 10" xfId="3324"/>
    <cellStyle name="Normal 2 3 20 2" xfId="3325"/>
    <cellStyle name="Normal 2 3 20 2 2" xfId="3326"/>
    <cellStyle name="Normal 2 3 20 2 3" xfId="3327"/>
    <cellStyle name="Normal 2 3 20 2 4" xfId="3328"/>
    <cellStyle name="Normal 2 3 20 2 5" xfId="3329"/>
    <cellStyle name="Normal 2 3 20 2 6" xfId="3330"/>
    <cellStyle name="Normal 2 3 20 2 7" xfId="3331"/>
    <cellStyle name="Normal 2 3 20 3" xfId="3332"/>
    <cellStyle name="Normal 2 3 20 3 2" xfId="3333"/>
    <cellStyle name="Normal 2 3 20 3 3" xfId="3334"/>
    <cellStyle name="Normal 2 3 20 3 4" xfId="3335"/>
    <cellStyle name="Normal 2 3 20 3 5" xfId="3336"/>
    <cellStyle name="Normal 2 3 20 3 6" xfId="3337"/>
    <cellStyle name="Normal 2 3 20 3 7" xfId="3338"/>
    <cellStyle name="Normal 2 3 20 4" xfId="3339"/>
    <cellStyle name="Normal 2 3 20 4 2" xfId="3340"/>
    <cellStyle name="Normal 2 3 20 4 3" xfId="3341"/>
    <cellStyle name="Normal 2 3 20 4 4" xfId="3342"/>
    <cellStyle name="Normal 2 3 20 4 5" xfId="3343"/>
    <cellStyle name="Normal 2 3 20 4 6" xfId="3344"/>
    <cellStyle name="Normal 2 3 20 4 7" xfId="3345"/>
    <cellStyle name="Normal 2 3 20 5" xfId="3346"/>
    <cellStyle name="Normal 2 3 20 6" xfId="3347"/>
    <cellStyle name="Normal 2 3 20 7" xfId="3348"/>
    <cellStyle name="Normal 2 3 20 8" xfId="3349"/>
    <cellStyle name="Normal 2 3 20 9" xfId="3350"/>
    <cellStyle name="Normal 2 3 21" xfId="3351"/>
    <cellStyle name="Normal 2 3 21 10" xfId="3352"/>
    <cellStyle name="Normal 2 3 21 2" xfId="3353"/>
    <cellStyle name="Normal 2 3 21 2 2" xfId="3354"/>
    <cellStyle name="Normal 2 3 21 2 3" xfId="3355"/>
    <cellStyle name="Normal 2 3 21 2 4" xfId="3356"/>
    <cellStyle name="Normal 2 3 21 2 5" xfId="3357"/>
    <cellStyle name="Normal 2 3 21 2 6" xfId="3358"/>
    <cellStyle name="Normal 2 3 21 2 7" xfId="3359"/>
    <cellStyle name="Normal 2 3 21 3" xfId="3360"/>
    <cellStyle name="Normal 2 3 21 3 2" xfId="3361"/>
    <cellStyle name="Normal 2 3 21 3 3" xfId="3362"/>
    <cellStyle name="Normal 2 3 21 3 4" xfId="3363"/>
    <cellStyle name="Normal 2 3 21 3 5" xfId="3364"/>
    <cellStyle name="Normal 2 3 21 3 6" xfId="3365"/>
    <cellStyle name="Normal 2 3 21 3 7" xfId="3366"/>
    <cellStyle name="Normal 2 3 21 4" xfId="3367"/>
    <cellStyle name="Normal 2 3 21 4 2" xfId="3368"/>
    <cellStyle name="Normal 2 3 21 4 3" xfId="3369"/>
    <cellStyle name="Normal 2 3 21 4 4" xfId="3370"/>
    <cellStyle name="Normal 2 3 21 4 5" xfId="3371"/>
    <cellStyle name="Normal 2 3 21 4 6" xfId="3372"/>
    <cellStyle name="Normal 2 3 21 4 7" xfId="3373"/>
    <cellStyle name="Normal 2 3 21 5" xfId="3374"/>
    <cellStyle name="Normal 2 3 21 6" xfId="3375"/>
    <cellStyle name="Normal 2 3 21 7" xfId="3376"/>
    <cellStyle name="Normal 2 3 21 8" xfId="3377"/>
    <cellStyle name="Normal 2 3 21 9" xfId="3378"/>
    <cellStyle name="Normal 2 3 22" xfId="3379"/>
    <cellStyle name="Normal 2 3 22 2" xfId="3380"/>
    <cellStyle name="Normal 2 3 22 3" xfId="3381"/>
    <cellStyle name="Normal 2 3 22 4" xfId="3382"/>
    <cellStyle name="Normal 2 3 22 5" xfId="3383"/>
    <cellStyle name="Normal 2 3 22 6" xfId="3384"/>
    <cellStyle name="Normal 2 3 22 7" xfId="3385"/>
    <cellStyle name="Normal 2 3 23" xfId="3386"/>
    <cellStyle name="Normal 2 3 23 2" xfId="3387"/>
    <cellStyle name="Normal 2 3 23 3" xfId="3388"/>
    <cellStyle name="Normal 2 3 23 4" xfId="3389"/>
    <cellStyle name="Normal 2 3 23 5" xfId="3390"/>
    <cellStyle name="Normal 2 3 23 6" xfId="3391"/>
    <cellStyle name="Normal 2 3 23 7" xfId="3392"/>
    <cellStyle name="Normal 2 3 24" xfId="3393"/>
    <cellStyle name="Normal 2 3 24 2" xfId="3394"/>
    <cellStyle name="Normal 2 3 24 3" xfId="3395"/>
    <cellStyle name="Normal 2 3 24 4" xfId="3396"/>
    <cellStyle name="Normal 2 3 24 5" xfId="3397"/>
    <cellStyle name="Normal 2 3 24 6" xfId="3398"/>
    <cellStyle name="Normal 2 3 24 7" xfId="3399"/>
    <cellStyle name="Normal 2 3 25" xfId="3400"/>
    <cellStyle name="Normal 2 3 25 2" xfId="3401"/>
    <cellStyle name="Normal 2 3 25 3" xfId="3402"/>
    <cellStyle name="Normal 2 3 25 4" xfId="3403"/>
    <cellStyle name="Normal 2 3 25 5" xfId="3404"/>
    <cellStyle name="Normal 2 3 25 6" xfId="3405"/>
    <cellStyle name="Normal 2 3 25 7" xfId="3406"/>
    <cellStyle name="Normal 2 3 26" xfId="3407"/>
    <cellStyle name="Normal 2 3 26 2" xfId="3408"/>
    <cellStyle name="Normal 2 3 26 3" xfId="3409"/>
    <cellStyle name="Normal 2 3 26 4" xfId="3410"/>
    <cellStyle name="Normal 2 3 26 5" xfId="3411"/>
    <cellStyle name="Normal 2 3 26 6" xfId="3412"/>
    <cellStyle name="Normal 2 3 26 7" xfId="3413"/>
    <cellStyle name="Normal 2 3 27" xfId="3414"/>
    <cellStyle name="Normal 2 3 28" xfId="3415"/>
    <cellStyle name="Normal 2 3 29" xfId="3416"/>
    <cellStyle name="Normal 2 3 3" xfId="3417"/>
    <cellStyle name="Normal 2 3 3 10" xfId="3418"/>
    <cellStyle name="Normal 2 3 3 2" xfId="3419"/>
    <cellStyle name="Normal 2 3 3 2 2" xfId="3420"/>
    <cellStyle name="Normal 2 3 3 2 3" xfId="3421"/>
    <cellStyle name="Normal 2 3 3 2 4" xfId="3422"/>
    <cellStyle name="Normal 2 3 3 2 5" xfId="3423"/>
    <cellStyle name="Normal 2 3 3 2 6" xfId="3424"/>
    <cellStyle name="Normal 2 3 3 2 7" xfId="3425"/>
    <cellStyle name="Normal 2 3 3 3" xfId="3426"/>
    <cellStyle name="Normal 2 3 3 3 2" xfId="3427"/>
    <cellStyle name="Normal 2 3 3 3 3" xfId="3428"/>
    <cellStyle name="Normal 2 3 3 3 4" xfId="3429"/>
    <cellStyle name="Normal 2 3 3 3 5" xfId="3430"/>
    <cellStyle name="Normal 2 3 3 3 6" xfId="3431"/>
    <cellStyle name="Normal 2 3 3 3 7" xfId="3432"/>
    <cellStyle name="Normal 2 3 3 4" xfId="3433"/>
    <cellStyle name="Normal 2 3 3 4 2" xfId="3434"/>
    <cellStyle name="Normal 2 3 3 4 3" xfId="3435"/>
    <cellStyle name="Normal 2 3 3 4 4" xfId="3436"/>
    <cellStyle name="Normal 2 3 3 4 5" xfId="3437"/>
    <cellStyle name="Normal 2 3 3 4 6" xfId="3438"/>
    <cellStyle name="Normal 2 3 3 4 7" xfId="3439"/>
    <cellStyle name="Normal 2 3 3 5" xfId="3440"/>
    <cellStyle name="Normal 2 3 3 6" xfId="3441"/>
    <cellStyle name="Normal 2 3 3 7" xfId="3442"/>
    <cellStyle name="Normal 2 3 3 8" xfId="3443"/>
    <cellStyle name="Normal 2 3 3 9" xfId="3444"/>
    <cellStyle name="Normal 2 3 30" xfId="3445"/>
    <cellStyle name="Normal 2 3 31" xfId="3446"/>
    <cellStyle name="Normal 2 3 32" xfId="3447"/>
    <cellStyle name="Normal 2 3 33" xfId="3448"/>
    <cellStyle name="Normal 2 3 34" xfId="3449"/>
    <cellStyle name="Normal 2 3 35" xfId="3450"/>
    <cellStyle name="Normal 2 3 36" xfId="3451"/>
    <cellStyle name="Normal 2 3 37" xfId="3452"/>
    <cellStyle name="Normal 2 3 38" xfId="3453"/>
    <cellStyle name="Normal 2 3 39" xfId="3454"/>
    <cellStyle name="Normal 2 3 4" xfId="3455"/>
    <cellStyle name="Normal 2 3 4 10" xfId="3456"/>
    <cellStyle name="Normal 2 3 4 2" xfId="3457"/>
    <cellStyle name="Normal 2 3 4 2 2" xfId="3458"/>
    <cellStyle name="Normal 2 3 4 2 3" xfId="3459"/>
    <cellStyle name="Normal 2 3 4 2 4" xfId="3460"/>
    <cellStyle name="Normal 2 3 4 2 5" xfId="3461"/>
    <cellStyle name="Normal 2 3 4 2 6" xfId="3462"/>
    <cellStyle name="Normal 2 3 4 2 7" xfId="3463"/>
    <cellStyle name="Normal 2 3 4 3" xfId="3464"/>
    <cellStyle name="Normal 2 3 4 3 2" xfId="3465"/>
    <cellStyle name="Normal 2 3 4 3 3" xfId="3466"/>
    <cellStyle name="Normal 2 3 4 3 4" xfId="3467"/>
    <cellStyle name="Normal 2 3 4 3 5" xfId="3468"/>
    <cellStyle name="Normal 2 3 4 3 6" xfId="3469"/>
    <cellStyle name="Normal 2 3 4 3 7" xfId="3470"/>
    <cellStyle name="Normal 2 3 4 4" xfId="3471"/>
    <cellStyle name="Normal 2 3 4 4 2" xfId="3472"/>
    <cellStyle name="Normal 2 3 4 4 3" xfId="3473"/>
    <cellStyle name="Normal 2 3 4 4 4" xfId="3474"/>
    <cellStyle name="Normal 2 3 4 4 5" xfId="3475"/>
    <cellStyle name="Normal 2 3 4 4 6" xfId="3476"/>
    <cellStyle name="Normal 2 3 4 4 7" xfId="3477"/>
    <cellStyle name="Normal 2 3 4 5" xfId="3478"/>
    <cellStyle name="Normal 2 3 4 6" xfId="3479"/>
    <cellStyle name="Normal 2 3 4 7" xfId="3480"/>
    <cellStyle name="Normal 2 3 4 8" xfId="3481"/>
    <cellStyle name="Normal 2 3 4 9" xfId="3482"/>
    <cellStyle name="Normal 2 3 40" xfId="3483"/>
    <cellStyle name="Normal 2 3 41" xfId="3484"/>
    <cellStyle name="Normal 2 3 42" xfId="3485"/>
    <cellStyle name="Normal 2 3 43" xfId="3486"/>
    <cellStyle name="Normal 2 3 44" xfId="3487"/>
    <cellStyle name="Normal 2 3 45" xfId="3488"/>
    <cellStyle name="Normal 2 3 5" xfId="3489"/>
    <cellStyle name="Normal 2 3 5 10" xfId="3490"/>
    <cellStyle name="Normal 2 3 5 2" xfId="3491"/>
    <cellStyle name="Normal 2 3 5 2 2" xfId="3492"/>
    <cellStyle name="Normal 2 3 5 2 3" xfId="3493"/>
    <cellStyle name="Normal 2 3 5 2 4" xfId="3494"/>
    <cellStyle name="Normal 2 3 5 2 5" xfId="3495"/>
    <cellStyle name="Normal 2 3 5 2 6" xfId="3496"/>
    <cellStyle name="Normal 2 3 5 2 7" xfId="3497"/>
    <cellStyle name="Normal 2 3 5 3" xfId="3498"/>
    <cellStyle name="Normal 2 3 5 3 2" xfId="3499"/>
    <cellStyle name="Normal 2 3 5 3 3" xfId="3500"/>
    <cellStyle name="Normal 2 3 5 3 4" xfId="3501"/>
    <cellStyle name="Normal 2 3 5 3 5" xfId="3502"/>
    <cellStyle name="Normal 2 3 5 3 6" xfId="3503"/>
    <cellStyle name="Normal 2 3 5 3 7" xfId="3504"/>
    <cellStyle name="Normal 2 3 5 4" xfId="3505"/>
    <cellStyle name="Normal 2 3 5 4 2" xfId="3506"/>
    <cellStyle name="Normal 2 3 5 4 3" xfId="3507"/>
    <cellStyle name="Normal 2 3 5 4 4" xfId="3508"/>
    <cellStyle name="Normal 2 3 5 4 5" xfId="3509"/>
    <cellStyle name="Normal 2 3 5 4 6" xfId="3510"/>
    <cellStyle name="Normal 2 3 5 4 7" xfId="3511"/>
    <cellStyle name="Normal 2 3 5 5" xfId="3512"/>
    <cellStyle name="Normal 2 3 5 6" xfId="3513"/>
    <cellStyle name="Normal 2 3 5 7" xfId="3514"/>
    <cellStyle name="Normal 2 3 5 8" xfId="3515"/>
    <cellStyle name="Normal 2 3 5 9" xfId="3516"/>
    <cellStyle name="Normal 2 3 6" xfId="3517"/>
    <cellStyle name="Normal 2 3 6 10" xfId="3518"/>
    <cellStyle name="Normal 2 3 6 2" xfId="3519"/>
    <cellStyle name="Normal 2 3 6 2 2" xfId="3520"/>
    <cellStyle name="Normal 2 3 6 2 3" xfId="3521"/>
    <cellStyle name="Normal 2 3 6 2 4" xfId="3522"/>
    <cellStyle name="Normal 2 3 6 2 5" xfId="3523"/>
    <cellStyle name="Normal 2 3 6 2 6" xfId="3524"/>
    <cellStyle name="Normal 2 3 6 2 7" xfId="3525"/>
    <cellStyle name="Normal 2 3 6 3" xfId="3526"/>
    <cellStyle name="Normal 2 3 6 3 2" xfId="3527"/>
    <cellStyle name="Normal 2 3 6 3 3" xfId="3528"/>
    <cellStyle name="Normal 2 3 6 3 4" xfId="3529"/>
    <cellStyle name="Normal 2 3 6 3 5" xfId="3530"/>
    <cellStyle name="Normal 2 3 6 3 6" xfId="3531"/>
    <cellStyle name="Normal 2 3 6 3 7" xfId="3532"/>
    <cellStyle name="Normal 2 3 6 4" xfId="3533"/>
    <cellStyle name="Normal 2 3 6 4 2" xfId="3534"/>
    <cellStyle name="Normal 2 3 6 4 3" xfId="3535"/>
    <cellStyle name="Normal 2 3 6 4 4" xfId="3536"/>
    <cellStyle name="Normal 2 3 6 4 5" xfId="3537"/>
    <cellStyle name="Normal 2 3 6 4 6" xfId="3538"/>
    <cellStyle name="Normal 2 3 6 4 7" xfId="3539"/>
    <cellStyle name="Normal 2 3 6 5" xfId="3540"/>
    <cellStyle name="Normal 2 3 6 6" xfId="3541"/>
    <cellStyle name="Normal 2 3 6 7" xfId="3542"/>
    <cellStyle name="Normal 2 3 6 8" xfId="3543"/>
    <cellStyle name="Normal 2 3 6 9" xfId="3544"/>
    <cellStyle name="Normal 2 3 7" xfId="3545"/>
    <cellStyle name="Normal 2 3 7 10" xfId="3546"/>
    <cellStyle name="Normal 2 3 7 2" xfId="3547"/>
    <cellStyle name="Normal 2 3 7 2 2" xfId="3548"/>
    <cellStyle name="Normal 2 3 7 2 3" xfId="3549"/>
    <cellStyle name="Normal 2 3 7 2 4" xfId="3550"/>
    <cellStyle name="Normal 2 3 7 2 5" xfId="3551"/>
    <cellStyle name="Normal 2 3 7 2 6" xfId="3552"/>
    <cellStyle name="Normal 2 3 7 2 7" xfId="3553"/>
    <cellStyle name="Normal 2 3 7 3" xfId="3554"/>
    <cellStyle name="Normal 2 3 7 3 2" xfId="3555"/>
    <cellStyle name="Normal 2 3 7 3 3" xfId="3556"/>
    <cellStyle name="Normal 2 3 7 3 4" xfId="3557"/>
    <cellStyle name="Normal 2 3 7 3 5" xfId="3558"/>
    <cellStyle name="Normal 2 3 7 3 6" xfId="3559"/>
    <cellStyle name="Normal 2 3 7 3 7" xfId="3560"/>
    <cellStyle name="Normal 2 3 7 4" xfId="3561"/>
    <cellStyle name="Normal 2 3 7 4 2" xfId="3562"/>
    <cellStyle name="Normal 2 3 7 4 3" xfId="3563"/>
    <cellStyle name="Normal 2 3 7 4 4" xfId="3564"/>
    <cellStyle name="Normal 2 3 7 4 5" xfId="3565"/>
    <cellStyle name="Normal 2 3 7 4 6" xfId="3566"/>
    <cellStyle name="Normal 2 3 7 4 7" xfId="3567"/>
    <cellStyle name="Normal 2 3 7 5" xfId="3568"/>
    <cellStyle name="Normal 2 3 7 6" xfId="3569"/>
    <cellStyle name="Normal 2 3 7 7" xfId="3570"/>
    <cellStyle name="Normal 2 3 7 8" xfId="3571"/>
    <cellStyle name="Normal 2 3 7 9" xfId="3572"/>
    <cellStyle name="Normal 2 3 8" xfId="3573"/>
    <cellStyle name="Normal 2 3 8 10" xfId="3574"/>
    <cellStyle name="Normal 2 3 8 2" xfId="3575"/>
    <cellStyle name="Normal 2 3 8 2 2" xfId="3576"/>
    <cellStyle name="Normal 2 3 8 2 3" xfId="3577"/>
    <cellStyle name="Normal 2 3 8 2 4" xfId="3578"/>
    <cellStyle name="Normal 2 3 8 2 5" xfId="3579"/>
    <cellStyle name="Normal 2 3 8 2 6" xfId="3580"/>
    <cellStyle name="Normal 2 3 8 2 7" xfId="3581"/>
    <cellStyle name="Normal 2 3 8 3" xfId="3582"/>
    <cellStyle name="Normal 2 3 8 3 2" xfId="3583"/>
    <cellStyle name="Normal 2 3 8 3 3" xfId="3584"/>
    <cellStyle name="Normal 2 3 8 3 4" xfId="3585"/>
    <cellStyle name="Normal 2 3 8 3 5" xfId="3586"/>
    <cellStyle name="Normal 2 3 8 3 6" xfId="3587"/>
    <cellStyle name="Normal 2 3 8 3 7" xfId="3588"/>
    <cellStyle name="Normal 2 3 8 4" xfId="3589"/>
    <cellStyle name="Normal 2 3 8 4 2" xfId="3590"/>
    <cellStyle name="Normal 2 3 8 4 3" xfId="3591"/>
    <cellStyle name="Normal 2 3 8 4 4" xfId="3592"/>
    <cellStyle name="Normal 2 3 8 4 5" xfId="3593"/>
    <cellStyle name="Normal 2 3 8 4 6" xfId="3594"/>
    <cellStyle name="Normal 2 3 8 4 7" xfId="3595"/>
    <cellStyle name="Normal 2 3 8 5" xfId="3596"/>
    <cellStyle name="Normal 2 3 8 6" xfId="3597"/>
    <cellStyle name="Normal 2 3 8 7" xfId="3598"/>
    <cellStyle name="Normal 2 3 8 8" xfId="3599"/>
    <cellStyle name="Normal 2 3 8 9" xfId="3600"/>
    <cellStyle name="Normal 2 3 9" xfId="3601"/>
    <cellStyle name="Normal 2 3 9 10" xfId="3602"/>
    <cellStyle name="Normal 2 3 9 2" xfId="3603"/>
    <cellStyle name="Normal 2 3 9 2 2" xfId="3604"/>
    <cellStyle name="Normal 2 3 9 2 3" xfId="3605"/>
    <cellStyle name="Normal 2 3 9 2 4" xfId="3606"/>
    <cellStyle name="Normal 2 3 9 2 5" xfId="3607"/>
    <cellStyle name="Normal 2 3 9 2 6" xfId="3608"/>
    <cellStyle name="Normal 2 3 9 2 7" xfId="3609"/>
    <cellStyle name="Normal 2 3 9 3" xfId="3610"/>
    <cellStyle name="Normal 2 3 9 3 2" xfId="3611"/>
    <cellStyle name="Normal 2 3 9 3 3" xfId="3612"/>
    <cellStyle name="Normal 2 3 9 3 4" xfId="3613"/>
    <cellStyle name="Normal 2 3 9 3 5" xfId="3614"/>
    <cellStyle name="Normal 2 3 9 3 6" xfId="3615"/>
    <cellStyle name="Normal 2 3 9 3 7" xfId="3616"/>
    <cellStyle name="Normal 2 3 9 4" xfId="3617"/>
    <cellStyle name="Normal 2 3 9 4 2" xfId="3618"/>
    <cellStyle name="Normal 2 3 9 4 3" xfId="3619"/>
    <cellStyle name="Normal 2 3 9 4 4" xfId="3620"/>
    <cellStyle name="Normal 2 3 9 4 5" xfId="3621"/>
    <cellStyle name="Normal 2 3 9 4 6" xfId="3622"/>
    <cellStyle name="Normal 2 3 9 4 7" xfId="3623"/>
    <cellStyle name="Normal 2 3 9 5" xfId="3624"/>
    <cellStyle name="Normal 2 3 9 6" xfId="3625"/>
    <cellStyle name="Normal 2 3 9 7" xfId="3626"/>
    <cellStyle name="Normal 2 3 9 8" xfId="3627"/>
    <cellStyle name="Normal 2 3 9 9" xfId="3628"/>
    <cellStyle name="Normal 2 30" xfId="3629"/>
    <cellStyle name="Normal 2 31" xfId="3630"/>
    <cellStyle name="Normal 2 32" xfId="3631"/>
    <cellStyle name="Normal 2 33" xfId="3632"/>
    <cellStyle name="Normal 2 34" xfId="3633"/>
    <cellStyle name="Normal 2 35" xfId="3634"/>
    <cellStyle name="Normal 2 36" xfId="3635"/>
    <cellStyle name="Normal 2 37" xfId="3636"/>
    <cellStyle name="Normal 2 38" xfId="3637"/>
    <cellStyle name="Normal 2 39" xfId="3638"/>
    <cellStyle name="Normal 2 4" xfId="3639"/>
    <cellStyle name="Normal 2 4 10" xfId="3640"/>
    <cellStyle name="Normal 2 4 10 10" xfId="3641"/>
    <cellStyle name="Normal 2 4 10 2" xfId="3642"/>
    <cellStyle name="Normal 2 4 10 2 2" xfId="3643"/>
    <cellStyle name="Normal 2 4 10 2 3" xfId="3644"/>
    <cellStyle name="Normal 2 4 10 2 4" xfId="3645"/>
    <cellStyle name="Normal 2 4 10 2 5" xfId="3646"/>
    <cellStyle name="Normal 2 4 10 2 6" xfId="3647"/>
    <cellStyle name="Normal 2 4 10 2 7" xfId="3648"/>
    <cellStyle name="Normal 2 4 10 3" xfId="3649"/>
    <cellStyle name="Normal 2 4 10 3 2" xfId="3650"/>
    <cellStyle name="Normal 2 4 10 3 3" xfId="3651"/>
    <cellStyle name="Normal 2 4 10 3 4" xfId="3652"/>
    <cellStyle name="Normal 2 4 10 3 5" xfId="3653"/>
    <cellStyle name="Normal 2 4 10 3 6" xfId="3654"/>
    <cellStyle name="Normal 2 4 10 3 7" xfId="3655"/>
    <cellStyle name="Normal 2 4 10 4" xfId="3656"/>
    <cellStyle name="Normal 2 4 10 4 2" xfId="3657"/>
    <cellStyle name="Normal 2 4 10 4 3" xfId="3658"/>
    <cellStyle name="Normal 2 4 10 4 4" xfId="3659"/>
    <cellStyle name="Normal 2 4 10 4 5" xfId="3660"/>
    <cellStyle name="Normal 2 4 10 4 6" xfId="3661"/>
    <cellStyle name="Normal 2 4 10 4 7" xfId="3662"/>
    <cellStyle name="Normal 2 4 10 5" xfId="3663"/>
    <cellStyle name="Normal 2 4 10 6" xfId="3664"/>
    <cellStyle name="Normal 2 4 10 7" xfId="3665"/>
    <cellStyle name="Normal 2 4 10 8" xfId="3666"/>
    <cellStyle name="Normal 2 4 10 9" xfId="3667"/>
    <cellStyle name="Normal 2 4 11" xfId="3668"/>
    <cellStyle name="Normal 2 4 11 10" xfId="3669"/>
    <cellStyle name="Normal 2 4 11 2" xfId="3670"/>
    <cellStyle name="Normal 2 4 11 2 2" xfId="3671"/>
    <cellStyle name="Normal 2 4 11 2 3" xfId="3672"/>
    <cellStyle name="Normal 2 4 11 2 4" xfId="3673"/>
    <cellStyle name="Normal 2 4 11 2 5" xfId="3674"/>
    <cellStyle name="Normal 2 4 11 2 6" xfId="3675"/>
    <cellStyle name="Normal 2 4 11 2 7" xfId="3676"/>
    <cellStyle name="Normal 2 4 11 3" xfId="3677"/>
    <cellStyle name="Normal 2 4 11 3 2" xfId="3678"/>
    <cellStyle name="Normal 2 4 11 3 3" xfId="3679"/>
    <cellStyle name="Normal 2 4 11 3 4" xfId="3680"/>
    <cellStyle name="Normal 2 4 11 3 5" xfId="3681"/>
    <cellStyle name="Normal 2 4 11 3 6" xfId="3682"/>
    <cellStyle name="Normal 2 4 11 3 7" xfId="3683"/>
    <cellStyle name="Normal 2 4 11 4" xfId="3684"/>
    <cellStyle name="Normal 2 4 11 4 2" xfId="3685"/>
    <cellStyle name="Normal 2 4 11 4 3" xfId="3686"/>
    <cellStyle name="Normal 2 4 11 4 4" xfId="3687"/>
    <cellStyle name="Normal 2 4 11 4 5" xfId="3688"/>
    <cellStyle name="Normal 2 4 11 4 6" xfId="3689"/>
    <cellStyle name="Normal 2 4 11 4 7" xfId="3690"/>
    <cellStyle name="Normal 2 4 11 5" xfId="3691"/>
    <cellStyle name="Normal 2 4 11 6" xfId="3692"/>
    <cellStyle name="Normal 2 4 11 7" xfId="3693"/>
    <cellStyle name="Normal 2 4 11 8" xfId="3694"/>
    <cellStyle name="Normal 2 4 11 9" xfId="3695"/>
    <cellStyle name="Normal 2 4 12" xfId="3696"/>
    <cellStyle name="Normal 2 4 12 10" xfId="3697"/>
    <cellStyle name="Normal 2 4 12 2" xfId="3698"/>
    <cellStyle name="Normal 2 4 12 2 2" xfId="3699"/>
    <cellStyle name="Normal 2 4 12 2 3" xfId="3700"/>
    <cellStyle name="Normal 2 4 12 2 4" xfId="3701"/>
    <cellStyle name="Normal 2 4 12 2 5" xfId="3702"/>
    <cellStyle name="Normal 2 4 12 2 6" xfId="3703"/>
    <cellStyle name="Normal 2 4 12 2 7" xfId="3704"/>
    <cellStyle name="Normal 2 4 12 3" xfId="3705"/>
    <cellStyle name="Normal 2 4 12 3 2" xfId="3706"/>
    <cellStyle name="Normal 2 4 12 3 3" xfId="3707"/>
    <cellStyle name="Normal 2 4 12 3 4" xfId="3708"/>
    <cellStyle name="Normal 2 4 12 3 5" xfId="3709"/>
    <cellStyle name="Normal 2 4 12 3 6" xfId="3710"/>
    <cellStyle name="Normal 2 4 12 3 7" xfId="3711"/>
    <cellStyle name="Normal 2 4 12 4" xfId="3712"/>
    <cellStyle name="Normal 2 4 12 4 2" xfId="3713"/>
    <cellStyle name="Normal 2 4 12 4 3" xfId="3714"/>
    <cellStyle name="Normal 2 4 12 4 4" xfId="3715"/>
    <cellStyle name="Normal 2 4 12 4 5" xfId="3716"/>
    <cellStyle name="Normal 2 4 12 4 6" xfId="3717"/>
    <cellStyle name="Normal 2 4 12 4 7" xfId="3718"/>
    <cellStyle name="Normal 2 4 12 5" xfId="3719"/>
    <cellStyle name="Normal 2 4 12 6" xfId="3720"/>
    <cellStyle name="Normal 2 4 12 7" xfId="3721"/>
    <cellStyle name="Normal 2 4 12 8" xfId="3722"/>
    <cellStyle name="Normal 2 4 12 9" xfId="3723"/>
    <cellStyle name="Normal 2 4 13" xfId="3724"/>
    <cellStyle name="Normal 2 4 13 10" xfId="3725"/>
    <cellStyle name="Normal 2 4 13 2" xfId="3726"/>
    <cellStyle name="Normal 2 4 13 2 2" xfId="3727"/>
    <cellStyle name="Normal 2 4 13 2 3" xfId="3728"/>
    <cellStyle name="Normal 2 4 13 2 4" xfId="3729"/>
    <cellStyle name="Normal 2 4 13 2 5" xfId="3730"/>
    <cellStyle name="Normal 2 4 13 2 6" xfId="3731"/>
    <cellStyle name="Normal 2 4 13 2 7" xfId="3732"/>
    <cellStyle name="Normal 2 4 13 3" xfId="3733"/>
    <cellStyle name="Normal 2 4 13 3 2" xfId="3734"/>
    <cellStyle name="Normal 2 4 13 3 3" xfId="3735"/>
    <cellStyle name="Normal 2 4 13 3 4" xfId="3736"/>
    <cellStyle name="Normal 2 4 13 3 5" xfId="3737"/>
    <cellStyle name="Normal 2 4 13 3 6" xfId="3738"/>
    <cellStyle name="Normal 2 4 13 3 7" xfId="3739"/>
    <cellStyle name="Normal 2 4 13 4" xfId="3740"/>
    <cellStyle name="Normal 2 4 13 4 2" xfId="3741"/>
    <cellStyle name="Normal 2 4 13 4 3" xfId="3742"/>
    <cellStyle name="Normal 2 4 13 4 4" xfId="3743"/>
    <cellStyle name="Normal 2 4 13 4 5" xfId="3744"/>
    <cellStyle name="Normal 2 4 13 4 6" xfId="3745"/>
    <cellStyle name="Normal 2 4 13 4 7" xfId="3746"/>
    <cellStyle name="Normal 2 4 13 5" xfId="3747"/>
    <cellStyle name="Normal 2 4 13 6" xfId="3748"/>
    <cellStyle name="Normal 2 4 13 7" xfId="3749"/>
    <cellStyle name="Normal 2 4 13 8" xfId="3750"/>
    <cellStyle name="Normal 2 4 13 9" xfId="3751"/>
    <cellStyle name="Normal 2 4 14" xfId="3752"/>
    <cellStyle name="Normal 2 4 14 10" xfId="3753"/>
    <cellStyle name="Normal 2 4 14 2" xfId="3754"/>
    <cellStyle name="Normal 2 4 14 2 2" xfId="3755"/>
    <cellStyle name="Normal 2 4 14 2 3" xfId="3756"/>
    <cellStyle name="Normal 2 4 14 2 4" xfId="3757"/>
    <cellStyle name="Normal 2 4 14 2 5" xfId="3758"/>
    <cellStyle name="Normal 2 4 14 2 6" xfId="3759"/>
    <cellStyle name="Normal 2 4 14 2 7" xfId="3760"/>
    <cellStyle name="Normal 2 4 14 3" xfId="3761"/>
    <cellStyle name="Normal 2 4 14 3 2" xfId="3762"/>
    <cellStyle name="Normal 2 4 14 3 3" xfId="3763"/>
    <cellStyle name="Normal 2 4 14 3 4" xfId="3764"/>
    <cellStyle name="Normal 2 4 14 3 5" xfId="3765"/>
    <cellStyle name="Normal 2 4 14 3 6" xfId="3766"/>
    <cellStyle name="Normal 2 4 14 3 7" xfId="3767"/>
    <cellStyle name="Normal 2 4 14 4" xfId="3768"/>
    <cellStyle name="Normal 2 4 14 4 2" xfId="3769"/>
    <cellStyle name="Normal 2 4 14 4 3" xfId="3770"/>
    <cellStyle name="Normal 2 4 14 4 4" xfId="3771"/>
    <cellStyle name="Normal 2 4 14 4 5" xfId="3772"/>
    <cellStyle name="Normal 2 4 14 4 6" xfId="3773"/>
    <cellStyle name="Normal 2 4 14 4 7" xfId="3774"/>
    <cellStyle name="Normal 2 4 14 5" xfId="3775"/>
    <cellStyle name="Normal 2 4 14 6" xfId="3776"/>
    <cellStyle name="Normal 2 4 14 7" xfId="3777"/>
    <cellStyle name="Normal 2 4 14 8" xfId="3778"/>
    <cellStyle name="Normal 2 4 14 9" xfId="3779"/>
    <cellStyle name="Normal 2 4 15" xfId="3780"/>
    <cellStyle name="Normal 2 4 15 10" xfId="3781"/>
    <cellStyle name="Normal 2 4 15 2" xfId="3782"/>
    <cellStyle name="Normal 2 4 15 2 2" xfId="3783"/>
    <cellStyle name="Normal 2 4 15 2 3" xfId="3784"/>
    <cellStyle name="Normal 2 4 15 2 4" xfId="3785"/>
    <cellStyle name="Normal 2 4 15 2 5" xfId="3786"/>
    <cellStyle name="Normal 2 4 15 2 6" xfId="3787"/>
    <cellStyle name="Normal 2 4 15 2 7" xfId="3788"/>
    <cellStyle name="Normal 2 4 15 3" xfId="3789"/>
    <cellStyle name="Normal 2 4 15 3 2" xfId="3790"/>
    <cellStyle name="Normal 2 4 15 3 3" xfId="3791"/>
    <cellStyle name="Normal 2 4 15 3 4" xfId="3792"/>
    <cellStyle name="Normal 2 4 15 3 5" xfId="3793"/>
    <cellStyle name="Normal 2 4 15 3 6" xfId="3794"/>
    <cellStyle name="Normal 2 4 15 3 7" xfId="3795"/>
    <cellStyle name="Normal 2 4 15 4" xfId="3796"/>
    <cellStyle name="Normal 2 4 15 4 2" xfId="3797"/>
    <cellStyle name="Normal 2 4 15 4 3" xfId="3798"/>
    <cellStyle name="Normal 2 4 15 4 4" xfId="3799"/>
    <cellStyle name="Normal 2 4 15 4 5" xfId="3800"/>
    <cellStyle name="Normal 2 4 15 4 6" xfId="3801"/>
    <cellStyle name="Normal 2 4 15 4 7" xfId="3802"/>
    <cellStyle name="Normal 2 4 15 5" xfId="3803"/>
    <cellStyle name="Normal 2 4 15 6" xfId="3804"/>
    <cellStyle name="Normal 2 4 15 7" xfId="3805"/>
    <cellStyle name="Normal 2 4 15 8" xfId="3806"/>
    <cellStyle name="Normal 2 4 15 9" xfId="3807"/>
    <cellStyle name="Normal 2 4 16" xfId="3808"/>
    <cellStyle name="Normal 2 4 16 10" xfId="3809"/>
    <cellStyle name="Normal 2 4 16 2" xfId="3810"/>
    <cellStyle name="Normal 2 4 16 2 2" xfId="3811"/>
    <cellStyle name="Normal 2 4 16 2 3" xfId="3812"/>
    <cellStyle name="Normal 2 4 16 2 4" xfId="3813"/>
    <cellStyle name="Normal 2 4 16 2 5" xfId="3814"/>
    <cellStyle name="Normal 2 4 16 2 6" xfId="3815"/>
    <cellStyle name="Normal 2 4 16 2 7" xfId="3816"/>
    <cellStyle name="Normal 2 4 16 3" xfId="3817"/>
    <cellStyle name="Normal 2 4 16 3 2" xfId="3818"/>
    <cellStyle name="Normal 2 4 16 3 3" xfId="3819"/>
    <cellStyle name="Normal 2 4 16 3 4" xfId="3820"/>
    <cellStyle name="Normal 2 4 16 3 5" xfId="3821"/>
    <cellStyle name="Normal 2 4 16 3 6" xfId="3822"/>
    <cellStyle name="Normal 2 4 16 3 7" xfId="3823"/>
    <cellStyle name="Normal 2 4 16 4" xfId="3824"/>
    <cellStyle name="Normal 2 4 16 4 2" xfId="3825"/>
    <cellStyle name="Normal 2 4 16 4 3" xfId="3826"/>
    <cellStyle name="Normal 2 4 16 4 4" xfId="3827"/>
    <cellStyle name="Normal 2 4 16 4 5" xfId="3828"/>
    <cellStyle name="Normal 2 4 16 4 6" xfId="3829"/>
    <cellStyle name="Normal 2 4 16 4 7" xfId="3830"/>
    <cellStyle name="Normal 2 4 16 5" xfId="3831"/>
    <cellStyle name="Normal 2 4 16 6" xfId="3832"/>
    <cellStyle name="Normal 2 4 16 7" xfId="3833"/>
    <cellStyle name="Normal 2 4 16 8" xfId="3834"/>
    <cellStyle name="Normal 2 4 16 9" xfId="3835"/>
    <cellStyle name="Normal 2 4 17" xfId="3836"/>
    <cellStyle name="Normal 2 4 17 10" xfId="3837"/>
    <cellStyle name="Normal 2 4 17 2" xfId="3838"/>
    <cellStyle name="Normal 2 4 17 2 2" xfId="3839"/>
    <cellStyle name="Normal 2 4 17 2 3" xfId="3840"/>
    <cellStyle name="Normal 2 4 17 2 4" xfId="3841"/>
    <cellStyle name="Normal 2 4 17 2 5" xfId="3842"/>
    <cellStyle name="Normal 2 4 17 2 6" xfId="3843"/>
    <cellStyle name="Normal 2 4 17 2 7" xfId="3844"/>
    <cellStyle name="Normal 2 4 17 3" xfId="3845"/>
    <cellStyle name="Normal 2 4 17 3 2" xfId="3846"/>
    <cellStyle name="Normal 2 4 17 3 3" xfId="3847"/>
    <cellStyle name="Normal 2 4 17 3 4" xfId="3848"/>
    <cellStyle name="Normal 2 4 17 3 5" xfId="3849"/>
    <cellStyle name="Normal 2 4 17 3 6" xfId="3850"/>
    <cellStyle name="Normal 2 4 17 3 7" xfId="3851"/>
    <cellStyle name="Normal 2 4 17 4" xfId="3852"/>
    <cellStyle name="Normal 2 4 17 4 2" xfId="3853"/>
    <cellStyle name="Normal 2 4 17 4 3" xfId="3854"/>
    <cellStyle name="Normal 2 4 17 4 4" xfId="3855"/>
    <cellStyle name="Normal 2 4 17 4 5" xfId="3856"/>
    <cellStyle name="Normal 2 4 17 4 6" xfId="3857"/>
    <cellStyle name="Normal 2 4 17 4 7" xfId="3858"/>
    <cellStyle name="Normal 2 4 17 5" xfId="3859"/>
    <cellStyle name="Normal 2 4 17 6" xfId="3860"/>
    <cellStyle name="Normal 2 4 17 7" xfId="3861"/>
    <cellStyle name="Normal 2 4 17 8" xfId="3862"/>
    <cellStyle name="Normal 2 4 17 9" xfId="3863"/>
    <cellStyle name="Normal 2 4 18" xfId="3864"/>
    <cellStyle name="Normal 2 4 18 10" xfId="3865"/>
    <cellStyle name="Normal 2 4 18 2" xfId="3866"/>
    <cellStyle name="Normal 2 4 18 2 2" xfId="3867"/>
    <cellStyle name="Normal 2 4 18 2 3" xfId="3868"/>
    <cellStyle name="Normal 2 4 18 2 4" xfId="3869"/>
    <cellStyle name="Normal 2 4 18 2 5" xfId="3870"/>
    <cellStyle name="Normal 2 4 18 2 6" xfId="3871"/>
    <cellStyle name="Normal 2 4 18 2 7" xfId="3872"/>
    <cellStyle name="Normal 2 4 18 3" xfId="3873"/>
    <cellStyle name="Normal 2 4 18 3 2" xfId="3874"/>
    <cellStyle name="Normal 2 4 18 3 3" xfId="3875"/>
    <cellStyle name="Normal 2 4 18 3 4" xfId="3876"/>
    <cellStyle name="Normal 2 4 18 3 5" xfId="3877"/>
    <cellStyle name="Normal 2 4 18 3 6" xfId="3878"/>
    <cellStyle name="Normal 2 4 18 3 7" xfId="3879"/>
    <cellStyle name="Normal 2 4 18 4" xfId="3880"/>
    <cellStyle name="Normal 2 4 18 4 2" xfId="3881"/>
    <cellStyle name="Normal 2 4 18 4 3" xfId="3882"/>
    <cellStyle name="Normal 2 4 18 4 4" xfId="3883"/>
    <cellStyle name="Normal 2 4 18 4 5" xfId="3884"/>
    <cellStyle name="Normal 2 4 18 4 6" xfId="3885"/>
    <cellStyle name="Normal 2 4 18 4 7" xfId="3886"/>
    <cellStyle name="Normal 2 4 18 5" xfId="3887"/>
    <cellStyle name="Normal 2 4 18 6" xfId="3888"/>
    <cellStyle name="Normal 2 4 18 7" xfId="3889"/>
    <cellStyle name="Normal 2 4 18 8" xfId="3890"/>
    <cellStyle name="Normal 2 4 18 9" xfId="3891"/>
    <cellStyle name="Normal 2 4 19" xfId="3892"/>
    <cellStyle name="Normal 2 4 19 10" xfId="3893"/>
    <cellStyle name="Normal 2 4 19 2" xfId="3894"/>
    <cellStyle name="Normal 2 4 19 2 2" xfId="3895"/>
    <cellStyle name="Normal 2 4 19 2 3" xfId="3896"/>
    <cellStyle name="Normal 2 4 19 2 4" xfId="3897"/>
    <cellStyle name="Normal 2 4 19 2 5" xfId="3898"/>
    <cellStyle name="Normal 2 4 19 2 6" xfId="3899"/>
    <cellStyle name="Normal 2 4 19 2 7" xfId="3900"/>
    <cellStyle name="Normal 2 4 19 3" xfId="3901"/>
    <cellStyle name="Normal 2 4 19 3 2" xfId="3902"/>
    <cellStyle name="Normal 2 4 19 3 3" xfId="3903"/>
    <cellStyle name="Normal 2 4 19 3 4" xfId="3904"/>
    <cellStyle name="Normal 2 4 19 3 5" xfId="3905"/>
    <cellStyle name="Normal 2 4 19 3 6" xfId="3906"/>
    <cellStyle name="Normal 2 4 19 3 7" xfId="3907"/>
    <cellStyle name="Normal 2 4 19 4" xfId="3908"/>
    <cellStyle name="Normal 2 4 19 4 2" xfId="3909"/>
    <cellStyle name="Normal 2 4 19 4 3" xfId="3910"/>
    <cellStyle name="Normal 2 4 19 4 4" xfId="3911"/>
    <cellStyle name="Normal 2 4 19 4 5" xfId="3912"/>
    <cellStyle name="Normal 2 4 19 4 6" xfId="3913"/>
    <cellStyle name="Normal 2 4 19 4 7" xfId="3914"/>
    <cellStyle name="Normal 2 4 19 5" xfId="3915"/>
    <cellStyle name="Normal 2 4 19 6" xfId="3916"/>
    <cellStyle name="Normal 2 4 19 7" xfId="3917"/>
    <cellStyle name="Normal 2 4 19 8" xfId="3918"/>
    <cellStyle name="Normal 2 4 19 9" xfId="3919"/>
    <cellStyle name="Normal 2 4 2" xfId="3920"/>
    <cellStyle name="Normal 2 4 2 10" xfId="3921"/>
    <cellStyle name="Normal 2 4 2 2" xfId="3922"/>
    <cellStyle name="Normal 2 4 2 2 2" xfId="3923"/>
    <cellStyle name="Normal 2 4 2 2 3" xfId="3924"/>
    <cellStyle name="Normal 2 4 2 2 4" xfId="3925"/>
    <cellStyle name="Normal 2 4 2 2 5" xfId="3926"/>
    <cellStyle name="Normal 2 4 2 2 6" xfId="3927"/>
    <cellStyle name="Normal 2 4 2 2 7" xfId="3928"/>
    <cellStyle name="Normal 2 4 2 3" xfId="3929"/>
    <cellStyle name="Normal 2 4 2 3 2" xfId="3930"/>
    <cellStyle name="Normal 2 4 2 3 3" xfId="3931"/>
    <cellStyle name="Normal 2 4 2 3 4" xfId="3932"/>
    <cellStyle name="Normal 2 4 2 3 5" xfId="3933"/>
    <cellStyle name="Normal 2 4 2 3 6" xfId="3934"/>
    <cellStyle name="Normal 2 4 2 3 7" xfId="3935"/>
    <cellStyle name="Normal 2 4 2 4" xfId="3936"/>
    <cellStyle name="Normal 2 4 2 4 2" xfId="3937"/>
    <cellStyle name="Normal 2 4 2 4 3" xfId="3938"/>
    <cellStyle name="Normal 2 4 2 4 4" xfId="3939"/>
    <cellStyle name="Normal 2 4 2 4 5" xfId="3940"/>
    <cellStyle name="Normal 2 4 2 4 6" xfId="3941"/>
    <cellStyle name="Normal 2 4 2 4 7" xfId="3942"/>
    <cellStyle name="Normal 2 4 2 5" xfId="3943"/>
    <cellStyle name="Normal 2 4 2 6" xfId="3944"/>
    <cellStyle name="Normal 2 4 2 7" xfId="3945"/>
    <cellStyle name="Normal 2 4 2 8" xfId="3946"/>
    <cellStyle name="Normal 2 4 2 9" xfId="3947"/>
    <cellStyle name="Normal 2 4 20" xfId="3948"/>
    <cellStyle name="Normal 2 4 20 10" xfId="3949"/>
    <cellStyle name="Normal 2 4 20 2" xfId="3950"/>
    <cellStyle name="Normal 2 4 20 2 2" xfId="3951"/>
    <cellStyle name="Normal 2 4 20 2 3" xfId="3952"/>
    <cellStyle name="Normal 2 4 20 2 4" xfId="3953"/>
    <cellStyle name="Normal 2 4 20 2 5" xfId="3954"/>
    <cellStyle name="Normal 2 4 20 2 6" xfId="3955"/>
    <cellStyle name="Normal 2 4 20 2 7" xfId="3956"/>
    <cellStyle name="Normal 2 4 20 3" xfId="3957"/>
    <cellStyle name="Normal 2 4 20 3 2" xfId="3958"/>
    <cellStyle name="Normal 2 4 20 3 3" xfId="3959"/>
    <cellStyle name="Normal 2 4 20 3 4" xfId="3960"/>
    <cellStyle name="Normal 2 4 20 3 5" xfId="3961"/>
    <cellStyle name="Normal 2 4 20 3 6" xfId="3962"/>
    <cellStyle name="Normal 2 4 20 3 7" xfId="3963"/>
    <cellStyle name="Normal 2 4 20 4" xfId="3964"/>
    <cellStyle name="Normal 2 4 20 4 2" xfId="3965"/>
    <cellStyle name="Normal 2 4 20 4 3" xfId="3966"/>
    <cellStyle name="Normal 2 4 20 4 4" xfId="3967"/>
    <cellStyle name="Normal 2 4 20 4 5" xfId="3968"/>
    <cellStyle name="Normal 2 4 20 4 6" xfId="3969"/>
    <cellStyle name="Normal 2 4 20 4 7" xfId="3970"/>
    <cellStyle name="Normal 2 4 20 5" xfId="3971"/>
    <cellStyle name="Normal 2 4 20 6" xfId="3972"/>
    <cellStyle name="Normal 2 4 20 7" xfId="3973"/>
    <cellStyle name="Normal 2 4 20 8" xfId="3974"/>
    <cellStyle name="Normal 2 4 20 9" xfId="3975"/>
    <cellStyle name="Normal 2 4 21" xfId="3976"/>
    <cellStyle name="Normal 2 4 21 10" xfId="3977"/>
    <cellStyle name="Normal 2 4 21 2" xfId="3978"/>
    <cellStyle name="Normal 2 4 21 2 2" xfId="3979"/>
    <cellStyle name="Normal 2 4 21 2 3" xfId="3980"/>
    <cellStyle name="Normal 2 4 21 2 4" xfId="3981"/>
    <cellStyle name="Normal 2 4 21 2 5" xfId="3982"/>
    <cellStyle name="Normal 2 4 21 2 6" xfId="3983"/>
    <cellStyle name="Normal 2 4 21 2 7" xfId="3984"/>
    <cellStyle name="Normal 2 4 21 3" xfId="3985"/>
    <cellStyle name="Normal 2 4 21 3 2" xfId="3986"/>
    <cellStyle name="Normal 2 4 21 3 3" xfId="3987"/>
    <cellStyle name="Normal 2 4 21 3 4" xfId="3988"/>
    <cellStyle name="Normal 2 4 21 3 5" xfId="3989"/>
    <cellStyle name="Normal 2 4 21 3 6" xfId="3990"/>
    <cellStyle name="Normal 2 4 21 3 7" xfId="3991"/>
    <cellStyle name="Normal 2 4 21 4" xfId="3992"/>
    <cellStyle name="Normal 2 4 21 4 2" xfId="3993"/>
    <cellStyle name="Normal 2 4 21 4 3" xfId="3994"/>
    <cellStyle name="Normal 2 4 21 4 4" xfId="3995"/>
    <cellStyle name="Normal 2 4 21 4 5" xfId="3996"/>
    <cellStyle name="Normal 2 4 21 4 6" xfId="3997"/>
    <cellStyle name="Normal 2 4 21 4 7" xfId="3998"/>
    <cellStyle name="Normal 2 4 21 5" xfId="3999"/>
    <cellStyle name="Normal 2 4 21 6" xfId="4000"/>
    <cellStyle name="Normal 2 4 21 7" xfId="4001"/>
    <cellStyle name="Normal 2 4 21 8" xfId="4002"/>
    <cellStyle name="Normal 2 4 21 9" xfId="4003"/>
    <cellStyle name="Normal 2 4 22" xfId="4004"/>
    <cellStyle name="Normal 2 4 22 2" xfId="4005"/>
    <cellStyle name="Normal 2 4 22 3" xfId="4006"/>
    <cellStyle name="Normal 2 4 22 4" xfId="4007"/>
    <cellStyle name="Normal 2 4 22 5" xfId="4008"/>
    <cellStyle name="Normal 2 4 22 6" xfId="4009"/>
    <cellStyle name="Normal 2 4 22 7" xfId="4010"/>
    <cellStyle name="Normal 2 4 23" xfId="4011"/>
    <cellStyle name="Normal 2 4 23 2" xfId="4012"/>
    <cellStyle name="Normal 2 4 23 3" xfId="4013"/>
    <cellStyle name="Normal 2 4 23 4" xfId="4014"/>
    <cellStyle name="Normal 2 4 23 5" xfId="4015"/>
    <cellStyle name="Normal 2 4 23 6" xfId="4016"/>
    <cellStyle name="Normal 2 4 23 7" xfId="4017"/>
    <cellStyle name="Normal 2 4 24" xfId="4018"/>
    <cellStyle name="Normal 2 4 24 2" xfId="4019"/>
    <cellStyle name="Normal 2 4 24 3" xfId="4020"/>
    <cellStyle name="Normal 2 4 24 4" xfId="4021"/>
    <cellStyle name="Normal 2 4 24 5" xfId="4022"/>
    <cellStyle name="Normal 2 4 24 6" xfId="4023"/>
    <cellStyle name="Normal 2 4 24 7" xfId="4024"/>
    <cellStyle name="Normal 2 4 25" xfId="4025"/>
    <cellStyle name="Normal 2 4 25 2" xfId="4026"/>
    <cellStyle name="Normal 2 4 25 3" xfId="4027"/>
    <cellStyle name="Normal 2 4 25 4" xfId="4028"/>
    <cellStyle name="Normal 2 4 25 5" xfId="4029"/>
    <cellStyle name="Normal 2 4 25 6" xfId="4030"/>
    <cellStyle name="Normal 2 4 25 7" xfId="4031"/>
    <cellStyle name="Normal 2 4 26" xfId="4032"/>
    <cellStyle name="Normal 2 4 26 2" xfId="4033"/>
    <cellStyle name="Normal 2 4 26 3" xfId="4034"/>
    <cellStyle name="Normal 2 4 26 4" xfId="4035"/>
    <cellStyle name="Normal 2 4 26 5" xfId="4036"/>
    <cellStyle name="Normal 2 4 26 6" xfId="4037"/>
    <cellStyle name="Normal 2 4 26 7" xfId="4038"/>
    <cellStyle name="Normal 2 4 27" xfId="4039"/>
    <cellStyle name="Normal 2 4 28" xfId="4040"/>
    <cellStyle name="Normal 2 4 29" xfId="4041"/>
    <cellStyle name="Normal 2 4 3" xfId="4042"/>
    <cellStyle name="Normal 2 4 3 10" xfId="4043"/>
    <cellStyle name="Normal 2 4 3 2" xfId="4044"/>
    <cellStyle name="Normal 2 4 3 2 2" xfId="4045"/>
    <cellStyle name="Normal 2 4 3 2 3" xfId="4046"/>
    <cellStyle name="Normal 2 4 3 2 4" xfId="4047"/>
    <cellStyle name="Normal 2 4 3 2 5" xfId="4048"/>
    <cellStyle name="Normal 2 4 3 2 6" xfId="4049"/>
    <cellStyle name="Normal 2 4 3 2 7" xfId="4050"/>
    <cellStyle name="Normal 2 4 3 3" xfId="4051"/>
    <cellStyle name="Normal 2 4 3 3 2" xfId="4052"/>
    <cellStyle name="Normal 2 4 3 3 3" xfId="4053"/>
    <cellStyle name="Normal 2 4 3 3 4" xfId="4054"/>
    <cellStyle name="Normal 2 4 3 3 5" xfId="4055"/>
    <cellStyle name="Normal 2 4 3 3 6" xfId="4056"/>
    <cellStyle name="Normal 2 4 3 3 7" xfId="4057"/>
    <cellStyle name="Normal 2 4 3 4" xfId="4058"/>
    <cellStyle name="Normal 2 4 3 4 2" xfId="4059"/>
    <cellStyle name="Normal 2 4 3 4 3" xfId="4060"/>
    <cellStyle name="Normal 2 4 3 4 4" xfId="4061"/>
    <cellStyle name="Normal 2 4 3 4 5" xfId="4062"/>
    <cellStyle name="Normal 2 4 3 4 6" xfId="4063"/>
    <cellStyle name="Normal 2 4 3 4 7" xfId="4064"/>
    <cellStyle name="Normal 2 4 3 5" xfId="4065"/>
    <cellStyle name="Normal 2 4 3 6" xfId="4066"/>
    <cellStyle name="Normal 2 4 3 7" xfId="4067"/>
    <cellStyle name="Normal 2 4 3 8" xfId="4068"/>
    <cellStyle name="Normal 2 4 3 9" xfId="4069"/>
    <cellStyle name="Normal 2 4 30" xfId="4070"/>
    <cellStyle name="Normal 2 4 31" xfId="4071"/>
    <cellStyle name="Normal 2 4 32" xfId="4072"/>
    <cellStyle name="Normal 2 4 33" xfId="4073"/>
    <cellStyle name="Normal 2 4 34" xfId="4074"/>
    <cellStyle name="Normal 2 4 35" xfId="4075"/>
    <cellStyle name="Normal 2 4 36" xfId="4076"/>
    <cellStyle name="Normal 2 4 37" xfId="4077"/>
    <cellStyle name="Normal 2 4 38" xfId="4078"/>
    <cellStyle name="Normal 2 4 39" xfId="4079"/>
    <cellStyle name="Normal 2 4 4" xfId="4080"/>
    <cellStyle name="Normal 2 4 4 10" xfId="4081"/>
    <cellStyle name="Normal 2 4 4 2" xfId="4082"/>
    <cellStyle name="Normal 2 4 4 2 2" xfId="4083"/>
    <cellStyle name="Normal 2 4 4 2 3" xfId="4084"/>
    <cellStyle name="Normal 2 4 4 2 4" xfId="4085"/>
    <cellStyle name="Normal 2 4 4 2 5" xfId="4086"/>
    <cellStyle name="Normal 2 4 4 2 6" xfId="4087"/>
    <cellStyle name="Normal 2 4 4 2 7" xfId="4088"/>
    <cellStyle name="Normal 2 4 4 3" xfId="4089"/>
    <cellStyle name="Normal 2 4 4 3 2" xfId="4090"/>
    <cellStyle name="Normal 2 4 4 3 3" xfId="4091"/>
    <cellStyle name="Normal 2 4 4 3 4" xfId="4092"/>
    <cellStyle name="Normal 2 4 4 3 5" xfId="4093"/>
    <cellStyle name="Normal 2 4 4 3 6" xfId="4094"/>
    <cellStyle name="Normal 2 4 4 3 7" xfId="4095"/>
    <cellStyle name="Normal 2 4 4 4" xfId="4096"/>
    <cellStyle name="Normal 2 4 4 4 2" xfId="4097"/>
    <cellStyle name="Normal 2 4 4 4 3" xfId="4098"/>
    <cellStyle name="Normal 2 4 4 4 4" xfId="4099"/>
    <cellStyle name="Normal 2 4 4 4 5" xfId="4100"/>
    <cellStyle name="Normal 2 4 4 4 6" xfId="4101"/>
    <cellStyle name="Normal 2 4 4 4 7" xfId="4102"/>
    <cellStyle name="Normal 2 4 4 5" xfId="4103"/>
    <cellStyle name="Normal 2 4 4 6" xfId="4104"/>
    <cellStyle name="Normal 2 4 4 7" xfId="4105"/>
    <cellStyle name="Normal 2 4 4 8" xfId="4106"/>
    <cellStyle name="Normal 2 4 4 9" xfId="4107"/>
    <cellStyle name="Normal 2 4 40" xfId="4108"/>
    <cellStyle name="Normal 2 4 41" xfId="4109"/>
    <cellStyle name="Normal 2 4 42" xfId="4110"/>
    <cellStyle name="Normal 2 4 43" xfId="4111"/>
    <cellStyle name="Normal 2 4 44" xfId="4112"/>
    <cellStyle name="Normal 2 4 45" xfId="4113"/>
    <cellStyle name="Normal 2 4 5" xfId="4114"/>
    <cellStyle name="Normal 2 4 5 10" xfId="4115"/>
    <cellStyle name="Normal 2 4 5 2" xfId="4116"/>
    <cellStyle name="Normal 2 4 5 2 2" xfId="4117"/>
    <cellStyle name="Normal 2 4 5 2 3" xfId="4118"/>
    <cellStyle name="Normal 2 4 5 2 4" xfId="4119"/>
    <cellStyle name="Normal 2 4 5 2 5" xfId="4120"/>
    <cellStyle name="Normal 2 4 5 2 6" xfId="4121"/>
    <cellStyle name="Normal 2 4 5 2 7" xfId="4122"/>
    <cellStyle name="Normal 2 4 5 3" xfId="4123"/>
    <cellStyle name="Normal 2 4 5 3 2" xfId="4124"/>
    <cellStyle name="Normal 2 4 5 3 3" xfId="4125"/>
    <cellStyle name="Normal 2 4 5 3 4" xfId="4126"/>
    <cellStyle name="Normal 2 4 5 3 5" xfId="4127"/>
    <cellStyle name="Normal 2 4 5 3 6" xfId="4128"/>
    <cellStyle name="Normal 2 4 5 3 7" xfId="4129"/>
    <cellStyle name="Normal 2 4 5 4" xfId="4130"/>
    <cellStyle name="Normal 2 4 5 4 2" xfId="4131"/>
    <cellStyle name="Normal 2 4 5 4 3" xfId="4132"/>
    <cellStyle name="Normal 2 4 5 4 4" xfId="4133"/>
    <cellStyle name="Normal 2 4 5 4 5" xfId="4134"/>
    <cellStyle name="Normal 2 4 5 4 6" xfId="4135"/>
    <cellStyle name="Normal 2 4 5 4 7" xfId="4136"/>
    <cellStyle name="Normal 2 4 5 5" xfId="4137"/>
    <cellStyle name="Normal 2 4 5 6" xfId="4138"/>
    <cellStyle name="Normal 2 4 5 7" xfId="4139"/>
    <cellStyle name="Normal 2 4 5 8" xfId="4140"/>
    <cellStyle name="Normal 2 4 5 9" xfId="4141"/>
    <cellStyle name="Normal 2 4 6" xfId="4142"/>
    <cellStyle name="Normal 2 4 6 10" xfId="4143"/>
    <cellStyle name="Normal 2 4 6 2" xfId="4144"/>
    <cellStyle name="Normal 2 4 6 2 2" xfId="4145"/>
    <cellStyle name="Normal 2 4 6 2 3" xfId="4146"/>
    <cellStyle name="Normal 2 4 6 2 4" xfId="4147"/>
    <cellStyle name="Normal 2 4 6 2 5" xfId="4148"/>
    <cellStyle name="Normal 2 4 6 2 6" xfId="4149"/>
    <cellStyle name="Normal 2 4 6 2 7" xfId="4150"/>
    <cellStyle name="Normal 2 4 6 3" xfId="4151"/>
    <cellStyle name="Normal 2 4 6 3 2" xfId="4152"/>
    <cellStyle name="Normal 2 4 6 3 3" xfId="4153"/>
    <cellStyle name="Normal 2 4 6 3 4" xfId="4154"/>
    <cellStyle name="Normal 2 4 6 3 5" xfId="4155"/>
    <cellStyle name="Normal 2 4 6 3 6" xfId="4156"/>
    <cellStyle name="Normal 2 4 6 3 7" xfId="4157"/>
    <cellStyle name="Normal 2 4 6 4" xfId="4158"/>
    <cellStyle name="Normal 2 4 6 4 2" xfId="4159"/>
    <cellStyle name="Normal 2 4 6 4 3" xfId="4160"/>
    <cellStyle name="Normal 2 4 6 4 4" xfId="4161"/>
    <cellStyle name="Normal 2 4 6 4 5" xfId="4162"/>
    <cellStyle name="Normal 2 4 6 4 6" xfId="4163"/>
    <cellStyle name="Normal 2 4 6 4 7" xfId="4164"/>
    <cellStyle name="Normal 2 4 6 5" xfId="4165"/>
    <cellStyle name="Normal 2 4 6 6" xfId="4166"/>
    <cellStyle name="Normal 2 4 6 7" xfId="4167"/>
    <cellStyle name="Normal 2 4 6 8" xfId="4168"/>
    <cellStyle name="Normal 2 4 6 9" xfId="4169"/>
    <cellStyle name="Normal 2 4 7" xfId="4170"/>
    <cellStyle name="Normal 2 4 7 10" xfId="4171"/>
    <cellStyle name="Normal 2 4 7 2" xfId="4172"/>
    <cellStyle name="Normal 2 4 7 2 2" xfId="4173"/>
    <cellStyle name="Normal 2 4 7 2 3" xfId="4174"/>
    <cellStyle name="Normal 2 4 7 2 4" xfId="4175"/>
    <cellStyle name="Normal 2 4 7 2 5" xfId="4176"/>
    <cellStyle name="Normal 2 4 7 2 6" xfId="4177"/>
    <cellStyle name="Normal 2 4 7 2 7" xfId="4178"/>
    <cellStyle name="Normal 2 4 7 3" xfId="4179"/>
    <cellStyle name="Normal 2 4 7 3 2" xfId="4180"/>
    <cellStyle name="Normal 2 4 7 3 3" xfId="4181"/>
    <cellStyle name="Normal 2 4 7 3 4" xfId="4182"/>
    <cellStyle name="Normal 2 4 7 3 5" xfId="4183"/>
    <cellStyle name="Normal 2 4 7 3 6" xfId="4184"/>
    <cellStyle name="Normal 2 4 7 3 7" xfId="4185"/>
    <cellStyle name="Normal 2 4 7 4" xfId="4186"/>
    <cellStyle name="Normal 2 4 7 4 2" xfId="4187"/>
    <cellStyle name="Normal 2 4 7 4 3" xfId="4188"/>
    <cellStyle name="Normal 2 4 7 4 4" xfId="4189"/>
    <cellStyle name="Normal 2 4 7 4 5" xfId="4190"/>
    <cellStyle name="Normal 2 4 7 4 6" xfId="4191"/>
    <cellStyle name="Normal 2 4 7 4 7" xfId="4192"/>
    <cellStyle name="Normal 2 4 7 5" xfId="4193"/>
    <cellStyle name="Normal 2 4 7 6" xfId="4194"/>
    <cellStyle name="Normal 2 4 7 7" xfId="4195"/>
    <cellStyle name="Normal 2 4 7 8" xfId="4196"/>
    <cellStyle name="Normal 2 4 7 9" xfId="4197"/>
    <cellStyle name="Normal 2 4 8" xfId="4198"/>
    <cellStyle name="Normal 2 4 8 10" xfId="4199"/>
    <cellStyle name="Normal 2 4 8 2" xfId="4200"/>
    <cellStyle name="Normal 2 4 8 2 2" xfId="4201"/>
    <cellStyle name="Normal 2 4 8 2 3" xfId="4202"/>
    <cellStyle name="Normal 2 4 8 2 4" xfId="4203"/>
    <cellStyle name="Normal 2 4 8 2 5" xfId="4204"/>
    <cellStyle name="Normal 2 4 8 2 6" xfId="4205"/>
    <cellStyle name="Normal 2 4 8 2 7" xfId="4206"/>
    <cellStyle name="Normal 2 4 8 3" xfId="4207"/>
    <cellStyle name="Normal 2 4 8 3 2" xfId="4208"/>
    <cellStyle name="Normal 2 4 8 3 3" xfId="4209"/>
    <cellStyle name="Normal 2 4 8 3 4" xfId="4210"/>
    <cellStyle name="Normal 2 4 8 3 5" xfId="4211"/>
    <cellStyle name="Normal 2 4 8 3 6" xfId="4212"/>
    <cellStyle name="Normal 2 4 8 3 7" xfId="4213"/>
    <cellStyle name="Normal 2 4 8 4" xfId="4214"/>
    <cellStyle name="Normal 2 4 8 4 2" xfId="4215"/>
    <cellStyle name="Normal 2 4 8 4 3" xfId="4216"/>
    <cellStyle name="Normal 2 4 8 4 4" xfId="4217"/>
    <cellStyle name="Normal 2 4 8 4 5" xfId="4218"/>
    <cellStyle name="Normal 2 4 8 4 6" xfId="4219"/>
    <cellStyle name="Normal 2 4 8 4 7" xfId="4220"/>
    <cellStyle name="Normal 2 4 8 5" xfId="4221"/>
    <cellStyle name="Normal 2 4 8 6" xfId="4222"/>
    <cellStyle name="Normal 2 4 8 7" xfId="4223"/>
    <cellStyle name="Normal 2 4 8 8" xfId="4224"/>
    <cellStyle name="Normal 2 4 8 9" xfId="4225"/>
    <cellStyle name="Normal 2 4 9" xfId="4226"/>
    <cellStyle name="Normal 2 4 9 10" xfId="4227"/>
    <cellStyle name="Normal 2 4 9 2" xfId="4228"/>
    <cellStyle name="Normal 2 4 9 2 2" xfId="4229"/>
    <cellStyle name="Normal 2 4 9 2 3" xfId="4230"/>
    <cellStyle name="Normal 2 4 9 2 4" xfId="4231"/>
    <cellStyle name="Normal 2 4 9 2 5" xfId="4232"/>
    <cellStyle name="Normal 2 4 9 2 6" xfId="4233"/>
    <cellStyle name="Normal 2 4 9 2 7" xfId="4234"/>
    <cellStyle name="Normal 2 4 9 3" xfId="4235"/>
    <cellStyle name="Normal 2 4 9 3 2" xfId="4236"/>
    <cellStyle name="Normal 2 4 9 3 3" xfId="4237"/>
    <cellStyle name="Normal 2 4 9 3 4" xfId="4238"/>
    <cellStyle name="Normal 2 4 9 3 5" xfId="4239"/>
    <cellStyle name="Normal 2 4 9 3 6" xfId="4240"/>
    <cellStyle name="Normal 2 4 9 3 7" xfId="4241"/>
    <cellStyle name="Normal 2 4 9 4" xfId="4242"/>
    <cellStyle name="Normal 2 4 9 4 2" xfId="4243"/>
    <cellStyle name="Normal 2 4 9 4 3" xfId="4244"/>
    <cellStyle name="Normal 2 4 9 4 4" xfId="4245"/>
    <cellStyle name="Normal 2 4 9 4 5" xfId="4246"/>
    <cellStyle name="Normal 2 4 9 4 6" xfId="4247"/>
    <cellStyle name="Normal 2 4 9 4 7" xfId="4248"/>
    <cellStyle name="Normal 2 4 9 5" xfId="4249"/>
    <cellStyle name="Normal 2 4 9 6" xfId="4250"/>
    <cellStyle name="Normal 2 4 9 7" xfId="4251"/>
    <cellStyle name="Normal 2 4 9 8" xfId="4252"/>
    <cellStyle name="Normal 2 4 9 9" xfId="4253"/>
    <cellStyle name="Normal 2 40" xfId="4254"/>
    <cellStyle name="Normal 2 41" xfId="4255"/>
    <cellStyle name="Normal 2 42" xfId="4256"/>
    <cellStyle name="Normal 2 43" xfId="4257"/>
    <cellStyle name="Normal 2 44" xfId="4258"/>
    <cellStyle name="Normal 2 45" xfId="4259"/>
    <cellStyle name="Normal 2 46" xfId="4260"/>
    <cellStyle name="Normal 2 47" xfId="4261"/>
    <cellStyle name="Normal 2 48" xfId="4262"/>
    <cellStyle name="Normal 2 49" xfId="4263"/>
    <cellStyle name="Normal 2 5" xfId="4264"/>
    <cellStyle name="Normal 2 5 10" xfId="4265"/>
    <cellStyle name="Normal 2 5 10 10" xfId="4266"/>
    <cellStyle name="Normal 2 5 10 2" xfId="4267"/>
    <cellStyle name="Normal 2 5 10 2 2" xfId="4268"/>
    <cellStyle name="Normal 2 5 10 2 3" xfId="4269"/>
    <cellStyle name="Normal 2 5 10 2 4" xfId="4270"/>
    <cellStyle name="Normal 2 5 10 2 5" xfId="4271"/>
    <cellStyle name="Normal 2 5 10 2 6" xfId="4272"/>
    <cellStyle name="Normal 2 5 10 2 7" xfId="4273"/>
    <cellStyle name="Normal 2 5 10 3" xfId="4274"/>
    <cellStyle name="Normal 2 5 10 3 2" xfId="4275"/>
    <cellStyle name="Normal 2 5 10 3 3" xfId="4276"/>
    <cellStyle name="Normal 2 5 10 3 4" xfId="4277"/>
    <cellStyle name="Normal 2 5 10 3 5" xfId="4278"/>
    <cellStyle name="Normal 2 5 10 3 6" xfId="4279"/>
    <cellStyle name="Normal 2 5 10 3 7" xfId="4280"/>
    <cellStyle name="Normal 2 5 10 4" xfId="4281"/>
    <cellStyle name="Normal 2 5 10 4 2" xfId="4282"/>
    <cellStyle name="Normal 2 5 10 4 3" xfId="4283"/>
    <cellStyle name="Normal 2 5 10 4 4" xfId="4284"/>
    <cellStyle name="Normal 2 5 10 4 5" xfId="4285"/>
    <cellStyle name="Normal 2 5 10 4 6" xfId="4286"/>
    <cellStyle name="Normal 2 5 10 4 7" xfId="4287"/>
    <cellStyle name="Normal 2 5 10 5" xfId="4288"/>
    <cellStyle name="Normal 2 5 10 6" xfId="4289"/>
    <cellStyle name="Normal 2 5 10 7" xfId="4290"/>
    <cellStyle name="Normal 2 5 10 8" xfId="4291"/>
    <cellStyle name="Normal 2 5 10 9" xfId="4292"/>
    <cellStyle name="Normal 2 5 11" xfId="4293"/>
    <cellStyle name="Normal 2 5 11 10" xfId="4294"/>
    <cellStyle name="Normal 2 5 11 2" xfId="4295"/>
    <cellStyle name="Normal 2 5 11 2 2" xfId="4296"/>
    <cellStyle name="Normal 2 5 11 2 3" xfId="4297"/>
    <cellStyle name="Normal 2 5 11 2 4" xfId="4298"/>
    <cellStyle name="Normal 2 5 11 2 5" xfId="4299"/>
    <cellStyle name="Normal 2 5 11 2 6" xfId="4300"/>
    <cellStyle name="Normal 2 5 11 2 7" xfId="4301"/>
    <cellStyle name="Normal 2 5 11 3" xfId="4302"/>
    <cellStyle name="Normal 2 5 11 3 2" xfId="4303"/>
    <cellStyle name="Normal 2 5 11 3 3" xfId="4304"/>
    <cellStyle name="Normal 2 5 11 3 4" xfId="4305"/>
    <cellStyle name="Normal 2 5 11 3 5" xfId="4306"/>
    <cellStyle name="Normal 2 5 11 3 6" xfId="4307"/>
    <cellStyle name="Normal 2 5 11 3 7" xfId="4308"/>
    <cellStyle name="Normal 2 5 11 4" xfId="4309"/>
    <cellStyle name="Normal 2 5 11 4 2" xfId="4310"/>
    <cellStyle name="Normal 2 5 11 4 3" xfId="4311"/>
    <cellStyle name="Normal 2 5 11 4 4" xfId="4312"/>
    <cellStyle name="Normal 2 5 11 4 5" xfId="4313"/>
    <cellStyle name="Normal 2 5 11 4 6" xfId="4314"/>
    <cellStyle name="Normal 2 5 11 4 7" xfId="4315"/>
    <cellStyle name="Normal 2 5 11 5" xfId="4316"/>
    <cellStyle name="Normal 2 5 11 6" xfId="4317"/>
    <cellStyle name="Normal 2 5 11 7" xfId="4318"/>
    <cellStyle name="Normal 2 5 11 8" xfId="4319"/>
    <cellStyle name="Normal 2 5 11 9" xfId="4320"/>
    <cellStyle name="Normal 2 5 12" xfId="4321"/>
    <cellStyle name="Normal 2 5 12 10" xfId="4322"/>
    <cellStyle name="Normal 2 5 12 2" xfId="4323"/>
    <cellStyle name="Normal 2 5 12 2 2" xfId="4324"/>
    <cellStyle name="Normal 2 5 12 2 3" xfId="4325"/>
    <cellStyle name="Normal 2 5 12 2 4" xfId="4326"/>
    <cellStyle name="Normal 2 5 12 2 5" xfId="4327"/>
    <cellStyle name="Normal 2 5 12 2 6" xfId="4328"/>
    <cellStyle name="Normal 2 5 12 2 7" xfId="4329"/>
    <cellStyle name="Normal 2 5 12 3" xfId="4330"/>
    <cellStyle name="Normal 2 5 12 3 2" xfId="4331"/>
    <cellStyle name="Normal 2 5 12 3 3" xfId="4332"/>
    <cellStyle name="Normal 2 5 12 3 4" xfId="4333"/>
    <cellStyle name="Normal 2 5 12 3 5" xfId="4334"/>
    <cellStyle name="Normal 2 5 12 3 6" xfId="4335"/>
    <cellStyle name="Normal 2 5 12 3 7" xfId="4336"/>
    <cellStyle name="Normal 2 5 12 4" xfId="4337"/>
    <cellStyle name="Normal 2 5 12 4 2" xfId="4338"/>
    <cellStyle name="Normal 2 5 12 4 3" xfId="4339"/>
    <cellStyle name="Normal 2 5 12 4 4" xfId="4340"/>
    <cellStyle name="Normal 2 5 12 4 5" xfId="4341"/>
    <cellStyle name="Normal 2 5 12 4 6" xfId="4342"/>
    <cellStyle name="Normal 2 5 12 4 7" xfId="4343"/>
    <cellStyle name="Normal 2 5 12 5" xfId="4344"/>
    <cellStyle name="Normal 2 5 12 6" xfId="4345"/>
    <cellStyle name="Normal 2 5 12 7" xfId="4346"/>
    <cellStyle name="Normal 2 5 12 8" xfId="4347"/>
    <cellStyle name="Normal 2 5 12 9" xfId="4348"/>
    <cellStyle name="Normal 2 5 13" xfId="4349"/>
    <cellStyle name="Normal 2 5 13 10" xfId="4350"/>
    <cellStyle name="Normal 2 5 13 2" xfId="4351"/>
    <cellStyle name="Normal 2 5 13 2 2" xfId="4352"/>
    <cellStyle name="Normal 2 5 13 2 3" xfId="4353"/>
    <cellStyle name="Normal 2 5 13 2 4" xfId="4354"/>
    <cellStyle name="Normal 2 5 13 2 5" xfId="4355"/>
    <cellStyle name="Normal 2 5 13 2 6" xfId="4356"/>
    <cellStyle name="Normal 2 5 13 2 7" xfId="4357"/>
    <cellStyle name="Normal 2 5 13 3" xfId="4358"/>
    <cellStyle name="Normal 2 5 13 3 2" xfId="4359"/>
    <cellStyle name="Normal 2 5 13 3 3" xfId="4360"/>
    <cellStyle name="Normal 2 5 13 3 4" xfId="4361"/>
    <cellStyle name="Normal 2 5 13 3 5" xfId="4362"/>
    <cellStyle name="Normal 2 5 13 3 6" xfId="4363"/>
    <cellStyle name="Normal 2 5 13 3 7" xfId="4364"/>
    <cellStyle name="Normal 2 5 13 4" xfId="4365"/>
    <cellStyle name="Normal 2 5 13 4 2" xfId="4366"/>
    <cellStyle name="Normal 2 5 13 4 3" xfId="4367"/>
    <cellStyle name="Normal 2 5 13 4 4" xfId="4368"/>
    <cellStyle name="Normal 2 5 13 4 5" xfId="4369"/>
    <cellStyle name="Normal 2 5 13 4 6" xfId="4370"/>
    <cellStyle name="Normal 2 5 13 4 7" xfId="4371"/>
    <cellStyle name="Normal 2 5 13 5" xfId="4372"/>
    <cellStyle name="Normal 2 5 13 6" xfId="4373"/>
    <cellStyle name="Normal 2 5 13 7" xfId="4374"/>
    <cellStyle name="Normal 2 5 13 8" xfId="4375"/>
    <cellStyle name="Normal 2 5 13 9" xfId="4376"/>
    <cellStyle name="Normal 2 5 14" xfId="4377"/>
    <cellStyle name="Normal 2 5 14 10" xfId="4378"/>
    <cellStyle name="Normal 2 5 14 2" xfId="4379"/>
    <cellStyle name="Normal 2 5 14 2 2" xfId="4380"/>
    <cellStyle name="Normal 2 5 14 2 3" xfId="4381"/>
    <cellStyle name="Normal 2 5 14 2 4" xfId="4382"/>
    <cellStyle name="Normal 2 5 14 2 5" xfId="4383"/>
    <cellStyle name="Normal 2 5 14 2 6" xfId="4384"/>
    <cellStyle name="Normal 2 5 14 2 7" xfId="4385"/>
    <cellStyle name="Normal 2 5 14 3" xfId="4386"/>
    <cellStyle name="Normal 2 5 14 3 2" xfId="4387"/>
    <cellStyle name="Normal 2 5 14 3 3" xfId="4388"/>
    <cellStyle name="Normal 2 5 14 3 4" xfId="4389"/>
    <cellStyle name="Normal 2 5 14 3 5" xfId="4390"/>
    <cellStyle name="Normal 2 5 14 3 6" xfId="4391"/>
    <cellStyle name="Normal 2 5 14 3 7" xfId="4392"/>
    <cellStyle name="Normal 2 5 14 4" xfId="4393"/>
    <cellStyle name="Normal 2 5 14 4 2" xfId="4394"/>
    <cellStyle name="Normal 2 5 14 4 3" xfId="4395"/>
    <cellStyle name="Normal 2 5 14 4 4" xfId="4396"/>
    <cellStyle name="Normal 2 5 14 4 5" xfId="4397"/>
    <cellStyle name="Normal 2 5 14 4 6" xfId="4398"/>
    <cellStyle name="Normal 2 5 14 4 7" xfId="4399"/>
    <cellStyle name="Normal 2 5 14 5" xfId="4400"/>
    <cellStyle name="Normal 2 5 14 6" xfId="4401"/>
    <cellStyle name="Normal 2 5 14 7" xfId="4402"/>
    <cellStyle name="Normal 2 5 14 8" xfId="4403"/>
    <cellStyle name="Normal 2 5 14 9" xfId="4404"/>
    <cellStyle name="Normal 2 5 15" xfId="4405"/>
    <cellStyle name="Normal 2 5 15 10" xfId="4406"/>
    <cellStyle name="Normal 2 5 15 2" xfId="4407"/>
    <cellStyle name="Normal 2 5 15 2 2" xfId="4408"/>
    <cellStyle name="Normal 2 5 15 2 3" xfId="4409"/>
    <cellStyle name="Normal 2 5 15 2 4" xfId="4410"/>
    <cellStyle name="Normal 2 5 15 2 5" xfId="4411"/>
    <cellStyle name="Normal 2 5 15 2 6" xfId="4412"/>
    <cellStyle name="Normal 2 5 15 2 7" xfId="4413"/>
    <cellStyle name="Normal 2 5 15 3" xfId="4414"/>
    <cellStyle name="Normal 2 5 15 3 2" xfId="4415"/>
    <cellStyle name="Normal 2 5 15 3 3" xfId="4416"/>
    <cellStyle name="Normal 2 5 15 3 4" xfId="4417"/>
    <cellStyle name="Normal 2 5 15 3 5" xfId="4418"/>
    <cellStyle name="Normal 2 5 15 3 6" xfId="4419"/>
    <cellStyle name="Normal 2 5 15 3 7" xfId="4420"/>
    <cellStyle name="Normal 2 5 15 4" xfId="4421"/>
    <cellStyle name="Normal 2 5 15 4 2" xfId="4422"/>
    <cellStyle name="Normal 2 5 15 4 3" xfId="4423"/>
    <cellStyle name="Normal 2 5 15 4 4" xfId="4424"/>
    <cellStyle name="Normal 2 5 15 4 5" xfId="4425"/>
    <cellStyle name="Normal 2 5 15 4 6" xfId="4426"/>
    <cellStyle name="Normal 2 5 15 4 7" xfId="4427"/>
    <cellStyle name="Normal 2 5 15 5" xfId="4428"/>
    <cellStyle name="Normal 2 5 15 6" xfId="4429"/>
    <cellStyle name="Normal 2 5 15 7" xfId="4430"/>
    <cellStyle name="Normal 2 5 15 8" xfId="4431"/>
    <cellStyle name="Normal 2 5 15 9" xfId="4432"/>
    <cellStyle name="Normal 2 5 16" xfId="4433"/>
    <cellStyle name="Normal 2 5 16 10" xfId="4434"/>
    <cellStyle name="Normal 2 5 16 2" xfId="4435"/>
    <cellStyle name="Normal 2 5 16 2 2" xfId="4436"/>
    <cellStyle name="Normal 2 5 16 2 3" xfId="4437"/>
    <cellStyle name="Normal 2 5 16 2 4" xfId="4438"/>
    <cellStyle name="Normal 2 5 16 2 5" xfId="4439"/>
    <cellStyle name="Normal 2 5 16 2 6" xfId="4440"/>
    <cellStyle name="Normal 2 5 16 2 7" xfId="4441"/>
    <cellStyle name="Normal 2 5 16 3" xfId="4442"/>
    <cellStyle name="Normal 2 5 16 3 2" xfId="4443"/>
    <cellStyle name="Normal 2 5 16 3 3" xfId="4444"/>
    <cellStyle name="Normal 2 5 16 3 4" xfId="4445"/>
    <cellStyle name="Normal 2 5 16 3 5" xfId="4446"/>
    <cellStyle name="Normal 2 5 16 3 6" xfId="4447"/>
    <cellStyle name="Normal 2 5 16 3 7" xfId="4448"/>
    <cellStyle name="Normal 2 5 16 4" xfId="4449"/>
    <cellStyle name="Normal 2 5 16 4 2" xfId="4450"/>
    <cellStyle name="Normal 2 5 16 4 3" xfId="4451"/>
    <cellStyle name="Normal 2 5 16 4 4" xfId="4452"/>
    <cellStyle name="Normal 2 5 16 4 5" xfId="4453"/>
    <cellStyle name="Normal 2 5 16 4 6" xfId="4454"/>
    <cellStyle name="Normal 2 5 16 4 7" xfId="4455"/>
    <cellStyle name="Normal 2 5 16 5" xfId="4456"/>
    <cellStyle name="Normal 2 5 16 6" xfId="4457"/>
    <cellStyle name="Normal 2 5 16 7" xfId="4458"/>
    <cellStyle name="Normal 2 5 16 8" xfId="4459"/>
    <cellStyle name="Normal 2 5 16 9" xfId="4460"/>
    <cellStyle name="Normal 2 5 17" xfId="4461"/>
    <cellStyle name="Normal 2 5 17 10" xfId="4462"/>
    <cellStyle name="Normal 2 5 17 2" xfId="4463"/>
    <cellStyle name="Normal 2 5 17 2 2" xfId="4464"/>
    <cellStyle name="Normal 2 5 17 2 3" xfId="4465"/>
    <cellStyle name="Normal 2 5 17 2 4" xfId="4466"/>
    <cellStyle name="Normal 2 5 17 2 5" xfId="4467"/>
    <cellStyle name="Normal 2 5 17 2 6" xfId="4468"/>
    <cellStyle name="Normal 2 5 17 2 7" xfId="4469"/>
    <cellStyle name="Normal 2 5 17 3" xfId="4470"/>
    <cellStyle name="Normal 2 5 17 3 2" xfId="4471"/>
    <cellStyle name="Normal 2 5 17 3 3" xfId="4472"/>
    <cellStyle name="Normal 2 5 17 3 4" xfId="4473"/>
    <cellStyle name="Normal 2 5 17 3 5" xfId="4474"/>
    <cellStyle name="Normal 2 5 17 3 6" xfId="4475"/>
    <cellStyle name="Normal 2 5 17 3 7" xfId="4476"/>
    <cellStyle name="Normal 2 5 17 4" xfId="4477"/>
    <cellStyle name="Normal 2 5 17 4 2" xfId="4478"/>
    <cellStyle name="Normal 2 5 17 4 3" xfId="4479"/>
    <cellStyle name="Normal 2 5 17 4 4" xfId="4480"/>
    <cellStyle name="Normal 2 5 17 4 5" xfId="4481"/>
    <cellStyle name="Normal 2 5 17 4 6" xfId="4482"/>
    <cellStyle name="Normal 2 5 17 4 7" xfId="4483"/>
    <cellStyle name="Normal 2 5 17 5" xfId="4484"/>
    <cellStyle name="Normal 2 5 17 6" xfId="4485"/>
    <cellStyle name="Normal 2 5 17 7" xfId="4486"/>
    <cellStyle name="Normal 2 5 17 8" xfId="4487"/>
    <cellStyle name="Normal 2 5 17 9" xfId="4488"/>
    <cellStyle name="Normal 2 5 18" xfId="4489"/>
    <cellStyle name="Normal 2 5 18 10" xfId="4490"/>
    <cellStyle name="Normal 2 5 18 2" xfId="4491"/>
    <cellStyle name="Normal 2 5 18 2 2" xfId="4492"/>
    <cellStyle name="Normal 2 5 18 2 3" xfId="4493"/>
    <cellStyle name="Normal 2 5 18 2 4" xfId="4494"/>
    <cellStyle name="Normal 2 5 18 2 5" xfId="4495"/>
    <cellStyle name="Normal 2 5 18 2 6" xfId="4496"/>
    <cellStyle name="Normal 2 5 18 2 7" xfId="4497"/>
    <cellStyle name="Normal 2 5 18 3" xfId="4498"/>
    <cellStyle name="Normal 2 5 18 3 2" xfId="4499"/>
    <cellStyle name="Normal 2 5 18 3 3" xfId="4500"/>
    <cellStyle name="Normal 2 5 18 3 4" xfId="4501"/>
    <cellStyle name="Normal 2 5 18 3 5" xfId="4502"/>
    <cellStyle name="Normal 2 5 18 3 6" xfId="4503"/>
    <cellStyle name="Normal 2 5 18 3 7" xfId="4504"/>
    <cellStyle name="Normal 2 5 18 4" xfId="4505"/>
    <cellStyle name="Normal 2 5 18 4 2" xfId="4506"/>
    <cellStyle name="Normal 2 5 18 4 3" xfId="4507"/>
    <cellStyle name="Normal 2 5 18 4 4" xfId="4508"/>
    <cellStyle name="Normal 2 5 18 4 5" xfId="4509"/>
    <cellStyle name="Normal 2 5 18 4 6" xfId="4510"/>
    <cellStyle name="Normal 2 5 18 4 7" xfId="4511"/>
    <cellStyle name="Normal 2 5 18 5" xfId="4512"/>
    <cellStyle name="Normal 2 5 18 6" xfId="4513"/>
    <cellStyle name="Normal 2 5 18 7" xfId="4514"/>
    <cellStyle name="Normal 2 5 18 8" xfId="4515"/>
    <cellStyle name="Normal 2 5 18 9" xfId="4516"/>
    <cellStyle name="Normal 2 5 19" xfId="4517"/>
    <cellStyle name="Normal 2 5 19 10" xfId="4518"/>
    <cellStyle name="Normal 2 5 19 2" xfId="4519"/>
    <cellStyle name="Normal 2 5 19 2 2" xfId="4520"/>
    <cellStyle name="Normal 2 5 19 2 3" xfId="4521"/>
    <cellStyle name="Normal 2 5 19 2 4" xfId="4522"/>
    <cellStyle name="Normal 2 5 19 2 5" xfId="4523"/>
    <cellStyle name="Normal 2 5 19 2 6" xfId="4524"/>
    <cellStyle name="Normal 2 5 19 2 7" xfId="4525"/>
    <cellStyle name="Normal 2 5 19 3" xfId="4526"/>
    <cellStyle name="Normal 2 5 19 3 2" xfId="4527"/>
    <cellStyle name="Normal 2 5 19 3 3" xfId="4528"/>
    <cellStyle name="Normal 2 5 19 3 4" xfId="4529"/>
    <cellStyle name="Normal 2 5 19 3 5" xfId="4530"/>
    <cellStyle name="Normal 2 5 19 3 6" xfId="4531"/>
    <cellStyle name="Normal 2 5 19 3 7" xfId="4532"/>
    <cellStyle name="Normal 2 5 19 4" xfId="4533"/>
    <cellStyle name="Normal 2 5 19 4 2" xfId="4534"/>
    <cellStyle name="Normal 2 5 19 4 3" xfId="4535"/>
    <cellStyle name="Normal 2 5 19 4 4" xfId="4536"/>
    <cellStyle name="Normal 2 5 19 4 5" xfId="4537"/>
    <cellStyle name="Normal 2 5 19 4 6" xfId="4538"/>
    <cellStyle name="Normal 2 5 19 4 7" xfId="4539"/>
    <cellStyle name="Normal 2 5 19 5" xfId="4540"/>
    <cellStyle name="Normal 2 5 19 6" xfId="4541"/>
    <cellStyle name="Normal 2 5 19 7" xfId="4542"/>
    <cellStyle name="Normal 2 5 19 8" xfId="4543"/>
    <cellStyle name="Normal 2 5 19 9" xfId="4544"/>
    <cellStyle name="Normal 2 5 2" xfId="4545"/>
    <cellStyle name="Normal 2 5 2 10" xfId="4546"/>
    <cellStyle name="Normal 2 5 2 2" xfId="4547"/>
    <cellStyle name="Normal 2 5 2 2 2" xfId="4548"/>
    <cellStyle name="Normal 2 5 2 2 3" xfId="4549"/>
    <cellStyle name="Normal 2 5 2 2 4" xfId="4550"/>
    <cellStyle name="Normal 2 5 2 2 5" xfId="4551"/>
    <cellStyle name="Normal 2 5 2 2 6" xfId="4552"/>
    <cellStyle name="Normal 2 5 2 2 7" xfId="4553"/>
    <cellStyle name="Normal 2 5 2 3" xfId="4554"/>
    <cellStyle name="Normal 2 5 2 3 2" xfId="4555"/>
    <cellStyle name="Normal 2 5 2 3 3" xfId="4556"/>
    <cellStyle name="Normal 2 5 2 3 4" xfId="4557"/>
    <cellStyle name="Normal 2 5 2 3 5" xfId="4558"/>
    <cellStyle name="Normal 2 5 2 3 6" xfId="4559"/>
    <cellStyle name="Normal 2 5 2 3 7" xfId="4560"/>
    <cellStyle name="Normal 2 5 2 4" xfId="4561"/>
    <cellStyle name="Normal 2 5 2 4 2" xfId="4562"/>
    <cellStyle name="Normal 2 5 2 4 3" xfId="4563"/>
    <cellStyle name="Normal 2 5 2 4 4" xfId="4564"/>
    <cellStyle name="Normal 2 5 2 4 5" xfId="4565"/>
    <cellStyle name="Normal 2 5 2 4 6" xfId="4566"/>
    <cellStyle name="Normal 2 5 2 4 7" xfId="4567"/>
    <cellStyle name="Normal 2 5 2 5" xfId="4568"/>
    <cellStyle name="Normal 2 5 2 6" xfId="4569"/>
    <cellStyle name="Normal 2 5 2 7" xfId="4570"/>
    <cellStyle name="Normal 2 5 2 8" xfId="4571"/>
    <cellStyle name="Normal 2 5 2 9" xfId="4572"/>
    <cellStyle name="Normal 2 5 20" xfId="4573"/>
    <cellStyle name="Normal 2 5 20 10" xfId="4574"/>
    <cellStyle name="Normal 2 5 20 2" xfId="4575"/>
    <cellStyle name="Normal 2 5 20 2 2" xfId="4576"/>
    <cellStyle name="Normal 2 5 20 2 3" xfId="4577"/>
    <cellStyle name="Normal 2 5 20 2 4" xfId="4578"/>
    <cellStyle name="Normal 2 5 20 2 5" xfId="4579"/>
    <cellStyle name="Normal 2 5 20 2 6" xfId="4580"/>
    <cellStyle name="Normal 2 5 20 2 7" xfId="4581"/>
    <cellStyle name="Normal 2 5 20 3" xfId="4582"/>
    <cellStyle name="Normal 2 5 20 3 2" xfId="4583"/>
    <cellStyle name="Normal 2 5 20 3 3" xfId="4584"/>
    <cellStyle name="Normal 2 5 20 3 4" xfId="4585"/>
    <cellStyle name="Normal 2 5 20 3 5" xfId="4586"/>
    <cellStyle name="Normal 2 5 20 3 6" xfId="4587"/>
    <cellStyle name="Normal 2 5 20 3 7" xfId="4588"/>
    <cellStyle name="Normal 2 5 20 4" xfId="4589"/>
    <cellStyle name="Normal 2 5 20 4 2" xfId="4590"/>
    <cellStyle name="Normal 2 5 20 4 3" xfId="4591"/>
    <cellStyle name="Normal 2 5 20 4 4" xfId="4592"/>
    <cellStyle name="Normal 2 5 20 4 5" xfId="4593"/>
    <cellStyle name="Normal 2 5 20 4 6" xfId="4594"/>
    <cellStyle name="Normal 2 5 20 4 7" xfId="4595"/>
    <cellStyle name="Normal 2 5 20 5" xfId="4596"/>
    <cellStyle name="Normal 2 5 20 6" xfId="4597"/>
    <cellStyle name="Normal 2 5 20 7" xfId="4598"/>
    <cellStyle name="Normal 2 5 20 8" xfId="4599"/>
    <cellStyle name="Normal 2 5 20 9" xfId="4600"/>
    <cellStyle name="Normal 2 5 21" xfId="4601"/>
    <cellStyle name="Normal 2 5 21 10" xfId="4602"/>
    <cellStyle name="Normal 2 5 21 2" xfId="4603"/>
    <cellStyle name="Normal 2 5 21 2 2" xfId="4604"/>
    <cellStyle name="Normal 2 5 21 2 3" xfId="4605"/>
    <cellStyle name="Normal 2 5 21 2 4" xfId="4606"/>
    <cellStyle name="Normal 2 5 21 2 5" xfId="4607"/>
    <cellStyle name="Normal 2 5 21 2 6" xfId="4608"/>
    <cellStyle name="Normal 2 5 21 2 7" xfId="4609"/>
    <cellStyle name="Normal 2 5 21 3" xfId="4610"/>
    <cellStyle name="Normal 2 5 21 3 2" xfId="4611"/>
    <cellStyle name="Normal 2 5 21 3 3" xfId="4612"/>
    <cellStyle name="Normal 2 5 21 3 4" xfId="4613"/>
    <cellStyle name="Normal 2 5 21 3 5" xfId="4614"/>
    <cellStyle name="Normal 2 5 21 3 6" xfId="4615"/>
    <cellStyle name="Normal 2 5 21 3 7" xfId="4616"/>
    <cellStyle name="Normal 2 5 21 4" xfId="4617"/>
    <cellStyle name="Normal 2 5 21 4 2" xfId="4618"/>
    <cellStyle name="Normal 2 5 21 4 3" xfId="4619"/>
    <cellStyle name="Normal 2 5 21 4 4" xfId="4620"/>
    <cellStyle name="Normal 2 5 21 4 5" xfId="4621"/>
    <cellStyle name="Normal 2 5 21 4 6" xfId="4622"/>
    <cellStyle name="Normal 2 5 21 4 7" xfId="4623"/>
    <cellStyle name="Normal 2 5 21 5" xfId="4624"/>
    <cellStyle name="Normal 2 5 21 6" xfId="4625"/>
    <cellStyle name="Normal 2 5 21 7" xfId="4626"/>
    <cellStyle name="Normal 2 5 21 8" xfId="4627"/>
    <cellStyle name="Normal 2 5 21 9" xfId="4628"/>
    <cellStyle name="Normal 2 5 22" xfId="4629"/>
    <cellStyle name="Normal 2 5 22 2" xfId="4630"/>
    <cellStyle name="Normal 2 5 22 3" xfId="4631"/>
    <cellStyle name="Normal 2 5 22 4" xfId="4632"/>
    <cellStyle name="Normal 2 5 22 5" xfId="4633"/>
    <cellStyle name="Normal 2 5 22 6" xfId="4634"/>
    <cellStyle name="Normal 2 5 22 7" xfId="4635"/>
    <cellStyle name="Normal 2 5 23" xfId="4636"/>
    <cellStyle name="Normal 2 5 23 2" xfId="4637"/>
    <cellStyle name="Normal 2 5 23 3" xfId="4638"/>
    <cellStyle name="Normal 2 5 23 4" xfId="4639"/>
    <cellStyle name="Normal 2 5 23 5" xfId="4640"/>
    <cellStyle name="Normal 2 5 23 6" xfId="4641"/>
    <cellStyle name="Normal 2 5 23 7" xfId="4642"/>
    <cellStyle name="Normal 2 5 24" xfId="4643"/>
    <cellStyle name="Normal 2 5 24 2" xfId="4644"/>
    <cellStyle name="Normal 2 5 24 3" xfId="4645"/>
    <cellStyle name="Normal 2 5 24 4" xfId="4646"/>
    <cellStyle name="Normal 2 5 24 5" xfId="4647"/>
    <cellStyle name="Normal 2 5 24 6" xfId="4648"/>
    <cellStyle name="Normal 2 5 24 7" xfId="4649"/>
    <cellStyle name="Normal 2 5 25" xfId="4650"/>
    <cellStyle name="Normal 2 5 25 2" xfId="4651"/>
    <cellStyle name="Normal 2 5 25 3" xfId="4652"/>
    <cellStyle name="Normal 2 5 25 4" xfId="4653"/>
    <cellStyle name="Normal 2 5 25 5" xfId="4654"/>
    <cellStyle name="Normal 2 5 25 6" xfId="4655"/>
    <cellStyle name="Normal 2 5 25 7" xfId="4656"/>
    <cellStyle name="Normal 2 5 26" xfId="4657"/>
    <cellStyle name="Normal 2 5 26 2" xfId="4658"/>
    <cellStyle name="Normal 2 5 26 3" xfId="4659"/>
    <cellStyle name="Normal 2 5 26 4" xfId="4660"/>
    <cellStyle name="Normal 2 5 26 5" xfId="4661"/>
    <cellStyle name="Normal 2 5 26 6" xfId="4662"/>
    <cellStyle name="Normal 2 5 26 7" xfId="4663"/>
    <cellStyle name="Normal 2 5 27" xfId="4664"/>
    <cellStyle name="Normal 2 5 28" xfId="4665"/>
    <cellStyle name="Normal 2 5 29" xfId="4666"/>
    <cellStyle name="Normal 2 5 3" xfId="4667"/>
    <cellStyle name="Normal 2 5 3 10" xfId="4668"/>
    <cellStyle name="Normal 2 5 3 2" xfId="4669"/>
    <cellStyle name="Normal 2 5 3 2 2" xfId="4670"/>
    <cellStyle name="Normal 2 5 3 2 3" xfId="4671"/>
    <cellStyle name="Normal 2 5 3 2 4" xfId="4672"/>
    <cellStyle name="Normal 2 5 3 2 5" xfId="4673"/>
    <cellStyle name="Normal 2 5 3 2 6" xfId="4674"/>
    <cellStyle name="Normal 2 5 3 2 7" xfId="4675"/>
    <cellStyle name="Normal 2 5 3 3" xfId="4676"/>
    <cellStyle name="Normal 2 5 3 3 2" xfId="4677"/>
    <cellStyle name="Normal 2 5 3 3 3" xfId="4678"/>
    <cellStyle name="Normal 2 5 3 3 4" xfId="4679"/>
    <cellStyle name="Normal 2 5 3 3 5" xfId="4680"/>
    <cellStyle name="Normal 2 5 3 3 6" xfId="4681"/>
    <cellStyle name="Normal 2 5 3 3 7" xfId="4682"/>
    <cellStyle name="Normal 2 5 3 4" xfId="4683"/>
    <cellStyle name="Normal 2 5 3 4 2" xfId="4684"/>
    <cellStyle name="Normal 2 5 3 4 3" xfId="4685"/>
    <cellStyle name="Normal 2 5 3 4 4" xfId="4686"/>
    <cellStyle name="Normal 2 5 3 4 5" xfId="4687"/>
    <cellStyle name="Normal 2 5 3 4 6" xfId="4688"/>
    <cellStyle name="Normal 2 5 3 4 7" xfId="4689"/>
    <cellStyle name="Normal 2 5 3 5" xfId="4690"/>
    <cellStyle name="Normal 2 5 3 6" xfId="4691"/>
    <cellStyle name="Normal 2 5 3 7" xfId="4692"/>
    <cellStyle name="Normal 2 5 3 8" xfId="4693"/>
    <cellStyle name="Normal 2 5 3 9" xfId="4694"/>
    <cellStyle name="Normal 2 5 30" xfId="4695"/>
    <cellStyle name="Normal 2 5 31" xfId="4696"/>
    <cellStyle name="Normal 2 5 32" xfId="4697"/>
    <cellStyle name="Normal 2 5 33" xfId="4698"/>
    <cellStyle name="Normal 2 5 34" xfId="4699"/>
    <cellStyle name="Normal 2 5 35" xfId="4700"/>
    <cellStyle name="Normal 2 5 36" xfId="4701"/>
    <cellStyle name="Normal 2 5 37" xfId="4702"/>
    <cellStyle name="Normal 2 5 38" xfId="4703"/>
    <cellStyle name="Normal 2 5 39" xfId="4704"/>
    <cellStyle name="Normal 2 5 4" xfId="4705"/>
    <cellStyle name="Normal 2 5 4 10" xfId="4706"/>
    <cellStyle name="Normal 2 5 4 2" xfId="4707"/>
    <cellStyle name="Normal 2 5 4 2 2" xfId="4708"/>
    <cellStyle name="Normal 2 5 4 2 3" xfId="4709"/>
    <cellStyle name="Normal 2 5 4 2 4" xfId="4710"/>
    <cellStyle name="Normal 2 5 4 2 5" xfId="4711"/>
    <cellStyle name="Normal 2 5 4 2 6" xfId="4712"/>
    <cellStyle name="Normal 2 5 4 2 7" xfId="4713"/>
    <cellStyle name="Normal 2 5 4 3" xfId="4714"/>
    <cellStyle name="Normal 2 5 4 3 2" xfId="4715"/>
    <cellStyle name="Normal 2 5 4 3 3" xfId="4716"/>
    <cellStyle name="Normal 2 5 4 3 4" xfId="4717"/>
    <cellStyle name="Normal 2 5 4 3 5" xfId="4718"/>
    <cellStyle name="Normal 2 5 4 3 6" xfId="4719"/>
    <cellStyle name="Normal 2 5 4 3 7" xfId="4720"/>
    <cellStyle name="Normal 2 5 4 4" xfId="4721"/>
    <cellStyle name="Normal 2 5 4 4 2" xfId="4722"/>
    <cellStyle name="Normal 2 5 4 4 3" xfId="4723"/>
    <cellStyle name="Normal 2 5 4 4 4" xfId="4724"/>
    <cellStyle name="Normal 2 5 4 4 5" xfId="4725"/>
    <cellStyle name="Normal 2 5 4 4 6" xfId="4726"/>
    <cellStyle name="Normal 2 5 4 4 7" xfId="4727"/>
    <cellStyle name="Normal 2 5 4 5" xfId="4728"/>
    <cellStyle name="Normal 2 5 4 6" xfId="4729"/>
    <cellStyle name="Normal 2 5 4 7" xfId="4730"/>
    <cellStyle name="Normal 2 5 4 8" xfId="4731"/>
    <cellStyle name="Normal 2 5 4 9" xfId="4732"/>
    <cellStyle name="Normal 2 5 40" xfId="4733"/>
    <cellStyle name="Normal 2 5 41" xfId="4734"/>
    <cellStyle name="Normal 2 5 42" xfId="4735"/>
    <cellStyle name="Normal 2 5 43" xfId="4736"/>
    <cellStyle name="Normal 2 5 44" xfId="4737"/>
    <cellStyle name="Normal 2 5 45" xfId="4738"/>
    <cellStyle name="Normal 2 5 5" xfId="4739"/>
    <cellStyle name="Normal 2 5 5 10" xfId="4740"/>
    <cellStyle name="Normal 2 5 5 2" xfId="4741"/>
    <cellStyle name="Normal 2 5 5 2 2" xfId="4742"/>
    <cellStyle name="Normal 2 5 5 2 3" xfId="4743"/>
    <cellStyle name="Normal 2 5 5 2 4" xfId="4744"/>
    <cellStyle name="Normal 2 5 5 2 5" xfId="4745"/>
    <cellStyle name="Normal 2 5 5 2 6" xfId="4746"/>
    <cellStyle name="Normal 2 5 5 2 7" xfId="4747"/>
    <cellStyle name="Normal 2 5 5 3" xfId="4748"/>
    <cellStyle name="Normal 2 5 5 3 2" xfId="4749"/>
    <cellStyle name="Normal 2 5 5 3 3" xfId="4750"/>
    <cellStyle name="Normal 2 5 5 3 4" xfId="4751"/>
    <cellStyle name="Normal 2 5 5 3 5" xfId="4752"/>
    <cellStyle name="Normal 2 5 5 3 6" xfId="4753"/>
    <cellStyle name="Normal 2 5 5 3 7" xfId="4754"/>
    <cellStyle name="Normal 2 5 5 4" xfId="4755"/>
    <cellStyle name="Normal 2 5 5 4 2" xfId="4756"/>
    <cellStyle name="Normal 2 5 5 4 3" xfId="4757"/>
    <cellStyle name="Normal 2 5 5 4 4" xfId="4758"/>
    <cellStyle name="Normal 2 5 5 4 5" xfId="4759"/>
    <cellStyle name="Normal 2 5 5 4 6" xfId="4760"/>
    <cellStyle name="Normal 2 5 5 4 7" xfId="4761"/>
    <cellStyle name="Normal 2 5 5 5" xfId="4762"/>
    <cellStyle name="Normal 2 5 5 6" xfId="4763"/>
    <cellStyle name="Normal 2 5 5 7" xfId="4764"/>
    <cellStyle name="Normal 2 5 5 8" xfId="4765"/>
    <cellStyle name="Normal 2 5 5 9" xfId="4766"/>
    <cellStyle name="Normal 2 5 6" xfId="4767"/>
    <cellStyle name="Normal 2 5 6 10" xfId="4768"/>
    <cellStyle name="Normal 2 5 6 2" xfId="4769"/>
    <cellStyle name="Normal 2 5 6 2 2" xfId="4770"/>
    <cellStyle name="Normal 2 5 6 2 3" xfId="4771"/>
    <cellStyle name="Normal 2 5 6 2 4" xfId="4772"/>
    <cellStyle name="Normal 2 5 6 2 5" xfId="4773"/>
    <cellStyle name="Normal 2 5 6 2 6" xfId="4774"/>
    <cellStyle name="Normal 2 5 6 2 7" xfId="4775"/>
    <cellStyle name="Normal 2 5 6 3" xfId="4776"/>
    <cellStyle name="Normal 2 5 6 3 2" xfId="4777"/>
    <cellStyle name="Normal 2 5 6 3 3" xfId="4778"/>
    <cellStyle name="Normal 2 5 6 3 4" xfId="4779"/>
    <cellStyle name="Normal 2 5 6 3 5" xfId="4780"/>
    <cellStyle name="Normal 2 5 6 3 6" xfId="4781"/>
    <cellStyle name="Normal 2 5 6 3 7" xfId="4782"/>
    <cellStyle name="Normal 2 5 6 4" xfId="4783"/>
    <cellStyle name="Normal 2 5 6 4 2" xfId="4784"/>
    <cellStyle name="Normal 2 5 6 4 3" xfId="4785"/>
    <cellStyle name="Normal 2 5 6 4 4" xfId="4786"/>
    <cellStyle name="Normal 2 5 6 4 5" xfId="4787"/>
    <cellStyle name="Normal 2 5 6 4 6" xfId="4788"/>
    <cellStyle name="Normal 2 5 6 4 7" xfId="4789"/>
    <cellStyle name="Normal 2 5 6 5" xfId="4790"/>
    <cellStyle name="Normal 2 5 6 6" xfId="4791"/>
    <cellStyle name="Normal 2 5 6 7" xfId="4792"/>
    <cellStyle name="Normal 2 5 6 8" xfId="4793"/>
    <cellStyle name="Normal 2 5 6 9" xfId="4794"/>
    <cellStyle name="Normal 2 5 7" xfId="4795"/>
    <cellStyle name="Normal 2 5 7 10" xfId="4796"/>
    <cellStyle name="Normal 2 5 7 2" xfId="4797"/>
    <cellStyle name="Normal 2 5 7 2 2" xfId="4798"/>
    <cellStyle name="Normal 2 5 7 2 3" xfId="4799"/>
    <cellStyle name="Normal 2 5 7 2 4" xfId="4800"/>
    <cellStyle name="Normal 2 5 7 2 5" xfId="4801"/>
    <cellStyle name="Normal 2 5 7 2 6" xfId="4802"/>
    <cellStyle name="Normal 2 5 7 2 7" xfId="4803"/>
    <cellStyle name="Normal 2 5 7 3" xfId="4804"/>
    <cellStyle name="Normal 2 5 7 3 2" xfId="4805"/>
    <cellStyle name="Normal 2 5 7 3 3" xfId="4806"/>
    <cellStyle name="Normal 2 5 7 3 4" xfId="4807"/>
    <cellStyle name="Normal 2 5 7 3 5" xfId="4808"/>
    <cellStyle name="Normal 2 5 7 3 6" xfId="4809"/>
    <cellStyle name="Normal 2 5 7 3 7" xfId="4810"/>
    <cellStyle name="Normal 2 5 7 4" xfId="4811"/>
    <cellStyle name="Normal 2 5 7 4 2" xfId="4812"/>
    <cellStyle name="Normal 2 5 7 4 3" xfId="4813"/>
    <cellStyle name="Normal 2 5 7 4 4" xfId="4814"/>
    <cellStyle name="Normal 2 5 7 4 5" xfId="4815"/>
    <cellStyle name="Normal 2 5 7 4 6" xfId="4816"/>
    <cellStyle name="Normal 2 5 7 4 7" xfId="4817"/>
    <cellStyle name="Normal 2 5 7 5" xfId="4818"/>
    <cellStyle name="Normal 2 5 7 6" xfId="4819"/>
    <cellStyle name="Normal 2 5 7 7" xfId="4820"/>
    <cellStyle name="Normal 2 5 7 8" xfId="4821"/>
    <cellStyle name="Normal 2 5 7 9" xfId="4822"/>
    <cellStyle name="Normal 2 5 8" xfId="4823"/>
    <cellStyle name="Normal 2 5 8 10" xfId="4824"/>
    <cellStyle name="Normal 2 5 8 2" xfId="4825"/>
    <cellStyle name="Normal 2 5 8 2 2" xfId="4826"/>
    <cellStyle name="Normal 2 5 8 2 3" xfId="4827"/>
    <cellStyle name="Normal 2 5 8 2 4" xfId="4828"/>
    <cellStyle name="Normal 2 5 8 2 5" xfId="4829"/>
    <cellStyle name="Normal 2 5 8 2 6" xfId="4830"/>
    <cellStyle name="Normal 2 5 8 2 7" xfId="4831"/>
    <cellStyle name="Normal 2 5 8 3" xfId="4832"/>
    <cellStyle name="Normal 2 5 8 3 2" xfId="4833"/>
    <cellStyle name="Normal 2 5 8 3 3" xfId="4834"/>
    <cellStyle name="Normal 2 5 8 3 4" xfId="4835"/>
    <cellStyle name="Normal 2 5 8 3 5" xfId="4836"/>
    <cellStyle name="Normal 2 5 8 3 6" xfId="4837"/>
    <cellStyle name="Normal 2 5 8 3 7" xfId="4838"/>
    <cellStyle name="Normal 2 5 8 4" xfId="4839"/>
    <cellStyle name="Normal 2 5 8 4 2" xfId="4840"/>
    <cellStyle name="Normal 2 5 8 4 3" xfId="4841"/>
    <cellStyle name="Normal 2 5 8 4 4" xfId="4842"/>
    <cellStyle name="Normal 2 5 8 4 5" xfId="4843"/>
    <cellStyle name="Normal 2 5 8 4 6" xfId="4844"/>
    <cellStyle name="Normal 2 5 8 4 7" xfId="4845"/>
    <cellStyle name="Normal 2 5 8 5" xfId="4846"/>
    <cellStyle name="Normal 2 5 8 6" xfId="4847"/>
    <cellStyle name="Normal 2 5 8 7" xfId="4848"/>
    <cellStyle name="Normal 2 5 8 8" xfId="4849"/>
    <cellStyle name="Normal 2 5 8 9" xfId="4850"/>
    <cellStyle name="Normal 2 5 9" xfId="4851"/>
    <cellStyle name="Normal 2 5 9 10" xfId="4852"/>
    <cellStyle name="Normal 2 5 9 2" xfId="4853"/>
    <cellStyle name="Normal 2 5 9 2 2" xfId="4854"/>
    <cellStyle name="Normal 2 5 9 2 3" xfId="4855"/>
    <cellStyle name="Normal 2 5 9 2 4" xfId="4856"/>
    <cellStyle name="Normal 2 5 9 2 5" xfId="4857"/>
    <cellStyle name="Normal 2 5 9 2 6" xfId="4858"/>
    <cellStyle name="Normal 2 5 9 2 7" xfId="4859"/>
    <cellStyle name="Normal 2 5 9 3" xfId="4860"/>
    <cellStyle name="Normal 2 5 9 3 2" xfId="4861"/>
    <cellStyle name="Normal 2 5 9 3 3" xfId="4862"/>
    <cellStyle name="Normal 2 5 9 3 4" xfId="4863"/>
    <cellStyle name="Normal 2 5 9 3 5" xfId="4864"/>
    <cellStyle name="Normal 2 5 9 3 6" xfId="4865"/>
    <cellStyle name="Normal 2 5 9 3 7" xfId="4866"/>
    <cellStyle name="Normal 2 5 9 4" xfId="4867"/>
    <cellStyle name="Normal 2 5 9 4 2" xfId="4868"/>
    <cellStyle name="Normal 2 5 9 4 3" xfId="4869"/>
    <cellStyle name="Normal 2 5 9 4 4" xfId="4870"/>
    <cellStyle name="Normal 2 5 9 4 5" xfId="4871"/>
    <cellStyle name="Normal 2 5 9 4 6" xfId="4872"/>
    <cellStyle name="Normal 2 5 9 4 7" xfId="4873"/>
    <cellStyle name="Normal 2 5 9 5" xfId="4874"/>
    <cellStyle name="Normal 2 5 9 6" xfId="4875"/>
    <cellStyle name="Normal 2 5 9 7" xfId="4876"/>
    <cellStyle name="Normal 2 5 9 8" xfId="4877"/>
    <cellStyle name="Normal 2 5 9 9" xfId="4878"/>
    <cellStyle name="Normal 2 50" xfId="4879"/>
    <cellStyle name="Normal 2 51" xfId="4880"/>
    <cellStyle name="Normal 2 6" xfId="4881"/>
    <cellStyle name="Normal 2 6 10" xfId="4882"/>
    <cellStyle name="Normal 2 6 10 10" xfId="4883"/>
    <cellStyle name="Normal 2 6 10 2" xfId="4884"/>
    <cellStyle name="Normal 2 6 10 2 2" xfId="4885"/>
    <cellStyle name="Normal 2 6 10 2 3" xfId="4886"/>
    <cellStyle name="Normal 2 6 10 2 4" xfId="4887"/>
    <cellStyle name="Normal 2 6 10 2 5" xfId="4888"/>
    <cellStyle name="Normal 2 6 10 2 6" xfId="4889"/>
    <cellStyle name="Normal 2 6 10 2 7" xfId="4890"/>
    <cellStyle name="Normal 2 6 10 3" xfId="4891"/>
    <cellStyle name="Normal 2 6 10 3 2" xfId="4892"/>
    <cellStyle name="Normal 2 6 10 3 3" xfId="4893"/>
    <cellStyle name="Normal 2 6 10 3 4" xfId="4894"/>
    <cellStyle name="Normal 2 6 10 3 5" xfId="4895"/>
    <cellStyle name="Normal 2 6 10 3 6" xfId="4896"/>
    <cellStyle name="Normal 2 6 10 3 7" xfId="4897"/>
    <cellStyle name="Normal 2 6 10 4" xfId="4898"/>
    <cellStyle name="Normal 2 6 10 4 2" xfId="4899"/>
    <cellStyle name="Normal 2 6 10 4 3" xfId="4900"/>
    <cellStyle name="Normal 2 6 10 4 4" xfId="4901"/>
    <cellStyle name="Normal 2 6 10 4 5" xfId="4902"/>
    <cellStyle name="Normal 2 6 10 4 6" xfId="4903"/>
    <cellStyle name="Normal 2 6 10 4 7" xfId="4904"/>
    <cellStyle name="Normal 2 6 10 5" xfId="4905"/>
    <cellStyle name="Normal 2 6 10 6" xfId="4906"/>
    <cellStyle name="Normal 2 6 10 7" xfId="4907"/>
    <cellStyle name="Normal 2 6 10 8" xfId="4908"/>
    <cellStyle name="Normal 2 6 10 9" xfId="4909"/>
    <cellStyle name="Normal 2 6 11" xfId="4910"/>
    <cellStyle name="Normal 2 6 11 10" xfId="4911"/>
    <cellStyle name="Normal 2 6 11 2" xfId="4912"/>
    <cellStyle name="Normal 2 6 11 2 2" xfId="4913"/>
    <cellStyle name="Normal 2 6 11 2 3" xfId="4914"/>
    <cellStyle name="Normal 2 6 11 2 4" xfId="4915"/>
    <cellStyle name="Normal 2 6 11 2 5" xfId="4916"/>
    <cellStyle name="Normal 2 6 11 2 6" xfId="4917"/>
    <cellStyle name="Normal 2 6 11 2 7" xfId="4918"/>
    <cellStyle name="Normal 2 6 11 3" xfId="4919"/>
    <cellStyle name="Normal 2 6 11 3 2" xfId="4920"/>
    <cellStyle name="Normal 2 6 11 3 3" xfId="4921"/>
    <cellStyle name="Normal 2 6 11 3 4" xfId="4922"/>
    <cellStyle name="Normal 2 6 11 3 5" xfId="4923"/>
    <cellStyle name="Normal 2 6 11 3 6" xfId="4924"/>
    <cellStyle name="Normal 2 6 11 3 7" xfId="4925"/>
    <cellStyle name="Normal 2 6 11 4" xfId="4926"/>
    <cellStyle name="Normal 2 6 11 4 2" xfId="4927"/>
    <cellStyle name="Normal 2 6 11 4 3" xfId="4928"/>
    <cellStyle name="Normal 2 6 11 4 4" xfId="4929"/>
    <cellStyle name="Normal 2 6 11 4 5" xfId="4930"/>
    <cellStyle name="Normal 2 6 11 4 6" xfId="4931"/>
    <cellStyle name="Normal 2 6 11 4 7" xfId="4932"/>
    <cellStyle name="Normal 2 6 11 5" xfId="4933"/>
    <cellStyle name="Normal 2 6 11 6" xfId="4934"/>
    <cellStyle name="Normal 2 6 11 7" xfId="4935"/>
    <cellStyle name="Normal 2 6 11 8" xfId="4936"/>
    <cellStyle name="Normal 2 6 11 9" xfId="4937"/>
    <cellStyle name="Normal 2 6 12" xfId="4938"/>
    <cellStyle name="Normal 2 6 12 10" xfId="4939"/>
    <cellStyle name="Normal 2 6 12 2" xfId="4940"/>
    <cellStyle name="Normal 2 6 12 2 2" xfId="4941"/>
    <cellStyle name="Normal 2 6 12 2 3" xfId="4942"/>
    <cellStyle name="Normal 2 6 12 2 4" xfId="4943"/>
    <cellStyle name="Normal 2 6 12 2 5" xfId="4944"/>
    <cellStyle name="Normal 2 6 12 2 6" xfId="4945"/>
    <cellStyle name="Normal 2 6 12 2 7" xfId="4946"/>
    <cellStyle name="Normal 2 6 12 3" xfId="4947"/>
    <cellStyle name="Normal 2 6 12 3 2" xfId="4948"/>
    <cellStyle name="Normal 2 6 12 3 3" xfId="4949"/>
    <cellStyle name="Normal 2 6 12 3 4" xfId="4950"/>
    <cellStyle name="Normal 2 6 12 3 5" xfId="4951"/>
    <cellStyle name="Normal 2 6 12 3 6" xfId="4952"/>
    <cellStyle name="Normal 2 6 12 3 7" xfId="4953"/>
    <cellStyle name="Normal 2 6 12 4" xfId="4954"/>
    <cellStyle name="Normal 2 6 12 4 2" xfId="4955"/>
    <cellStyle name="Normal 2 6 12 4 3" xfId="4956"/>
    <cellStyle name="Normal 2 6 12 4 4" xfId="4957"/>
    <cellStyle name="Normal 2 6 12 4 5" xfId="4958"/>
    <cellStyle name="Normal 2 6 12 4 6" xfId="4959"/>
    <cellStyle name="Normal 2 6 12 4 7" xfId="4960"/>
    <cellStyle name="Normal 2 6 12 5" xfId="4961"/>
    <cellStyle name="Normal 2 6 12 6" xfId="4962"/>
    <cellStyle name="Normal 2 6 12 7" xfId="4963"/>
    <cellStyle name="Normal 2 6 12 8" xfId="4964"/>
    <cellStyle name="Normal 2 6 12 9" xfId="4965"/>
    <cellStyle name="Normal 2 6 13" xfId="4966"/>
    <cellStyle name="Normal 2 6 13 10" xfId="4967"/>
    <cellStyle name="Normal 2 6 13 2" xfId="4968"/>
    <cellStyle name="Normal 2 6 13 2 2" xfId="4969"/>
    <cellStyle name="Normal 2 6 13 2 3" xfId="4970"/>
    <cellStyle name="Normal 2 6 13 2 4" xfId="4971"/>
    <cellStyle name="Normal 2 6 13 2 5" xfId="4972"/>
    <cellStyle name="Normal 2 6 13 2 6" xfId="4973"/>
    <cellStyle name="Normal 2 6 13 2 7" xfId="4974"/>
    <cellStyle name="Normal 2 6 13 3" xfId="4975"/>
    <cellStyle name="Normal 2 6 13 3 2" xfId="4976"/>
    <cellStyle name="Normal 2 6 13 3 3" xfId="4977"/>
    <cellStyle name="Normal 2 6 13 3 4" xfId="4978"/>
    <cellStyle name="Normal 2 6 13 3 5" xfId="4979"/>
    <cellStyle name="Normal 2 6 13 3 6" xfId="4980"/>
    <cellStyle name="Normal 2 6 13 3 7" xfId="4981"/>
    <cellStyle name="Normal 2 6 13 4" xfId="4982"/>
    <cellStyle name="Normal 2 6 13 4 2" xfId="4983"/>
    <cellStyle name="Normal 2 6 13 4 3" xfId="4984"/>
    <cellStyle name="Normal 2 6 13 4 4" xfId="4985"/>
    <cellStyle name="Normal 2 6 13 4 5" xfId="4986"/>
    <cellStyle name="Normal 2 6 13 4 6" xfId="4987"/>
    <cellStyle name="Normal 2 6 13 4 7" xfId="4988"/>
    <cellStyle name="Normal 2 6 13 5" xfId="4989"/>
    <cellStyle name="Normal 2 6 13 6" xfId="4990"/>
    <cellStyle name="Normal 2 6 13 7" xfId="4991"/>
    <cellStyle name="Normal 2 6 13 8" xfId="4992"/>
    <cellStyle name="Normal 2 6 13 9" xfId="4993"/>
    <cellStyle name="Normal 2 6 14" xfId="4994"/>
    <cellStyle name="Normal 2 6 14 10" xfId="4995"/>
    <cellStyle name="Normal 2 6 14 2" xfId="4996"/>
    <cellStyle name="Normal 2 6 14 2 2" xfId="4997"/>
    <cellStyle name="Normal 2 6 14 2 3" xfId="4998"/>
    <cellStyle name="Normal 2 6 14 2 4" xfId="4999"/>
    <cellStyle name="Normal 2 6 14 2 5" xfId="5000"/>
    <cellStyle name="Normal 2 6 14 2 6" xfId="5001"/>
    <cellStyle name="Normal 2 6 14 2 7" xfId="5002"/>
    <cellStyle name="Normal 2 6 14 3" xfId="5003"/>
    <cellStyle name="Normal 2 6 14 3 2" xfId="5004"/>
    <cellStyle name="Normal 2 6 14 3 3" xfId="5005"/>
    <cellStyle name="Normal 2 6 14 3 4" xfId="5006"/>
    <cellStyle name="Normal 2 6 14 3 5" xfId="5007"/>
    <cellStyle name="Normal 2 6 14 3 6" xfId="5008"/>
    <cellStyle name="Normal 2 6 14 3 7" xfId="5009"/>
    <cellStyle name="Normal 2 6 14 4" xfId="5010"/>
    <cellStyle name="Normal 2 6 14 4 2" xfId="5011"/>
    <cellStyle name="Normal 2 6 14 4 3" xfId="5012"/>
    <cellStyle name="Normal 2 6 14 4 4" xfId="5013"/>
    <cellStyle name="Normal 2 6 14 4 5" xfId="5014"/>
    <cellStyle name="Normal 2 6 14 4 6" xfId="5015"/>
    <cellStyle name="Normal 2 6 14 4 7" xfId="5016"/>
    <cellStyle name="Normal 2 6 14 5" xfId="5017"/>
    <cellStyle name="Normal 2 6 14 6" xfId="5018"/>
    <cellStyle name="Normal 2 6 14 7" xfId="5019"/>
    <cellStyle name="Normal 2 6 14 8" xfId="5020"/>
    <cellStyle name="Normal 2 6 14 9" xfId="5021"/>
    <cellStyle name="Normal 2 6 15" xfId="5022"/>
    <cellStyle name="Normal 2 6 15 10" xfId="5023"/>
    <cellStyle name="Normal 2 6 15 2" xfId="5024"/>
    <cellStyle name="Normal 2 6 15 2 2" xfId="5025"/>
    <cellStyle name="Normal 2 6 15 2 3" xfId="5026"/>
    <cellStyle name="Normal 2 6 15 2 4" xfId="5027"/>
    <cellStyle name="Normal 2 6 15 2 5" xfId="5028"/>
    <cellStyle name="Normal 2 6 15 2 6" xfId="5029"/>
    <cellStyle name="Normal 2 6 15 2 7" xfId="5030"/>
    <cellStyle name="Normal 2 6 15 3" xfId="5031"/>
    <cellStyle name="Normal 2 6 15 3 2" xfId="5032"/>
    <cellStyle name="Normal 2 6 15 3 3" xfId="5033"/>
    <cellStyle name="Normal 2 6 15 3 4" xfId="5034"/>
    <cellStyle name="Normal 2 6 15 3 5" xfId="5035"/>
    <cellStyle name="Normal 2 6 15 3 6" xfId="5036"/>
    <cellStyle name="Normal 2 6 15 3 7" xfId="5037"/>
    <cellStyle name="Normal 2 6 15 4" xfId="5038"/>
    <cellStyle name="Normal 2 6 15 4 2" xfId="5039"/>
    <cellStyle name="Normal 2 6 15 4 3" xfId="5040"/>
    <cellStyle name="Normal 2 6 15 4 4" xfId="5041"/>
    <cellStyle name="Normal 2 6 15 4 5" xfId="5042"/>
    <cellStyle name="Normal 2 6 15 4 6" xfId="5043"/>
    <cellStyle name="Normal 2 6 15 4 7" xfId="5044"/>
    <cellStyle name="Normal 2 6 15 5" xfId="5045"/>
    <cellStyle name="Normal 2 6 15 6" xfId="5046"/>
    <cellStyle name="Normal 2 6 15 7" xfId="5047"/>
    <cellStyle name="Normal 2 6 15 8" xfId="5048"/>
    <cellStyle name="Normal 2 6 15 9" xfId="5049"/>
    <cellStyle name="Normal 2 6 16" xfId="5050"/>
    <cellStyle name="Normal 2 6 16 10" xfId="5051"/>
    <cellStyle name="Normal 2 6 16 2" xfId="5052"/>
    <cellStyle name="Normal 2 6 16 2 2" xfId="5053"/>
    <cellStyle name="Normal 2 6 16 2 3" xfId="5054"/>
    <cellStyle name="Normal 2 6 16 2 4" xfId="5055"/>
    <cellStyle name="Normal 2 6 16 2 5" xfId="5056"/>
    <cellStyle name="Normal 2 6 16 2 6" xfId="5057"/>
    <cellStyle name="Normal 2 6 16 2 7" xfId="5058"/>
    <cellStyle name="Normal 2 6 16 3" xfId="5059"/>
    <cellStyle name="Normal 2 6 16 3 2" xfId="5060"/>
    <cellStyle name="Normal 2 6 16 3 3" xfId="5061"/>
    <cellStyle name="Normal 2 6 16 3 4" xfId="5062"/>
    <cellStyle name="Normal 2 6 16 3 5" xfId="5063"/>
    <cellStyle name="Normal 2 6 16 3 6" xfId="5064"/>
    <cellStyle name="Normal 2 6 16 3 7" xfId="5065"/>
    <cellStyle name="Normal 2 6 16 4" xfId="5066"/>
    <cellStyle name="Normal 2 6 16 4 2" xfId="5067"/>
    <cellStyle name="Normal 2 6 16 4 3" xfId="5068"/>
    <cellStyle name="Normal 2 6 16 4 4" xfId="5069"/>
    <cellStyle name="Normal 2 6 16 4 5" xfId="5070"/>
    <cellStyle name="Normal 2 6 16 4 6" xfId="5071"/>
    <cellStyle name="Normal 2 6 16 4 7" xfId="5072"/>
    <cellStyle name="Normal 2 6 16 5" xfId="5073"/>
    <cellStyle name="Normal 2 6 16 6" xfId="5074"/>
    <cellStyle name="Normal 2 6 16 7" xfId="5075"/>
    <cellStyle name="Normal 2 6 16 8" xfId="5076"/>
    <cellStyle name="Normal 2 6 16 9" xfId="5077"/>
    <cellStyle name="Normal 2 6 17" xfId="5078"/>
    <cellStyle name="Normal 2 6 17 10" xfId="5079"/>
    <cellStyle name="Normal 2 6 17 2" xfId="5080"/>
    <cellStyle name="Normal 2 6 17 2 2" xfId="5081"/>
    <cellStyle name="Normal 2 6 17 2 3" xfId="5082"/>
    <cellStyle name="Normal 2 6 17 2 4" xfId="5083"/>
    <cellStyle name="Normal 2 6 17 2 5" xfId="5084"/>
    <cellStyle name="Normal 2 6 17 2 6" xfId="5085"/>
    <cellStyle name="Normal 2 6 17 2 7" xfId="5086"/>
    <cellStyle name="Normal 2 6 17 3" xfId="5087"/>
    <cellStyle name="Normal 2 6 17 3 2" xfId="5088"/>
    <cellStyle name="Normal 2 6 17 3 3" xfId="5089"/>
    <cellStyle name="Normal 2 6 17 3 4" xfId="5090"/>
    <cellStyle name="Normal 2 6 17 3 5" xfId="5091"/>
    <cellStyle name="Normal 2 6 17 3 6" xfId="5092"/>
    <cellStyle name="Normal 2 6 17 3 7" xfId="5093"/>
    <cellStyle name="Normal 2 6 17 4" xfId="5094"/>
    <cellStyle name="Normal 2 6 17 4 2" xfId="5095"/>
    <cellStyle name="Normal 2 6 17 4 3" xfId="5096"/>
    <cellStyle name="Normal 2 6 17 4 4" xfId="5097"/>
    <cellStyle name="Normal 2 6 17 4 5" xfId="5098"/>
    <cellStyle name="Normal 2 6 17 4 6" xfId="5099"/>
    <cellStyle name="Normal 2 6 17 4 7" xfId="5100"/>
    <cellStyle name="Normal 2 6 17 5" xfId="5101"/>
    <cellStyle name="Normal 2 6 17 6" xfId="5102"/>
    <cellStyle name="Normal 2 6 17 7" xfId="5103"/>
    <cellStyle name="Normal 2 6 17 8" xfId="5104"/>
    <cellStyle name="Normal 2 6 17 9" xfId="5105"/>
    <cellStyle name="Normal 2 6 18" xfId="5106"/>
    <cellStyle name="Normal 2 6 18 10" xfId="5107"/>
    <cellStyle name="Normal 2 6 18 2" xfId="5108"/>
    <cellStyle name="Normal 2 6 18 2 2" xfId="5109"/>
    <cellStyle name="Normal 2 6 18 2 3" xfId="5110"/>
    <cellStyle name="Normal 2 6 18 2 4" xfId="5111"/>
    <cellStyle name="Normal 2 6 18 2 5" xfId="5112"/>
    <cellStyle name="Normal 2 6 18 2 6" xfId="5113"/>
    <cellStyle name="Normal 2 6 18 2 7" xfId="5114"/>
    <cellStyle name="Normal 2 6 18 3" xfId="5115"/>
    <cellStyle name="Normal 2 6 18 3 2" xfId="5116"/>
    <cellStyle name="Normal 2 6 18 3 3" xfId="5117"/>
    <cellStyle name="Normal 2 6 18 3 4" xfId="5118"/>
    <cellStyle name="Normal 2 6 18 3 5" xfId="5119"/>
    <cellStyle name="Normal 2 6 18 3 6" xfId="5120"/>
    <cellStyle name="Normal 2 6 18 3 7" xfId="5121"/>
    <cellStyle name="Normal 2 6 18 4" xfId="5122"/>
    <cellStyle name="Normal 2 6 18 4 2" xfId="5123"/>
    <cellStyle name="Normal 2 6 18 4 3" xfId="5124"/>
    <cellStyle name="Normal 2 6 18 4 4" xfId="5125"/>
    <cellStyle name="Normal 2 6 18 4 5" xfId="5126"/>
    <cellStyle name="Normal 2 6 18 4 6" xfId="5127"/>
    <cellStyle name="Normal 2 6 18 4 7" xfId="5128"/>
    <cellStyle name="Normal 2 6 18 5" xfId="5129"/>
    <cellStyle name="Normal 2 6 18 6" xfId="5130"/>
    <cellStyle name="Normal 2 6 18 7" xfId="5131"/>
    <cellStyle name="Normal 2 6 18 8" xfId="5132"/>
    <cellStyle name="Normal 2 6 18 9" xfId="5133"/>
    <cellStyle name="Normal 2 6 19" xfId="5134"/>
    <cellStyle name="Normal 2 6 19 10" xfId="5135"/>
    <cellStyle name="Normal 2 6 19 2" xfId="5136"/>
    <cellStyle name="Normal 2 6 19 2 2" xfId="5137"/>
    <cellStyle name="Normal 2 6 19 2 3" xfId="5138"/>
    <cellStyle name="Normal 2 6 19 2 4" xfId="5139"/>
    <cellStyle name="Normal 2 6 19 2 5" xfId="5140"/>
    <cellStyle name="Normal 2 6 19 2 6" xfId="5141"/>
    <cellStyle name="Normal 2 6 19 2 7" xfId="5142"/>
    <cellStyle name="Normal 2 6 19 3" xfId="5143"/>
    <cellStyle name="Normal 2 6 19 3 2" xfId="5144"/>
    <cellStyle name="Normal 2 6 19 3 3" xfId="5145"/>
    <cellStyle name="Normal 2 6 19 3 4" xfId="5146"/>
    <cellStyle name="Normal 2 6 19 3 5" xfId="5147"/>
    <cellStyle name="Normal 2 6 19 3 6" xfId="5148"/>
    <cellStyle name="Normal 2 6 19 3 7" xfId="5149"/>
    <cellStyle name="Normal 2 6 19 4" xfId="5150"/>
    <cellStyle name="Normal 2 6 19 4 2" xfId="5151"/>
    <cellStyle name="Normal 2 6 19 4 3" xfId="5152"/>
    <cellStyle name="Normal 2 6 19 4 4" xfId="5153"/>
    <cellStyle name="Normal 2 6 19 4 5" xfId="5154"/>
    <cellStyle name="Normal 2 6 19 4 6" xfId="5155"/>
    <cellStyle name="Normal 2 6 19 4 7" xfId="5156"/>
    <cellStyle name="Normal 2 6 19 5" xfId="5157"/>
    <cellStyle name="Normal 2 6 19 6" xfId="5158"/>
    <cellStyle name="Normal 2 6 19 7" xfId="5159"/>
    <cellStyle name="Normal 2 6 19 8" xfId="5160"/>
    <cellStyle name="Normal 2 6 19 9" xfId="5161"/>
    <cellStyle name="Normal 2 6 2" xfId="5162"/>
    <cellStyle name="Normal 2 6 2 10" xfId="5163"/>
    <cellStyle name="Normal 2 6 2 2" xfId="5164"/>
    <cellStyle name="Normal 2 6 2 2 2" xfId="5165"/>
    <cellStyle name="Normal 2 6 2 2 3" xfId="5166"/>
    <cellStyle name="Normal 2 6 2 2 4" xfId="5167"/>
    <cellStyle name="Normal 2 6 2 2 5" xfId="5168"/>
    <cellStyle name="Normal 2 6 2 2 6" xfId="5169"/>
    <cellStyle name="Normal 2 6 2 2 7" xfId="5170"/>
    <cellStyle name="Normal 2 6 2 3" xfId="5171"/>
    <cellStyle name="Normal 2 6 2 3 2" xfId="5172"/>
    <cellStyle name="Normal 2 6 2 3 3" xfId="5173"/>
    <cellStyle name="Normal 2 6 2 3 4" xfId="5174"/>
    <cellStyle name="Normal 2 6 2 3 5" xfId="5175"/>
    <cellStyle name="Normal 2 6 2 3 6" xfId="5176"/>
    <cellStyle name="Normal 2 6 2 3 7" xfId="5177"/>
    <cellStyle name="Normal 2 6 2 4" xfId="5178"/>
    <cellStyle name="Normal 2 6 2 4 2" xfId="5179"/>
    <cellStyle name="Normal 2 6 2 4 3" xfId="5180"/>
    <cellStyle name="Normal 2 6 2 4 4" xfId="5181"/>
    <cellStyle name="Normal 2 6 2 4 5" xfId="5182"/>
    <cellStyle name="Normal 2 6 2 4 6" xfId="5183"/>
    <cellStyle name="Normal 2 6 2 4 7" xfId="5184"/>
    <cellStyle name="Normal 2 6 2 5" xfId="5185"/>
    <cellStyle name="Normal 2 6 2 6" xfId="5186"/>
    <cellStyle name="Normal 2 6 2 7" xfId="5187"/>
    <cellStyle name="Normal 2 6 2 8" xfId="5188"/>
    <cellStyle name="Normal 2 6 2 9" xfId="5189"/>
    <cellStyle name="Normal 2 6 20" xfId="5190"/>
    <cellStyle name="Normal 2 6 20 10" xfId="5191"/>
    <cellStyle name="Normal 2 6 20 2" xfId="5192"/>
    <cellStyle name="Normal 2 6 20 2 2" xfId="5193"/>
    <cellStyle name="Normal 2 6 20 2 3" xfId="5194"/>
    <cellStyle name="Normal 2 6 20 2 4" xfId="5195"/>
    <cellStyle name="Normal 2 6 20 2 5" xfId="5196"/>
    <cellStyle name="Normal 2 6 20 2 6" xfId="5197"/>
    <cellStyle name="Normal 2 6 20 2 7" xfId="5198"/>
    <cellStyle name="Normal 2 6 20 3" xfId="5199"/>
    <cellStyle name="Normal 2 6 20 3 2" xfId="5200"/>
    <cellStyle name="Normal 2 6 20 3 3" xfId="5201"/>
    <cellStyle name="Normal 2 6 20 3 4" xfId="5202"/>
    <cellStyle name="Normal 2 6 20 3 5" xfId="5203"/>
    <cellStyle name="Normal 2 6 20 3 6" xfId="5204"/>
    <cellStyle name="Normal 2 6 20 3 7" xfId="5205"/>
    <cellStyle name="Normal 2 6 20 4" xfId="5206"/>
    <cellStyle name="Normal 2 6 20 4 2" xfId="5207"/>
    <cellStyle name="Normal 2 6 20 4 3" xfId="5208"/>
    <cellStyle name="Normal 2 6 20 4 4" xfId="5209"/>
    <cellStyle name="Normal 2 6 20 4 5" xfId="5210"/>
    <cellStyle name="Normal 2 6 20 4 6" xfId="5211"/>
    <cellStyle name="Normal 2 6 20 4 7" xfId="5212"/>
    <cellStyle name="Normal 2 6 20 5" xfId="5213"/>
    <cellStyle name="Normal 2 6 20 6" xfId="5214"/>
    <cellStyle name="Normal 2 6 20 7" xfId="5215"/>
    <cellStyle name="Normal 2 6 20 8" xfId="5216"/>
    <cellStyle name="Normal 2 6 20 9" xfId="5217"/>
    <cellStyle name="Normal 2 6 21" xfId="5218"/>
    <cellStyle name="Normal 2 6 21 10" xfId="5219"/>
    <cellStyle name="Normal 2 6 21 2" xfId="5220"/>
    <cellStyle name="Normal 2 6 21 2 2" xfId="5221"/>
    <cellStyle name="Normal 2 6 21 2 3" xfId="5222"/>
    <cellStyle name="Normal 2 6 21 2 4" xfId="5223"/>
    <cellStyle name="Normal 2 6 21 2 5" xfId="5224"/>
    <cellStyle name="Normal 2 6 21 2 6" xfId="5225"/>
    <cellStyle name="Normal 2 6 21 2 7" xfId="5226"/>
    <cellStyle name="Normal 2 6 21 3" xfId="5227"/>
    <cellStyle name="Normal 2 6 21 3 2" xfId="5228"/>
    <cellStyle name="Normal 2 6 21 3 3" xfId="5229"/>
    <cellStyle name="Normal 2 6 21 3 4" xfId="5230"/>
    <cellStyle name="Normal 2 6 21 3 5" xfId="5231"/>
    <cellStyle name="Normal 2 6 21 3 6" xfId="5232"/>
    <cellStyle name="Normal 2 6 21 3 7" xfId="5233"/>
    <cellStyle name="Normal 2 6 21 4" xfId="5234"/>
    <cellStyle name="Normal 2 6 21 4 2" xfId="5235"/>
    <cellStyle name="Normal 2 6 21 4 3" xfId="5236"/>
    <cellStyle name="Normal 2 6 21 4 4" xfId="5237"/>
    <cellStyle name="Normal 2 6 21 4 5" xfId="5238"/>
    <cellStyle name="Normal 2 6 21 4 6" xfId="5239"/>
    <cellStyle name="Normal 2 6 21 4 7" xfId="5240"/>
    <cellStyle name="Normal 2 6 21 5" xfId="5241"/>
    <cellStyle name="Normal 2 6 21 6" xfId="5242"/>
    <cellStyle name="Normal 2 6 21 7" xfId="5243"/>
    <cellStyle name="Normal 2 6 21 8" xfId="5244"/>
    <cellStyle name="Normal 2 6 21 9" xfId="5245"/>
    <cellStyle name="Normal 2 6 22" xfId="5246"/>
    <cellStyle name="Normal 2 6 22 2" xfId="5247"/>
    <cellStyle name="Normal 2 6 22 3" xfId="5248"/>
    <cellStyle name="Normal 2 6 22 4" xfId="5249"/>
    <cellStyle name="Normal 2 6 22 5" xfId="5250"/>
    <cellStyle name="Normal 2 6 22 6" xfId="5251"/>
    <cellStyle name="Normal 2 6 22 7" xfId="5252"/>
    <cellStyle name="Normal 2 6 23" xfId="5253"/>
    <cellStyle name="Normal 2 6 23 2" xfId="5254"/>
    <cellStyle name="Normal 2 6 23 3" xfId="5255"/>
    <cellStyle name="Normal 2 6 23 4" xfId="5256"/>
    <cellStyle name="Normal 2 6 23 5" xfId="5257"/>
    <cellStyle name="Normal 2 6 23 6" xfId="5258"/>
    <cellStyle name="Normal 2 6 23 7" xfId="5259"/>
    <cellStyle name="Normal 2 6 24" xfId="5260"/>
    <cellStyle name="Normal 2 6 24 2" xfId="5261"/>
    <cellStyle name="Normal 2 6 24 3" xfId="5262"/>
    <cellStyle name="Normal 2 6 24 4" xfId="5263"/>
    <cellStyle name="Normal 2 6 24 5" xfId="5264"/>
    <cellStyle name="Normal 2 6 24 6" xfId="5265"/>
    <cellStyle name="Normal 2 6 24 7" xfId="5266"/>
    <cellStyle name="Normal 2 6 25" xfId="5267"/>
    <cellStyle name="Normal 2 6 25 2" xfId="5268"/>
    <cellStyle name="Normal 2 6 25 3" xfId="5269"/>
    <cellStyle name="Normal 2 6 25 4" xfId="5270"/>
    <cellStyle name="Normal 2 6 25 5" xfId="5271"/>
    <cellStyle name="Normal 2 6 25 6" xfId="5272"/>
    <cellStyle name="Normal 2 6 25 7" xfId="5273"/>
    <cellStyle name="Normal 2 6 26" xfId="5274"/>
    <cellStyle name="Normal 2 6 26 2" xfId="5275"/>
    <cellStyle name="Normal 2 6 26 3" xfId="5276"/>
    <cellStyle name="Normal 2 6 26 4" xfId="5277"/>
    <cellStyle name="Normal 2 6 26 5" xfId="5278"/>
    <cellStyle name="Normal 2 6 26 6" xfId="5279"/>
    <cellStyle name="Normal 2 6 26 7" xfId="5280"/>
    <cellStyle name="Normal 2 6 27" xfId="5281"/>
    <cellStyle name="Normal 2 6 28" xfId="5282"/>
    <cellStyle name="Normal 2 6 29" xfId="5283"/>
    <cellStyle name="Normal 2 6 3" xfId="5284"/>
    <cellStyle name="Normal 2 6 3 10" xfId="5285"/>
    <cellStyle name="Normal 2 6 3 2" xfId="5286"/>
    <cellStyle name="Normal 2 6 3 2 2" xfId="5287"/>
    <cellStyle name="Normal 2 6 3 2 3" xfId="5288"/>
    <cellStyle name="Normal 2 6 3 2 4" xfId="5289"/>
    <cellStyle name="Normal 2 6 3 2 5" xfId="5290"/>
    <cellStyle name="Normal 2 6 3 2 6" xfId="5291"/>
    <cellStyle name="Normal 2 6 3 2 7" xfId="5292"/>
    <cellStyle name="Normal 2 6 3 3" xfId="5293"/>
    <cellStyle name="Normal 2 6 3 3 2" xfId="5294"/>
    <cellStyle name="Normal 2 6 3 3 3" xfId="5295"/>
    <cellStyle name="Normal 2 6 3 3 4" xfId="5296"/>
    <cellStyle name="Normal 2 6 3 3 5" xfId="5297"/>
    <cellStyle name="Normal 2 6 3 3 6" xfId="5298"/>
    <cellStyle name="Normal 2 6 3 3 7" xfId="5299"/>
    <cellStyle name="Normal 2 6 3 4" xfId="5300"/>
    <cellStyle name="Normal 2 6 3 4 2" xfId="5301"/>
    <cellStyle name="Normal 2 6 3 4 3" xfId="5302"/>
    <cellStyle name="Normal 2 6 3 4 4" xfId="5303"/>
    <cellStyle name="Normal 2 6 3 4 5" xfId="5304"/>
    <cellStyle name="Normal 2 6 3 4 6" xfId="5305"/>
    <cellStyle name="Normal 2 6 3 4 7" xfId="5306"/>
    <cellStyle name="Normal 2 6 3 5" xfId="5307"/>
    <cellStyle name="Normal 2 6 3 6" xfId="5308"/>
    <cellStyle name="Normal 2 6 3 7" xfId="5309"/>
    <cellStyle name="Normal 2 6 3 8" xfId="5310"/>
    <cellStyle name="Normal 2 6 3 9" xfId="5311"/>
    <cellStyle name="Normal 2 6 30" xfId="5312"/>
    <cellStyle name="Normal 2 6 31" xfId="5313"/>
    <cellStyle name="Normal 2 6 32" xfId="5314"/>
    <cellStyle name="Normal 2 6 33" xfId="5315"/>
    <cellStyle name="Normal 2 6 34" xfId="5316"/>
    <cellStyle name="Normal 2 6 35" xfId="5317"/>
    <cellStyle name="Normal 2 6 36" xfId="5318"/>
    <cellStyle name="Normal 2 6 37" xfId="5319"/>
    <cellStyle name="Normal 2 6 38" xfId="5320"/>
    <cellStyle name="Normal 2 6 39" xfId="5321"/>
    <cellStyle name="Normal 2 6 4" xfId="5322"/>
    <cellStyle name="Normal 2 6 4 10" xfId="5323"/>
    <cellStyle name="Normal 2 6 4 2" xfId="5324"/>
    <cellStyle name="Normal 2 6 4 2 2" xfId="5325"/>
    <cellStyle name="Normal 2 6 4 2 3" xfId="5326"/>
    <cellStyle name="Normal 2 6 4 2 4" xfId="5327"/>
    <cellStyle name="Normal 2 6 4 2 5" xfId="5328"/>
    <cellStyle name="Normal 2 6 4 2 6" xfId="5329"/>
    <cellStyle name="Normal 2 6 4 2 7" xfId="5330"/>
    <cellStyle name="Normal 2 6 4 3" xfId="5331"/>
    <cellStyle name="Normal 2 6 4 3 2" xfId="5332"/>
    <cellStyle name="Normal 2 6 4 3 3" xfId="5333"/>
    <cellStyle name="Normal 2 6 4 3 4" xfId="5334"/>
    <cellStyle name="Normal 2 6 4 3 5" xfId="5335"/>
    <cellStyle name="Normal 2 6 4 3 6" xfId="5336"/>
    <cellStyle name="Normal 2 6 4 3 7" xfId="5337"/>
    <cellStyle name="Normal 2 6 4 4" xfId="5338"/>
    <cellStyle name="Normal 2 6 4 4 2" xfId="5339"/>
    <cellStyle name="Normal 2 6 4 4 3" xfId="5340"/>
    <cellStyle name="Normal 2 6 4 4 4" xfId="5341"/>
    <cellStyle name="Normal 2 6 4 4 5" xfId="5342"/>
    <cellStyle name="Normal 2 6 4 4 6" xfId="5343"/>
    <cellStyle name="Normal 2 6 4 4 7" xfId="5344"/>
    <cellStyle name="Normal 2 6 4 5" xfId="5345"/>
    <cellStyle name="Normal 2 6 4 6" xfId="5346"/>
    <cellStyle name="Normal 2 6 4 7" xfId="5347"/>
    <cellStyle name="Normal 2 6 4 8" xfId="5348"/>
    <cellStyle name="Normal 2 6 4 9" xfId="5349"/>
    <cellStyle name="Normal 2 6 40" xfId="5350"/>
    <cellStyle name="Normal 2 6 41" xfId="5351"/>
    <cellStyle name="Normal 2 6 42" xfId="5352"/>
    <cellStyle name="Normal 2 6 43" xfId="5353"/>
    <cellStyle name="Normal 2 6 44" xfId="5354"/>
    <cellStyle name="Normal 2 6 45" xfId="5355"/>
    <cellStyle name="Normal 2 6 5" xfId="5356"/>
    <cellStyle name="Normal 2 6 5 10" xfId="5357"/>
    <cellStyle name="Normal 2 6 5 2" xfId="5358"/>
    <cellStyle name="Normal 2 6 5 2 2" xfId="5359"/>
    <cellStyle name="Normal 2 6 5 2 3" xfId="5360"/>
    <cellStyle name="Normal 2 6 5 2 4" xfId="5361"/>
    <cellStyle name="Normal 2 6 5 2 5" xfId="5362"/>
    <cellStyle name="Normal 2 6 5 2 6" xfId="5363"/>
    <cellStyle name="Normal 2 6 5 2 7" xfId="5364"/>
    <cellStyle name="Normal 2 6 5 3" xfId="5365"/>
    <cellStyle name="Normal 2 6 5 3 2" xfId="5366"/>
    <cellStyle name="Normal 2 6 5 3 3" xfId="5367"/>
    <cellStyle name="Normal 2 6 5 3 4" xfId="5368"/>
    <cellStyle name="Normal 2 6 5 3 5" xfId="5369"/>
    <cellStyle name="Normal 2 6 5 3 6" xfId="5370"/>
    <cellStyle name="Normal 2 6 5 3 7" xfId="5371"/>
    <cellStyle name="Normal 2 6 5 4" xfId="5372"/>
    <cellStyle name="Normal 2 6 5 4 2" xfId="5373"/>
    <cellStyle name="Normal 2 6 5 4 3" xfId="5374"/>
    <cellStyle name="Normal 2 6 5 4 4" xfId="5375"/>
    <cellStyle name="Normal 2 6 5 4 5" xfId="5376"/>
    <cellStyle name="Normal 2 6 5 4 6" xfId="5377"/>
    <cellStyle name="Normal 2 6 5 4 7" xfId="5378"/>
    <cellStyle name="Normal 2 6 5 5" xfId="5379"/>
    <cellStyle name="Normal 2 6 5 6" xfId="5380"/>
    <cellStyle name="Normal 2 6 5 7" xfId="5381"/>
    <cellStyle name="Normal 2 6 5 8" xfId="5382"/>
    <cellStyle name="Normal 2 6 5 9" xfId="5383"/>
    <cellStyle name="Normal 2 6 6" xfId="5384"/>
    <cellStyle name="Normal 2 6 6 10" xfId="5385"/>
    <cellStyle name="Normal 2 6 6 2" xfId="5386"/>
    <cellStyle name="Normal 2 6 6 2 2" xfId="5387"/>
    <cellStyle name="Normal 2 6 6 2 3" xfId="5388"/>
    <cellStyle name="Normal 2 6 6 2 4" xfId="5389"/>
    <cellStyle name="Normal 2 6 6 2 5" xfId="5390"/>
    <cellStyle name="Normal 2 6 6 2 6" xfId="5391"/>
    <cellStyle name="Normal 2 6 6 2 7" xfId="5392"/>
    <cellStyle name="Normal 2 6 6 3" xfId="5393"/>
    <cellStyle name="Normal 2 6 6 3 2" xfId="5394"/>
    <cellStyle name="Normal 2 6 6 3 3" xfId="5395"/>
    <cellStyle name="Normal 2 6 6 3 4" xfId="5396"/>
    <cellStyle name="Normal 2 6 6 3 5" xfId="5397"/>
    <cellStyle name="Normal 2 6 6 3 6" xfId="5398"/>
    <cellStyle name="Normal 2 6 6 3 7" xfId="5399"/>
    <cellStyle name="Normal 2 6 6 4" xfId="5400"/>
    <cellStyle name="Normal 2 6 6 4 2" xfId="5401"/>
    <cellStyle name="Normal 2 6 6 4 3" xfId="5402"/>
    <cellStyle name="Normal 2 6 6 4 4" xfId="5403"/>
    <cellStyle name="Normal 2 6 6 4 5" xfId="5404"/>
    <cellStyle name="Normal 2 6 6 4 6" xfId="5405"/>
    <cellStyle name="Normal 2 6 6 4 7" xfId="5406"/>
    <cellStyle name="Normal 2 6 6 5" xfId="5407"/>
    <cellStyle name="Normal 2 6 6 6" xfId="5408"/>
    <cellStyle name="Normal 2 6 6 7" xfId="5409"/>
    <cellStyle name="Normal 2 6 6 8" xfId="5410"/>
    <cellStyle name="Normal 2 6 6 9" xfId="5411"/>
    <cellStyle name="Normal 2 6 7" xfId="5412"/>
    <cellStyle name="Normal 2 6 7 10" xfId="5413"/>
    <cellStyle name="Normal 2 6 7 2" xfId="5414"/>
    <cellStyle name="Normal 2 6 7 2 2" xfId="5415"/>
    <cellStyle name="Normal 2 6 7 2 3" xfId="5416"/>
    <cellStyle name="Normal 2 6 7 2 4" xfId="5417"/>
    <cellStyle name="Normal 2 6 7 2 5" xfId="5418"/>
    <cellStyle name="Normal 2 6 7 2 6" xfId="5419"/>
    <cellStyle name="Normal 2 6 7 2 7" xfId="5420"/>
    <cellStyle name="Normal 2 6 7 3" xfId="5421"/>
    <cellStyle name="Normal 2 6 7 3 2" xfId="5422"/>
    <cellStyle name="Normal 2 6 7 3 3" xfId="5423"/>
    <cellStyle name="Normal 2 6 7 3 4" xfId="5424"/>
    <cellStyle name="Normal 2 6 7 3 5" xfId="5425"/>
    <cellStyle name="Normal 2 6 7 3 6" xfId="5426"/>
    <cellStyle name="Normal 2 6 7 3 7" xfId="5427"/>
    <cellStyle name="Normal 2 6 7 4" xfId="5428"/>
    <cellStyle name="Normal 2 6 7 4 2" xfId="5429"/>
    <cellStyle name="Normal 2 6 7 4 3" xfId="5430"/>
    <cellStyle name="Normal 2 6 7 4 4" xfId="5431"/>
    <cellStyle name="Normal 2 6 7 4 5" xfId="5432"/>
    <cellStyle name="Normal 2 6 7 4 6" xfId="5433"/>
    <cellStyle name="Normal 2 6 7 4 7" xfId="5434"/>
    <cellStyle name="Normal 2 6 7 5" xfId="5435"/>
    <cellStyle name="Normal 2 6 7 6" xfId="5436"/>
    <cellStyle name="Normal 2 6 7 7" xfId="5437"/>
    <cellStyle name="Normal 2 6 7 8" xfId="5438"/>
    <cellStyle name="Normal 2 6 7 9" xfId="5439"/>
    <cellStyle name="Normal 2 6 8" xfId="5440"/>
    <cellStyle name="Normal 2 6 8 10" xfId="5441"/>
    <cellStyle name="Normal 2 6 8 2" xfId="5442"/>
    <cellStyle name="Normal 2 6 8 2 2" xfId="5443"/>
    <cellStyle name="Normal 2 6 8 2 3" xfId="5444"/>
    <cellStyle name="Normal 2 6 8 2 4" xfId="5445"/>
    <cellStyle name="Normal 2 6 8 2 5" xfId="5446"/>
    <cellStyle name="Normal 2 6 8 2 6" xfId="5447"/>
    <cellStyle name="Normal 2 6 8 2 7" xfId="5448"/>
    <cellStyle name="Normal 2 6 8 3" xfId="5449"/>
    <cellStyle name="Normal 2 6 8 3 2" xfId="5450"/>
    <cellStyle name="Normal 2 6 8 3 3" xfId="5451"/>
    <cellStyle name="Normal 2 6 8 3 4" xfId="5452"/>
    <cellStyle name="Normal 2 6 8 3 5" xfId="5453"/>
    <cellStyle name="Normal 2 6 8 3 6" xfId="5454"/>
    <cellStyle name="Normal 2 6 8 3 7" xfId="5455"/>
    <cellStyle name="Normal 2 6 8 4" xfId="5456"/>
    <cellStyle name="Normal 2 6 8 4 2" xfId="5457"/>
    <cellStyle name="Normal 2 6 8 4 3" xfId="5458"/>
    <cellStyle name="Normal 2 6 8 4 4" xfId="5459"/>
    <cellStyle name="Normal 2 6 8 4 5" xfId="5460"/>
    <cellStyle name="Normal 2 6 8 4 6" xfId="5461"/>
    <cellStyle name="Normal 2 6 8 4 7" xfId="5462"/>
    <cellStyle name="Normal 2 6 8 5" xfId="5463"/>
    <cellStyle name="Normal 2 6 8 6" xfId="5464"/>
    <cellStyle name="Normal 2 6 8 7" xfId="5465"/>
    <cellStyle name="Normal 2 6 8 8" xfId="5466"/>
    <cellStyle name="Normal 2 6 8 9" xfId="5467"/>
    <cellStyle name="Normal 2 6 9" xfId="5468"/>
    <cellStyle name="Normal 2 6 9 10" xfId="5469"/>
    <cellStyle name="Normal 2 6 9 2" xfId="5470"/>
    <cellStyle name="Normal 2 6 9 2 2" xfId="5471"/>
    <cellStyle name="Normal 2 6 9 2 3" xfId="5472"/>
    <cellStyle name="Normal 2 6 9 2 4" xfId="5473"/>
    <cellStyle name="Normal 2 6 9 2 5" xfId="5474"/>
    <cellStyle name="Normal 2 6 9 2 6" xfId="5475"/>
    <cellStyle name="Normal 2 6 9 2 7" xfId="5476"/>
    <cellStyle name="Normal 2 6 9 3" xfId="5477"/>
    <cellStyle name="Normal 2 6 9 3 2" xfId="5478"/>
    <cellStyle name="Normal 2 6 9 3 3" xfId="5479"/>
    <cellStyle name="Normal 2 6 9 3 4" xfId="5480"/>
    <cellStyle name="Normal 2 6 9 3 5" xfId="5481"/>
    <cellStyle name="Normal 2 6 9 3 6" xfId="5482"/>
    <cellStyle name="Normal 2 6 9 3 7" xfId="5483"/>
    <cellStyle name="Normal 2 6 9 4" xfId="5484"/>
    <cellStyle name="Normal 2 6 9 4 2" xfId="5485"/>
    <cellStyle name="Normal 2 6 9 4 3" xfId="5486"/>
    <cellStyle name="Normal 2 6 9 4 4" xfId="5487"/>
    <cellStyle name="Normal 2 6 9 4 5" xfId="5488"/>
    <cellStyle name="Normal 2 6 9 4 6" xfId="5489"/>
    <cellStyle name="Normal 2 6 9 4 7" xfId="5490"/>
    <cellStyle name="Normal 2 6 9 5" xfId="5491"/>
    <cellStyle name="Normal 2 6 9 6" xfId="5492"/>
    <cellStyle name="Normal 2 6 9 7" xfId="5493"/>
    <cellStyle name="Normal 2 6 9 8" xfId="5494"/>
    <cellStyle name="Normal 2 6 9 9" xfId="5495"/>
    <cellStyle name="Normal 2 7" xfId="5496"/>
    <cellStyle name="Normal 2 7 10" xfId="5497"/>
    <cellStyle name="Normal 2 7 11" xfId="5498"/>
    <cellStyle name="Normal 2 7 12" xfId="5499"/>
    <cellStyle name="Normal 2 7 13" xfId="5500"/>
    <cellStyle name="Normal 2 7 14" xfId="5501"/>
    <cellStyle name="Normal 2 7 15" xfId="5502"/>
    <cellStyle name="Normal 2 7 16" xfId="5503"/>
    <cellStyle name="Normal 2 7 17" xfId="5504"/>
    <cellStyle name="Normal 2 7 2" xfId="5505"/>
    <cellStyle name="Normal 2 7 2 10" xfId="5506"/>
    <cellStyle name="Normal 2 7 2 11" xfId="5507"/>
    <cellStyle name="Normal 2 7 2 12" xfId="5508"/>
    <cellStyle name="Normal 2 7 2 13" xfId="5509"/>
    <cellStyle name="Normal 2 7 2 14" xfId="5510"/>
    <cellStyle name="Normal 2 7 2 15" xfId="5511"/>
    <cellStyle name="Normal 2 7 2 2" xfId="5512"/>
    <cellStyle name="Normal 2 7 2 3" xfId="5513"/>
    <cellStyle name="Normal 2 7 2 4" xfId="5514"/>
    <cellStyle name="Normal 2 7 2 5" xfId="5515"/>
    <cellStyle name="Normal 2 7 2 6" xfId="5516"/>
    <cellStyle name="Normal 2 7 2 7" xfId="5517"/>
    <cellStyle name="Normal 2 7 2 8" xfId="5518"/>
    <cellStyle name="Normal 2 7 2 9" xfId="5519"/>
    <cellStyle name="Normal 2 7 3" xfId="5520"/>
    <cellStyle name="Normal 2 7 4" xfId="5521"/>
    <cellStyle name="Normal 2 7 5" xfId="5522"/>
    <cellStyle name="Normal 2 7 6" xfId="5523"/>
    <cellStyle name="Normal 2 7 7" xfId="5524"/>
    <cellStyle name="Normal 2 7 8" xfId="5525"/>
    <cellStyle name="Normal 2 7 9" xfId="5526"/>
    <cellStyle name="Normal 2 8" xfId="5527"/>
    <cellStyle name="Normal 2 9" xfId="5528"/>
    <cellStyle name="Normal 2 9 10" xfId="5529"/>
    <cellStyle name="Normal 2 9 11" xfId="5530"/>
    <cellStyle name="Normal 2 9 12" xfId="5531"/>
    <cellStyle name="Normal 2 9 13" xfId="5532"/>
    <cellStyle name="Normal 2 9 14" xfId="5533"/>
    <cellStyle name="Normal 2 9 15" xfId="5534"/>
    <cellStyle name="Normal 2 9 2" xfId="5535"/>
    <cellStyle name="Normal 2 9 3" xfId="5536"/>
    <cellStyle name="Normal 2 9 4" xfId="5537"/>
    <cellStyle name="Normal 2 9 5" xfId="5538"/>
    <cellStyle name="Normal 2 9 6" xfId="5539"/>
    <cellStyle name="Normal 2 9 7" xfId="5540"/>
    <cellStyle name="Normal 2 9 8" xfId="5541"/>
    <cellStyle name="Normal 2 9 9" xfId="5542"/>
    <cellStyle name="Normal 20" xfId="5543"/>
    <cellStyle name="Normal 20 2" xfId="5544"/>
    <cellStyle name="Normal 20 2 2" xfId="5545"/>
    <cellStyle name="Normal 20 2 2 2" xfId="5546"/>
    <cellStyle name="Normal 20 2 2 3" xfId="5547"/>
    <cellStyle name="Normal 20 2 2 4" xfId="5548"/>
    <cellStyle name="Normal 20 2 2 5" xfId="5549"/>
    <cellStyle name="Normal 20 2 2 6" xfId="5550"/>
    <cellStyle name="Normal 20 2 2 7" xfId="5551"/>
    <cellStyle name="Normal 20 2 3" xfId="5552"/>
    <cellStyle name="Normal 20 2 4" xfId="5553"/>
    <cellStyle name="Normal 20 2 5" xfId="5554"/>
    <cellStyle name="Normal 20 2 6" xfId="5555"/>
    <cellStyle name="Normal 20 2 7" xfId="5556"/>
    <cellStyle name="Normal 20 3" xfId="5557"/>
    <cellStyle name="Normal 20 4" xfId="5558"/>
    <cellStyle name="Normal 21" xfId="5559"/>
    <cellStyle name="Normal 21 2" xfId="5560"/>
    <cellStyle name="Normal 21 2 2" xfId="5561"/>
    <cellStyle name="Normal 21 2 2 2" xfId="5562"/>
    <cellStyle name="Normal 21 2 2 3" xfId="5563"/>
    <cellStyle name="Normal 21 2 2 4" xfId="5564"/>
    <cellStyle name="Normal 21 2 2 5" xfId="5565"/>
    <cellStyle name="Normal 21 2 2 6" xfId="5566"/>
    <cellStyle name="Normal 21 2 2 7" xfId="5567"/>
    <cellStyle name="Normal 21 2 3" xfId="5568"/>
    <cellStyle name="Normal 21 2 4" xfId="5569"/>
    <cellStyle name="Normal 21 2 5" xfId="5570"/>
    <cellStyle name="Normal 21 2 6" xfId="5571"/>
    <cellStyle name="Normal 21 2 7" xfId="5572"/>
    <cellStyle name="Normal 21 3" xfId="5573"/>
    <cellStyle name="Normal 21 4" xfId="5574"/>
    <cellStyle name="Normal 22" xfId="5575"/>
    <cellStyle name="Normal 22 2" xfId="5576"/>
    <cellStyle name="Normal 22 2 2" xfId="5577"/>
    <cellStyle name="Normal 22 2 2 2" xfId="5578"/>
    <cellStyle name="Normal 22 2 2 3" xfId="5579"/>
    <cellStyle name="Normal 22 2 2 4" xfId="5580"/>
    <cellStyle name="Normal 22 2 2 5" xfId="5581"/>
    <cellStyle name="Normal 22 2 2 6" xfId="5582"/>
    <cellStyle name="Normal 22 2 2 7" xfId="5583"/>
    <cellStyle name="Normal 22 2 3" xfId="5584"/>
    <cellStyle name="Normal 22 2 4" xfId="5585"/>
    <cellStyle name="Normal 22 2 5" xfId="5586"/>
    <cellStyle name="Normal 22 2 6" xfId="5587"/>
    <cellStyle name="Normal 22 2 7" xfId="5588"/>
    <cellStyle name="Normal 22 3" xfId="5589"/>
    <cellStyle name="Normal 22 4" xfId="5590"/>
    <cellStyle name="Normal 23" xfId="5591"/>
    <cellStyle name="Normal 23 2" xfId="5592"/>
    <cellStyle name="Normal 23 2 2" xfId="5593"/>
    <cellStyle name="Normal 23 2 2 2" xfId="5594"/>
    <cellStyle name="Normal 23 2 2 3" xfId="5595"/>
    <cellStyle name="Normal 23 2 2 4" xfId="5596"/>
    <cellStyle name="Normal 23 2 2 5" xfId="5597"/>
    <cellStyle name="Normal 23 2 2 6" xfId="5598"/>
    <cellStyle name="Normal 23 2 2 7" xfId="5599"/>
    <cellStyle name="Normal 23 2 3" xfId="5600"/>
    <cellStyle name="Normal 23 2 4" xfId="5601"/>
    <cellStyle name="Normal 23 2 5" xfId="5602"/>
    <cellStyle name="Normal 23 2 6" xfId="5603"/>
    <cellStyle name="Normal 23 2 7" xfId="5604"/>
    <cellStyle name="Normal 23 3" xfId="5605"/>
    <cellStyle name="Normal 23 4" xfId="5606"/>
    <cellStyle name="Normal 24" xfId="5607"/>
    <cellStyle name="Normal 24 2" xfId="5608"/>
    <cellStyle name="Normal 25" xfId="5609"/>
    <cellStyle name="Normal 25 2" xfId="5610"/>
    <cellStyle name="Normal 26" xfId="5611"/>
    <cellStyle name="Normal 26 2" xfId="5612"/>
    <cellStyle name="Normal 27" xfId="5613"/>
    <cellStyle name="Normal 27 2" xfId="5614"/>
    <cellStyle name="Normal 28" xfId="5615"/>
    <cellStyle name="Normal 28 2" xfId="5616"/>
    <cellStyle name="Normal 29" xfId="5617"/>
    <cellStyle name="Normal 29 2" xfId="5618"/>
    <cellStyle name="Normal 3" xfId="5619"/>
    <cellStyle name="Normal 3 10" xfId="5620"/>
    <cellStyle name="Normal 3 11" xfId="5621"/>
    <cellStyle name="Normal 3 12" xfId="5622"/>
    <cellStyle name="Normal 3 13" xfId="5623"/>
    <cellStyle name="Normal 3 14" xfId="5624"/>
    <cellStyle name="Normal 3 15" xfId="5625"/>
    <cellStyle name="Normal 3 16" xfId="5626"/>
    <cellStyle name="Normal 3 17" xfId="5627"/>
    <cellStyle name="Normal 3 18" xfId="5628"/>
    <cellStyle name="Normal 3 19" xfId="5629"/>
    <cellStyle name="Normal 3 2" xfId="5630"/>
    <cellStyle name="Normal 3 2 10" xfId="5631"/>
    <cellStyle name="Normal 3 2 2" xfId="5632"/>
    <cellStyle name="Normal 3 2 2 2" xfId="5633"/>
    <cellStyle name="Normal 3 2 2 2 2" xfId="5634"/>
    <cellStyle name="Normal 3 2 2 2 3" xfId="5635"/>
    <cellStyle name="Normal 3 2 2 2 4" xfId="5636"/>
    <cellStyle name="Normal 3 2 2 2 5" xfId="5637"/>
    <cellStyle name="Normal 3 2 2 2 6" xfId="5638"/>
    <cellStyle name="Normal 3 2 2 2 7" xfId="5639"/>
    <cellStyle name="Normal 3 2 2 3" xfId="5640"/>
    <cellStyle name="Normal 3 2 2 4" xfId="5641"/>
    <cellStyle name="Normal 3 2 2 5" xfId="5642"/>
    <cellStyle name="Normal 3 2 2 6" xfId="5643"/>
    <cellStyle name="Normal 3 2 2 7" xfId="5644"/>
    <cellStyle name="Normal 3 2 3" xfId="5645"/>
    <cellStyle name="Normal 3 2 4" xfId="5646"/>
    <cellStyle name="Normal 3 2 5" xfId="5647"/>
    <cellStyle name="Normal 3 2 6" xfId="5648"/>
    <cellStyle name="Normal 3 2 7" xfId="5649"/>
    <cellStyle name="Normal 3 2 8" xfId="5650"/>
    <cellStyle name="Normal 3 2 9" xfId="5651"/>
    <cellStyle name="Normal 3 20" xfId="5652"/>
    <cellStyle name="Normal 3 21" xfId="5653"/>
    <cellStyle name="Normal 3 22" xfId="5654"/>
    <cellStyle name="Normal 3 23" xfId="5655"/>
    <cellStyle name="Normal 3 24" xfId="5656"/>
    <cellStyle name="Normal 3 25" xfId="5657"/>
    <cellStyle name="Normal 3 26" xfId="5658"/>
    <cellStyle name="Normal 3 27" xfId="5659"/>
    <cellStyle name="Normal 3 28" xfId="5660"/>
    <cellStyle name="Normal 3 29" xfId="5661"/>
    <cellStyle name="Normal 3 3" xfId="5662"/>
    <cellStyle name="Normal 3 30" xfId="5663"/>
    <cellStyle name="Normal 3 31" xfId="5664"/>
    <cellStyle name="Normal 3 32" xfId="5665"/>
    <cellStyle name="Normal 3 33" xfId="5666"/>
    <cellStyle name="Normal 3 34" xfId="5667"/>
    <cellStyle name="Normal 3 35" xfId="5668"/>
    <cellStyle name="Normal 3 36" xfId="5669"/>
    <cellStyle name="Normal 3 37" xfId="5670"/>
    <cellStyle name="Normal 3 38" xfId="5671"/>
    <cellStyle name="Normal 3 39" xfId="5672"/>
    <cellStyle name="Normal 3 4" xfId="5673"/>
    <cellStyle name="Normal 3 40" xfId="5674"/>
    <cellStyle name="Normal 3 41" xfId="5675"/>
    <cellStyle name="Normal 3 42" xfId="5676"/>
    <cellStyle name="Normal 3 43" xfId="5677"/>
    <cellStyle name="Normal 3 44" xfId="5678"/>
    <cellStyle name="Normal 3 45" xfId="5679"/>
    <cellStyle name="Normal 3 46" xfId="5680"/>
    <cellStyle name="Normal 3 47" xfId="5681"/>
    <cellStyle name="Normal 3 48" xfId="5682"/>
    <cellStyle name="Normal 3 49" xfId="5683"/>
    <cellStyle name="Normal 3 5" xfId="5684"/>
    <cellStyle name="Normal 3 50" xfId="5685"/>
    <cellStyle name="Normal 3 51" xfId="5686"/>
    <cellStyle name="Normal 3 52" xfId="5687"/>
    <cellStyle name="Normal 3 53" xfId="5688"/>
    <cellStyle name="Normal 3 54" xfId="5689"/>
    <cellStyle name="Normal 3 55" xfId="5690"/>
    <cellStyle name="Normal 3 56" xfId="5691"/>
    <cellStyle name="Normal 3 57" xfId="5692"/>
    <cellStyle name="Normal 3 58" xfId="5693"/>
    <cellStyle name="Normal 3 59" xfId="5694"/>
    <cellStyle name="Normal 3 6" xfId="5695"/>
    <cellStyle name="Normal 3 7" xfId="5696"/>
    <cellStyle name="Normal 3 8" xfId="5697"/>
    <cellStyle name="Normal 3 9" xfId="5698"/>
    <cellStyle name="Normal 30" xfId="5699"/>
    <cellStyle name="Normal 30 2" xfId="5700"/>
    <cellStyle name="Normal 31" xfId="5701"/>
    <cellStyle name="Normal 31 2" xfId="5702"/>
    <cellStyle name="Normal 32" xfId="5703"/>
    <cellStyle name="Normal 32 2" xfId="5704"/>
    <cellStyle name="Normal 33" xfId="5705"/>
    <cellStyle name="Normal 33 2" xfId="5706"/>
    <cellStyle name="Normal 34" xfId="5707"/>
    <cellStyle name="Normal 34 2" xfId="5708"/>
    <cellStyle name="Normal 34 3" xfId="5709"/>
    <cellStyle name="Normal 34 4" xfId="5710"/>
    <cellStyle name="Normal 35" xfId="5711"/>
    <cellStyle name="Normal 35 2" xfId="5712"/>
    <cellStyle name="Normal 35 3" xfId="5713"/>
    <cellStyle name="Normal 35 4" xfId="5714"/>
    <cellStyle name="Normal 36" xfId="5715"/>
    <cellStyle name="Normal 36 2" xfId="5716"/>
    <cellStyle name="Normal 36 3" xfId="5717"/>
    <cellStyle name="Normal 36 4" xfId="5718"/>
    <cellStyle name="Normal 37" xfId="5719"/>
    <cellStyle name="Normal 37 2" xfId="5720"/>
    <cellStyle name="Normal 38" xfId="5721"/>
    <cellStyle name="Normal 38 2" xfId="5722"/>
    <cellStyle name="Normal 39" xfId="5723"/>
    <cellStyle name="Normal 39 2" xfId="5724"/>
    <cellStyle name="Normal 4" xfId="5725"/>
    <cellStyle name="Normal 4 10" xfId="5726"/>
    <cellStyle name="Normal 4 11" xfId="5727"/>
    <cellStyle name="Normal 4 12" xfId="5728"/>
    <cellStyle name="Normal 4 13" xfId="5729"/>
    <cellStyle name="Normal 4 14" xfId="5730"/>
    <cellStyle name="Normal 4 15" xfId="5731"/>
    <cellStyle name="Normal 4 16" xfId="5732"/>
    <cellStyle name="Normal 4 17" xfId="5733"/>
    <cellStyle name="Normal 4 18" xfId="5734"/>
    <cellStyle name="Normal 4 19" xfId="5735"/>
    <cellStyle name="Normal 4 2" xfId="5736"/>
    <cellStyle name="Normal 4 2 10" xfId="5737"/>
    <cellStyle name="Normal 4 2 11" xfId="5738"/>
    <cellStyle name="Normal 4 2 12" xfId="5739"/>
    <cellStyle name="Normal 4 2 13" xfId="5740"/>
    <cellStyle name="Normal 4 2 2" xfId="5741"/>
    <cellStyle name="Normal 4 2 2 2" xfId="5742"/>
    <cellStyle name="Normal 4 2 2 2 2" xfId="5743"/>
    <cellStyle name="Normal 4 2 2 2 3" xfId="5744"/>
    <cellStyle name="Normal 4 2 2 2 4" xfId="5745"/>
    <cellStyle name="Normal 4 2 2 2 5" xfId="5746"/>
    <cellStyle name="Normal 4 2 2 2 6" xfId="5747"/>
    <cellStyle name="Normal 4 2 2 2 7" xfId="5748"/>
    <cellStyle name="Normal 4 2 2 3" xfId="5749"/>
    <cellStyle name="Normal 4 2 2 4" xfId="5750"/>
    <cellStyle name="Normal 4 2 2 5" xfId="5751"/>
    <cellStyle name="Normal 4 2 2 6" xfId="5752"/>
    <cellStyle name="Normal 4 2 2 7" xfId="5753"/>
    <cellStyle name="Normal 4 2 3" xfId="5754"/>
    <cellStyle name="Normal 4 2 4" xfId="5755"/>
    <cellStyle name="Normal 4 2 5" xfId="5756"/>
    <cellStyle name="Normal 4 2 5 2" xfId="5757"/>
    <cellStyle name="Normal 4 2 5 3" xfId="5758"/>
    <cellStyle name="Normal 4 2 5 4" xfId="5759"/>
    <cellStyle name="Normal 4 2 5 5" xfId="5760"/>
    <cellStyle name="Normal 4 2 5 6" xfId="5761"/>
    <cellStyle name="Normal 4 2 5 7" xfId="5762"/>
    <cellStyle name="Normal 4 2 6" xfId="5763"/>
    <cellStyle name="Normal 4 2 6 2" xfId="5764"/>
    <cellStyle name="Normal 4 2 6 3" xfId="5765"/>
    <cellStyle name="Normal 4 2 6 4" xfId="5766"/>
    <cellStyle name="Normal 4 2 6 5" xfId="5767"/>
    <cellStyle name="Normal 4 2 6 6" xfId="5768"/>
    <cellStyle name="Normal 4 2 6 7" xfId="5769"/>
    <cellStyle name="Normal 4 2 7" xfId="5770"/>
    <cellStyle name="Normal 4 2 7 2" xfId="5771"/>
    <cellStyle name="Normal 4 2 7 3" xfId="5772"/>
    <cellStyle name="Normal 4 2 7 4" xfId="5773"/>
    <cellStyle name="Normal 4 2 7 5" xfId="5774"/>
    <cellStyle name="Normal 4 2 7 6" xfId="5775"/>
    <cellStyle name="Normal 4 2 7 7" xfId="5776"/>
    <cellStyle name="Normal 4 2 8" xfId="5777"/>
    <cellStyle name="Normal 4 2 9" xfId="5778"/>
    <cellStyle name="Normal 4 20" xfId="5779"/>
    <cellStyle name="Normal 4 21" xfId="5780"/>
    <cellStyle name="Normal 4 22" xfId="5781"/>
    <cellStyle name="Normal 4 23" xfId="5782"/>
    <cellStyle name="Normal 4 24" xfId="5783"/>
    <cellStyle name="Normal 4 25" xfId="5784"/>
    <cellStyle name="Normal 4 26" xfId="5785"/>
    <cellStyle name="Normal 4 26 10" xfId="5786"/>
    <cellStyle name="Normal 4 26 2" xfId="5787"/>
    <cellStyle name="Normal 4 26 2 2" xfId="5788"/>
    <cellStyle name="Normal 4 26 2 3" xfId="5789"/>
    <cellStyle name="Normal 4 26 2 4" xfId="5790"/>
    <cellStyle name="Normal 4 26 2 5" xfId="5791"/>
    <cellStyle name="Normal 4 26 2 6" xfId="5792"/>
    <cellStyle name="Normal 4 26 2 7" xfId="5793"/>
    <cellStyle name="Normal 4 26 3" xfId="5794"/>
    <cellStyle name="Normal 4 26 3 2" xfId="5795"/>
    <cellStyle name="Normal 4 26 3 3" xfId="5796"/>
    <cellStyle name="Normal 4 26 3 4" xfId="5797"/>
    <cellStyle name="Normal 4 26 3 5" xfId="5798"/>
    <cellStyle name="Normal 4 26 3 6" xfId="5799"/>
    <cellStyle name="Normal 4 26 3 7" xfId="5800"/>
    <cellStyle name="Normal 4 26 4" xfId="5801"/>
    <cellStyle name="Normal 4 26 4 2" xfId="5802"/>
    <cellStyle name="Normal 4 26 4 3" xfId="5803"/>
    <cellStyle name="Normal 4 26 4 4" xfId="5804"/>
    <cellStyle name="Normal 4 26 4 5" xfId="5805"/>
    <cellStyle name="Normal 4 26 4 6" xfId="5806"/>
    <cellStyle name="Normal 4 26 4 7" xfId="5807"/>
    <cellStyle name="Normal 4 26 5" xfId="5808"/>
    <cellStyle name="Normal 4 26 6" xfId="5809"/>
    <cellStyle name="Normal 4 26 7" xfId="5810"/>
    <cellStyle name="Normal 4 26 8" xfId="5811"/>
    <cellStyle name="Normal 4 26 9" xfId="5812"/>
    <cellStyle name="Normal 4 27" xfId="5813"/>
    <cellStyle name="Normal 4 27 10" xfId="5814"/>
    <cellStyle name="Normal 4 27 2" xfId="5815"/>
    <cellStyle name="Normal 4 27 2 2" xfId="5816"/>
    <cellStyle name="Normal 4 27 2 3" xfId="5817"/>
    <cellStyle name="Normal 4 27 2 4" xfId="5818"/>
    <cellStyle name="Normal 4 27 2 5" xfId="5819"/>
    <cellStyle name="Normal 4 27 2 6" xfId="5820"/>
    <cellStyle name="Normal 4 27 2 7" xfId="5821"/>
    <cellStyle name="Normal 4 27 3" xfId="5822"/>
    <cellStyle name="Normal 4 27 3 2" xfId="5823"/>
    <cellStyle name="Normal 4 27 3 3" xfId="5824"/>
    <cellStyle name="Normal 4 27 3 4" xfId="5825"/>
    <cellStyle name="Normal 4 27 3 5" xfId="5826"/>
    <cellStyle name="Normal 4 27 3 6" xfId="5827"/>
    <cellStyle name="Normal 4 27 3 7" xfId="5828"/>
    <cellStyle name="Normal 4 27 4" xfId="5829"/>
    <cellStyle name="Normal 4 27 4 2" xfId="5830"/>
    <cellStyle name="Normal 4 27 4 3" xfId="5831"/>
    <cellStyle name="Normal 4 27 4 4" xfId="5832"/>
    <cellStyle name="Normal 4 27 4 5" xfId="5833"/>
    <cellStyle name="Normal 4 27 4 6" xfId="5834"/>
    <cellStyle name="Normal 4 27 4 7" xfId="5835"/>
    <cellStyle name="Normal 4 27 5" xfId="5836"/>
    <cellStyle name="Normal 4 27 6" xfId="5837"/>
    <cellStyle name="Normal 4 27 7" xfId="5838"/>
    <cellStyle name="Normal 4 27 8" xfId="5839"/>
    <cellStyle name="Normal 4 27 9" xfId="5840"/>
    <cellStyle name="Normal 4 28" xfId="5841"/>
    <cellStyle name="Normal 4 28 10" xfId="5842"/>
    <cellStyle name="Normal 4 28 2" xfId="5843"/>
    <cellStyle name="Normal 4 28 2 2" xfId="5844"/>
    <cellStyle name="Normal 4 28 2 3" xfId="5845"/>
    <cellStyle name="Normal 4 28 2 4" xfId="5846"/>
    <cellStyle name="Normal 4 28 2 5" xfId="5847"/>
    <cellStyle name="Normal 4 28 2 6" xfId="5848"/>
    <cellStyle name="Normal 4 28 2 7" xfId="5849"/>
    <cellStyle name="Normal 4 28 3" xfId="5850"/>
    <cellStyle name="Normal 4 28 3 2" xfId="5851"/>
    <cellStyle name="Normal 4 28 3 3" xfId="5852"/>
    <cellStyle name="Normal 4 28 3 4" xfId="5853"/>
    <cellStyle name="Normal 4 28 3 5" xfId="5854"/>
    <cellStyle name="Normal 4 28 3 6" xfId="5855"/>
    <cellStyle name="Normal 4 28 3 7" xfId="5856"/>
    <cellStyle name="Normal 4 28 4" xfId="5857"/>
    <cellStyle name="Normal 4 28 4 2" xfId="5858"/>
    <cellStyle name="Normal 4 28 4 3" xfId="5859"/>
    <cellStyle name="Normal 4 28 4 4" xfId="5860"/>
    <cellStyle name="Normal 4 28 4 5" xfId="5861"/>
    <cellStyle name="Normal 4 28 4 6" xfId="5862"/>
    <cellStyle name="Normal 4 28 4 7" xfId="5863"/>
    <cellStyle name="Normal 4 28 5" xfId="5864"/>
    <cellStyle name="Normal 4 28 6" xfId="5865"/>
    <cellStyle name="Normal 4 28 7" xfId="5866"/>
    <cellStyle name="Normal 4 28 8" xfId="5867"/>
    <cellStyle name="Normal 4 28 9" xfId="5868"/>
    <cellStyle name="Normal 4 29" xfId="5869"/>
    <cellStyle name="Normal 4 29 10" xfId="5870"/>
    <cellStyle name="Normal 4 29 2" xfId="5871"/>
    <cellStyle name="Normal 4 29 2 2" xfId="5872"/>
    <cellStyle name="Normal 4 29 2 3" xfId="5873"/>
    <cellStyle name="Normal 4 29 2 4" xfId="5874"/>
    <cellStyle name="Normal 4 29 2 5" xfId="5875"/>
    <cellStyle name="Normal 4 29 2 6" xfId="5876"/>
    <cellStyle name="Normal 4 29 2 7" xfId="5877"/>
    <cellStyle name="Normal 4 29 3" xfId="5878"/>
    <cellStyle name="Normal 4 29 3 2" xfId="5879"/>
    <cellStyle name="Normal 4 29 3 3" xfId="5880"/>
    <cellStyle name="Normal 4 29 3 4" xfId="5881"/>
    <cellStyle name="Normal 4 29 3 5" xfId="5882"/>
    <cellStyle name="Normal 4 29 3 6" xfId="5883"/>
    <cellStyle name="Normal 4 29 3 7" xfId="5884"/>
    <cellStyle name="Normal 4 29 4" xfId="5885"/>
    <cellStyle name="Normal 4 29 4 2" xfId="5886"/>
    <cellStyle name="Normal 4 29 4 3" xfId="5887"/>
    <cellStyle name="Normal 4 29 4 4" xfId="5888"/>
    <cellStyle name="Normal 4 29 4 5" xfId="5889"/>
    <cellStyle name="Normal 4 29 4 6" xfId="5890"/>
    <cellStyle name="Normal 4 29 4 7" xfId="5891"/>
    <cellStyle name="Normal 4 29 5" xfId="5892"/>
    <cellStyle name="Normal 4 29 6" xfId="5893"/>
    <cellStyle name="Normal 4 29 7" xfId="5894"/>
    <cellStyle name="Normal 4 29 8" xfId="5895"/>
    <cellStyle name="Normal 4 29 9" xfId="5896"/>
    <cellStyle name="Normal 4 3" xfId="5897"/>
    <cellStyle name="Normal 4 30" xfId="5898"/>
    <cellStyle name="Normal 4 30 10" xfId="5899"/>
    <cellStyle name="Normal 4 30 2" xfId="5900"/>
    <cellStyle name="Normal 4 30 2 2" xfId="5901"/>
    <cellStyle name="Normal 4 30 2 3" xfId="5902"/>
    <cellStyle name="Normal 4 30 2 4" xfId="5903"/>
    <cellStyle name="Normal 4 30 2 5" xfId="5904"/>
    <cellStyle name="Normal 4 30 2 6" xfId="5905"/>
    <cellStyle name="Normal 4 30 2 7" xfId="5906"/>
    <cellStyle name="Normal 4 30 3" xfId="5907"/>
    <cellStyle name="Normal 4 30 3 2" xfId="5908"/>
    <cellStyle name="Normal 4 30 3 3" xfId="5909"/>
    <cellStyle name="Normal 4 30 3 4" xfId="5910"/>
    <cellStyle name="Normal 4 30 3 5" xfId="5911"/>
    <cellStyle name="Normal 4 30 3 6" xfId="5912"/>
    <cellStyle name="Normal 4 30 3 7" xfId="5913"/>
    <cellStyle name="Normal 4 30 4" xfId="5914"/>
    <cellStyle name="Normal 4 30 4 2" xfId="5915"/>
    <cellStyle name="Normal 4 30 4 3" xfId="5916"/>
    <cellStyle name="Normal 4 30 4 4" xfId="5917"/>
    <cellStyle name="Normal 4 30 4 5" xfId="5918"/>
    <cellStyle name="Normal 4 30 4 6" xfId="5919"/>
    <cellStyle name="Normal 4 30 4 7" xfId="5920"/>
    <cellStyle name="Normal 4 30 5" xfId="5921"/>
    <cellStyle name="Normal 4 30 6" xfId="5922"/>
    <cellStyle name="Normal 4 30 7" xfId="5923"/>
    <cellStyle name="Normal 4 30 8" xfId="5924"/>
    <cellStyle name="Normal 4 30 9" xfId="5925"/>
    <cellStyle name="Normal 4 31" xfId="5926"/>
    <cellStyle name="Normal 4 32" xfId="5927"/>
    <cellStyle name="Normal 4 33" xfId="5928"/>
    <cellStyle name="Normal 4 34" xfId="5929"/>
    <cellStyle name="Normal 4 35" xfId="5930"/>
    <cellStyle name="Normal 4 4" xfId="5931"/>
    <cellStyle name="Normal 4 5" xfId="5932"/>
    <cellStyle name="Normal 4 6" xfId="5933"/>
    <cellStyle name="Normal 4 7" xfId="5934"/>
    <cellStyle name="Normal 4 7 10" xfId="5935"/>
    <cellStyle name="Normal 4 7 2" xfId="5936"/>
    <cellStyle name="Normal 4 7 2 2" xfId="5937"/>
    <cellStyle name="Normal 4 7 2 3" xfId="5938"/>
    <cellStyle name="Normal 4 7 2 4" xfId="5939"/>
    <cellStyle name="Normal 4 7 2 5" xfId="5940"/>
    <cellStyle name="Normal 4 7 2 6" xfId="5941"/>
    <cellStyle name="Normal 4 7 2 7" xfId="5942"/>
    <cellStyle name="Normal 4 7 3" xfId="5943"/>
    <cellStyle name="Normal 4 7 3 2" xfId="5944"/>
    <cellStyle name="Normal 4 7 3 3" xfId="5945"/>
    <cellStyle name="Normal 4 7 3 4" xfId="5946"/>
    <cellStyle name="Normal 4 7 3 5" xfId="5947"/>
    <cellStyle name="Normal 4 7 3 6" xfId="5948"/>
    <cellStyle name="Normal 4 7 3 7" xfId="5949"/>
    <cellStyle name="Normal 4 7 4" xfId="5950"/>
    <cellStyle name="Normal 4 7 4 2" xfId="5951"/>
    <cellStyle name="Normal 4 7 4 3" xfId="5952"/>
    <cellStyle name="Normal 4 7 4 4" xfId="5953"/>
    <cellStyle name="Normal 4 7 4 5" xfId="5954"/>
    <cellStyle name="Normal 4 7 4 6" xfId="5955"/>
    <cellStyle name="Normal 4 7 4 7" xfId="5956"/>
    <cellStyle name="Normal 4 7 5" xfId="5957"/>
    <cellStyle name="Normal 4 7 6" xfId="5958"/>
    <cellStyle name="Normal 4 7 7" xfId="5959"/>
    <cellStyle name="Normal 4 7 8" xfId="5960"/>
    <cellStyle name="Normal 4 7 9" xfId="5961"/>
    <cellStyle name="Normal 4 8" xfId="5962"/>
    <cellStyle name="Normal 4 8 10" xfId="5963"/>
    <cellStyle name="Normal 4 8 2" xfId="5964"/>
    <cellStyle name="Normal 4 8 2 2" xfId="5965"/>
    <cellStyle name="Normal 4 8 2 3" xfId="5966"/>
    <cellStyle name="Normal 4 8 2 4" xfId="5967"/>
    <cellStyle name="Normal 4 8 2 5" xfId="5968"/>
    <cellStyle name="Normal 4 8 2 6" xfId="5969"/>
    <cellStyle name="Normal 4 8 2 7" xfId="5970"/>
    <cellStyle name="Normal 4 8 3" xfId="5971"/>
    <cellStyle name="Normal 4 8 3 2" xfId="5972"/>
    <cellStyle name="Normal 4 8 3 3" xfId="5973"/>
    <cellStyle name="Normal 4 8 3 4" xfId="5974"/>
    <cellStyle name="Normal 4 8 3 5" xfId="5975"/>
    <cellStyle name="Normal 4 8 3 6" xfId="5976"/>
    <cellStyle name="Normal 4 8 3 7" xfId="5977"/>
    <cellStyle name="Normal 4 8 4" xfId="5978"/>
    <cellStyle name="Normal 4 8 4 2" xfId="5979"/>
    <cellStyle name="Normal 4 8 4 3" xfId="5980"/>
    <cellStyle name="Normal 4 8 4 4" xfId="5981"/>
    <cellStyle name="Normal 4 8 4 5" xfId="5982"/>
    <cellStyle name="Normal 4 8 4 6" xfId="5983"/>
    <cellStyle name="Normal 4 8 4 7" xfId="5984"/>
    <cellStyle name="Normal 4 8 5" xfId="5985"/>
    <cellStyle name="Normal 4 8 6" xfId="5986"/>
    <cellStyle name="Normal 4 8 7" xfId="5987"/>
    <cellStyle name="Normal 4 8 8" xfId="5988"/>
    <cellStyle name="Normal 4 8 9" xfId="5989"/>
    <cellStyle name="Normal 4 9" xfId="5990"/>
    <cellStyle name="Normal 4 9 10" xfId="5991"/>
    <cellStyle name="Normal 4 9 2" xfId="5992"/>
    <cellStyle name="Normal 4 9 2 2" xfId="5993"/>
    <cellStyle name="Normal 4 9 2 3" xfId="5994"/>
    <cellStyle name="Normal 4 9 2 4" xfId="5995"/>
    <cellStyle name="Normal 4 9 2 5" xfId="5996"/>
    <cellStyle name="Normal 4 9 2 6" xfId="5997"/>
    <cellStyle name="Normal 4 9 2 7" xfId="5998"/>
    <cellStyle name="Normal 4 9 3" xfId="5999"/>
    <cellStyle name="Normal 4 9 3 2" xfId="6000"/>
    <cellStyle name="Normal 4 9 3 3" xfId="6001"/>
    <cellStyle name="Normal 4 9 3 4" xfId="6002"/>
    <cellStyle name="Normal 4 9 3 5" xfId="6003"/>
    <cellStyle name="Normal 4 9 3 6" xfId="6004"/>
    <cellStyle name="Normal 4 9 3 7" xfId="6005"/>
    <cellStyle name="Normal 4 9 4" xfId="6006"/>
    <cellStyle name="Normal 4 9 4 2" xfId="6007"/>
    <cellStyle name="Normal 4 9 4 3" xfId="6008"/>
    <cellStyle name="Normal 4 9 4 4" xfId="6009"/>
    <cellStyle name="Normal 4 9 4 5" xfId="6010"/>
    <cellStyle name="Normal 4 9 4 6" xfId="6011"/>
    <cellStyle name="Normal 4 9 4 7" xfId="6012"/>
    <cellStyle name="Normal 4 9 5" xfId="6013"/>
    <cellStyle name="Normal 4 9 6" xfId="6014"/>
    <cellStyle name="Normal 4 9 7" xfId="6015"/>
    <cellStyle name="Normal 4 9 8" xfId="6016"/>
    <cellStyle name="Normal 4 9 9" xfId="6017"/>
    <cellStyle name="Normal 40" xfId="6018"/>
    <cellStyle name="Normal 41" xfId="6019"/>
    <cellStyle name="Normal 42" xfId="6020"/>
    <cellStyle name="Normal 43" xfId="6021"/>
    <cellStyle name="Normal 44" xfId="6022"/>
    <cellStyle name="Normal 45" xfId="6023"/>
    <cellStyle name="Normal 46" xfId="6024"/>
    <cellStyle name="Normal 47" xfId="6025"/>
    <cellStyle name="Normal 48" xfId="6026"/>
    <cellStyle name="Normal 49" xfId="6027"/>
    <cellStyle name="Normal 5" xfId="6028"/>
    <cellStyle name="Normal 5 2" xfId="6029"/>
    <cellStyle name="Normal 5 2 2" xfId="6030"/>
    <cellStyle name="Normal 5 2 2 2" xfId="6031"/>
    <cellStyle name="Normal 5 2 2 3" xfId="6032"/>
    <cellStyle name="Normal 5 2 2 4" xfId="6033"/>
    <cellStyle name="Normal 5 2 2 5" xfId="6034"/>
    <cellStyle name="Normal 5 2 2 6" xfId="6035"/>
    <cellStyle name="Normal 5 2 2 7" xfId="6036"/>
    <cellStyle name="Normal 5 2 3" xfId="6037"/>
    <cellStyle name="Normal 5 2 4" xfId="6038"/>
    <cellStyle name="Normal 5 2 5" xfId="6039"/>
    <cellStyle name="Normal 5 2 6" xfId="6040"/>
    <cellStyle name="Normal 5 2 7" xfId="6041"/>
    <cellStyle name="Normal 5 3" xfId="6042"/>
    <cellStyle name="Normal 5 4" xfId="6043"/>
    <cellStyle name="Normal 5 5" xfId="6044"/>
    <cellStyle name="Normal 5 6" xfId="6045"/>
    <cellStyle name="Normal 5 7" xfId="6046"/>
    <cellStyle name="Normal 5 8" xfId="6047"/>
    <cellStyle name="Normal 5 9" xfId="6048"/>
    <cellStyle name="Normal 50" xfId="6049"/>
    <cellStyle name="Normal 51" xfId="6050"/>
    <cellStyle name="Normal 52" xfId="6051"/>
    <cellStyle name="Normal 53" xfId="6052"/>
    <cellStyle name="Normal 54" xfId="6053"/>
    <cellStyle name="Normal 55" xfId="6054"/>
    <cellStyle name="Normal 56" xfId="6055"/>
    <cellStyle name="Normal 57" xfId="6056"/>
    <cellStyle name="Normal 58" xfId="6057"/>
    <cellStyle name="Normal 59" xfId="6058"/>
    <cellStyle name="Normal 6" xfId="6059"/>
    <cellStyle name="Normal 6 2" xfId="6060"/>
    <cellStyle name="Normal 6 2 2" xfId="6061"/>
    <cellStyle name="Normal 6 2 2 2" xfId="6062"/>
    <cellStyle name="Normal 6 2 2 3" xfId="6063"/>
    <cellStyle name="Normal 6 2 2 4" xfId="6064"/>
    <cellStyle name="Normal 6 2 2 5" xfId="6065"/>
    <cellStyle name="Normal 6 2 2 6" xfId="6066"/>
    <cellStyle name="Normal 6 2 2 7" xfId="6067"/>
    <cellStyle name="Normal 6 2 3" xfId="6068"/>
    <cellStyle name="Normal 6 2 4" xfId="6069"/>
    <cellStyle name="Normal 6 2 5" xfId="6070"/>
    <cellStyle name="Normal 6 2 6" xfId="6071"/>
    <cellStyle name="Normal 6 2 7" xfId="6072"/>
    <cellStyle name="Normal 6 3" xfId="6073"/>
    <cellStyle name="Normal 6 4" xfId="6074"/>
    <cellStyle name="Normal 6 5" xfId="6075"/>
    <cellStyle name="Normal 6 6" xfId="6076"/>
    <cellStyle name="Normal 6 7" xfId="6077"/>
    <cellStyle name="Normal 60" xfId="6078"/>
    <cellStyle name="Normal 61" xfId="6079"/>
    <cellStyle name="Normal 62" xfId="6080"/>
    <cellStyle name="Normal 63" xfId="6081"/>
    <cellStyle name="Normal 7" xfId="6082"/>
    <cellStyle name="Normal 7 2" xfId="6083"/>
    <cellStyle name="Normal 8" xfId="6084"/>
    <cellStyle name="Normal 8 2" xfId="6085"/>
    <cellStyle name="Normal 9" xfId="6086"/>
    <cellStyle name="Normal 9 2" xfId="6087"/>
    <cellStyle name="Normal_Coût de service - CIS" xfId="6125"/>
    <cellStyle name="Normal_GI-3 Doc 2_pages 6 à 10_R-3638-2008_31juillet09" xfId="6126"/>
    <cellStyle name="Normal_scénarios de coût" xfId="6123"/>
    <cellStyle name="Output Amounts" xfId="6088"/>
    <cellStyle name="Output Column Headings" xfId="6089"/>
    <cellStyle name="Output Line Items" xfId="6090"/>
    <cellStyle name="Output Report Heading" xfId="6091"/>
    <cellStyle name="Output Report Title" xfId="6092"/>
    <cellStyle name="Percent 12" xfId="6093"/>
    <cellStyle name="Percent 2" xfId="6094"/>
    <cellStyle name="Percent 2 10" xfId="6095"/>
    <cellStyle name="Percent 2 11" xfId="6096"/>
    <cellStyle name="Percent 2 12" xfId="6097"/>
    <cellStyle name="Percent 2 13" xfId="6098"/>
    <cellStyle name="Percent 2 14" xfId="6099"/>
    <cellStyle name="Percent 2 15" xfId="6100"/>
    <cellStyle name="Percent 2 16" xfId="6101"/>
    <cellStyle name="Percent 2 17" xfId="6102"/>
    <cellStyle name="Percent 2 18" xfId="6103"/>
    <cellStyle name="Percent 2 19" xfId="6104"/>
    <cellStyle name="Percent 2 2" xfId="6105"/>
    <cellStyle name="Percent 2 2 2" xfId="6106"/>
    <cellStyle name="Percent 2 3" xfId="6107"/>
    <cellStyle name="Percent 2 4" xfId="6108"/>
    <cellStyle name="Percent 2 5" xfId="6109"/>
    <cellStyle name="Percent 2 6" xfId="6110"/>
    <cellStyle name="Percent 2 7" xfId="6111"/>
    <cellStyle name="Percent 2 8" xfId="6112"/>
    <cellStyle name="Percent 2 9" xfId="6113"/>
    <cellStyle name="Percent 3" xfId="6114"/>
    <cellStyle name="Percent 3 2" xfId="6115"/>
    <cellStyle name="Percent 3 3" xfId="6116"/>
    <cellStyle name="Percent 4" xfId="6117"/>
    <cellStyle name="Percent 5" xfId="6118"/>
    <cellStyle name="Percent_Sheet2" xfId="6119"/>
    <cellStyle name="Pourcentage" xfId="6124" builtinId="5"/>
    <cellStyle name="Pourcentage 2" xfId="6120"/>
    <cellStyle name="Pourcentage 3" xfId="6121"/>
    <cellStyle name="Pourcentage 4" xfId="61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83344</xdr:colOff>
      <xdr:row>143</xdr:row>
      <xdr:rowOff>23813</xdr:rowOff>
    </xdr:from>
    <xdr:to>
      <xdr:col>8</xdr:col>
      <xdr:colOff>583406</xdr:colOff>
      <xdr:row>144</xdr:row>
      <xdr:rowOff>107156</xdr:rowOff>
    </xdr:to>
    <xdr:cxnSp macro="">
      <xdr:nvCxnSpPr>
        <xdr:cNvPr id="2" name="Connecteur droit 1"/>
        <xdr:cNvCxnSpPr/>
      </xdr:nvCxnSpPr>
      <xdr:spPr>
        <a:xfrm>
          <a:off x="4760119" y="19102388"/>
          <a:ext cx="2309812" cy="2452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83344</xdr:colOff>
      <xdr:row>70</xdr:row>
      <xdr:rowOff>23813</xdr:rowOff>
    </xdr:from>
    <xdr:to>
      <xdr:col>7</xdr:col>
      <xdr:colOff>583406</xdr:colOff>
      <xdr:row>71</xdr:row>
      <xdr:rowOff>107156</xdr:rowOff>
    </xdr:to>
    <xdr:cxnSp macro="">
      <xdr:nvCxnSpPr>
        <xdr:cNvPr id="3" name="Connecteur droit 2"/>
        <xdr:cNvCxnSpPr/>
      </xdr:nvCxnSpPr>
      <xdr:spPr>
        <a:xfrm>
          <a:off x="3864769" y="11244263"/>
          <a:ext cx="2290762" cy="2452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83344</xdr:colOff>
      <xdr:row>143</xdr:row>
      <xdr:rowOff>23813</xdr:rowOff>
    </xdr:from>
    <xdr:to>
      <xdr:col>8</xdr:col>
      <xdr:colOff>583406</xdr:colOff>
      <xdr:row>144</xdr:row>
      <xdr:rowOff>107156</xdr:rowOff>
    </xdr:to>
    <xdr:cxnSp macro="">
      <xdr:nvCxnSpPr>
        <xdr:cNvPr id="2" name="Connecteur droit 1"/>
        <xdr:cNvCxnSpPr/>
      </xdr:nvCxnSpPr>
      <xdr:spPr>
        <a:xfrm>
          <a:off x="4760119" y="19102388"/>
          <a:ext cx="2309812" cy="2452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83344</xdr:colOff>
      <xdr:row>70</xdr:row>
      <xdr:rowOff>23813</xdr:rowOff>
    </xdr:from>
    <xdr:to>
      <xdr:col>7</xdr:col>
      <xdr:colOff>583406</xdr:colOff>
      <xdr:row>71</xdr:row>
      <xdr:rowOff>107156</xdr:rowOff>
    </xdr:to>
    <xdr:cxnSp macro="">
      <xdr:nvCxnSpPr>
        <xdr:cNvPr id="4" name="Connecteur droit 3"/>
        <xdr:cNvCxnSpPr/>
      </xdr:nvCxnSpPr>
      <xdr:spPr>
        <a:xfrm>
          <a:off x="3864769" y="11244263"/>
          <a:ext cx="2290762" cy="2452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83344</xdr:colOff>
      <xdr:row>115</xdr:row>
      <xdr:rowOff>23813</xdr:rowOff>
    </xdr:from>
    <xdr:to>
      <xdr:col>8</xdr:col>
      <xdr:colOff>583406</xdr:colOff>
      <xdr:row>116</xdr:row>
      <xdr:rowOff>107156</xdr:rowOff>
    </xdr:to>
    <xdr:cxnSp macro="">
      <xdr:nvCxnSpPr>
        <xdr:cNvPr id="2" name="Connecteur droit 1"/>
        <xdr:cNvCxnSpPr/>
      </xdr:nvCxnSpPr>
      <xdr:spPr>
        <a:xfrm>
          <a:off x="4760119" y="19102388"/>
          <a:ext cx="2309812" cy="2452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83344</xdr:colOff>
      <xdr:row>115</xdr:row>
      <xdr:rowOff>23813</xdr:rowOff>
    </xdr:from>
    <xdr:to>
      <xdr:col>8</xdr:col>
      <xdr:colOff>583406</xdr:colOff>
      <xdr:row>116</xdr:row>
      <xdr:rowOff>107156</xdr:rowOff>
    </xdr:to>
    <xdr:cxnSp macro="">
      <xdr:nvCxnSpPr>
        <xdr:cNvPr id="2" name="Connecteur droit 1"/>
        <xdr:cNvCxnSpPr/>
      </xdr:nvCxnSpPr>
      <xdr:spPr>
        <a:xfrm>
          <a:off x="4760119" y="19102388"/>
          <a:ext cx="2309812" cy="2452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148166</xdr:colOff>
      <xdr:row>65</xdr:row>
      <xdr:rowOff>63500</xdr:rowOff>
    </xdr:from>
    <xdr:to>
      <xdr:col>8</xdr:col>
      <xdr:colOff>656166</xdr:colOff>
      <xdr:row>66</xdr:row>
      <xdr:rowOff>105834</xdr:rowOff>
    </xdr:to>
    <xdr:cxnSp macro="">
      <xdr:nvCxnSpPr>
        <xdr:cNvPr id="3" name="Connecteur droit 2"/>
        <xdr:cNvCxnSpPr/>
      </xdr:nvCxnSpPr>
      <xdr:spPr>
        <a:xfrm>
          <a:off x="4836583" y="11123083"/>
          <a:ext cx="2317750" cy="201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CAUSE/piece%20de%20la%20cause%202002%20revi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CAUSE/GI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CAUSE/GI-2CON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CCTG/MONTHEND/ETATS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LOBOO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~ME067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REQUETE/Programme%20de%20francisation/Cout%20de%20service/Co&#251;t%20de%20service%20-%20Francisation%20-%20version%20immos%20et%20frais%20report&#233;s%20-%20version%20sur%20prolongation%202%20ans-V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CAUSE/Cause%202015/Phase%203%20-%20Pi&#232;ces%2018%20ao&#251;t%202014/GI-17%20Doc%201%20&#224;%20Doc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1 doc 1"/>
      <sheetName val="GI1 DOC 1-1"/>
      <sheetName val="gi2 - doc. 2"/>
      <sheetName val="Tarif moyen"/>
      <sheetName val="gi2 doc 2-1-1"/>
      <sheetName val="mensuelle"/>
      <sheetName val="Cout du gaz total"/>
      <sheetName val="Tarif 200"/>
      <sheetName val="2002U  EB-2001-0419"/>
      <sheetName val="GI-4, doc.1"/>
      <sheetName val="GI-4, doc. 2"/>
      <sheetName val="Taxes et autres"/>
      <sheetName val="gi-6 doc 2"/>
      <sheetName val="Impôt réglementaire"/>
      <sheetName val="base"/>
      <sheetName val="struct du capital reg et non"/>
      <sheetName val="taux rendement avoir"/>
      <sheetName val="Rev. add. requis"/>
      <sheetName val="GI13 DOC9"/>
      <sheetName val="gi14 Doc 2"/>
      <sheetName val="gi 14 Doc 3"/>
      <sheetName val="gi 14 Doc  4"/>
      <sheetName val="gi 14 - Doc 5"/>
      <sheetName val="gi14 doc 5-1"/>
      <sheetName val="gi 14 Doc 6"/>
      <sheetName val="gi 14 doc7 p1"/>
      <sheetName val="gi 14 doc 7 P 2"/>
      <sheetName val="gi 14 doc 7 P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conc. (2)"/>
      <sheetName val="Exh 1"/>
      <sheetName val="rep revenu requis"/>
      <sheetName val="TARIF 9 (2)"/>
      <sheetName val="TARIF 9"/>
      <sheetName val="TARIF 5"/>
      <sheetName val="TARIF 3"/>
      <sheetName val="Commercial-proposé (2)"/>
      <sheetName val="client. existante propose (2)"/>
      <sheetName val="gi-2 - doc. 5"/>
      <sheetName val="gi2 - doc. 2"/>
      <sheetName val="mensuelle (2)"/>
      <sheetName val="Position conc."/>
      <sheetName val="TARIF 2 "/>
      <sheetName val="conversion - propose"/>
      <sheetName val="nouvelle const -propose"/>
      <sheetName val="client. existante propose"/>
      <sheetName val="Commercial-proposé"/>
      <sheetName val="Commercial-proposé (sce.2)"/>
      <sheetName val="Hypothèses"/>
      <sheetName val="mensuelle"/>
      <sheetName val="# de clients"/>
      <sheetName val="Tarif moyen"/>
      <sheetName val="ETATS FINANCIERS"/>
      <sheetName val="mensuelle (7)"/>
      <sheetName val="mensuelle (6)"/>
      <sheetName val="mensuelle (5)"/>
      <sheetName val="conciliation"/>
      <sheetName val="mensuelle (4)"/>
      <sheetName val="mensuelle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CAURED"/>
      <sheetName val="NOR2001 (5+7)"/>
      <sheetName val="2001(5+7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Sheet2"/>
      <sheetName val="DANIEL"/>
      <sheetName val="CASHFLOW"/>
      <sheetName val="ETATS95"/>
      <sheetName val="LTREC"/>
      <sheetName val="gi-1 doc 2.1 ferm (2)"/>
      <sheetName val="Main Menu"/>
      <sheetName val="Report_Date"/>
      <sheetName val="GL_Data"/>
      <sheetName val="GL_Regroup_Data"/>
      <sheetName val="Pie chart"/>
      <sheetName val="CASHFLOW (2)"/>
      <sheetName val="E.R. mensuel"/>
      <sheetName val="ER fermeture (2)"/>
      <sheetName val="ER fermeture"/>
      <sheetName val="notes (2)"/>
      <sheetName val="notes"/>
      <sheetName val="Sheet1"/>
      <sheetName val="evolution - fermeture (2)"/>
      <sheetName val="evolution - fermeture"/>
      <sheetName val="Bilan fermeture (2)"/>
      <sheetName val="Bilan fermeture"/>
      <sheetName val="BNR fermeture (2)"/>
      <sheetName val="BNR fermeture"/>
      <sheetName val="gi-1 doc 2.1 ferm"/>
      <sheetName val="ETATS.XLM"/>
      <sheetName val="Module2"/>
      <sheetName val="Module3"/>
      <sheetName val="ETATS.XLM (2)"/>
      <sheetName val="ER fermeture nouv format"/>
      <sheetName val="ER fermeture new for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01">
          <cell r="FU401" t="str">
            <v>GAZIFERE INC.</v>
          </cell>
        </row>
        <row r="403">
          <cell r="FU403" t="str">
            <v>STATEMENT OF INCOME</v>
          </cell>
        </row>
        <row r="405">
          <cell r="FU405" t="str">
            <v>ONE MONTH ENDED OCTOBER 31, 1998</v>
          </cell>
        </row>
        <row r="408">
          <cell r="FW408" t="str">
            <v>ACTUAL</v>
          </cell>
          <cell r="GA408" t="str">
            <v>BUDGET</v>
          </cell>
          <cell r="GC408" t="str">
            <v>BUDGET</v>
          </cell>
        </row>
        <row r="409">
          <cell r="FW409" t="str">
            <v>FISCAL</v>
          </cell>
          <cell r="GA409" t="str">
            <v xml:space="preserve">  FISCAL</v>
          </cell>
          <cell r="GC409" t="str">
            <v>VARIANCE</v>
          </cell>
          <cell r="GF409" t="str">
            <v>REF.</v>
          </cell>
        </row>
        <row r="410">
          <cell r="FW410">
            <v>1998</v>
          </cell>
          <cell r="FY410">
            <v>1999</v>
          </cell>
          <cell r="GA410">
            <v>1999</v>
          </cell>
          <cell r="GC410" t="str">
            <v>CUMULATIVE</v>
          </cell>
          <cell r="GF410" t="str">
            <v>NO.</v>
          </cell>
        </row>
        <row r="412">
          <cell r="FU412" t="str">
            <v xml:space="preserve">Gas sales </v>
          </cell>
          <cell r="FW412">
            <v>1940</v>
          </cell>
          <cell r="FY412">
            <v>2032</v>
          </cell>
          <cell r="GA412">
            <v>529</v>
          </cell>
          <cell r="GC412">
            <v>1503</v>
          </cell>
          <cell r="GF412" t="str">
            <v>S1</v>
          </cell>
        </row>
        <row r="413">
          <cell r="FU413" t="str">
            <v xml:space="preserve">Variance and stabilization accounts </v>
          </cell>
          <cell r="FW413">
            <v>97</v>
          </cell>
          <cell r="FY413">
            <v>195</v>
          </cell>
          <cell r="GA413">
            <v>0.02</v>
          </cell>
          <cell r="GC413">
            <v>194.98</v>
          </cell>
          <cell r="GF413" t="str">
            <v>S1</v>
          </cell>
        </row>
        <row r="414">
          <cell r="FW414">
            <v>2037</v>
          </cell>
          <cell r="FY414">
            <v>2227</v>
          </cell>
          <cell r="GA414">
            <v>529.02</v>
          </cell>
          <cell r="GC414">
            <v>1697.98</v>
          </cell>
        </row>
        <row r="416">
          <cell r="FU416" t="str">
            <v xml:space="preserve">Gas costs                  </v>
          </cell>
          <cell r="FW416">
            <v>1271</v>
          </cell>
          <cell r="FY416">
            <v>1434</v>
          </cell>
          <cell r="GA416">
            <v>0</v>
          </cell>
          <cell r="GC416">
            <v>1434</v>
          </cell>
        </row>
        <row r="417">
          <cell r="FU417" t="str">
            <v>Gas sales margin</v>
          </cell>
          <cell r="FW417">
            <v>766</v>
          </cell>
          <cell r="FY417">
            <v>793</v>
          </cell>
          <cell r="GA417">
            <v>529.02</v>
          </cell>
          <cell r="GC417">
            <v>263.98</v>
          </cell>
        </row>
        <row r="419">
          <cell r="FU419" t="str">
            <v>Other revenue</v>
          </cell>
          <cell r="FW419">
            <v>326</v>
          </cell>
          <cell r="FY419">
            <v>355</v>
          </cell>
          <cell r="GA419">
            <v>-35.99</v>
          </cell>
          <cell r="GC419">
            <v>390.99</v>
          </cell>
          <cell r="GF419" t="str">
            <v>S1</v>
          </cell>
        </row>
        <row r="420">
          <cell r="FW420">
            <v>1092</v>
          </cell>
          <cell r="FY420">
            <v>1148</v>
          </cell>
          <cell r="GA420">
            <v>493.03</v>
          </cell>
          <cell r="GC420">
            <v>654.97</v>
          </cell>
        </row>
        <row r="422">
          <cell r="FU422" t="str">
            <v>Expenses</v>
          </cell>
        </row>
        <row r="423">
          <cell r="FU423" t="str">
            <v xml:space="preserve">  Operation and maintenance</v>
          </cell>
          <cell r="FW423">
            <v>326</v>
          </cell>
          <cell r="FY423">
            <v>275</v>
          </cell>
          <cell r="GA423">
            <v>446</v>
          </cell>
          <cell r="GC423">
            <v>-171</v>
          </cell>
          <cell r="GF423" t="str">
            <v>S1</v>
          </cell>
        </row>
        <row r="424">
          <cell r="FU424" t="str">
            <v xml:space="preserve">  Depreciation</v>
          </cell>
          <cell r="FW424">
            <v>128</v>
          </cell>
          <cell r="FY424">
            <v>142</v>
          </cell>
          <cell r="GA424">
            <v>0</v>
          </cell>
          <cell r="GC424">
            <v>142</v>
          </cell>
        </row>
        <row r="425">
          <cell r="FU425" t="str">
            <v xml:space="preserve">  Municipal and other taxes</v>
          </cell>
          <cell r="FW425">
            <v>29</v>
          </cell>
          <cell r="FY425">
            <v>25</v>
          </cell>
          <cell r="GA425">
            <v>0</v>
          </cell>
          <cell r="GC425">
            <v>25</v>
          </cell>
        </row>
        <row r="426">
          <cell r="FW426">
            <v>483</v>
          </cell>
          <cell r="FY426">
            <v>442</v>
          </cell>
          <cell r="GA426">
            <v>446</v>
          </cell>
          <cell r="GC426">
            <v>-4</v>
          </cell>
          <cell r="GF426" t="str">
            <v xml:space="preserve"> </v>
          </cell>
        </row>
        <row r="428">
          <cell r="FU428" t="str">
            <v>Interest on long term debt</v>
          </cell>
          <cell r="FW428">
            <v>242</v>
          </cell>
          <cell r="FY428">
            <v>261.3</v>
          </cell>
          <cell r="GA428">
            <v>0</v>
          </cell>
          <cell r="GC428">
            <v>261.3</v>
          </cell>
        </row>
        <row r="430">
          <cell r="FU430" t="str">
            <v>Rate adjustment mechanism</v>
          </cell>
          <cell r="FW430">
            <v>10.384</v>
          </cell>
          <cell r="FY430">
            <v>0</v>
          </cell>
          <cell r="GA430">
            <v>0</v>
          </cell>
          <cell r="GC430">
            <v>0</v>
          </cell>
        </row>
        <row r="432">
          <cell r="FU432" t="str">
            <v>Income before income taxes</v>
          </cell>
          <cell r="FW432">
            <v>356.61599999999999</v>
          </cell>
          <cell r="FY432">
            <v>444.7</v>
          </cell>
          <cell r="GA432">
            <v>47.029999999999973</v>
          </cell>
          <cell r="GC432">
            <v>397.67</v>
          </cell>
        </row>
        <row r="434">
          <cell r="FU434" t="str">
            <v>Income taxes</v>
          </cell>
        </row>
        <row r="435">
          <cell r="FU435" t="str">
            <v xml:space="preserve">  Current</v>
          </cell>
          <cell r="FW435">
            <v>-53</v>
          </cell>
          <cell r="FY435">
            <v>-33</v>
          </cell>
          <cell r="GA435">
            <v>0</v>
          </cell>
          <cell r="GC435">
            <v>-33</v>
          </cell>
        </row>
        <row r="436">
          <cell r="FU436" t="str">
            <v xml:space="preserve">  Deferred</v>
          </cell>
          <cell r="FW436">
            <v>91</v>
          </cell>
          <cell r="FY436">
            <v>125</v>
          </cell>
          <cell r="GA436">
            <v>0</v>
          </cell>
          <cell r="GC436">
            <v>125</v>
          </cell>
        </row>
        <row r="437">
          <cell r="FW437">
            <v>38</v>
          </cell>
          <cell r="FY437">
            <v>92</v>
          </cell>
          <cell r="GA437">
            <v>0</v>
          </cell>
          <cell r="GC437">
            <v>92</v>
          </cell>
        </row>
        <row r="439">
          <cell r="FU439" t="str">
            <v>NET INCOME</v>
          </cell>
          <cell r="FW439">
            <v>318.61599999999999</v>
          </cell>
          <cell r="FY439">
            <v>352.7</v>
          </cell>
          <cell r="GA439">
            <v>47.029999999999973</v>
          </cell>
          <cell r="GC439">
            <v>305.67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B1">
            <v>5.91E-2</v>
          </cell>
        </row>
        <row r="4">
          <cell r="B4">
            <v>0.435</v>
          </cell>
        </row>
        <row r="5">
          <cell r="B5">
            <v>6.0000000000000001E-3</v>
          </cell>
        </row>
        <row r="6">
          <cell r="B6">
            <v>6.9823008849557531E-3</v>
          </cell>
        </row>
        <row r="9">
          <cell r="B9">
            <v>3</v>
          </cell>
        </row>
        <row r="16">
          <cell r="B16">
            <v>2.8</v>
          </cell>
        </row>
        <row r="17">
          <cell r="B17">
            <v>5.0999999999999996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BOOK93"/>
      <sheetName val="CLOBOOK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 1"/>
      <sheetName val="Exh 2"/>
      <sheetName val="Exh 3"/>
      <sheetName val="GAS exh"/>
      <sheetName val="T-service Rate 4"/>
      <sheetName val="T-Service Rate 9"/>
      <sheetName val="Class_Def"/>
      <sheetName val="Unit_Rates"/>
      <sheetName val="Misc calcs"/>
      <sheetName val="AMB Approved"/>
      <sheetName val="CDS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ût de service-sensi +10%"/>
      <sheetName val="Coût de service-sensi -10%"/>
      <sheetName val="Dep 2014 +10%"/>
      <sheetName val="Dep 2015 +10%"/>
      <sheetName val="Dep 2016 +10%"/>
      <sheetName val="Dep 2017 +10%"/>
      <sheetName val="Dep 2018 +10%"/>
      <sheetName val="Dep 2014 -10%"/>
      <sheetName val="Dep 2015 -10%"/>
      <sheetName val="Dep 2016 -10%"/>
      <sheetName val="Dep 2017 -10%"/>
      <sheetName val="Dep 2018 -10%"/>
      <sheetName val="Coût de service"/>
      <sheetName val="Depreciation 2015"/>
      <sheetName val="Depreciation 2016"/>
      <sheetName val="Depreciation 2017"/>
      <sheetName val="Depreciation 2018"/>
      <sheetName val="Depreciation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R8">
            <v>4.5199999999999997E-2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-17, doc 1"/>
      <sheetName val="GI-17, doc 2"/>
      <sheetName val="GI-17, doc 2.1"/>
      <sheetName val="GI-17, doc 2.2"/>
      <sheetName val="GI-17, doc 2.2.1"/>
      <sheetName val="GI-17, doc 2.2.2"/>
      <sheetName val="GI-17, doc 2.3"/>
      <sheetName val="GI-17, doc 2.3.1"/>
      <sheetName val="GI-17, doc 2.3.2"/>
      <sheetName val="GI-17, doc 2.3.3, page 1"/>
      <sheetName val="GI-17, doc 2.3.3, page 2"/>
      <sheetName val="GI-17, doc 2.3.4, page 1"/>
      <sheetName val="GI-17, doc 2.3.4, page 2"/>
      <sheetName val="GI-17, doc 2.3.5, page 1"/>
      <sheetName val="GI-17, doc 2.3.5, page 2"/>
      <sheetName val="GI-17 doc 2.3.6 page 1"/>
      <sheetName val="GI-17, doc 2.3.6, page 2"/>
      <sheetName val="GI-17, doc 2.4"/>
    </sheetNames>
    <sheetDataSet>
      <sheetData sheetId="0">
        <row r="3">
          <cell r="A3" t="str">
            <v>CAUSE TARIFAIRE 2015 (Phase 3)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</sheetData>
      <sheetData sheetId="1"/>
      <sheetData sheetId="2"/>
      <sheetData sheetId="3">
        <row r="48">
          <cell r="E48">
            <v>9.0999999999999998E-2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2:AK166"/>
  <sheetViews>
    <sheetView view="pageBreakPreview" zoomScale="80" zoomScaleNormal="80" zoomScaleSheetLayoutView="80" workbookViewId="0">
      <selection activeCell="N38" sqref="N38:N42"/>
    </sheetView>
  </sheetViews>
  <sheetFormatPr baseColWidth="10" defaultRowHeight="12.75"/>
  <cols>
    <col min="1" max="1" width="6.140625" customWidth="1"/>
    <col min="2" max="2" width="10" customWidth="1"/>
    <col min="3" max="3" width="13.7109375" customWidth="1"/>
    <col min="4" max="7" width="13.42578125" customWidth="1"/>
    <col min="8" max="8" width="13.7109375" customWidth="1"/>
    <col min="9" max="9" width="14.5703125" customWidth="1"/>
    <col min="10" max="10" width="13.85546875" customWidth="1"/>
    <col min="11" max="11" width="14.42578125" customWidth="1"/>
    <col min="12" max="15" width="14.5703125" customWidth="1"/>
    <col min="16" max="16" width="16.85546875" customWidth="1"/>
    <col min="17" max="18" width="14.42578125" customWidth="1"/>
    <col min="19" max="20" width="15.5703125" customWidth="1"/>
    <col min="21" max="21" width="14.140625" customWidth="1"/>
    <col min="22" max="22" width="7.7109375" customWidth="1"/>
    <col min="23" max="24" width="9.140625" customWidth="1"/>
    <col min="25" max="25" width="15.140625" customWidth="1"/>
    <col min="26" max="26" width="9.140625" customWidth="1"/>
    <col min="27" max="27" width="11.7109375" customWidth="1"/>
    <col min="28" max="28" width="12.85546875" customWidth="1"/>
    <col min="29" max="29" width="12" customWidth="1"/>
    <col min="30" max="30" width="11.5703125" customWidth="1"/>
    <col min="31" max="31" width="12.7109375" customWidth="1"/>
    <col min="32" max="32" width="13.28515625" customWidth="1"/>
    <col min="33" max="34" width="11.85546875" customWidth="1"/>
    <col min="35" max="35" width="12.140625" customWidth="1"/>
    <col min="36" max="36" width="11.28515625" customWidth="1"/>
    <col min="37" max="37" width="11.42578125" customWidth="1"/>
    <col min="38" max="38" width="12" customWidth="1"/>
  </cols>
  <sheetData>
    <row r="2" spans="1:19">
      <c r="A2" s="28" t="s">
        <v>226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9">
      <c r="A3" s="28" t="s">
        <v>228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9">
      <c r="B4" s="28" t="s">
        <v>206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9" ht="15.75" customHeight="1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9" ht="15" customHeight="1"/>
    <row r="8" spans="1:19">
      <c r="O8" t="s">
        <v>1</v>
      </c>
    </row>
    <row r="9" spans="1:19">
      <c r="O9" t="s">
        <v>2</v>
      </c>
      <c r="R9">
        <v>2.2200000000000001E-2</v>
      </c>
      <c r="S9" t="s">
        <v>3</v>
      </c>
    </row>
    <row r="10" spans="1:19">
      <c r="B10" t="s">
        <v>4</v>
      </c>
      <c r="G10">
        <f>+L57</f>
        <v>8.0600000000000005E-2</v>
      </c>
      <c r="H10" t="s">
        <v>5</v>
      </c>
      <c r="O10" t="s">
        <v>57</v>
      </c>
      <c r="R10">
        <v>4.5199999999999997E-2</v>
      </c>
      <c r="S10" t="s">
        <v>3</v>
      </c>
    </row>
    <row r="11" spans="1:19">
      <c r="B11" t="s">
        <v>6</v>
      </c>
      <c r="G11">
        <v>0</v>
      </c>
      <c r="O11" t="s">
        <v>81</v>
      </c>
      <c r="R11">
        <v>0.25</v>
      </c>
      <c r="S11" t="s">
        <v>3</v>
      </c>
    </row>
    <row r="12" spans="1:19">
      <c r="O12" t="s">
        <v>101</v>
      </c>
      <c r="R12">
        <f>1/3</f>
        <v>0.33333333333333331</v>
      </c>
      <c r="S12" t="s">
        <v>3</v>
      </c>
    </row>
    <row r="13" spans="1:19">
      <c r="G13">
        <f>SUM(G10:G11)</f>
        <v>8.0600000000000005E-2</v>
      </c>
    </row>
    <row r="14" spans="1:19">
      <c r="O14" t="s">
        <v>7</v>
      </c>
    </row>
    <row r="15" spans="1:19">
      <c r="O15" t="s">
        <v>2</v>
      </c>
      <c r="R15">
        <f>I117</f>
        <v>78678</v>
      </c>
    </row>
    <row r="16" spans="1:19">
      <c r="O16" t="s">
        <v>57</v>
      </c>
      <c r="R16">
        <f>I118</f>
        <v>88722</v>
      </c>
    </row>
    <row r="17" spans="2:37">
      <c r="F17" t="s">
        <v>113</v>
      </c>
      <c r="O17" t="s">
        <v>81</v>
      </c>
      <c r="R17">
        <f>I119</f>
        <v>193968</v>
      </c>
    </row>
    <row r="18" spans="2:37">
      <c r="O18" t="s">
        <v>101</v>
      </c>
      <c r="R18">
        <f>I120</f>
        <v>500890</v>
      </c>
    </row>
    <row r="19" spans="2:37" ht="13.5" thickBot="1">
      <c r="R19">
        <f>SUM(R15:R18)</f>
        <v>862258</v>
      </c>
    </row>
    <row r="24" spans="2:37">
      <c r="O24" t="s">
        <v>80</v>
      </c>
      <c r="R24">
        <v>7.4999999999999997E-3</v>
      </c>
      <c r="S24" t="s">
        <v>117</v>
      </c>
    </row>
    <row r="25" spans="2:37">
      <c r="X25" t="s">
        <v>8</v>
      </c>
    </row>
    <row r="27" spans="2:37">
      <c r="AA27">
        <v>2014</v>
      </c>
      <c r="AB27">
        <f t="shared" ref="AB27:AK27" si="0">+AA27+1</f>
        <v>2015</v>
      </c>
      <c r="AC27">
        <f t="shared" si="0"/>
        <v>2016</v>
      </c>
      <c r="AD27">
        <f t="shared" si="0"/>
        <v>2017</v>
      </c>
      <c r="AE27">
        <f t="shared" si="0"/>
        <v>2018</v>
      </c>
      <c r="AF27">
        <f t="shared" si="0"/>
        <v>2019</v>
      </c>
      <c r="AG27">
        <f t="shared" si="0"/>
        <v>2020</v>
      </c>
      <c r="AH27">
        <f t="shared" si="0"/>
        <v>2021</v>
      </c>
      <c r="AI27">
        <f t="shared" si="0"/>
        <v>2022</v>
      </c>
      <c r="AJ27">
        <f t="shared" si="0"/>
        <v>2023</v>
      </c>
      <c r="AK27">
        <f t="shared" si="0"/>
        <v>2024</v>
      </c>
    </row>
    <row r="29" spans="2:37">
      <c r="B29" t="s">
        <v>9</v>
      </c>
      <c r="X29" t="s">
        <v>10</v>
      </c>
      <c r="Z29">
        <v>0.06</v>
      </c>
      <c r="AB29">
        <f t="shared" ref="AB29:AK29" si="1">+AA32</f>
        <v>26226</v>
      </c>
      <c r="AC29">
        <f t="shared" si="1"/>
        <v>50878.44</v>
      </c>
      <c r="AD29">
        <f t="shared" si="1"/>
        <v>73264.953600000008</v>
      </c>
      <c r="AE29">
        <f t="shared" si="1"/>
        <v>68869.05638400001</v>
      </c>
      <c r="AF29">
        <f t="shared" si="1"/>
        <v>64736.913000960012</v>
      </c>
      <c r="AG29">
        <f t="shared" si="1"/>
        <v>60852.698220902414</v>
      </c>
      <c r="AH29">
        <f t="shared" si="1"/>
        <v>57201.536327648268</v>
      </c>
      <c r="AI29">
        <f t="shared" si="1"/>
        <v>53769.444147989372</v>
      </c>
      <c r="AJ29">
        <f t="shared" si="1"/>
        <v>50543.277499110009</v>
      </c>
      <c r="AK29">
        <f t="shared" si="1"/>
        <v>47510.680849163407</v>
      </c>
    </row>
    <row r="30" spans="2:37">
      <c r="P30" t="s">
        <v>103</v>
      </c>
      <c r="X30" t="s">
        <v>11</v>
      </c>
      <c r="AA30">
        <f>C37</f>
        <v>26226</v>
      </c>
      <c r="AB30">
        <f>C38</f>
        <v>26226</v>
      </c>
      <c r="AC30">
        <f>C39</f>
        <v>26226</v>
      </c>
      <c r="AD30">
        <f>C40</f>
        <v>0</v>
      </c>
      <c r="AE30">
        <f>C41</f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</row>
    <row r="31" spans="2:37">
      <c r="O31" t="s">
        <v>85</v>
      </c>
      <c r="P31" t="s">
        <v>207</v>
      </c>
      <c r="Q31" t="str">
        <f>'GI-34 doc 3 page 1 de 2'!Q26</f>
        <v>Impact sur</v>
      </c>
      <c r="T31" t="s">
        <v>213</v>
      </c>
      <c r="X31" t="s">
        <v>12</v>
      </c>
      <c r="AB31">
        <f>((AB29+AB30)/2)*$Z$29</f>
        <v>1573.56</v>
      </c>
      <c r="AC31">
        <f t="shared" ref="AC31:AK31" si="2">(AC29+(AC30/2))*$Z$29</f>
        <v>3839.4863999999998</v>
      </c>
      <c r="AD31">
        <f t="shared" si="2"/>
        <v>4395.8972160000003</v>
      </c>
      <c r="AE31">
        <f t="shared" si="2"/>
        <v>4132.1433830400001</v>
      </c>
      <c r="AF31">
        <f t="shared" si="2"/>
        <v>3884.2147800576004</v>
      </c>
      <c r="AG31">
        <f t="shared" si="2"/>
        <v>3651.1618932541446</v>
      </c>
      <c r="AH31">
        <f t="shared" si="2"/>
        <v>3432.0921796588959</v>
      </c>
      <c r="AI31">
        <f t="shared" si="2"/>
        <v>3226.1666488793621</v>
      </c>
      <c r="AJ31">
        <f t="shared" si="2"/>
        <v>3032.5966499466003</v>
      </c>
      <c r="AK31">
        <f t="shared" si="2"/>
        <v>2850.6408509498042</v>
      </c>
    </row>
    <row r="32" spans="2:37">
      <c r="B32" t="s">
        <v>13</v>
      </c>
      <c r="C32" t="s">
        <v>14</v>
      </c>
      <c r="D32" t="s">
        <v>65</v>
      </c>
      <c r="E32" t="s">
        <v>77</v>
      </c>
      <c r="F32" t="s">
        <v>101</v>
      </c>
      <c r="G32" t="s">
        <v>15</v>
      </c>
      <c r="H32" t="s">
        <v>16</v>
      </c>
      <c r="I32" t="s">
        <v>16</v>
      </c>
      <c r="J32" t="s">
        <v>16</v>
      </c>
      <c r="K32" t="s">
        <v>17</v>
      </c>
      <c r="L32" t="s">
        <v>17</v>
      </c>
      <c r="M32" t="s">
        <v>17</v>
      </c>
      <c r="N32" t="s">
        <v>17</v>
      </c>
      <c r="O32" t="s">
        <v>87</v>
      </c>
      <c r="P32" t="s">
        <v>208</v>
      </c>
      <c r="Q32" t="str">
        <f>'GI-34 doc 3 page 1 de 2'!Q27</f>
        <v>les charges</v>
      </c>
      <c r="R32" t="s">
        <v>18</v>
      </c>
      <c r="S32" t="s">
        <v>126</v>
      </c>
      <c r="T32" t="s">
        <v>214</v>
      </c>
      <c r="U32" t="s">
        <v>54</v>
      </c>
      <c r="X32" t="s">
        <v>19</v>
      </c>
      <c r="AA32">
        <f>+AA30-AA31</f>
        <v>26226</v>
      </c>
      <c r="AB32">
        <f t="shared" ref="AB32:AK32" si="3">+AB29+AB30-AB31</f>
        <v>50878.44</v>
      </c>
      <c r="AC32">
        <f t="shared" si="3"/>
        <v>73264.953600000008</v>
      </c>
      <c r="AD32">
        <f t="shared" si="3"/>
        <v>68869.05638400001</v>
      </c>
      <c r="AE32">
        <f t="shared" si="3"/>
        <v>64736.913000960012</v>
      </c>
      <c r="AF32">
        <f t="shared" si="3"/>
        <v>60852.698220902414</v>
      </c>
      <c r="AG32">
        <f t="shared" si="3"/>
        <v>57201.536327648268</v>
      </c>
      <c r="AH32">
        <f t="shared" si="3"/>
        <v>53769.444147989372</v>
      </c>
      <c r="AI32">
        <f t="shared" si="3"/>
        <v>50543.277499110009</v>
      </c>
      <c r="AJ32">
        <f t="shared" si="3"/>
        <v>47510.680849163407</v>
      </c>
      <c r="AK32">
        <f t="shared" si="3"/>
        <v>44660.0399982136</v>
      </c>
    </row>
    <row r="33" spans="2:37">
      <c r="C33" t="s">
        <v>20</v>
      </c>
      <c r="D33" t="s">
        <v>66</v>
      </c>
      <c r="E33" t="s">
        <v>78</v>
      </c>
      <c r="G33" t="s">
        <v>21</v>
      </c>
      <c r="H33" t="s">
        <v>22</v>
      </c>
      <c r="I33" t="s">
        <v>22</v>
      </c>
      <c r="J33" t="s">
        <v>22</v>
      </c>
      <c r="K33" t="s">
        <v>0</v>
      </c>
      <c r="L33" t="s">
        <v>109</v>
      </c>
      <c r="M33" t="s">
        <v>84</v>
      </c>
      <c r="N33" t="s">
        <v>101</v>
      </c>
      <c r="O33" t="s">
        <v>86</v>
      </c>
      <c r="P33" t="s">
        <v>210</v>
      </c>
      <c r="Q33" t="str">
        <f>'GI-34 doc 3 page 1 de 2'!Q28</f>
        <v>d'exploitation</v>
      </c>
      <c r="R33" t="s">
        <v>23</v>
      </c>
      <c r="S33" t="s">
        <v>127</v>
      </c>
      <c r="T33" t="s">
        <v>217</v>
      </c>
      <c r="U33" t="s">
        <v>28</v>
      </c>
    </row>
    <row r="34" spans="2:37">
      <c r="H34" t="s">
        <v>24</v>
      </c>
      <c r="I34" t="s">
        <v>25</v>
      </c>
      <c r="J34" t="s">
        <v>26</v>
      </c>
      <c r="P34" t="s">
        <v>209</v>
      </c>
      <c r="Q34" t="s">
        <v>30</v>
      </c>
      <c r="R34" t="s">
        <v>27</v>
      </c>
      <c r="T34" t="s">
        <v>216</v>
      </c>
      <c r="U34" t="s">
        <v>55</v>
      </c>
    </row>
    <row r="35" spans="2:37">
      <c r="B35" t="s">
        <v>5</v>
      </c>
      <c r="C35" t="s">
        <v>29</v>
      </c>
      <c r="D35" t="s">
        <v>30</v>
      </c>
      <c r="E35" t="s">
        <v>31</v>
      </c>
      <c r="F35" t="s">
        <v>32</v>
      </c>
      <c r="G35" t="s">
        <v>33</v>
      </c>
      <c r="H35" t="s">
        <v>34</v>
      </c>
      <c r="I35" t="s">
        <v>35</v>
      </c>
      <c r="J35" t="s">
        <v>36</v>
      </c>
      <c r="K35" t="s">
        <v>120</v>
      </c>
      <c r="L35" t="s">
        <v>37</v>
      </c>
      <c r="M35" t="s">
        <v>38</v>
      </c>
      <c r="N35" t="s">
        <v>39</v>
      </c>
      <c r="O35" t="s">
        <v>40</v>
      </c>
      <c r="P35" t="s">
        <v>41</v>
      </c>
      <c r="Q35" t="s">
        <v>42</v>
      </c>
      <c r="R35" t="s">
        <v>121</v>
      </c>
      <c r="S35" t="s">
        <v>122</v>
      </c>
      <c r="T35" t="s">
        <v>123</v>
      </c>
      <c r="U35" t="s">
        <v>124</v>
      </c>
    </row>
    <row r="37" spans="2:37">
      <c r="B37">
        <v>2014</v>
      </c>
      <c r="C37">
        <f>J126</f>
        <v>26226</v>
      </c>
      <c r="D37">
        <f>J127</f>
        <v>29574</v>
      </c>
      <c r="E37">
        <f>J128</f>
        <v>193968</v>
      </c>
      <c r="F37">
        <f>J129</f>
        <v>183630</v>
      </c>
      <c r="G37">
        <f t="shared" ref="G37:G45" si="4">+C37+D37+E37+F37</f>
        <v>433398</v>
      </c>
      <c r="H37">
        <v>0</v>
      </c>
      <c r="I37">
        <f t="shared" ref="I37:I45" si="5">H37+G37-K37-L37-M37-N37</f>
        <v>433398</v>
      </c>
      <c r="R37">
        <f>+G13</f>
        <v>8.0600000000000005E-2</v>
      </c>
      <c r="S37" t="s">
        <v>5</v>
      </c>
      <c r="X37" t="s">
        <v>56</v>
      </c>
      <c r="Z37">
        <v>0.06</v>
      </c>
      <c r="AB37">
        <f t="shared" ref="AB37:AK37" si="6">+AA40</f>
        <v>29574</v>
      </c>
      <c r="AC37">
        <f t="shared" si="6"/>
        <v>57373.56</v>
      </c>
      <c r="AD37">
        <f t="shared" si="6"/>
        <v>82617.926399999997</v>
      </c>
      <c r="AE37">
        <f t="shared" si="6"/>
        <v>77660.850815999991</v>
      </c>
      <c r="AF37">
        <f t="shared" si="6"/>
        <v>73001.199767039987</v>
      </c>
      <c r="AG37">
        <f t="shared" si="6"/>
        <v>68621.127781017582</v>
      </c>
      <c r="AH37">
        <f t="shared" si="6"/>
        <v>64503.86011415653</v>
      </c>
      <c r="AI37">
        <f t="shared" si="6"/>
        <v>60633.628507307141</v>
      </c>
      <c r="AJ37">
        <f t="shared" si="6"/>
        <v>56995.610796868714</v>
      </c>
      <c r="AK37">
        <f t="shared" si="6"/>
        <v>53575.874149056588</v>
      </c>
    </row>
    <row r="38" spans="2:37">
      <c r="B38">
        <v>2015</v>
      </c>
      <c r="C38">
        <f>J132</f>
        <v>26226</v>
      </c>
      <c r="D38">
        <f>J133</f>
        <v>29574</v>
      </c>
      <c r="E38">
        <f>J134</f>
        <v>0</v>
      </c>
      <c r="F38">
        <f>J135</f>
        <v>183630</v>
      </c>
      <c r="G38">
        <f t="shared" si="4"/>
        <v>239430</v>
      </c>
      <c r="H38">
        <f>I37</f>
        <v>433398</v>
      </c>
      <c r="I38">
        <f t="shared" si="5"/>
        <v>529642.55700000003</v>
      </c>
      <c r="J38">
        <f t="shared" ref="J38:J45" si="7">+(H38+I38)/2</f>
        <v>481520.27850000001</v>
      </c>
      <c r="K38">
        <f>(C37+(C38*0.5))*R9</f>
        <v>873.32580000000007</v>
      </c>
      <c r="L38">
        <f>(D37+(D38*0.5))*R10</f>
        <v>2005.1171999999999</v>
      </c>
      <c r="M38">
        <f>(E37+(E38*0.5))*R11</f>
        <v>48492</v>
      </c>
      <c r="N38">
        <f>(F37+(F38*0.5))*R12</f>
        <v>91815</v>
      </c>
      <c r="O38">
        <f>(C37+D37+C38+D38-K38-L38)*R24</f>
        <v>815.4116775</v>
      </c>
      <c r="P38">
        <f>+((-AB31-AB39-AB46-AB53)+(K38+L38+M38+N38))*0.269/(1-0.269)</f>
        <v>-119378.06269904242</v>
      </c>
      <c r="Q38" t="e">
        <f>K155</f>
        <v>#REF!</v>
      </c>
      <c r="R38">
        <f>+J38*$R$37</f>
        <v>38810.534447100006</v>
      </c>
      <c r="S38" t="e">
        <f>SUM(K38:R38)</f>
        <v>#REF!</v>
      </c>
      <c r="T38" t="e">
        <f t="shared" ref="T38:T45" si="8">+S38-S37</f>
        <v>#REF!</v>
      </c>
      <c r="U38">
        <f t="shared" ref="U38:U45" si="9">+J38*$I$56*$H$56</f>
        <v>17527.338137399998</v>
      </c>
      <c r="X38" t="s">
        <v>11</v>
      </c>
      <c r="AA38">
        <f>D37</f>
        <v>29574</v>
      </c>
      <c r="AB38">
        <f>D38</f>
        <v>29574</v>
      </c>
      <c r="AC38">
        <f>D39</f>
        <v>29574</v>
      </c>
      <c r="AD38">
        <f>D40</f>
        <v>0</v>
      </c>
      <c r="AE38">
        <f>D41</f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</row>
    <row r="39" spans="2:37">
      <c r="B39">
        <f>+B38+1</f>
        <v>2016</v>
      </c>
      <c r="C39">
        <f>O126</f>
        <v>26226</v>
      </c>
      <c r="D39">
        <f>O127</f>
        <v>29574</v>
      </c>
      <c r="E39">
        <f>O128</f>
        <v>0</v>
      </c>
      <c r="F39">
        <f>O129</f>
        <v>133630</v>
      </c>
      <c r="G39">
        <f t="shared" si="4"/>
        <v>189430</v>
      </c>
      <c r="H39">
        <f>+I38</f>
        <v>529642.55700000003</v>
      </c>
      <c r="I39">
        <f t="shared" si="5"/>
        <v>521091.48533333349</v>
      </c>
      <c r="J39">
        <f t="shared" si="7"/>
        <v>525367.02116666676</v>
      </c>
      <c r="K39">
        <f>(C37+C38+(C39*0.5))*R9</f>
        <v>1455.5430000000001</v>
      </c>
      <c r="L39">
        <f>(D37+D38+(D39*0.5))*R10</f>
        <v>3341.8619999999996</v>
      </c>
      <c r="M39">
        <f>(E37+E38+(E39*0.5))*R11</f>
        <v>48492</v>
      </c>
      <c r="N39">
        <f>(F37*R12)+(F38*R12)+(F39*0.5*R12)</f>
        <v>144691.66666666666</v>
      </c>
      <c r="O39">
        <f>(C37+D37+C38+D38+C39+D39-K38-L38-K39-L39)*R24</f>
        <v>1197.9311399999999</v>
      </c>
      <c r="P39">
        <f>+((-AC31-AC39-AC46-AC53)+(K39+L39+M39+N39))*0.269/(1-0.269)</f>
        <v>-15014.707252621984</v>
      </c>
      <c r="Q39" t="e">
        <f>L155</f>
        <v>#REF!</v>
      </c>
      <c r="R39">
        <f t="shared" ref="R39:R45" si="10">+J39*$R$37</f>
        <v>42344.581906033345</v>
      </c>
      <c r="S39" t="e">
        <f t="shared" ref="S39:S45" si="11">SUM(K39:R39)</f>
        <v>#REF!</v>
      </c>
      <c r="T39" t="e">
        <f t="shared" si="8"/>
        <v>#REF!</v>
      </c>
      <c r="U39">
        <f t="shared" si="9"/>
        <v>19123.35957046667</v>
      </c>
      <c r="X39" t="s">
        <v>12</v>
      </c>
      <c r="AB39">
        <f>((AB37+AB38)/2)*$Z$37</f>
        <v>1774.4399999999998</v>
      </c>
      <c r="AC39">
        <f t="shared" ref="AC39:AK39" si="12">(AC37+(AC38/2))*$Z$37</f>
        <v>4329.6336000000001</v>
      </c>
      <c r="AD39">
        <f t="shared" si="12"/>
        <v>4957.0755839999993</v>
      </c>
      <c r="AE39">
        <f t="shared" si="12"/>
        <v>4659.6510489599996</v>
      </c>
      <c r="AF39">
        <f t="shared" si="12"/>
        <v>4380.071986022399</v>
      </c>
      <c r="AG39">
        <f t="shared" si="12"/>
        <v>4117.2676668610547</v>
      </c>
      <c r="AH39">
        <f t="shared" si="12"/>
        <v>3870.2316068493915</v>
      </c>
      <c r="AI39">
        <f t="shared" si="12"/>
        <v>3638.0177104384284</v>
      </c>
      <c r="AJ39">
        <f t="shared" si="12"/>
        <v>3419.7366478121226</v>
      </c>
      <c r="AK39">
        <f t="shared" si="12"/>
        <v>3214.5524489433951</v>
      </c>
    </row>
    <row r="40" spans="2:37">
      <c r="B40">
        <f>+B39+1</f>
        <v>2017</v>
      </c>
      <c r="C40">
        <f>O132</f>
        <v>0</v>
      </c>
      <c r="D40">
        <f>O133</f>
        <v>0</v>
      </c>
      <c r="E40">
        <f>O134</f>
        <v>0</v>
      </c>
      <c r="F40">
        <f>O135</f>
        <v>0</v>
      </c>
      <c r="G40">
        <f t="shared" si="4"/>
        <v>0</v>
      </c>
      <c r="H40">
        <f>I39</f>
        <v>521091.48533333349</v>
      </c>
      <c r="I40">
        <f t="shared" si="5"/>
        <v>299879.26600000018</v>
      </c>
      <c r="J40">
        <f t="shared" si="7"/>
        <v>410485.37566666683</v>
      </c>
      <c r="K40">
        <f>(C37+C38++C39+(C40*0.5))*R9</f>
        <v>1746.6516000000001</v>
      </c>
      <c r="L40">
        <f>(D37+D38++D39+(D40*0.5))*R10</f>
        <v>4010.2343999999998</v>
      </c>
      <c r="M40">
        <f>(E37+E38+E39+(E40*0.5))*R11</f>
        <v>48492</v>
      </c>
      <c r="N40">
        <f>(F37*R12)+(F38*R12)+(F39*R12)+(F40*0.5*R12)</f>
        <v>166963.33333333331</v>
      </c>
      <c r="O40">
        <f>(C37+D37+C38+D38+C39+D39+C40+D40-K38-L38-K39-L39-K40-L40)*R24</f>
        <v>1154.7544949999999</v>
      </c>
      <c r="P40">
        <f>+((-AD31-AD39-AD46-AD53)+(K40+L40+M40+N40))*0.269/(1-0.269)</f>
        <v>77961.884155221152</v>
      </c>
      <c r="Q40" t="e">
        <f>M155</f>
        <v>#REF!</v>
      </c>
      <c r="R40">
        <f t="shared" si="10"/>
        <v>33085.12127873335</v>
      </c>
      <c r="S40" t="e">
        <f t="shared" si="11"/>
        <v>#REF!</v>
      </c>
      <c r="T40" t="e">
        <f t="shared" si="8"/>
        <v>#REF!</v>
      </c>
      <c r="U40">
        <f t="shared" si="9"/>
        <v>14941.667674266673</v>
      </c>
      <c r="X40" t="s">
        <v>19</v>
      </c>
      <c r="AA40">
        <f>+AA38-AA39</f>
        <v>29574</v>
      </c>
      <c r="AB40">
        <f t="shared" ref="AB40:AK40" si="13">+AB37+AB38-AB39</f>
        <v>57373.56</v>
      </c>
      <c r="AC40">
        <f t="shared" si="13"/>
        <v>82617.926399999997</v>
      </c>
      <c r="AD40">
        <f t="shared" si="13"/>
        <v>77660.850815999991</v>
      </c>
      <c r="AE40">
        <f t="shared" si="13"/>
        <v>73001.199767039987</v>
      </c>
      <c r="AF40">
        <f t="shared" si="13"/>
        <v>68621.127781017582</v>
      </c>
      <c r="AG40">
        <f t="shared" si="13"/>
        <v>64503.86011415653</v>
      </c>
      <c r="AH40">
        <f t="shared" si="13"/>
        <v>60633.628507307141</v>
      </c>
      <c r="AI40">
        <f t="shared" si="13"/>
        <v>56995.610796868714</v>
      </c>
      <c r="AJ40">
        <f t="shared" si="13"/>
        <v>53575.874149056588</v>
      </c>
      <c r="AK40">
        <f t="shared" si="13"/>
        <v>50361.321700113192</v>
      </c>
    </row>
    <row r="41" spans="2:37">
      <c r="B41">
        <f>+B40+1</f>
        <v>2018</v>
      </c>
      <c r="C41">
        <v>0</v>
      </c>
      <c r="D41">
        <v>0</v>
      </c>
      <c r="E41">
        <v>0</v>
      </c>
      <c r="F41">
        <v>0</v>
      </c>
      <c r="G41">
        <f t="shared" si="4"/>
        <v>0</v>
      </c>
      <c r="H41">
        <f>+I40</f>
        <v>299879.26600000018</v>
      </c>
      <c r="I41">
        <f t="shared" si="5"/>
        <v>170482.04666666687</v>
      </c>
      <c r="J41">
        <f t="shared" si="7"/>
        <v>235180.65633333352</v>
      </c>
      <c r="K41">
        <f>(C37+C38++C39+C40+(C41*0.5))*R9</f>
        <v>1746.6516000000001</v>
      </c>
      <c r="L41">
        <f>(D37+D38++D39++D40+(D41*0.5))*R10</f>
        <v>4010.2343999999998</v>
      </c>
      <c r="M41">
        <f>(E37+E38+E39+E40+(E41*0.5))*R11</f>
        <v>48492</v>
      </c>
      <c r="N41">
        <f>(F38*0.5*R12)+(F39*R12)+(F40*R12)+(F41*0.5*R12)</f>
        <v>75148.333333333328</v>
      </c>
      <c r="O41">
        <f>(C37+D37+C38+D38+C39+D39+C40+D40+C41+D41-K38-L38-K39-L39-K40-L40-K41-L41)*R24</f>
        <v>1111.5778499999999</v>
      </c>
      <c r="P41">
        <f>+((-AE31-AE39-AE46-AE53)+(K41+L41+M41+N41))*0.269/(1-0.269)</f>
        <v>44381.476468479712</v>
      </c>
      <c r="Q41" t="e">
        <f>N155</f>
        <v>#REF!</v>
      </c>
      <c r="R41">
        <f t="shared" si="10"/>
        <v>18955.560900466684</v>
      </c>
      <c r="S41" t="e">
        <f t="shared" si="11"/>
        <v>#REF!</v>
      </c>
      <c r="T41" t="e">
        <f t="shared" si="8"/>
        <v>#REF!</v>
      </c>
      <c r="U41">
        <f t="shared" si="9"/>
        <v>8560.5758905333405</v>
      </c>
    </row>
    <row r="42" spans="2:37">
      <c r="B42">
        <f>+B41+1</f>
        <v>2019</v>
      </c>
      <c r="C42">
        <v>0</v>
      </c>
      <c r="D42">
        <v>0</v>
      </c>
      <c r="E42">
        <v>0</v>
      </c>
      <c r="F42">
        <v>0</v>
      </c>
      <c r="G42">
        <f t="shared" si="4"/>
        <v>0</v>
      </c>
      <c r="H42">
        <f>+I41</f>
        <v>170482.04666666687</v>
      </c>
      <c r="I42">
        <f t="shared" si="5"/>
        <v>142453.49400000021</v>
      </c>
      <c r="J42">
        <f t="shared" si="7"/>
        <v>156467.77033333352</v>
      </c>
      <c r="K42">
        <f>(C37+C38++C39+C40++C41+(C42*0.5))*R9</f>
        <v>1746.6516000000001</v>
      </c>
      <c r="L42">
        <f>(D37+D38++D39++D40+D41+(D42*0.5))*R10</f>
        <v>4010.2343999999998</v>
      </c>
      <c r="M42">
        <f>IF((E37+E38+E39+E40+E41+E42)-M38-M39-M40-M41-((E37+E38+E39+E40+E41+(E42*0.5))*R11)&gt;0,(E37+E38+E39+E40+E41+(E42*0.5))*R11,E37+E38+E39+E40+E41+E42-M38-M39-M40-M41)</f>
        <v>0</v>
      </c>
      <c r="N42">
        <f>(F39*0.5*R12)+(F40*R12)+(F41*R12)+(F42*0.5*R12)</f>
        <v>22271.666666666664</v>
      </c>
      <c r="O42">
        <f>(C37+D37+C38+D38+C39+D39+C40+D40+C41+D41+C42+D42-K38-L38-K39-L39-K40-L40-K41-L41-K42-L42)*R24</f>
        <v>1068.4012050000001</v>
      </c>
      <c r="P42">
        <f>+((-AF31-AF39-AF46-AF53)+(K42+L42+M42+N42))*0.269/(1-0.269)</f>
        <v>7273.0335530202628</v>
      </c>
      <c r="Q42" t="e">
        <f>O155</f>
        <v>#REF!</v>
      </c>
      <c r="R42">
        <f t="shared" si="10"/>
        <v>12611.302288866682</v>
      </c>
      <c r="S42" t="e">
        <f t="shared" si="11"/>
        <v>#REF!</v>
      </c>
      <c r="T42" t="e">
        <f t="shared" si="8"/>
        <v>#REF!</v>
      </c>
      <c r="U42">
        <f t="shared" si="9"/>
        <v>5695.4268401333402</v>
      </c>
    </row>
    <row r="43" spans="2:37">
      <c r="B43">
        <v>2020</v>
      </c>
      <c r="C43">
        <v>0</v>
      </c>
      <c r="D43">
        <v>0</v>
      </c>
      <c r="E43">
        <v>0</v>
      </c>
      <c r="F43">
        <v>0</v>
      </c>
      <c r="G43">
        <f t="shared" si="4"/>
        <v>0</v>
      </c>
      <c r="H43">
        <f>+I42</f>
        <v>142453.49400000021</v>
      </c>
      <c r="I43">
        <f t="shared" si="5"/>
        <v>136696.60800000015</v>
      </c>
      <c r="J43">
        <f t="shared" si="7"/>
        <v>139575.05100000018</v>
      </c>
      <c r="K43">
        <f>(C37+C38++C39+C40+C41+C42+(C43*0.5))*R9</f>
        <v>1746.6516000000001</v>
      </c>
      <c r="L43">
        <f>(D37+D38++D39+D40+D41+D42+(D43*0.5))*R10</f>
        <v>4010.2343999999998</v>
      </c>
      <c r="M43">
        <f>IF((E37+E38+E39+E40+E41+E42+E43)-M38-M39-M40-M41-M42-((E37+E38+E39+E40+E41+E42+(E43*0.5))*R11)&gt;0,(E37+E38+E39+E40+E41+E42+(E43*0.5))*R11,E37+E38+E39+E40+E41+E42+E43-M38-M39-M40-M41-M42)</f>
        <v>0</v>
      </c>
      <c r="N43">
        <f>IF((F37+F38+F39+F40+F41+F42+F43)-N38-N39-N40-N41-N42-((F37+F38++F39+F40+F41+F42+(F43*0.5))*R12)&gt;0,(F37+F38++F39+F40+F41+F42+(F43*0.5))*R12,F37+F38+F39+F40+F41+F42+F43-N38-N39-N40-N41-N42)</f>
        <v>6.5483618527650833E-11</v>
      </c>
      <c r="O43">
        <f>(C37+D37+C38+D38+C39+D39+C40+D40+C41+D41+C42+D42+C43+D43-K38-L38-K39-L39-K40-L40-K41-L41-K42-L42-K43-L43)*R24</f>
        <v>1025.2245600000001</v>
      </c>
      <c r="P43">
        <f>+((-AG31-AG39-AG46-AG53)+(K43+L43+M43+N43))*0.269/(1-0.269)</f>
        <v>-740.22601596576033</v>
      </c>
      <c r="Q43" t="e">
        <f>P155</f>
        <v>#REF!</v>
      </c>
      <c r="R43">
        <f t="shared" si="10"/>
        <v>11249.749110600016</v>
      </c>
      <c r="S43" t="e">
        <f t="shared" si="11"/>
        <v>#REF!</v>
      </c>
      <c r="T43" t="e">
        <f t="shared" si="8"/>
        <v>#REF!</v>
      </c>
      <c r="U43">
        <f t="shared" si="9"/>
        <v>5080.5318564000072</v>
      </c>
    </row>
    <row r="44" spans="2:37">
      <c r="B44">
        <v>2021</v>
      </c>
      <c r="C44">
        <v>0</v>
      </c>
      <c r="D44">
        <v>0</v>
      </c>
      <c r="E44">
        <v>0</v>
      </c>
      <c r="F44">
        <v>0</v>
      </c>
      <c r="G44">
        <f t="shared" si="4"/>
        <v>0</v>
      </c>
      <c r="H44">
        <f>+I43</f>
        <v>136696.60800000015</v>
      </c>
      <c r="I44">
        <f t="shared" si="5"/>
        <v>130939.72200000014</v>
      </c>
      <c r="J44">
        <f t="shared" si="7"/>
        <v>133818.16500000015</v>
      </c>
      <c r="K44">
        <f>(C37+C38++C39+C40+C41+C42+C43+(C44*0.5))*R9</f>
        <v>1746.6516000000001</v>
      </c>
      <c r="L44">
        <f>(D37+D38++D39+D40+D41+D42+D43+(D44*0.5))*R10</f>
        <v>4010.2343999999998</v>
      </c>
      <c r="M44">
        <f>IF((E37+E38+E39+E40+E41+E42+E43+E44)-M38-M39-M40-M41-M42--M43-((E37+E38+E39+E40+E41+E42+E43+(E44*0.5))*R11)&gt;0,(E37+E38+E39+E40+E41+E42+E43+(E44*0.5))*R11,E37+E38+E39+E40+E41+E42+E43+E44-M38-M39-M40-M41-M42-M43)</f>
        <v>0</v>
      </c>
      <c r="N44">
        <f>IF((F37+F38+F39+F40+F41+F42+F43+F44)-N38-N39-N40-N41-N42-N43-((F37+F38++F39+F40+F41+F42+F43+(F44*0.5))*R12)&gt;0,(F37+F38++F39+F40+F41+F42+F43+(F44*0.5))*R12,F37+F38+F39+F40+F41+F42+F43+F44-N38-N39-N40-N41-N42-N43)</f>
        <v>0</v>
      </c>
      <c r="O44">
        <f>(C37+D37+C38+D38+C39+D39+C40+D40+C41+D41+C42+D42+C43+D43+C44+D44-K38-L38-K39-L39-K40-L40-K41-L41-K42-L42-K43-L43-K44-L44)*R24</f>
        <v>982.04791499999988</v>
      </c>
      <c r="P44">
        <f>+((-AH31-AH39-AH46-AH53)+(K44+L44+M44+N44))*0.269/(1-0.269)</f>
        <v>-568.70419229921924</v>
      </c>
      <c r="Q44" t="e">
        <f>Q155</f>
        <v>#REF!</v>
      </c>
      <c r="R44">
        <f t="shared" si="10"/>
        <v>10785.744099000012</v>
      </c>
      <c r="S44" t="e">
        <f t="shared" si="11"/>
        <v>#REF!</v>
      </c>
      <c r="T44" t="e">
        <f t="shared" si="8"/>
        <v>#REF!</v>
      </c>
      <c r="U44">
        <f t="shared" si="9"/>
        <v>4870.9812060000058</v>
      </c>
      <c r="X44" t="s">
        <v>88</v>
      </c>
      <c r="Z44">
        <v>1</v>
      </c>
      <c r="AB44">
        <f t="shared" ref="AB44:AJ44" si="14">+AA47</f>
        <v>193968</v>
      </c>
      <c r="AC44">
        <f t="shared" si="14"/>
        <v>96984</v>
      </c>
      <c r="AD44">
        <f t="shared" si="14"/>
        <v>0</v>
      </c>
      <c r="AE44">
        <f t="shared" si="14"/>
        <v>0</v>
      </c>
      <c r="AF44">
        <f t="shared" si="14"/>
        <v>0</v>
      </c>
      <c r="AG44">
        <f t="shared" si="14"/>
        <v>0</v>
      </c>
      <c r="AH44">
        <f t="shared" si="14"/>
        <v>0</v>
      </c>
      <c r="AI44">
        <f t="shared" si="14"/>
        <v>0</v>
      </c>
      <c r="AJ44">
        <f t="shared" si="14"/>
        <v>0</v>
      </c>
    </row>
    <row r="45" spans="2:37">
      <c r="B45">
        <v>2022</v>
      </c>
      <c r="C45">
        <v>0</v>
      </c>
      <c r="D45">
        <v>0</v>
      </c>
      <c r="E45">
        <v>0</v>
      </c>
      <c r="F45">
        <v>0</v>
      </c>
      <c r="G45">
        <f t="shared" si="4"/>
        <v>0</v>
      </c>
      <c r="H45">
        <f>+I44</f>
        <v>130939.72200000014</v>
      </c>
      <c r="I45">
        <f t="shared" si="5"/>
        <v>125182.83600000014</v>
      </c>
      <c r="J45">
        <f t="shared" si="7"/>
        <v>128061.27900000014</v>
      </c>
      <c r="K45">
        <f>(C37+C38++C39+C40+C41+C42+C43+C44+(C45*0.5))*R9</f>
        <v>1746.6516000000001</v>
      </c>
      <c r="L45">
        <f>(D37+D38++D39+D40+D41+D42+D43+D44+(D45*0.5))*R10</f>
        <v>4010.2343999999998</v>
      </c>
      <c r="M45">
        <f>IF((E37+E38+E39+E40+E41+E42+E43+E44+E45)-M38-M39-M40-M41-M42--M43-M44-((E37+E38+E39+E40+E41+E42+E43+E44+(E45*0.5))*R11)&gt;0,(E37+E38+E39+E40+E41+E42+E43+E44+(E45*0.5))*R11,E37+E38+E39+E40+E41+E42+E43+E44+E45-M38-M39-M40-M41-M42-M43-M44)</f>
        <v>0</v>
      </c>
      <c r="N45">
        <f>IF((F37+F38+F39+F40+F41+F42+F43+F44+F45)-N38-N39-N40-N41-N42-N43-N44-((F37+F38++F39+F40+F41+F42+F43+F44+(F45*0.5))*R12)&gt;0,(F37+F38++F39+F40+F41+F42+F43+F44+(F45*0.5))*R12,F37+F38+F39+F40+F41+F42+F43+F44+F45-N38-N39-N40-N41-N42-N43-N44)</f>
        <v>0</v>
      </c>
      <c r="O45">
        <f>(C37+D37+C38+D38+C39+D39+C40+D40+C41+D41+C42+D42+C43+D43+C44+D44+C45+D45-K38-L38-K39-L39-K40-L40-K41-L41-K42-L42-K43-L43-K44-L44-K45-L45)*R24</f>
        <v>938.87126999999998</v>
      </c>
      <c r="P45">
        <f>+((-AI31-AI39-AI46-AI53)+(K45+L45+M45+N45))*0.269/(1-0.269)</f>
        <v>-407.47367805264804</v>
      </c>
      <c r="Q45" t="e">
        <f>R155</f>
        <v>#REF!</v>
      </c>
      <c r="R45">
        <f t="shared" si="10"/>
        <v>10321.739087400012</v>
      </c>
      <c r="S45" t="e">
        <f t="shared" si="11"/>
        <v>#REF!</v>
      </c>
      <c r="T45" t="e">
        <f t="shared" si="8"/>
        <v>#REF!</v>
      </c>
      <c r="U45">
        <f t="shared" si="9"/>
        <v>4661.4305556000054</v>
      </c>
      <c r="X45" t="s">
        <v>11</v>
      </c>
      <c r="AA45">
        <f>E37</f>
        <v>193968</v>
      </c>
      <c r="AB45">
        <f>E38</f>
        <v>0</v>
      </c>
      <c r="AC45">
        <f>E39</f>
        <v>0</v>
      </c>
      <c r="AD45">
        <f>E40</f>
        <v>0</v>
      </c>
      <c r="AE45">
        <f>E41</f>
        <v>0</v>
      </c>
      <c r="AF45">
        <f>F41</f>
        <v>0</v>
      </c>
      <c r="AG45">
        <f>G41</f>
        <v>0</v>
      </c>
      <c r="AH45">
        <v>0</v>
      </c>
      <c r="AI45">
        <v>0</v>
      </c>
      <c r="AJ45">
        <v>0</v>
      </c>
    </row>
    <row r="46" spans="2:37">
      <c r="X46" t="s">
        <v>12</v>
      </c>
      <c r="AB46">
        <f>((AB44+AB45)/2)*$Z$44</f>
        <v>96984</v>
      </c>
      <c r="AC46">
        <f t="shared" ref="AC46:AJ46" si="15">(AC44+(AC45/2))*$Z$44</f>
        <v>96984</v>
      </c>
      <c r="AD46">
        <f t="shared" si="15"/>
        <v>0</v>
      </c>
      <c r="AE46">
        <f t="shared" si="15"/>
        <v>0</v>
      </c>
      <c r="AF46">
        <f t="shared" si="15"/>
        <v>0</v>
      </c>
      <c r="AG46">
        <f t="shared" si="15"/>
        <v>0</v>
      </c>
      <c r="AH46">
        <f t="shared" si="15"/>
        <v>0</v>
      </c>
      <c r="AI46">
        <f t="shared" si="15"/>
        <v>0</v>
      </c>
      <c r="AJ46">
        <f t="shared" si="15"/>
        <v>0</v>
      </c>
    </row>
    <row r="47" spans="2:37">
      <c r="X47" t="s">
        <v>19</v>
      </c>
      <c r="AA47">
        <f>+AA45-AA46</f>
        <v>193968</v>
      </c>
      <c r="AB47">
        <f t="shared" ref="AB47:AJ47" si="16">+AB44+AB45-AB46</f>
        <v>96984</v>
      </c>
      <c r="AC47">
        <f t="shared" si="16"/>
        <v>0</v>
      </c>
      <c r="AD47">
        <f t="shared" si="16"/>
        <v>0</v>
      </c>
      <c r="AE47">
        <f t="shared" si="16"/>
        <v>0</v>
      </c>
      <c r="AF47">
        <f t="shared" si="16"/>
        <v>0</v>
      </c>
      <c r="AG47">
        <f t="shared" si="16"/>
        <v>0</v>
      </c>
      <c r="AH47">
        <f t="shared" si="16"/>
        <v>0</v>
      </c>
      <c r="AI47">
        <f t="shared" si="16"/>
        <v>0</v>
      </c>
      <c r="AJ47">
        <f t="shared" si="16"/>
        <v>0</v>
      </c>
    </row>
    <row r="50" spans="4:36">
      <c r="D50" t="s">
        <v>43</v>
      </c>
      <c r="E50" t="s">
        <v>5</v>
      </c>
      <c r="F50" t="s">
        <v>125</v>
      </c>
      <c r="L50" t="s">
        <v>44</v>
      </c>
    </row>
    <row r="51" spans="4:36">
      <c r="I51" t="s">
        <v>45</v>
      </c>
      <c r="K51" t="s">
        <v>44</v>
      </c>
      <c r="L51" t="s">
        <v>46</v>
      </c>
      <c r="X51" t="s">
        <v>195</v>
      </c>
      <c r="Z51">
        <v>1</v>
      </c>
      <c r="AB51">
        <f t="shared" ref="AB51:AJ51" si="17">+AA54</f>
        <v>183630</v>
      </c>
      <c r="AC51">
        <f t="shared" si="17"/>
        <v>0</v>
      </c>
      <c r="AD51">
        <f t="shared" si="17"/>
        <v>0</v>
      </c>
      <c r="AE51">
        <f t="shared" si="17"/>
        <v>0</v>
      </c>
      <c r="AF51">
        <f t="shared" si="17"/>
        <v>0</v>
      </c>
      <c r="AG51">
        <f t="shared" si="17"/>
        <v>0</v>
      </c>
      <c r="AH51">
        <f t="shared" si="17"/>
        <v>0</v>
      </c>
      <c r="AI51">
        <f t="shared" si="17"/>
        <v>0</v>
      </c>
      <c r="AJ51">
        <f t="shared" si="17"/>
        <v>0</v>
      </c>
    </row>
    <row r="52" spans="4:36">
      <c r="H52" t="s">
        <v>47</v>
      </c>
      <c r="I52" t="s">
        <v>225</v>
      </c>
      <c r="J52" t="s">
        <v>48</v>
      </c>
      <c r="K52" t="s">
        <v>49</v>
      </c>
      <c r="L52" t="s">
        <v>49</v>
      </c>
      <c r="X52" t="s">
        <v>11</v>
      </c>
      <c r="AA52">
        <f>F37</f>
        <v>183630</v>
      </c>
      <c r="AB52">
        <f>F38</f>
        <v>183630</v>
      </c>
      <c r="AC52">
        <f>F39</f>
        <v>133630</v>
      </c>
      <c r="AD52">
        <f>F40</f>
        <v>0</v>
      </c>
      <c r="AE52">
        <f>F41</f>
        <v>0</v>
      </c>
      <c r="AF52">
        <f>G41</f>
        <v>0</v>
      </c>
      <c r="AG52">
        <v>0</v>
      </c>
      <c r="AH52">
        <v>0</v>
      </c>
      <c r="AI52">
        <v>0</v>
      </c>
      <c r="AJ52">
        <v>0</v>
      </c>
    </row>
    <row r="53" spans="4:36">
      <c r="H53" t="s">
        <v>5</v>
      </c>
      <c r="I53" t="s">
        <v>29</v>
      </c>
      <c r="J53" t="s">
        <v>30</v>
      </c>
      <c r="K53" t="s">
        <v>31</v>
      </c>
      <c r="L53" t="s">
        <v>50</v>
      </c>
      <c r="X53" t="s">
        <v>102</v>
      </c>
      <c r="AB53">
        <f>+AB51+AB52</f>
        <v>367260</v>
      </c>
      <c r="AC53">
        <f>+AC52</f>
        <v>133630</v>
      </c>
      <c r="AD53">
        <f t="shared" ref="AD53:AJ53" si="18">+AD52</f>
        <v>0</v>
      </c>
      <c r="AE53">
        <f t="shared" si="18"/>
        <v>0</v>
      </c>
      <c r="AF53">
        <f t="shared" si="18"/>
        <v>0</v>
      </c>
      <c r="AG53">
        <f t="shared" si="18"/>
        <v>0</v>
      </c>
      <c r="AH53">
        <f t="shared" si="18"/>
        <v>0</v>
      </c>
      <c r="AI53">
        <f t="shared" si="18"/>
        <v>0</v>
      </c>
      <c r="AJ53">
        <f t="shared" si="18"/>
        <v>0</v>
      </c>
    </row>
    <row r="54" spans="4:36">
      <c r="F54" t="s">
        <v>51</v>
      </c>
      <c r="H54">
        <v>0.55000000000000004</v>
      </c>
      <c r="I54">
        <v>5.3199999999999997E-2</v>
      </c>
      <c r="K54">
        <f>+I54</f>
        <v>5.3199999999999997E-2</v>
      </c>
      <c r="L54">
        <f>+K54*H54</f>
        <v>2.9260000000000001E-2</v>
      </c>
      <c r="X54" t="s">
        <v>19</v>
      </c>
      <c r="AA54">
        <f>+AA52-AA53</f>
        <v>183630</v>
      </c>
      <c r="AB54">
        <f t="shared" ref="AB54:AJ54" si="19">+AB51+AB52-AB53</f>
        <v>0</v>
      </c>
      <c r="AC54">
        <f t="shared" si="19"/>
        <v>0</v>
      </c>
      <c r="AD54">
        <f t="shared" si="19"/>
        <v>0</v>
      </c>
      <c r="AE54">
        <f t="shared" si="19"/>
        <v>0</v>
      </c>
      <c r="AF54">
        <f t="shared" si="19"/>
        <v>0</v>
      </c>
      <c r="AG54">
        <f t="shared" si="19"/>
        <v>0</v>
      </c>
      <c r="AH54">
        <f t="shared" si="19"/>
        <v>0</v>
      </c>
      <c r="AI54">
        <f t="shared" si="19"/>
        <v>0</v>
      </c>
      <c r="AJ54">
        <f t="shared" si="19"/>
        <v>0</v>
      </c>
    </row>
    <row r="55" spans="4:36">
      <c r="F55" t="s">
        <v>52</v>
      </c>
      <c r="H55">
        <v>0.05</v>
      </c>
      <c r="I55">
        <v>3.1600000000000003E-2</v>
      </c>
      <c r="K55">
        <f>+I55</f>
        <v>3.1600000000000003E-2</v>
      </c>
      <c r="L55">
        <f>+K55*H55</f>
        <v>1.5800000000000002E-3</v>
      </c>
    </row>
    <row r="56" spans="4:36">
      <c r="F56" t="s">
        <v>53</v>
      </c>
      <c r="H56">
        <v>0.4</v>
      </c>
      <c r="I56">
        <v>9.0999999999999998E-2</v>
      </c>
      <c r="J56">
        <v>0.26900000000000002</v>
      </c>
      <c r="K56">
        <f>+I56/(1-J56)</f>
        <v>0.12448700410396717</v>
      </c>
      <c r="L56">
        <f>+K56*H56</f>
        <v>4.9794801641586867E-2</v>
      </c>
      <c r="X56" t="s">
        <v>196</v>
      </c>
    </row>
    <row r="57" spans="4:36" ht="13.5" thickBot="1">
      <c r="L57">
        <f>ROUND(SUM(L54:L56),4)</f>
        <v>8.0600000000000005E-2</v>
      </c>
    </row>
    <row r="58" spans="4:36" ht="13.5" thickTop="1">
      <c r="X58" t="s">
        <v>202</v>
      </c>
      <c r="AB58">
        <f t="shared" ref="AB58:AJ58" si="20">+AB31+AB39+AB46+AB53</f>
        <v>467592</v>
      </c>
      <c r="AC58">
        <f t="shared" si="20"/>
        <v>238783.12</v>
      </c>
      <c r="AD58">
        <f t="shared" si="20"/>
        <v>9352.9727999999996</v>
      </c>
      <c r="AE58">
        <f t="shared" si="20"/>
        <v>8791.7944319999988</v>
      </c>
      <c r="AF58">
        <f t="shared" si="20"/>
        <v>8264.2867660800002</v>
      </c>
      <c r="AG58">
        <f t="shared" si="20"/>
        <v>7768.4295601151989</v>
      </c>
      <c r="AH58">
        <f t="shared" si="20"/>
        <v>7302.3237865082874</v>
      </c>
      <c r="AI58">
        <f t="shared" si="20"/>
        <v>6864.1843593177909</v>
      </c>
      <c r="AJ58">
        <f t="shared" si="20"/>
        <v>6452.3332977587233</v>
      </c>
    </row>
    <row r="60" spans="4:36">
      <c r="E60" t="s">
        <v>29</v>
      </c>
      <c r="F60" t="s">
        <v>211</v>
      </c>
    </row>
    <row r="61" spans="4:36">
      <c r="J61">
        <f>K159</f>
        <v>2015</v>
      </c>
      <c r="K61">
        <f t="shared" ref="K61:Q61" si="21">L159</f>
        <v>2016</v>
      </c>
      <c r="L61">
        <f t="shared" si="21"/>
        <v>2017</v>
      </c>
      <c r="M61">
        <f t="shared" si="21"/>
        <v>2018</v>
      </c>
      <c r="N61">
        <f t="shared" si="21"/>
        <v>2019</v>
      </c>
      <c r="O61">
        <f t="shared" si="21"/>
        <v>2020</v>
      </c>
      <c r="P61">
        <f t="shared" si="21"/>
        <v>2021</v>
      </c>
      <c r="Q61">
        <f t="shared" si="21"/>
        <v>2022</v>
      </c>
    </row>
    <row r="63" spans="4:36">
      <c r="F63" t="str">
        <f>G161</f>
        <v>Amortissement (actif et CFR)</v>
      </c>
      <c r="J63">
        <f>K161</f>
        <v>143185.443</v>
      </c>
      <c r="K63">
        <f t="shared" ref="K63:Q64" si="22">L161</f>
        <v>197981.07166666666</v>
      </c>
      <c r="L63">
        <f t="shared" si="22"/>
        <v>221212.21933333331</v>
      </c>
      <c r="M63">
        <f t="shared" si="22"/>
        <v>129397.21933333333</v>
      </c>
      <c r="N63">
        <f t="shared" si="22"/>
        <v>28028.552666666663</v>
      </c>
      <c r="O63">
        <f t="shared" si="22"/>
        <v>5756.8860000000659</v>
      </c>
      <c r="P63">
        <f t="shared" si="22"/>
        <v>5756.8860000000004</v>
      </c>
      <c r="Q63">
        <f t="shared" si="22"/>
        <v>5756.8860000000004</v>
      </c>
    </row>
    <row r="64" spans="4:36">
      <c r="F64" t="str">
        <f>G162</f>
        <v>Moins: ACC et déduction fiscale</v>
      </c>
      <c r="J64">
        <f>K162</f>
        <v>467592</v>
      </c>
      <c r="K64">
        <f t="shared" si="22"/>
        <v>238783.12</v>
      </c>
      <c r="L64">
        <f t="shared" si="22"/>
        <v>9352.9727999999996</v>
      </c>
      <c r="M64">
        <f t="shared" si="22"/>
        <v>8791.7944319999988</v>
      </c>
      <c r="N64">
        <f t="shared" si="22"/>
        <v>8264.2867660800002</v>
      </c>
      <c r="O64">
        <f t="shared" si="22"/>
        <v>7768.4295601151989</v>
      </c>
      <c r="P64">
        <f t="shared" si="22"/>
        <v>7302.3237865082874</v>
      </c>
      <c r="Q64">
        <f t="shared" si="22"/>
        <v>6864.1843593177909</v>
      </c>
    </row>
    <row r="65" spans="5:17">
      <c r="F65" t="str">
        <f>G163</f>
        <v>Écart temporaire</v>
      </c>
      <c r="J65">
        <f>+J63-J64</f>
        <v>-324406.55700000003</v>
      </c>
      <c r="K65">
        <f>+K63-K64</f>
        <v>-40802.04833333334</v>
      </c>
      <c r="L65">
        <f t="shared" ref="L65:Q65" si="23">+L63-L64</f>
        <v>211859.24653333332</v>
      </c>
      <c r="M65">
        <f t="shared" si="23"/>
        <v>120605.42490133333</v>
      </c>
      <c r="N65">
        <f t="shared" si="23"/>
        <v>19764.265900586663</v>
      </c>
      <c r="O65">
        <f t="shared" si="23"/>
        <v>-2011.543560115133</v>
      </c>
      <c r="P65">
        <f t="shared" si="23"/>
        <v>-1545.437786508287</v>
      </c>
      <c r="Q65">
        <f t="shared" si="23"/>
        <v>-1107.2983593177905</v>
      </c>
    </row>
    <row r="66" spans="5:17">
      <c r="F66" t="str">
        <f>G164</f>
        <v>Multiplié par taux d'imposition</v>
      </c>
      <c r="I66">
        <v>0.26900000000000002</v>
      </c>
      <c r="J66">
        <f>+J65*$J$164</f>
        <v>-87265.36383300001</v>
      </c>
      <c r="K66">
        <f>+K65*$J$164</f>
        <v>-10975.751001666669</v>
      </c>
      <c r="L66">
        <f t="shared" ref="L66:Q66" si="24">+L65*$J$164</f>
        <v>56990.137317466666</v>
      </c>
      <c r="M66">
        <f t="shared" si="24"/>
        <v>32442.859298458668</v>
      </c>
      <c r="N66">
        <f t="shared" si="24"/>
        <v>5316.5875272578123</v>
      </c>
      <c r="O66">
        <f t="shared" si="24"/>
        <v>-541.10521767097077</v>
      </c>
      <c r="P66">
        <f t="shared" si="24"/>
        <v>-415.72276457072923</v>
      </c>
      <c r="Q66">
        <f t="shared" si="24"/>
        <v>-297.8632586564857</v>
      </c>
    </row>
    <row r="67" spans="5:17" ht="13.5" thickBot="1">
      <c r="F67" t="str">
        <f>G165</f>
        <v>Majoré pour déterminer l'impact sur le coût de service</v>
      </c>
      <c r="J67">
        <f>+J66/(1-$J$164)</f>
        <v>-119378.06269904242</v>
      </c>
      <c r="K67">
        <f>+K66/(1-$J$164)</f>
        <v>-15014.707252621984</v>
      </c>
      <c r="L67">
        <f t="shared" ref="L67:Q67" si="25">+L66/(1-$J$164)</f>
        <v>77961.884155221152</v>
      </c>
      <c r="M67">
        <f t="shared" si="25"/>
        <v>44381.476468479712</v>
      </c>
      <c r="N67">
        <f t="shared" si="25"/>
        <v>7273.0335530202628</v>
      </c>
      <c r="O67">
        <f t="shared" si="25"/>
        <v>-740.22601596576033</v>
      </c>
      <c r="P67">
        <f t="shared" si="25"/>
        <v>-568.70419229921924</v>
      </c>
      <c r="Q67">
        <f t="shared" si="25"/>
        <v>-407.47367805264804</v>
      </c>
    </row>
    <row r="68" spans="5:17" ht="13.5" thickTop="1"/>
    <row r="70" spans="5:17">
      <c r="E70" t="s">
        <v>30</v>
      </c>
      <c r="F70" t="s">
        <v>212</v>
      </c>
    </row>
    <row r="71" spans="5:17">
      <c r="H71" t="str">
        <f>I144</f>
        <v>année</v>
      </c>
      <c r="J71">
        <f>K144</f>
        <v>2015</v>
      </c>
      <c r="K71">
        <f t="shared" ref="K71:Q71" si="26">L144</f>
        <v>2016</v>
      </c>
      <c r="L71">
        <f t="shared" si="26"/>
        <v>2017</v>
      </c>
      <c r="M71">
        <f t="shared" si="26"/>
        <v>2018</v>
      </c>
      <c r="N71">
        <f t="shared" si="26"/>
        <v>2019</v>
      </c>
      <c r="O71">
        <f t="shared" si="26"/>
        <v>2020</v>
      </c>
      <c r="P71">
        <f t="shared" si="26"/>
        <v>2021</v>
      </c>
      <c r="Q71">
        <f t="shared" si="26"/>
        <v>2022</v>
      </c>
    </row>
    <row r="72" spans="5:17">
      <c r="F72" t="str">
        <f>G145</f>
        <v>nature de la charge</v>
      </c>
    </row>
    <row r="74" spans="5:17">
      <c r="F74" t="str">
        <f>G147</f>
        <v>Ress humaines - documents</v>
      </c>
      <c r="J74" t="e">
        <f>K147</f>
        <v>#REF!</v>
      </c>
      <c r="K74" t="e">
        <f t="shared" ref="K74:Q76" si="27">L147</f>
        <v>#REF!</v>
      </c>
      <c r="L74" t="e">
        <f t="shared" si="27"/>
        <v>#REF!</v>
      </c>
      <c r="M74" t="e">
        <f t="shared" si="27"/>
        <v>#REF!</v>
      </c>
      <c r="N74" t="e">
        <f t="shared" si="27"/>
        <v>#REF!</v>
      </c>
      <c r="O74" t="e">
        <f t="shared" si="27"/>
        <v>#REF!</v>
      </c>
      <c r="P74" t="e">
        <f t="shared" si="27"/>
        <v>#REF!</v>
      </c>
      <c r="Q74" t="e">
        <f t="shared" si="27"/>
        <v>#REF!</v>
      </c>
    </row>
    <row r="75" spans="5:17">
      <c r="F75" t="str">
        <f>G148</f>
        <v>Ress humaines - formations</v>
      </c>
      <c r="J75" t="e">
        <f>K148</f>
        <v>#REF!</v>
      </c>
      <c r="K75" t="e">
        <f t="shared" si="27"/>
        <v>#REF!</v>
      </c>
      <c r="L75" t="e">
        <f t="shared" si="27"/>
        <v>#REF!</v>
      </c>
      <c r="M75" t="e">
        <f t="shared" si="27"/>
        <v>#REF!</v>
      </c>
      <c r="N75" t="e">
        <f t="shared" si="27"/>
        <v>#REF!</v>
      </c>
      <c r="O75" t="e">
        <f t="shared" si="27"/>
        <v>#REF!</v>
      </c>
      <c r="P75" t="e">
        <f t="shared" si="27"/>
        <v>#REF!</v>
      </c>
      <c r="Q75" t="e">
        <f t="shared" si="27"/>
        <v>#REF!</v>
      </c>
    </row>
    <row r="76" spans="5:17">
      <c r="F76" t="str">
        <f>G149</f>
        <v>Technologies de l'information</v>
      </c>
      <c r="J76" t="e">
        <f>K149</f>
        <v>#REF!</v>
      </c>
      <c r="K76" t="e">
        <f t="shared" si="27"/>
        <v>#REF!</v>
      </c>
      <c r="L76" t="e">
        <f t="shared" si="27"/>
        <v>#REF!</v>
      </c>
      <c r="M76" t="e">
        <f t="shared" si="27"/>
        <v>#REF!</v>
      </c>
      <c r="N76" t="e">
        <f t="shared" si="27"/>
        <v>#REF!</v>
      </c>
      <c r="O76" t="e">
        <f t="shared" si="27"/>
        <v>#REF!</v>
      </c>
      <c r="P76" t="e">
        <f t="shared" si="27"/>
        <v>#REF!</v>
      </c>
      <c r="Q76" t="e">
        <f t="shared" si="27"/>
        <v>#REF!</v>
      </c>
    </row>
    <row r="77" spans="5:17">
      <c r="F77" t="s">
        <v>191</v>
      </c>
      <c r="J77" t="e">
        <f>SUM(J74:J76)</f>
        <v>#REF!</v>
      </c>
      <c r="K77" t="e">
        <f t="shared" ref="K77:Q77" si="28">SUM(K74:K76)</f>
        <v>#REF!</v>
      </c>
      <c r="L77" t="e">
        <f t="shared" si="28"/>
        <v>#REF!</v>
      </c>
      <c r="M77" t="e">
        <f t="shared" si="28"/>
        <v>#REF!</v>
      </c>
      <c r="N77" t="e">
        <f t="shared" si="28"/>
        <v>#REF!</v>
      </c>
      <c r="O77" t="e">
        <f t="shared" si="28"/>
        <v>#REF!</v>
      </c>
      <c r="P77" t="e">
        <f t="shared" si="28"/>
        <v>#REF!</v>
      </c>
      <c r="Q77" t="e">
        <f t="shared" si="28"/>
        <v>#REF!</v>
      </c>
    </row>
    <row r="78" spans="5:17">
      <c r="F78" t="s">
        <v>229</v>
      </c>
      <c r="J78" t="e">
        <f>-J77*0.102</f>
        <v>#REF!</v>
      </c>
      <c r="K78" t="e">
        <f t="shared" ref="K78:Q78" si="29">-K77*0.102</f>
        <v>#REF!</v>
      </c>
      <c r="L78" t="e">
        <f t="shared" si="29"/>
        <v>#REF!</v>
      </c>
      <c r="M78" t="e">
        <f t="shared" si="29"/>
        <v>#REF!</v>
      </c>
      <c r="N78" t="e">
        <f t="shared" si="29"/>
        <v>#REF!</v>
      </c>
      <c r="O78" t="e">
        <f t="shared" si="29"/>
        <v>#REF!</v>
      </c>
      <c r="P78" t="e">
        <f t="shared" si="29"/>
        <v>#REF!</v>
      </c>
      <c r="Q78" t="e">
        <f t="shared" si="29"/>
        <v>#REF!</v>
      </c>
    </row>
    <row r="79" spans="5:17" ht="13.5" thickBot="1">
      <c r="F79" t="s">
        <v>230</v>
      </c>
      <c r="J79" t="e">
        <f>J77*(1-0.102)</f>
        <v>#REF!</v>
      </c>
      <c r="K79" t="e">
        <f t="shared" ref="K79:Q79" si="30">K77*(1-0.102)</f>
        <v>#REF!</v>
      </c>
      <c r="L79" t="e">
        <f t="shared" si="30"/>
        <v>#REF!</v>
      </c>
      <c r="M79" t="e">
        <f t="shared" si="30"/>
        <v>#REF!</v>
      </c>
      <c r="N79" t="e">
        <f t="shared" si="30"/>
        <v>#REF!</v>
      </c>
      <c r="O79" t="e">
        <f t="shared" si="30"/>
        <v>#REF!</v>
      </c>
      <c r="P79" t="e">
        <f t="shared" si="30"/>
        <v>#REF!</v>
      </c>
      <c r="Q79" t="e">
        <f t="shared" si="30"/>
        <v>#REF!</v>
      </c>
    </row>
    <row r="80" spans="5:17">
      <c r="F80" t="str">
        <f>G152</f>
        <v>Formations techniques - formateur</v>
      </c>
      <c r="J80" t="e">
        <f>K152</f>
        <v>#REF!</v>
      </c>
      <c r="K80" t="e">
        <f t="shared" ref="K80:Q82" si="31">L152</f>
        <v>#REF!</v>
      </c>
      <c r="L80" t="e">
        <f t="shared" si="31"/>
        <v>#REF!</v>
      </c>
      <c r="M80" t="e">
        <f t="shared" si="31"/>
        <v>#REF!</v>
      </c>
      <c r="N80" t="e">
        <f t="shared" si="31"/>
        <v>#REF!</v>
      </c>
      <c r="O80" t="e">
        <f t="shared" si="31"/>
        <v>#REF!</v>
      </c>
      <c r="P80" t="e">
        <f t="shared" si="31"/>
        <v>#REF!</v>
      </c>
      <c r="Q80" t="e">
        <f t="shared" si="31"/>
        <v>#REF!</v>
      </c>
    </row>
    <row r="81" spans="5:17">
      <c r="F81" t="str">
        <f>G153</f>
        <v>Formations techniques - traductions du matériel</v>
      </c>
      <c r="J81" t="e">
        <f>K153</f>
        <v>#REF!</v>
      </c>
      <c r="K81" t="e">
        <f t="shared" si="31"/>
        <v>#REF!</v>
      </c>
      <c r="L81" t="e">
        <f t="shared" si="31"/>
        <v>#REF!</v>
      </c>
      <c r="M81" t="e">
        <f t="shared" si="31"/>
        <v>#REF!</v>
      </c>
      <c r="N81" t="e">
        <f t="shared" si="31"/>
        <v>#REF!</v>
      </c>
      <c r="O81" t="e">
        <f t="shared" si="31"/>
        <v>#REF!</v>
      </c>
      <c r="P81" t="e">
        <f t="shared" si="31"/>
        <v>#REF!</v>
      </c>
      <c r="Q81" t="e">
        <f t="shared" si="31"/>
        <v>#REF!</v>
      </c>
    </row>
    <row r="82" spans="5:17">
      <c r="F82" t="str">
        <f>G154</f>
        <v>Manuels techniques</v>
      </c>
      <c r="J82" t="e">
        <f>K154</f>
        <v>#REF!</v>
      </c>
      <c r="K82" t="e">
        <f t="shared" si="31"/>
        <v>#REF!</v>
      </c>
      <c r="L82" t="e">
        <f t="shared" si="31"/>
        <v>#REF!</v>
      </c>
      <c r="M82" t="e">
        <f t="shared" si="31"/>
        <v>#REF!</v>
      </c>
      <c r="N82" t="e">
        <f t="shared" si="31"/>
        <v>#REF!</v>
      </c>
      <c r="O82" t="e">
        <f t="shared" si="31"/>
        <v>#REF!</v>
      </c>
      <c r="P82" t="e">
        <f t="shared" si="31"/>
        <v>#REF!</v>
      </c>
      <c r="Q82" t="e">
        <f t="shared" si="31"/>
        <v>#REF!</v>
      </c>
    </row>
    <row r="83" spans="5:17" ht="13.5" thickBot="1">
      <c r="F83" t="s">
        <v>231</v>
      </c>
      <c r="J83" t="e">
        <f>SUM(J79:J82)</f>
        <v>#REF!</v>
      </c>
      <c r="K83" t="e">
        <f t="shared" ref="K83:Q83" si="32">SUM(K79:K82)</f>
        <v>#REF!</v>
      </c>
      <c r="L83" t="e">
        <f t="shared" si="32"/>
        <v>#REF!</v>
      </c>
      <c r="M83" t="e">
        <f t="shared" si="32"/>
        <v>#REF!</v>
      </c>
      <c r="N83" t="e">
        <f t="shared" si="32"/>
        <v>#REF!</v>
      </c>
      <c r="O83" t="e">
        <f t="shared" si="32"/>
        <v>#REF!</v>
      </c>
      <c r="P83" t="e">
        <f t="shared" si="32"/>
        <v>#REF!</v>
      </c>
      <c r="Q83" t="e">
        <f t="shared" si="32"/>
        <v>#REF!</v>
      </c>
    </row>
    <row r="87" spans="5:17">
      <c r="E87" t="s">
        <v>29</v>
      </c>
      <c r="F87" t="s">
        <v>95</v>
      </c>
    </row>
    <row r="88" spans="5:17">
      <c r="G88" t="s">
        <v>68</v>
      </c>
    </row>
    <row r="89" spans="5:17">
      <c r="G89" t="s">
        <v>96</v>
      </c>
    </row>
    <row r="90" spans="5:17">
      <c r="G90" t="s">
        <v>97</v>
      </c>
    </row>
    <row r="91" spans="5:17">
      <c r="G91" t="s">
        <v>98</v>
      </c>
    </row>
    <row r="92" spans="5:17">
      <c r="F92" t="s">
        <v>61</v>
      </c>
    </row>
    <row r="93" spans="5:17">
      <c r="G93" t="s">
        <v>79</v>
      </c>
    </row>
    <row r="94" spans="5:17">
      <c r="G94" t="s">
        <v>62</v>
      </c>
    </row>
    <row r="95" spans="5:17">
      <c r="I95" t="s">
        <v>59</v>
      </c>
      <c r="J95" t="s">
        <v>60</v>
      </c>
      <c r="M95" t="s">
        <v>60</v>
      </c>
    </row>
    <row r="96" spans="5:17">
      <c r="G96" t="s">
        <v>56</v>
      </c>
      <c r="I96">
        <v>2369.1999999999998</v>
      </c>
      <c r="J96">
        <f>ROUND(M96,0)</f>
        <v>47</v>
      </c>
      <c r="M96">
        <f>I96/$I$98*100</f>
        <v>46.607518737827789</v>
      </c>
    </row>
    <row r="97" spans="7:17">
      <c r="G97" t="s">
        <v>58</v>
      </c>
      <c r="I97">
        <v>2714.1</v>
      </c>
      <c r="J97">
        <f>ROUND(M97,0)</f>
        <v>53</v>
      </c>
      <c r="M97">
        <f>I97/$I$98*100</f>
        <v>53.392481262172218</v>
      </c>
    </row>
    <row r="98" spans="7:17">
      <c r="G98" t="s">
        <v>63</v>
      </c>
      <c r="I98">
        <f>SUM(I96:I97)</f>
        <v>5083.2999999999993</v>
      </c>
      <c r="J98">
        <f>(J96+J97)/100</f>
        <v>1</v>
      </c>
      <c r="M98">
        <f>I98/$I$98</f>
        <v>1</v>
      </c>
    </row>
    <row r="100" spans="7:17">
      <c r="G100" t="s">
        <v>89</v>
      </c>
    </row>
    <row r="101" spans="7:17">
      <c r="G101" t="s">
        <v>91</v>
      </c>
    </row>
    <row r="102" spans="7:17">
      <c r="G102" t="s">
        <v>90</v>
      </c>
    </row>
    <row r="103" spans="7:17" ht="12.75" customHeight="1">
      <c r="G103" t="s">
        <v>108</v>
      </c>
    </row>
    <row r="104" spans="7:17" ht="12.75" customHeight="1"/>
    <row r="105" spans="7:17">
      <c r="G105" t="s">
        <v>69</v>
      </c>
      <c r="I105" t="s">
        <v>70</v>
      </c>
      <c r="J105" t="s">
        <v>60</v>
      </c>
      <c r="N105" t="s">
        <v>72</v>
      </c>
      <c r="O105" t="s">
        <v>73</v>
      </c>
      <c r="Q105" t="s">
        <v>74</v>
      </c>
    </row>
    <row r="108" spans="7:17">
      <c r="G108" t="s">
        <v>71</v>
      </c>
      <c r="I108">
        <f>'GI-34 doc 3 page 1 de 2'!I105*0.9</f>
        <v>216000</v>
      </c>
      <c r="J108">
        <f>ROUND(M108,0)</f>
        <v>23</v>
      </c>
      <c r="M108">
        <f>I108/I111*100</f>
        <v>23.119160003853192</v>
      </c>
      <c r="O108">
        <f>I108*0.102</f>
        <v>22032</v>
      </c>
      <c r="Q108">
        <f>I108-N108-O108</f>
        <v>193968</v>
      </c>
    </row>
    <row r="109" spans="7:17">
      <c r="G109" t="s">
        <v>99</v>
      </c>
      <c r="I109">
        <f>'GI-34 doc 3 page 1 de 2'!I106*0.9</f>
        <v>167400</v>
      </c>
      <c r="J109">
        <f>ROUND(M109,0)</f>
        <v>18</v>
      </c>
      <c r="M109">
        <f>I109/I111*100</f>
        <v>17.917349002986224</v>
      </c>
      <c r="Q109">
        <f>I109-N109-O109</f>
        <v>167400</v>
      </c>
    </row>
    <row r="110" spans="7:17">
      <c r="G110" t="s">
        <v>100</v>
      </c>
      <c r="I110">
        <f>'GI-34 doc 3 page 1 de 2'!I107*0.9</f>
        <v>550890</v>
      </c>
      <c r="J110">
        <f>ROUND(M110,0)</f>
        <v>59</v>
      </c>
      <c r="M110">
        <f>I110/I111*100</f>
        <v>58.963490993160583</v>
      </c>
      <c r="N110">
        <v>50000</v>
      </c>
      <c r="Q110">
        <f>I110-N110-O110</f>
        <v>500890</v>
      </c>
    </row>
    <row r="111" spans="7:17">
      <c r="I111">
        <f>SUM(I108:I110)</f>
        <v>934290</v>
      </c>
      <c r="J111">
        <f>M111</f>
        <v>1</v>
      </c>
      <c r="M111">
        <f>SUM(M108:M110)/100</f>
        <v>1</v>
      </c>
      <c r="N111">
        <f>SUM(N108:N110)</f>
        <v>50000</v>
      </c>
      <c r="O111">
        <f>SUM(O108:O110)</f>
        <v>22032</v>
      </c>
      <c r="Q111">
        <f>SUM(Q108:Q110)</f>
        <v>862258</v>
      </c>
    </row>
    <row r="113" spans="7:18">
      <c r="N113" t="s">
        <v>118</v>
      </c>
      <c r="Q113">
        <f>(I108*(1-0.102))-50000+I109+I110</f>
        <v>862258</v>
      </c>
      <c r="R113" t="s">
        <v>75</v>
      </c>
    </row>
    <row r="115" spans="7:18">
      <c r="G115" t="s">
        <v>76</v>
      </c>
    </row>
    <row r="116" spans="7:18">
      <c r="H116" t="s">
        <v>93</v>
      </c>
      <c r="M116" t="s">
        <v>94</v>
      </c>
    </row>
    <row r="117" spans="7:18">
      <c r="H117" t="s">
        <v>2</v>
      </c>
      <c r="I117">
        <f>Q109*J96/100</f>
        <v>78678</v>
      </c>
      <c r="M117" t="s">
        <v>2</v>
      </c>
      <c r="N117">
        <f>(Q109+0)*J96/100</f>
        <v>78678</v>
      </c>
    </row>
    <row r="118" spans="7:18">
      <c r="H118" t="s">
        <v>64</v>
      </c>
      <c r="I118">
        <f>Q109*J97/100</f>
        <v>88722</v>
      </c>
      <c r="M118" t="s">
        <v>64</v>
      </c>
      <c r="N118">
        <f>(Q109+0)*J97/100</f>
        <v>88722</v>
      </c>
    </row>
    <row r="119" spans="7:18">
      <c r="H119" t="s">
        <v>67</v>
      </c>
      <c r="I119">
        <f>Q108</f>
        <v>193968</v>
      </c>
      <c r="M119" t="s">
        <v>67</v>
      </c>
      <c r="N119">
        <f>Q108</f>
        <v>193968</v>
      </c>
    </row>
    <row r="120" spans="7:18">
      <c r="H120" t="s">
        <v>101</v>
      </c>
      <c r="I120">
        <f>Q110</f>
        <v>500890</v>
      </c>
      <c r="M120" t="s">
        <v>101</v>
      </c>
      <c r="N120">
        <f>Q110+50000</f>
        <v>550890</v>
      </c>
    </row>
    <row r="121" spans="7:18">
      <c r="I121">
        <f>SUM(I117:I120)</f>
        <v>862258</v>
      </c>
      <c r="N121">
        <f>SUM(N117:N120)</f>
        <v>912258</v>
      </c>
      <c r="O121" t="s">
        <v>111</v>
      </c>
      <c r="P121">
        <f>Q111+N111</f>
        <v>912258</v>
      </c>
      <c r="Q121" t="s">
        <v>75</v>
      </c>
    </row>
    <row r="123" spans="7:18">
      <c r="G123" t="s">
        <v>224</v>
      </c>
    </row>
    <row r="124" spans="7:18">
      <c r="G124" t="s">
        <v>128</v>
      </c>
    </row>
    <row r="125" spans="7:18">
      <c r="G125" t="s">
        <v>82</v>
      </c>
    </row>
    <row r="126" spans="7:18">
      <c r="G126">
        <v>2014</v>
      </c>
      <c r="I126" t="s">
        <v>2</v>
      </c>
      <c r="J126">
        <f>ROUND(($N$117/3),0)</f>
        <v>26226</v>
      </c>
      <c r="L126">
        <v>2016</v>
      </c>
      <c r="N126" t="s">
        <v>2</v>
      </c>
      <c r="O126">
        <f>ROUND(($N$117/3),0)</f>
        <v>26226</v>
      </c>
    </row>
    <row r="127" spans="7:18">
      <c r="I127" t="s">
        <v>64</v>
      </c>
      <c r="J127">
        <f>ROUND(($N$118/3),0)</f>
        <v>29574</v>
      </c>
      <c r="N127" t="s">
        <v>64</v>
      </c>
      <c r="O127">
        <f>ROUND(($N$118/3),0)</f>
        <v>29574</v>
      </c>
    </row>
    <row r="128" spans="7:18">
      <c r="I128" t="s">
        <v>67</v>
      </c>
      <c r="J128">
        <f>I119</f>
        <v>193968</v>
      </c>
      <c r="N128" t="s">
        <v>67</v>
      </c>
      <c r="O128">
        <v>0</v>
      </c>
    </row>
    <row r="129" spans="7:18">
      <c r="H129" t="s">
        <v>101</v>
      </c>
      <c r="J129">
        <f>ROUND(($N$120/3),0)</f>
        <v>183630</v>
      </c>
      <c r="M129" t="s">
        <v>101</v>
      </c>
      <c r="O129">
        <f>I120-J135-J129</f>
        <v>133630</v>
      </c>
    </row>
    <row r="130" spans="7:18">
      <c r="J130">
        <f>SUM(J126:J129)</f>
        <v>433398</v>
      </c>
      <c r="O130">
        <f>SUM(O126:O129)</f>
        <v>189430</v>
      </c>
    </row>
    <row r="132" spans="7:18">
      <c r="G132">
        <v>2015</v>
      </c>
      <c r="I132" t="s">
        <v>2</v>
      </c>
      <c r="J132">
        <f>ROUND(($N$117/3),0)</f>
        <v>26226</v>
      </c>
      <c r="L132">
        <v>2017</v>
      </c>
      <c r="N132" t="s">
        <v>2</v>
      </c>
      <c r="O132">
        <f>I117-J126-J132-O126</f>
        <v>0</v>
      </c>
    </row>
    <row r="133" spans="7:18">
      <c r="I133" t="s">
        <v>64</v>
      </c>
      <c r="J133">
        <f>ROUND(($N$118/3),0)</f>
        <v>29574</v>
      </c>
      <c r="N133" t="s">
        <v>64</v>
      </c>
      <c r="O133">
        <f>I118-J127-J133-O127</f>
        <v>0</v>
      </c>
    </row>
    <row r="134" spans="7:18">
      <c r="I134" t="s">
        <v>67</v>
      </c>
      <c r="J134">
        <v>0</v>
      </c>
      <c r="N134" t="s">
        <v>67</v>
      </c>
      <c r="O134">
        <v>0</v>
      </c>
    </row>
    <row r="135" spans="7:18">
      <c r="H135" t="s">
        <v>101</v>
      </c>
      <c r="J135">
        <f>ROUND(($N$120/3),0)</f>
        <v>183630</v>
      </c>
      <c r="M135" t="s">
        <v>101</v>
      </c>
      <c r="O135">
        <f>I120-J135-O129-J129</f>
        <v>0</v>
      </c>
    </row>
    <row r="136" spans="7:18">
      <c r="J136">
        <f>SUM(J132:J135)</f>
        <v>239430</v>
      </c>
      <c r="O136">
        <f>SUM(O132:O135)</f>
        <v>0</v>
      </c>
    </row>
    <row r="138" spans="7:18">
      <c r="M138" t="s">
        <v>83</v>
      </c>
      <c r="O138">
        <f>J130+J136+O130+O136</f>
        <v>862258</v>
      </c>
      <c r="P138" t="s">
        <v>112</v>
      </c>
      <c r="R138" t="s">
        <v>75</v>
      </c>
    </row>
    <row r="140" spans="7:18">
      <c r="G140" t="s">
        <v>223</v>
      </c>
    </row>
    <row r="141" spans="7:18">
      <c r="G141" t="s">
        <v>182</v>
      </c>
    </row>
    <row r="142" spans="7:18">
      <c r="G142" t="s">
        <v>183</v>
      </c>
    </row>
    <row r="144" spans="7:18">
      <c r="I144" t="s">
        <v>184</v>
      </c>
      <c r="K144">
        <v>2015</v>
      </c>
      <c r="L144">
        <v>2016</v>
      </c>
      <c r="M144">
        <v>2017</v>
      </c>
      <c r="N144">
        <v>2018</v>
      </c>
      <c r="O144">
        <v>2019</v>
      </c>
      <c r="P144">
        <v>2020</v>
      </c>
      <c r="Q144">
        <v>2021</v>
      </c>
      <c r="R144">
        <v>2022</v>
      </c>
    </row>
    <row r="145" spans="5:18">
      <c r="G145" t="s">
        <v>185</v>
      </c>
    </row>
    <row r="147" spans="5:18">
      <c r="G147" t="s">
        <v>186</v>
      </c>
      <c r="K147" t="e">
        <f>'GI-34 doc 3 page 1 de 2'!#REF!*0.9</f>
        <v>#REF!</v>
      </c>
      <c r="L147" t="e">
        <f>'GI-34 doc 3 page 1 de 2'!#REF!*0.9</f>
        <v>#REF!</v>
      </c>
      <c r="M147" t="e">
        <f>'GI-34 doc 3 page 1 de 2'!#REF!*0.9</f>
        <v>#REF!</v>
      </c>
      <c r="N147" t="e">
        <f>'GI-34 doc 3 page 1 de 2'!#REF!*0.9</f>
        <v>#REF!</v>
      </c>
      <c r="O147" t="e">
        <f>'GI-34 doc 3 page 1 de 2'!#REF!*0.9</f>
        <v>#REF!</v>
      </c>
      <c r="P147" t="e">
        <f>'GI-34 doc 3 page 1 de 2'!#REF!*0.9</f>
        <v>#REF!</v>
      </c>
      <c r="Q147" t="e">
        <f>'GI-34 doc 3 page 1 de 2'!#REF!*0.9</f>
        <v>#REF!</v>
      </c>
      <c r="R147" t="e">
        <f>'GI-34 doc 3 page 1 de 2'!#REF!*0.9</f>
        <v>#REF!</v>
      </c>
    </row>
    <row r="148" spans="5:18">
      <c r="G148" t="s">
        <v>187</v>
      </c>
      <c r="K148" t="e">
        <f>'GI-34 doc 3 page 1 de 2'!#REF!*0.9</f>
        <v>#REF!</v>
      </c>
      <c r="L148" t="e">
        <f>'GI-34 doc 3 page 1 de 2'!#REF!*0.9</f>
        <v>#REF!</v>
      </c>
      <c r="M148" t="e">
        <f>'GI-34 doc 3 page 1 de 2'!#REF!*0.9</f>
        <v>#REF!</v>
      </c>
      <c r="N148" t="e">
        <f>'GI-34 doc 3 page 1 de 2'!#REF!*0.9</f>
        <v>#REF!</v>
      </c>
      <c r="O148" t="e">
        <f>'GI-34 doc 3 page 1 de 2'!#REF!*0.9</f>
        <v>#REF!</v>
      </c>
      <c r="P148" t="e">
        <f>'GI-34 doc 3 page 1 de 2'!#REF!*0.9</f>
        <v>#REF!</v>
      </c>
      <c r="Q148" t="e">
        <f>'GI-34 doc 3 page 1 de 2'!#REF!*0.9</f>
        <v>#REF!</v>
      </c>
      <c r="R148" t="e">
        <f>'GI-34 doc 3 page 1 de 2'!#REF!*0.9</f>
        <v>#REF!</v>
      </c>
    </row>
    <row r="149" spans="5:18">
      <c r="G149" t="s">
        <v>190</v>
      </c>
      <c r="K149" t="e">
        <f>'GI-34 doc 3 page 1 de 2'!#REF!*0.9</f>
        <v>#REF!</v>
      </c>
      <c r="L149" t="e">
        <f>'GI-34 doc 3 page 1 de 2'!#REF!*0.9</f>
        <v>#REF!</v>
      </c>
      <c r="M149" t="e">
        <f>'GI-34 doc 3 page 1 de 2'!#REF!*0.9</f>
        <v>#REF!</v>
      </c>
      <c r="N149" t="e">
        <f>'GI-34 doc 3 page 1 de 2'!#REF!*0.9</f>
        <v>#REF!</v>
      </c>
      <c r="O149" t="e">
        <f>'GI-34 doc 3 page 1 de 2'!#REF!*0.9</f>
        <v>#REF!</v>
      </c>
      <c r="P149" t="e">
        <f>'GI-34 doc 3 page 1 de 2'!#REF!*0.9</f>
        <v>#REF!</v>
      </c>
      <c r="Q149" t="e">
        <f>'GI-34 doc 3 page 1 de 2'!#REF!*0.9</f>
        <v>#REF!</v>
      </c>
      <c r="R149" t="e">
        <f>'GI-34 doc 3 page 1 de 2'!#REF!*0.9</f>
        <v>#REF!</v>
      </c>
    </row>
    <row r="150" spans="5:18">
      <c r="G150" t="s">
        <v>191</v>
      </c>
      <c r="K150" t="e">
        <f>SUM(K147:K149)</f>
        <v>#REF!</v>
      </c>
      <c r="L150" t="e">
        <f t="shared" ref="L150:R150" si="33">SUM(L147:L149)</f>
        <v>#REF!</v>
      </c>
      <c r="M150" t="e">
        <f t="shared" si="33"/>
        <v>#REF!</v>
      </c>
      <c r="N150" t="e">
        <f t="shared" si="33"/>
        <v>#REF!</v>
      </c>
      <c r="O150" t="e">
        <f t="shared" si="33"/>
        <v>#REF!</v>
      </c>
      <c r="P150" t="e">
        <f t="shared" si="33"/>
        <v>#REF!</v>
      </c>
      <c r="Q150" t="e">
        <f t="shared" si="33"/>
        <v>#REF!</v>
      </c>
      <c r="R150" t="e">
        <f t="shared" si="33"/>
        <v>#REF!</v>
      </c>
    </row>
    <row r="151" spans="5:18" ht="13.5" thickBot="1">
      <c r="G151" t="s">
        <v>192</v>
      </c>
      <c r="K151" t="e">
        <f>K150*(1-0.102)</f>
        <v>#REF!</v>
      </c>
      <c r="L151" t="e">
        <f t="shared" ref="L151:R151" si="34">L150*(1-0.102)</f>
        <v>#REF!</v>
      </c>
      <c r="M151" t="e">
        <f t="shared" si="34"/>
        <v>#REF!</v>
      </c>
      <c r="N151" t="e">
        <f t="shared" si="34"/>
        <v>#REF!</v>
      </c>
      <c r="O151" t="e">
        <f t="shared" si="34"/>
        <v>#REF!</v>
      </c>
      <c r="P151" t="e">
        <f t="shared" si="34"/>
        <v>#REF!</v>
      </c>
      <c r="Q151" t="e">
        <f t="shared" si="34"/>
        <v>#REF!</v>
      </c>
      <c r="R151" t="e">
        <f t="shared" si="34"/>
        <v>#REF!</v>
      </c>
    </row>
    <row r="152" spans="5:18">
      <c r="G152" t="s">
        <v>232</v>
      </c>
      <c r="K152" t="e">
        <f>'GI-34 doc 3 page 1 de 2'!#REF!*0.9</f>
        <v>#REF!</v>
      </c>
      <c r="L152" t="e">
        <f>'GI-34 doc 3 page 1 de 2'!#REF!*0.9</f>
        <v>#REF!</v>
      </c>
      <c r="M152" t="e">
        <f>'GI-34 doc 3 page 1 de 2'!#REF!*0.9</f>
        <v>#REF!</v>
      </c>
      <c r="N152" t="e">
        <f>'GI-34 doc 3 page 1 de 2'!#REF!*0.9</f>
        <v>#REF!</v>
      </c>
      <c r="O152" t="e">
        <f>'GI-34 doc 3 page 1 de 2'!#REF!*0.9</f>
        <v>#REF!</v>
      </c>
      <c r="P152" t="e">
        <f>'GI-34 doc 3 page 1 de 2'!#REF!*0.9</f>
        <v>#REF!</v>
      </c>
      <c r="Q152" t="e">
        <f>'GI-34 doc 3 page 1 de 2'!#REF!*0.9</f>
        <v>#REF!</v>
      </c>
      <c r="R152" t="e">
        <f>'GI-34 doc 3 page 1 de 2'!#REF!*0.9</f>
        <v>#REF!</v>
      </c>
    </row>
    <row r="153" spans="5:18">
      <c r="G153" t="s">
        <v>233</v>
      </c>
      <c r="K153" t="e">
        <f>'GI-34 doc 3 page 1 de 2'!#REF!*0.9</f>
        <v>#REF!</v>
      </c>
      <c r="L153" t="e">
        <f>'GI-34 doc 3 page 1 de 2'!#REF!*0.9</f>
        <v>#REF!</v>
      </c>
      <c r="M153" t="e">
        <f>'GI-34 doc 3 page 1 de 2'!#REF!*0.9</f>
        <v>#REF!</v>
      </c>
      <c r="N153" t="e">
        <f>'GI-34 doc 3 page 1 de 2'!#REF!*0.9</f>
        <v>#REF!</v>
      </c>
      <c r="O153" t="e">
        <f>'GI-34 doc 3 page 1 de 2'!#REF!*0.9</f>
        <v>#REF!</v>
      </c>
      <c r="P153" t="e">
        <f>'GI-34 doc 3 page 1 de 2'!#REF!*0.9</f>
        <v>#REF!</v>
      </c>
      <c r="Q153" t="e">
        <f>'GI-34 doc 3 page 1 de 2'!#REF!*0.9</f>
        <v>#REF!</v>
      </c>
      <c r="R153" t="e">
        <f>'GI-34 doc 3 page 1 de 2'!#REF!*0.9</f>
        <v>#REF!</v>
      </c>
    </row>
    <row r="154" spans="5:18">
      <c r="G154" t="s">
        <v>194</v>
      </c>
      <c r="K154" t="e">
        <f>'GI-34 doc 3 page 1 de 2'!#REF!*0.9</f>
        <v>#REF!</v>
      </c>
      <c r="L154" t="e">
        <f>'GI-34 doc 3 page 1 de 2'!#REF!*0.9</f>
        <v>#REF!</v>
      </c>
      <c r="M154" t="e">
        <f>'GI-34 doc 3 page 1 de 2'!#REF!*0.9</f>
        <v>#REF!</v>
      </c>
      <c r="N154" t="e">
        <f>'GI-34 doc 3 page 1 de 2'!#REF!*0.9</f>
        <v>#REF!</v>
      </c>
      <c r="O154" t="e">
        <f>'GI-34 doc 3 page 1 de 2'!#REF!*0.9</f>
        <v>#REF!</v>
      </c>
      <c r="P154" t="e">
        <f>'GI-34 doc 3 page 1 de 2'!#REF!*0.9</f>
        <v>#REF!</v>
      </c>
      <c r="Q154" t="e">
        <f>'GI-34 doc 3 page 1 de 2'!#REF!*0.9</f>
        <v>#REF!</v>
      </c>
      <c r="R154" t="e">
        <f>'GI-34 doc 3 page 1 de 2'!#REF!*0.9</f>
        <v>#REF!</v>
      </c>
    </row>
    <row r="155" spans="5:18" ht="13.5" thickBot="1">
      <c r="G155" t="s">
        <v>193</v>
      </c>
      <c r="K155" t="e">
        <f>SUM(K151:K154)</f>
        <v>#REF!</v>
      </c>
      <c r="L155" t="e">
        <f t="shared" ref="L155:R155" si="35">SUM(L151:L154)</f>
        <v>#REF!</v>
      </c>
      <c r="M155" t="e">
        <f t="shared" si="35"/>
        <v>#REF!</v>
      </c>
      <c r="N155" t="e">
        <f t="shared" si="35"/>
        <v>#REF!</v>
      </c>
      <c r="O155" t="e">
        <f t="shared" si="35"/>
        <v>#REF!</v>
      </c>
      <c r="P155" t="e">
        <f t="shared" si="35"/>
        <v>#REF!</v>
      </c>
      <c r="Q155" t="e">
        <f t="shared" si="35"/>
        <v>#REF!</v>
      </c>
      <c r="R155" t="e">
        <f t="shared" si="35"/>
        <v>#REF!</v>
      </c>
    </row>
    <row r="159" spans="5:18">
      <c r="E159" t="s">
        <v>30</v>
      </c>
      <c r="F159" t="s">
        <v>197</v>
      </c>
      <c r="K159">
        <v>2015</v>
      </c>
      <c r="L159">
        <v>2016</v>
      </c>
      <c r="M159">
        <v>2017</v>
      </c>
      <c r="N159">
        <v>2018</v>
      </c>
      <c r="O159">
        <v>2019</v>
      </c>
      <c r="P159">
        <v>2020</v>
      </c>
      <c r="Q159">
        <v>2021</v>
      </c>
      <c r="R159">
        <v>2022</v>
      </c>
    </row>
    <row r="161" spans="7:18">
      <c r="G161" t="s">
        <v>203</v>
      </c>
      <c r="K161">
        <f>+K38+L38+M38+N38</f>
        <v>143185.443</v>
      </c>
      <c r="L161">
        <f>+K39+L39+M39+N39</f>
        <v>197981.07166666666</v>
      </c>
      <c r="M161">
        <f>+K40+L40+M40+N40</f>
        <v>221212.21933333331</v>
      </c>
      <c r="N161">
        <f>+K41+L41+M41+N41</f>
        <v>129397.21933333333</v>
      </c>
      <c r="O161">
        <f>+K42+L42+M42+N42</f>
        <v>28028.552666666663</v>
      </c>
      <c r="P161">
        <f>+K43+L43+M43+N43</f>
        <v>5756.8860000000659</v>
      </c>
      <c r="Q161">
        <f>+K44+L44+M44+N44</f>
        <v>5756.8860000000004</v>
      </c>
      <c r="R161">
        <f>+K45+L45+M45+N45</f>
        <v>5756.8860000000004</v>
      </c>
    </row>
    <row r="162" spans="7:18">
      <c r="G162" t="s">
        <v>198</v>
      </c>
      <c r="K162">
        <f>+AB31+AB39+AB46+AB53</f>
        <v>467592</v>
      </c>
      <c r="L162">
        <f>+AC31+AC39+AC46+AC53</f>
        <v>238783.12</v>
      </c>
      <c r="M162">
        <f t="shared" ref="M162:R162" si="36">+AD31+AD39+AD46+AD53</f>
        <v>9352.9727999999996</v>
      </c>
      <c r="N162">
        <f t="shared" si="36"/>
        <v>8791.7944319999988</v>
      </c>
      <c r="O162">
        <f t="shared" si="36"/>
        <v>8264.2867660800002</v>
      </c>
      <c r="P162">
        <f t="shared" si="36"/>
        <v>7768.4295601151989</v>
      </c>
      <c r="Q162">
        <f t="shared" si="36"/>
        <v>7302.3237865082874</v>
      </c>
      <c r="R162">
        <f t="shared" si="36"/>
        <v>6864.1843593177909</v>
      </c>
    </row>
    <row r="163" spans="7:18">
      <c r="G163" t="s">
        <v>199</v>
      </c>
      <c r="K163">
        <f>+K161-K162</f>
        <v>-324406.55700000003</v>
      </c>
      <c r="L163">
        <f>+L161-L162</f>
        <v>-40802.04833333334</v>
      </c>
      <c r="M163">
        <f t="shared" ref="M163:R163" si="37">+M161-M162</f>
        <v>211859.24653333332</v>
      </c>
      <c r="N163">
        <f t="shared" si="37"/>
        <v>120605.42490133333</v>
      </c>
      <c r="O163">
        <f t="shared" si="37"/>
        <v>19764.265900586663</v>
      </c>
      <c r="P163">
        <f t="shared" si="37"/>
        <v>-2011.543560115133</v>
      </c>
      <c r="Q163">
        <f t="shared" si="37"/>
        <v>-1545.437786508287</v>
      </c>
      <c r="R163">
        <f t="shared" si="37"/>
        <v>-1107.2983593177905</v>
      </c>
    </row>
    <row r="164" spans="7:18">
      <c r="G164" t="s">
        <v>200</v>
      </c>
      <c r="J164">
        <v>0.26900000000000002</v>
      </c>
      <c r="K164">
        <f>+K163*$J$164</f>
        <v>-87265.36383300001</v>
      </c>
      <c r="L164">
        <f>+L163*$J$164</f>
        <v>-10975.751001666669</v>
      </c>
      <c r="M164">
        <f t="shared" ref="M164:R164" si="38">+M163*$J$164</f>
        <v>56990.137317466666</v>
      </c>
      <c r="N164">
        <f t="shared" si="38"/>
        <v>32442.859298458668</v>
      </c>
      <c r="O164">
        <f t="shared" si="38"/>
        <v>5316.5875272578123</v>
      </c>
      <c r="P164">
        <f t="shared" si="38"/>
        <v>-541.10521767097077</v>
      </c>
      <c r="Q164">
        <f t="shared" si="38"/>
        <v>-415.72276457072923</v>
      </c>
      <c r="R164">
        <f t="shared" si="38"/>
        <v>-297.8632586564857</v>
      </c>
    </row>
    <row r="165" spans="7:18" ht="13.5" thickBot="1">
      <c r="G165" t="s">
        <v>201</v>
      </c>
      <c r="K165">
        <f>+K164/(1-$J$164)</f>
        <v>-119378.06269904242</v>
      </c>
      <c r="L165">
        <f>+L164/(1-$J$164)</f>
        <v>-15014.707252621984</v>
      </c>
      <c r="M165">
        <f t="shared" ref="M165:R165" si="39">+M164/(1-$J$164)</f>
        <v>77961.884155221152</v>
      </c>
      <c r="N165">
        <f t="shared" si="39"/>
        <v>44381.476468479712</v>
      </c>
      <c r="O165">
        <f t="shared" si="39"/>
        <v>7273.0335530202628</v>
      </c>
      <c r="P165">
        <f t="shared" si="39"/>
        <v>-740.22601596576033</v>
      </c>
      <c r="Q165">
        <f t="shared" si="39"/>
        <v>-568.70419229921924</v>
      </c>
      <c r="R165">
        <f t="shared" si="39"/>
        <v>-407.47367805264804</v>
      </c>
    </row>
    <row r="166" spans="7:18" ht="13.5" thickTop="1"/>
  </sheetData>
  <mergeCells count="4">
    <mergeCell ref="B4:R4"/>
    <mergeCell ref="B5:R5"/>
    <mergeCell ref="A2:R2"/>
    <mergeCell ref="A3:R3"/>
  </mergeCells>
  <printOptions horizontalCentered="1"/>
  <pageMargins left="0.25" right="0.25" top="0.75" bottom="0.75" header="0.3" footer="0.3"/>
  <pageSetup scale="24" orientation="landscape" cellComments="asDisplayed" r:id="rId1"/>
  <headerFooter alignWithMargins="0">
    <oddFooter>&amp;L
Original: 2013-11-03
Révisé: 2013-11-21&amp;RGI-1
Document 1.2
Page 2 de 2
Requête 3862-2013</oddFooter>
  </headerFooter>
  <rowBreaks count="1" manualBreakCount="1">
    <brk id="86" max="3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312128">
    <tabColor theme="4" tint="0.39997558519241921"/>
    <pageSetUpPr autoPageBreaks="0" fitToPage="1"/>
  </sheetPr>
  <dimension ref="A3:V139"/>
  <sheetViews>
    <sheetView topLeftCell="A3" zoomScale="75" zoomScaleNormal="75" zoomScaleSheetLayoutView="75" workbookViewId="0">
      <pane xSplit="1" ySplit="8" topLeftCell="B44" activePane="bottomRight" state="frozen"/>
      <selection activeCell="G50" sqref="G50"/>
      <selection pane="topRight" activeCell="G50" sqref="G50"/>
      <selection pane="bottomLeft" activeCell="G50" sqref="G50"/>
      <selection pane="bottomRight" activeCell="E80" sqref="E80"/>
    </sheetView>
  </sheetViews>
  <sheetFormatPr baseColWidth="10" defaultColWidth="12.42578125" defaultRowHeight="12.75" customHeight="1"/>
  <cols>
    <col min="1" max="1" width="4.7109375" customWidth="1"/>
    <col min="2" max="2" width="31.140625" customWidth="1"/>
    <col min="3" max="3" width="9.85546875" customWidth="1"/>
    <col min="4" max="4" width="13.42578125" customWidth="1"/>
    <col min="5" max="5" width="12.7109375" customWidth="1"/>
    <col min="6" max="16" width="13.140625" customWidth="1"/>
    <col min="17" max="17" width="16" customWidth="1"/>
    <col min="18" max="18" width="16.5703125" customWidth="1"/>
    <col min="19" max="19" width="5.28515625" customWidth="1"/>
    <col min="21" max="21" width="5.42578125" customWidth="1"/>
  </cols>
  <sheetData>
    <row r="3" spans="1:22" ht="15.75" customHeight="1">
      <c r="A3" s="28" t="s">
        <v>129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2" ht="12.75" customHeight="1">
      <c r="A4" s="28" t="s">
        <v>130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2" ht="12.7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9" spans="1:22" ht="12.75" customHeight="1">
      <c r="C9" t="s">
        <v>131</v>
      </c>
      <c r="Q9" t="s">
        <v>132</v>
      </c>
      <c r="R9" t="s">
        <v>132</v>
      </c>
      <c r="T9" t="s">
        <v>133</v>
      </c>
      <c r="V9" t="s">
        <v>134</v>
      </c>
    </row>
    <row r="10" spans="1:22" ht="12.75" customHeight="1">
      <c r="C10" t="s">
        <v>135</v>
      </c>
      <c r="D10" t="s">
        <v>136</v>
      </c>
      <c r="E10" t="s">
        <v>137</v>
      </c>
      <c r="F10" t="s">
        <v>138</v>
      </c>
      <c r="G10" t="s">
        <v>139</v>
      </c>
      <c r="H10" t="s">
        <v>140</v>
      </c>
      <c r="I10" t="s">
        <v>141</v>
      </c>
      <c r="J10" t="s">
        <v>142</v>
      </c>
      <c r="K10" t="s">
        <v>143</v>
      </c>
      <c r="L10" t="s">
        <v>144</v>
      </c>
      <c r="M10" t="s">
        <v>145</v>
      </c>
      <c r="N10" t="s">
        <v>146</v>
      </c>
      <c r="O10" t="s">
        <v>147</v>
      </c>
      <c r="P10" t="s">
        <v>136</v>
      </c>
      <c r="Q10" t="s">
        <v>148</v>
      </c>
      <c r="R10" t="s">
        <v>149</v>
      </c>
      <c r="T10" t="s">
        <v>150</v>
      </c>
      <c r="V10" t="s">
        <v>151</v>
      </c>
    </row>
    <row r="11" spans="1:22" ht="12.75" customHeight="1">
      <c r="D11" t="s">
        <v>152</v>
      </c>
      <c r="E11" t="s">
        <v>153</v>
      </c>
      <c r="F11" t="s">
        <v>154</v>
      </c>
      <c r="G11" t="s">
        <v>155</v>
      </c>
      <c r="H11" t="s">
        <v>156</v>
      </c>
      <c r="I11" t="s">
        <v>157</v>
      </c>
      <c r="J11" t="s">
        <v>158</v>
      </c>
      <c r="K11" t="s">
        <v>159</v>
      </c>
      <c r="L11" t="s">
        <v>160</v>
      </c>
      <c r="M11" t="s">
        <v>161</v>
      </c>
      <c r="N11" t="s">
        <v>162</v>
      </c>
      <c r="O11" t="s">
        <v>163</v>
      </c>
      <c r="P11" t="s">
        <v>164</v>
      </c>
      <c r="Q11" t="s">
        <v>165</v>
      </c>
      <c r="R11" t="s">
        <v>166</v>
      </c>
    </row>
    <row r="14" spans="1:22" ht="12.75" customHeight="1">
      <c r="A14">
        <f>1</f>
        <v>1</v>
      </c>
      <c r="B14" t="s">
        <v>167</v>
      </c>
      <c r="E14">
        <f t="shared" ref="E14:P14" si="0">D17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>SUM(D14:P14)</f>
        <v>0</v>
      </c>
      <c r="R14">
        <f>Q14/13</f>
        <v>0</v>
      </c>
      <c r="T14">
        <f>(D14+P14)/2</f>
        <v>0</v>
      </c>
      <c r="V14">
        <f>R14-T14</f>
        <v>0</v>
      </c>
    </row>
    <row r="15" spans="1:22" ht="12.75" customHeight="1">
      <c r="A15">
        <f t="shared" ref="A15:A70" si="1">A14+1</f>
        <v>2</v>
      </c>
      <c r="B15" t="s">
        <v>168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>'GI-34 doc 3 page 1 de 2'!C37</f>
        <v>0</v>
      </c>
      <c r="Q15">
        <f>SUM(D15:P15)</f>
        <v>0</v>
      </c>
      <c r="R15">
        <f>Q15/13</f>
        <v>0</v>
      </c>
      <c r="T15">
        <f>(D15+P15)/2</f>
        <v>0</v>
      </c>
      <c r="V15">
        <f>R15-T15</f>
        <v>0</v>
      </c>
    </row>
    <row r="16" spans="1:22" ht="12.75" customHeight="1">
      <c r="A16">
        <f t="shared" si="1"/>
        <v>3</v>
      </c>
      <c r="B16" t="s">
        <v>169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SUM(D16:P16)</f>
        <v>0</v>
      </c>
      <c r="R16">
        <f>Q16/13</f>
        <v>0</v>
      </c>
      <c r="T16">
        <f>(D16+P16)/2</f>
        <v>0</v>
      </c>
      <c r="V16">
        <f>R16-T16</f>
        <v>0</v>
      </c>
    </row>
    <row r="17" spans="1:22" ht="15" customHeight="1">
      <c r="A17">
        <f t="shared" si="1"/>
        <v>4</v>
      </c>
      <c r="B17" t="s">
        <v>170</v>
      </c>
      <c r="D17">
        <f>'Depreciation 2018'!P17</f>
        <v>0</v>
      </c>
      <c r="E17">
        <f t="shared" ref="E17:P17" si="2">SUM(E14:E16)</f>
        <v>0</v>
      </c>
      <c r="F17">
        <f t="shared" si="2"/>
        <v>0</v>
      </c>
      <c r="G17">
        <f t="shared" si="2"/>
        <v>0</v>
      </c>
      <c r="H17">
        <f t="shared" si="2"/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>SUM(D17:P17)</f>
        <v>0</v>
      </c>
      <c r="R17">
        <f>Q17/13</f>
        <v>0</v>
      </c>
      <c r="T17">
        <f>(D17+P17)/2</f>
        <v>0</v>
      </c>
      <c r="V17">
        <f>R17-T17</f>
        <v>0</v>
      </c>
    </row>
    <row r="18" spans="1:22" ht="12.75" customHeight="1">
      <c r="A18">
        <f t="shared" si="1"/>
        <v>5</v>
      </c>
    </row>
    <row r="19" spans="1:22" ht="12.75" customHeight="1">
      <c r="A19">
        <f t="shared" si="1"/>
        <v>6</v>
      </c>
      <c r="B19" t="s">
        <v>171</v>
      </c>
      <c r="E19">
        <f t="shared" ref="E19:P19" si="3">D23</f>
        <v>0</v>
      </c>
      <c r="F19">
        <f t="shared" si="3"/>
        <v>0</v>
      </c>
      <c r="G19">
        <f t="shared" si="3"/>
        <v>0</v>
      </c>
      <c r="H19">
        <f t="shared" si="3"/>
        <v>0</v>
      </c>
      <c r="I19">
        <f t="shared" si="3"/>
        <v>0</v>
      </c>
      <c r="J19">
        <f t="shared" si="3"/>
        <v>0</v>
      </c>
      <c r="K19">
        <f t="shared" si="3"/>
        <v>0</v>
      </c>
      <c r="L19">
        <f t="shared" si="3"/>
        <v>0</v>
      </c>
      <c r="M19">
        <f t="shared" si="3"/>
        <v>0</v>
      </c>
      <c r="N19">
        <f t="shared" si="3"/>
        <v>0</v>
      </c>
      <c r="O19">
        <f t="shared" si="3"/>
        <v>0</v>
      </c>
      <c r="P19">
        <f t="shared" si="3"/>
        <v>0</v>
      </c>
      <c r="Q19">
        <f>SUM(D19:P19)</f>
        <v>0</v>
      </c>
      <c r="R19">
        <f>Q19/13</f>
        <v>0</v>
      </c>
      <c r="T19">
        <f>(D19+P19)/2</f>
        <v>0</v>
      </c>
      <c r="V19">
        <f>R19-T19</f>
        <v>0</v>
      </c>
    </row>
    <row r="20" spans="1:22" ht="12.75" customHeight="1">
      <c r="A20">
        <f t="shared" si="1"/>
        <v>7</v>
      </c>
      <c r="B20" t="s">
        <v>172</v>
      </c>
      <c r="Q20">
        <f>SUM(D20:P20)</f>
        <v>0</v>
      </c>
      <c r="R20">
        <f>Q20/13</f>
        <v>0</v>
      </c>
      <c r="T20">
        <f>(D20+P20)/2</f>
        <v>0</v>
      </c>
      <c r="V20">
        <f>R20-T20</f>
        <v>0</v>
      </c>
    </row>
    <row r="21" spans="1:22" ht="12.75" customHeight="1">
      <c r="A21">
        <f t="shared" si="1"/>
        <v>8</v>
      </c>
      <c r="B21" t="s">
        <v>169</v>
      </c>
      <c r="E21">
        <f t="shared" ref="E21:P21" si="4">E16</f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4"/>
        <v>0</v>
      </c>
      <c r="N21">
        <f t="shared" si="4"/>
        <v>0</v>
      </c>
      <c r="O21">
        <f t="shared" si="4"/>
        <v>0</v>
      </c>
      <c r="P21">
        <f t="shared" si="4"/>
        <v>0</v>
      </c>
      <c r="Q21">
        <f>SUM(D20:P21)</f>
        <v>0</v>
      </c>
      <c r="R21">
        <f>Q21/13</f>
        <v>0</v>
      </c>
      <c r="T21">
        <f>(D21+P21)/2</f>
        <v>0</v>
      </c>
      <c r="V21">
        <f>R21-T21</f>
        <v>0</v>
      </c>
    </row>
    <row r="22" spans="1:22" ht="12.75" customHeight="1">
      <c r="A22">
        <f t="shared" si="1"/>
        <v>9</v>
      </c>
      <c r="B22" t="s">
        <v>173</v>
      </c>
      <c r="C22">
        <v>2.2200000000000002</v>
      </c>
      <c r="E22">
        <f t="shared" ref="E22:P22" si="5">E17*$C22/100/12</f>
        <v>0</v>
      </c>
      <c r="F22">
        <f t="shared" si="5"/>
        <v>0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  <c r="Q22">
        <f>SUM(D22:P22)</f>
        <v>0</v>
      </c>
      <c r="R22">
        <f>Q22/13</f>
        <v>0</v>
      </c>
      <c r="T22">
        <f>(D22+P22)/2</f>
        <v>0</v>
      </c>
      <c r="V22">
        <f>R22-T22</f>
        <v>0</v>
      </c>
    </row>
    <row r="23" spans="1:22" ht="15" customHeight="1">
      <c r="A23">
        <f t="shared" si="1"/>
        <v>10</v>
      </c>
      <c r="B23" t="s">
        <v>170</v>
      </c>
      <c r="D23">
        <f>'Depreciation 2018'!P23</f>
        <v>0</v>
      </c>
      <c r="E23">
        <f>SUM(E19:E22)</f>
        <v>0</v>
      </c>
      <c r="F23">
        <f t="shared" ref="F23:P23" si="6">SUM(F19:F22)</f>
        <v>0</v>
      </c>
      <c r="G23">
        <f t="shared" si="6"/>
        <v>0</v>
      </c>
      <c r="H23">
        <f t="shared" si="6"/>
        <v>0</v>
      </c>
      <c r="I23">
        <f t="shared" si="6"/>
        <v>0</v>
      </c>
      <c r="J23">
        <f t="shared" si="6"/>
        <v>0</v>
      </c>
      <c r="K23">
        <f t="shared" si="6"/>
        <v>0</v>
      </c>
      <c r="L23">
        <f t="shared" si="6"/>
        <v>0</v>
      </c>
      <c r="M23">
        <f t="shared" si="6"/>
        <v>0</v>
      </c>
      <c r="N23">
        <f t="shared" si="6"/>
        <v>0</v>
      </c>
      <c r="O23">
        <f t="shared" si="6"/>
        <v>0</v>
      </c>
      <c r="P23">
        <f t="shared" si="6"/>
        <v>0</v>
      </c>
      <c r="Q23">
        <f>SUM(D23:P23)</f>
        <v>0</v>
      </c>
      <c r="R23">
        <f>Q23/13</f>
        <v>0</v>
      </c>
      <c r="T23">
        <f>(D23+P23)/2</f>
        <v>0</v>
      </c>
      <c r="V23">
        <f>R23-T23</f>
        <v>0</v>
      </c>
    </row>
    <row r="24" spans="1:22" ht="12.75" customHeight="1">
      <c r="A24">
        <f t="shared" si="1"/>
        <v>11</v>
      </c>
    </row>
    <row r="25" spans="1:22" ht="12.75" customHeight="1">
      <c r="A25">
        <f t="shared" si="1"/>
        <v>12</v>
      </c>
      <c r="B25" t="s">
        <v>174</v>
      </c>
      <c r="D25">
        <f t="shared" ref="D25:P25" si="7">D17-D23</f>
        <v>0</v>
      </c>
      <c r="E25">
        <f t="shared" si="7"/>
        <v>0</v>
      </c>
      <c r="F25">
        <f t="shared" si="7"/>
        <v>0</v>
      </c>
      <c r="G25">
        <f t="shared" si="7"/>
        <v>0</v>
      </c>
      <c r="H25">
        <f t="shared" si="7"/>
        <v>0</v>
      </c>
      <c r="I25">
        <f t="shared" si="7"/>
        <v>0</v>
      </c>
      <c r="J25">
        <f t="shared" si="7"/>
        <v>0</v>
      </c>
      <c r="K25">
        <f t="shared" si="7"/>
        <v>0</v>
      </c>
      <c r="L25">
        <f t="shared" si="7"/>
        <v>0</v>
      </c>
      <c r="M25">
        <f t="shared" si="7"/>
        <v>0</v>
      </c>
      <c r="N25">
        <f t="shared" si="7"/>
        <v>0</v>
      </c>
      <c r="O25">
        <f t="shared" si="7"/>
        <v>0</v>
      </c>
      <c r="P25">
        <f t="shared" si="7"/>
        <v>0</v>
      </c>
      <c r="Q25">
        <f>SUM(D25:P25)</f>
        <v>0</v>
      </c>
      <c r="R25">
        <f>Q25/13</f>
        <v>0</v>
      </c>
      <c r="T25">
        <f>(D25+P25)/2</f>
        <v>0</v>
      </c>
      <c r="V25">
        <f>R25-T25</f>
        <v>0</v>
      </c>
    </row>
    <row r="26" spans="1:22" ht="12.75" customHeight="1">
      <c r="A26">
        <f t="shared" si="1"/>
        <v>13</v>
      </c>
    </row>
    <row r="27" spans="1:22" ht="12.75" customHeight="1">
      <c r="A27">
        <f t="shared" si="1"/>
        <v>14</v>
      </c>
    </row>
    <row r="28" spans="1:22" ht="12.75" customHeight="1">
      <c r="A28">
        <f t="shared" si="1"/>
        <v>15</v>
      </c>
      <c r="B28" t="s">
        <v>175</v>
      </c>
      <c r="E28">
        <f t="shared" ref="E28:P28" si="8">D31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>SUM(D28:P28)</f>
        <v>0</v>
      </c>
      <c r="R28">
        <f>Q28/13</f>
        <v>0</v>
      </c>
      <c r="T28">
        <f>(D28+P28)/2</f>
        <v>0</v>
      </c>
      <c r="V28">
        <f>R28-T28</f>
        <v>0</v>
      </c>
    </row>
    <row r="29" spans="1:22" ht="12.75" customHeight="1">
      <c r="A29">
        <f t="shared" si="1"/>
        <v>16</v>
      </c>
      <c r="B29" t="s">
        <v>168</v>
      </c>
      <c r="K29">
        <f>'GI-34 doc 3 page 1 de 2'!D37</f>
        <v>0</v>
      </c>
      <c r="Q29">
        <f>SUM(D29:P29)</f>
        <v>0</v>
      </c>
      <c r="R29">
        <f>Q29/13</f>
        <v>0</v>
      </c>
      <c r="T29">
        <f>(D29+P29)/2</f>
        <v>0</v>
      </c>
      <c r="V29">
        <f>R29-T29</f>
        <v>0</v>
      </c>
    </row>
    <row r="30" spans="1:22" ht="12.75" customHeight="1">
      <c r="A30">
        <f t="shared" si="1"/>
        <v>17</v>
      </c>
      <c r="B30" t="s">
        <v>169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SUM(D30:P30)</f>
        <v>0</v>
      </c>
      <c r="R30">
        <f>Q30/13</f>
        <v>0</v>
      </c>
      <c r="T30">
        <f>(D30+P30)/2</f>
        <v>0</v>
      </c>
      <c r="V30">
        <f>R30-T30</f>
        <v>0</v>
      </c>
    </row>
    <row r="31" spans="1:22" ht="12.75" customHeight="1">
      <c r="A31">
        <f t="shared" si="1"/>
        <v>18</v>
      </c>
      <c r="B31" t="s">
        <v>170</v>
      </c>
      <c r="D31">
        <f>'Depreciation 2018'!P31</f>
        <v>0</v>
      </c>
      <c r="E31">
        <f t="shared" ref="E31:P31" si="9">SUM(E28:E30)</f>
        <v>0</v>
      </c>
      <c r="F31">
        <f t="shared" si="9"/>
        <v>0</v>
      </c>
      <c r="G31">
        <f t="shared" si="9"/>
        <v>0</v>
      </c>
      <c r="H31">
        <f t="shared" si="9"/>
        <v>0</v>
      </c>
      <c r="I31">
        <f t="shared" si="9"/>
        <v>0</v>
      </c>
      <c r="J31">
        <f t="shared" si="9"/>
        <v>0</v>
      </c>
      <c r="K31">
        <f t="shared" si="9"/>
        <v>0</v>
      </c>
      <c r="L31">
        <f t="shared" si="9"/>
        <v>0</v>
      </c>
      <c r="M31">
        <f t="shared" si="9"/>
        <v>0</v>
      </c>
      <c r="N31">
        <f t="shared" si="9"/>
        <v>0</v>
      </c>
      <c r="O31">
        <f t="shared" si="9"/>
        <v>0</v>
      </c>
      <c r="P31">
        <f t="shared" si="9"/>
        <v>0</v>
      </c>
      <c r="Q31">
        <f>SUM(D31:P31)</f>
        <v>0</v>
      </c>
      <c r="R31">
        <f>Q31/13</f>
        <v>0</v>
      </c>
      <c r="T31">
        <f>(D31+P31)/2</f>
        <v>0</v>
      </c>
      <c r="V31">
        <f>R31-T31</f>
        <v>0</v>
      </c>
    </row>
    <row r="32" spans="1:22" ht="12.75" customHeight="1">
      <c r="A32">
        <f t="shared" si="1"/>
        <v>19</v>
      </c>
    </row>
    <row r="33" spans="1:22" ht="12.75" customHeight="1">
      <c r="A33">
        <f t="shared" si="1"/>
        <v>20</v>
      </c>
      <c r="B33" t="s">
        <v>171</v>
      </c>
      <c r="E33">
        <f t="shared" ref="E33:P33" si="10">D37</f>
        <v>0</v>
      </c>
      <c r="F33">
        <f t="shared" si="10"/>
        <v>0</v>
      </c>
      <c r="G33">
        <f t="shared" si="10"/>
        <v>0</v>
      </c>
      <c r="H33">
        <f t="shared" si="10"/>
        <v>0</v>
      </c>
      <c r="I33">
        <f t="shared" si="10"/>
        <v>0</v>
      </c>
      <c r="J33">
        <f t="shared" si="10"/>
        <v>0</v>
      </c>
      <c r="K33">
        <f t="shared" si="10"/>
        <v>0</v>
      </c>
      <c r="L33">
        <f t="shared" si="10"/>
        <v>0</v>
      </c>
      <c r="M33">
        <f t="shared" si="10"/>
        <v>0</v>
      </c>
      <c r="N33">
        <f t="shared" si="10"/>
        <v>0</v>
      </c>
      <c r="O33">
        <f t="shared" si="10"/>
        <v>0</v>
      </c>
      <c r="P33">
        <f t="shared" si="10"/>
        <v>0</v>
      </c>
      <c r="Q33">
        <f>SUM(D33:P33)</f>
        <v>0</v>
      </c>
      <c r="R33">
        <f>Q33/13</f>
        <v>0</v>
      </c>
      <c r="T33">
        <f>(D33+P33)/2</f>
        <v>0</v>
      </c>
      <c r="V33">
        <f>R33-T33</f>
        <v>0</v>
      </c>
    </row>
    <row r="34" spans="1:22" ht="12.75" customHeight="1">
      <c r="A34">
        <f t="shared" si="1"/>
        <v>21</v>
      </c>
      <c r="B34" t="s">
        <v>172</v>
      </c>
      <c r="Q34">
        <f>SUM(D34:P34)</f>
        <v>0</v>
      </c>
      <c r="R34">
        <f>Q34/13</f>
        <v>0</v>
      </c>
      <c r="T34">
        <f>(D34+P34)/2</f>
        <v>0</v>
      </c>
      <c r="V34">
        <f>R34-T34</f>
        <v>0</v>
      </c>
    </row>
    <row r="35" spans="1:22" ht="12.75" customHeight="1">
      <c r="A35">
        <f t="shared" si="1"/>
        <v>22</v>
      </c>
      <c r="B35" t="s">
        <v>169</v>
      </c>
      <c r="E35">
        <f t="shared" ref="E35:P35" si="11">E30</f>
        <v>0</v>
      </c>
      <c r="F35">
        <f t="shared" si="11"/>
        <v>0</v>
      </c>
      <c r="G35">
        <f t="shared" si="11"/>
        <v>0</v>
      </c>
      <c r="H35">
        <f t="shared" si="11"/>
        <v>0</v>
      </c>
      <c r="I35">
        <f t="shared" si="11"/>
        <v>0</v>
      </c>
      <c r="J35">
        <f t="shared" si="11"/>
        <v>0</v>
      </c>
      <c r="K35">
        <f t="shared" si="11"/>
        <v>0</v>
      </c>
      <c r="L35">
        <f t="shared" si="11"/>
        <v>0</v>
      </c>
      <c r="M35">
        <f t="shared" si="11"/>
        <v>0</v>
      </c>
      <c r="N35">
        <f t="shared" si="11"/>
        <v>0</v>
      </c>
      <c r="O35">
        <f t="shared" si="11"/>
        <v>0</v>
      </c>
      <c r="P35">
        <f t="shared" si="11"/>
        <v>0</v>
      </c>
      <c r="Q35">
        <f>SUM(D34:P35)</f>
        <v>0</v>
      </c>
      <c r="R35">
        <f>Q35/13</f>
        <v>0</v>
      </c>
      <c r="T35">
        <f>(D35+P35)/2</f>
        <v>0</v>
      </c>
      <c r="V35">
        <f>R35-T35</f>
        <v>0</v>
      </c>
    </row>
    <row r="36" spans="1:22" ht="12.75" customHeight="1">
      <c r="A36">
        <f t="shared" si="1"/>
        <v>23</v>
      </c>
      <c r="B36" t="s">
        <v>173</v>
      </c>
      <c r="C36">
        <f>'[8]Coût de service'!R8*100</f>
        <v>4.5199999999999996</v>
      </c>
      <c r="E36">
        <f t="shared" ref="E36:P36" si="12">E31*$C36/100/12</f>
        <v>0</v>
      </c>
      <c r="F36">
        <f t="shared" si="12"/>
        <v>0</v>
      </c>
      <c r="G36">
        <f t="shared" si="12"/>
        <v>0</v>
      </c>
      <c r="H36">
        <f t="shared" si="12"/>
        <v>0</v>
      </c>
      <c r="I36">
        <f t="shared" si="12"/>
        <v>0</v>
      </c>
      <c r="J36">
        <f t="shared" si="12"/>
        <v>0</v>
      </c>
      <c r="K36">
        <f t="shared" si="12"/>
        <v>0</v>
      </c>
      <c r="L36">
        <f t="shared" si="12"/>
        <v>0</v>
      </c>
      <c r="M36">
        <f t="shared" si="12"/>
        <v>0</v>
      </c>
      <c r="N36">
        <f t="shared" si="12"/>
        <v>0</v>
      </c>
      <c r="O36">
        <f t="shared" si="12"/>
        <v>0</v>
      </c>
      <c r="P36">
        <f t="shared" si="12"/>
        <v>0</v>
      </c>
      <c r="Q36">
        <f>SUM(D36:P36)</f>
        <v>0</v>
      </c>
      <c r="R36">
        <f>Q36/13</f>
        <v>0</v>
      </c>
      <c r="T36">
        <f>(D36+P36)/2</f>
        <v>0</v>
      </c>
      <c r="V36">
        <f>R36-T36</f>
        <v>0</v>
      </c>
    </row>
    <row r="37" spans="1:22" ht="12.75" customHeight="1">
      <c r="A37">
        <f t="shared" si="1"/>
        <v>24</v>
      </c>
      <c r="B37" t="s">
        <v>170</v>
      </c>
      <c r="D37">
        <f>'Depreciation 2018'!P37</f>
        <v>0</v>
      </c>
      <c r="E37">
        <f t="shared" ref="E37:P37" si="13">SUM(E33:E36)</f>
        <v>0</v>
      </c>
      <c r="F37">
        <f t="shared" si="13"/>
        <v>0</v>
      </c>
      <c r="G37">
        <f t="shared" si="13"/>
        <v>0</v>
      </c>
      <c r="H37">
        <f t="shared" si="13"/>
        <v>0</v>
      </c>
      <c r="I37">
        <f t="shared" si="13"/>
        <v>0</v>
      </c>
      <c r="J37">
        <f t="shared" si="13"/>
        <v>0</v>
      </c>
      <c r="K37">
        <f t="shared" si="13"/>
        <v>0</v>
      </c>
      <c r="L37">
        <f t="shared" si="13"/>
        <v>0</v>
      </c>
      <c r="M37">
        <f t="shared" si="13"/>
        <v>0</v>
      </c>
      <c r="N37">
        <f t="shared" si="13"/>
        <v>0</v>
      </c>
      <c r="O37">
        <f t="shared" si="13"/>
        <v>0</v>
      </c>
      <c r="P37">
        <f t="shared" si="13"/>
        <v>0</v>
      </c>
      <c r="Q37">
        <f>SUM(D37:P37)</f>
        <v>0</v>
      </c>
      <c r="R37">
        <f>Q37/13</f>
        <v>0</v>
      </c>
      <c r="T37">
        <f>(D37+P37)/2</f>
        <v>0</v>
      </c>
      <c r="V37">
        <f>R37-T37</f>
        <v>0</v>
      </c>
    </row>
    <row r="38" spans="1:22" ht="12.75" customHeight="1">
      <c r="A38">
        <f t="shared" si="1"/>
        <v>25</v>
      </c>
    </row>
    <row r="39" spans="1:22" ht="12.75" customHeight="1">
      <c r="A39">
        <f t="shared" si="1"/>
        <v>26</v>
      </c>
      <c r="B39" t="s">
        <v>174</v>
      </c>
      <c r="D39">
        <f t="shared" ref="D39:P39" si="14">D31-D37</f>
        <v>0</v>
      </c>
      <c r="E39">
        <f t="shared" si="14"/>
        <v>0</v>
      </c>
      <c r="F39">
        <f t="shared" si="14"/>
        <v>0</v>
      </c>
      <c r="G39">
        <f t="shared" si="14"/>
        <v>0</v>
      </c>
      <c r="H39">
        <f t="shared" si="14"/>
        <v>0</v>
      </c>
      <c r="I39">
        <f t="shared" si="14"/>
        <v>0</v>
      </c>
      <c r="J39">
        <f t="shared" si="14"/>
        <v>0</v>
      </c>
      <c r="K39">
        <f t="shared" si="14"/>
        <v>0</v>
      </c>
      <c r="L39">
        <f t="shared" si="14"/>
        <v>0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  <c r="Q39">
        <f>SUM(D39:P39)</f>
        <v>0</v>
      </c>
      <c r="R39">
        <f>Q39/13</f>
        <v>0</v>
      </c>
      <c r="T39">
        <f>(D39+P39)/2</f>
        <v>0</v>
      </c>
      <c r="V39">
        <f>R39-T39</f>
        <v>0</v>
      </c>
    </row>
    <row r="40" spans="1:22" ht="12.75" customHeight="1">
      <c r="A40">
        <f t="shared" si="1"/>
        <v>27</v>
      </c>
    </row>
    <row r="41" spans="1:22" ht="12.75" customHeight="1">
      <c r="A41">
        <v>28</v>
      </c>
    </row>
    <row r="42" spans="1:22" ht="12.75" customHeight="1">
      <c r="A42">
        <v>29</v>
      </c>
      <c r="B42" t="s">
        <v>176</v>
      </c>
      <c r="E42">
        <f t="shared" ref="E42:P42" si="15">D45</f>
        <v>215520</v>
      </c>
      <c r="F42">
        <f t="shared" si="15"/>
        <v>215520</v>
      </c>
      <c r="G42">
        <f t="shared" si="15"/>
        <v>215520</v>
      </c>
      <c r="H42">
        <f t="shared" si="15"/>
        <v>215520</v>
      </c>
      <c r="I42">
        <f t="shared" si="15"/>
        <v>215520</v>
      </c>
      <c r="J42">
        <f t="shared" si="15"/>
        <v>215520</v>
      </c>
      <c r="K42">
        <f t="shared" si="15"/>
        <v>215520</v>
      </c>
      <c r="L42">
        <f t="shared" si="15"/>
        <v>215520</v>
      </c>
      <c r="M42">
        <f t="shared" si="15"/>
        <v>215520</v>
      </c>
      <c r="N42">
        <f t="shared" si="15"/>
        <v>215520</v>
      </c>
      <c r="O42">
        <f t="shared" si="15"/>
        <v>215520</v>
      </c>
      <c r="P42">
        <f t="shared" si="15"/>
        <v>215520</v>
      </c>
      <c r="Q42">
        <f>SUM(D42:P42)</f>
        <v>2586240</v>
      </c>
      <c r="R42">
        <f>Q42/13</f>
        <v>198941.53846153847</v>
      </c>
      <c r="T42">
        <f>(D42+P42)/2</f>
        <v>107760</v>
      </c>
      <c r="V42">
        <f>R42-T42</f>
        <v>91181.538461538468</v>
      </c>
    </row>
    <row r="43" spans="1:22" ht="12.75" customHeight="1">
      <c r="A43">
        <v>30</v>
      </c>
      <c r="B43" t="s">
        <v>168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>'GI-34 doc 3 page 1 de 2'!E37</f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f>SUM(D43:P43)</f>
        <v>0</v>
      </c>
      <c r="R43">
        <f>Q43/13</f>
        <v>0</v>
      </c>
      <c r="T43">
        <f>(D43+P43)/2</f>
        <v>0</v>
      </c>
      <c r="V43">
        <f>R43-T43</f>
        <v>0</v>
      </c>
    </row>
    <row r="44" spans="1:22" ht="12.75" customHeight="1">
      <c r="A44">
        <f t="shared" si="1"/>
        <v>31</v>
      </c>
      <c r="B44" t="s">
        <v>169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>SUM(D44:P44)</f>
        <v>0</v>
      </c>
      <c r="R44">
        <f>Q44/13</f>
        <v>0</v>
      </c>
      <c r="T44">
        <f>(D44+P44)/2</f>
        <v>0</v>
      </c>
      <c r="V44">
        <f>R44-T44</f>
        <v>0</v>
      </c>
    </row>
    <row r="45" spans="1:22" ht="12.75" customHeight="1">
      <c r="A45">
        <f t="shared" si="1"/>
        <v>32</v>
      </c>
      <c r="B45" t="s">
        <v>170</v>
      </c>
      <c r="D45">
        <f>'Depreciation 2018'!P45</f>
        <v>215520</v>
      </c>
      <c r="E45">
        <f t="shared" ref="E45:P45" si="16">SUM(E42:E44)</f>
        <v>215520</v>
      </c>
      <c r="F45">
        <f t="shared" si="16"/>
        <v>215520</v>
      </c>
      <c r="G45">
        <f t="shared" si="16"/>
        <v>215520</v>
      </c>
      <c r="H45">
        <f t="shared" si="16"/>
        <v>215520</v>
      </c>
      <c r="I45">
        <f t="shared" si="16"/>
        <v>215520</v>
      </c>
      <c r="J45">
        <f t="shared" si="16"/>
        <v>215520</v>
      </c>
      <c r="K45">
        <f t="shared" si="16"/>
        <v>215520</v>
      </c>
      <c r="L45">
        <f t="shared" si="16"/>
        <v>215520</v>
      </c>
      <c r="M45">
        <f t="shared" si="16"/>
        <v>215520</v>
      </c>
      <c r="N45">
        <f t="shared" si="16"/>
        <v>215520</v>
      </c>
      <c r="O45">
        <f t="shared" si="16"/>
        <v>215520</v>
      </c>
      <c r="P45">
        <f t="shared" si="16"/>
        <v>215520</v>
      </c>
      <c r="Q45">
        <f>SUM(D45:P45)</f>
        <v>2801760</v>
      </c>
      <c r="R45">
        <f>Q45/13</f>
        <v>215520</v>
      </c>
      <c r="T45">
        <f>(D45+P45)/2</f>
        <v>215520</v>
      </c>
      <c r="V45">
        <f>R45-T45</f>
        <v>0</v>
      </c>
    </row>
    <row r="46" spans="1:22" ht="12.75" customHeight="1">
      <c r="A46">
        <f t="shared" si="1"/>
        <v>33</v>
      </c>
    </row>
    <row r="47" spans="1:22" ht="12.75" customHeight="1">
      <c r="A47">
        <f t="shared" si="1"/>
        <v>34</v>
      </c>
      <c r="B47" t="s">
        <v>171</v>
      </c>
      <c r="E47">
        <f t="shared" ref="E47:P47" si="17">D51</f>
        <v>101025</v>
      </c>
      <c r="F47">
        <f t="shared" si="17"/>
        <v>105515</v>
      </c>
      <c r="G47">
        <f t="shared" si="17"/>
        <v>110005</v>
      </c>
      <c r="H47">
        <f t="shared" si="17"/>
        <v>114495</v>
      </c>
      <c r="I47">
        <f t="shared" si="17"/>
        <v>118985</v>
      </c>
      <c r="J47">
        <f t="shared" si="17"/>
        <v>123475</v>
      </c>
      <c r="K47">
        <f t="shared" si="17"/>
        <v>127965</v>
      </c>
      <c r="L47">
        <f t="shared" si="17"/>
        <v>132455</v>
      </c>
      <c r="M47">
        <f t="shared" si="17"/>
        <v>136945</v>
      </c>
      <c r="N47">
        <f t="shared" si="17"/>
        <v>141435</v>
      </c>
      <c r="O47">
        <f t="shared" si="17"/>
        <v>145925</v>
      </c>
      <c r="P47">
        <f t="shared" si="17"/>
        <v>150415</v>
      </c>
      <c r="Q47">
        <f>SUM(D47:P47)</f>
        <v>1508640</v>
      </c>
      <c r="R47">
        <f>Q47/13</f>
        <v>116049.23076923077</v>
      </c>
      <c r="T47">
        <f>(D47+P47)/2</f>
        <v>75207.5</v>
      </c>
      <c r="V47">
        <f>R47-T47</f>
        <v>40841.730769230766</v>
      </c>
    </row>
    <row r="48" spans="1:22" ht="12.75" customHeight="1">
      <c r="A48">
        <f t="shared" si="1"/>
        <v>35</v>
      </c>
      <c r="B48" t="s">
        <v>172</v>
      </c>
      <c r="Q48">
        <f>SUM(D48:P48)</f>
        <v>0</v>
      </c>
      <c r="R48">
        <f>Q48/13</f>
        <v>0</v>
      </c>
      <c r="T48">
        <f>(D48+P48)/2</f>
        <v>0</v>
      </c>
      <c r="V48">
        <f>R48-T48</f>
        <v>0</v>
      </c>
    </row>
    <row r="49" spans="1:22" ht="12.75" customHeight="1">
      <c r="A49">
        <f t="shared" si="1"/>
        <v>36</v>
      </c>
      <c r="B49" t="s">
        <v>169</v>
      </c>
      <c r="E49">
        <f t="shared" ref="E49:P49" si="18">E44</f>
        <v>0</v>
      </c>
      <c r="F49">
        <f t="shared" si="18"/>
        <v>0</v>
      </c>
      <c r="G49">
        <f t="shared" si="18"/>
        <v>0</v>
      </c>
      <c r="H49">
        <f t="shared" si="18"/>
        <v>0</v>
      </c>
      <c r="I49">
        <f t="shared" si="18"/>
        <v>0</v>
      </c>
      <c r="J49">
        <f t="shared" si="18"/>
        <v>0</v>
      </c>
      <c r="K49">
        <f t="shared" si="18"/>
        <v>0</v>
      </c>
      <c r="L49">
        <f t="shared" si="18"/>
        <v>0</v>
      </c>
      <c r="M49">
        <f t="shared" si="18"/>
        <v>0</v>
      </c>
      <c r="N49">
        <f t="shared" si="18"/>
        <v>0</v>
      </c>
      <c r="O49">
        <f t="shared" si="18"/>
        <v>0</v>
      </c>
      <c r="P49">
        <f t="shared" si="18"/>
        <v>0</v>
      </c>
      <c r="Q49">
        <f>SUM(D48:P49)</f>
        <v>0</v>
      </c>
      <c r="R49">
        <f>Q49/13</f>
        <v>0</v>
      </c>
      <c r="T49">
        <f>(D49+P49)/2</f>
        <v>0</v>
      </c>
      <c r="V49">
        <f>R49-T49</f>
        <v>0</v>
      </c>
    </row>
    <row r="50" spans="1:22" ht="12.75" customHeight="1">
      <c r="A50">
        <f t="shared" si="1"/>
        <v>37</v>
      </c>
      <c r="B50" t="s">
        <v>173</v>
      </c>
      <c r="C50">
        <v>25</v>
      </c>
      <c r="E50">
        <f t="shared" ref="E50:P50" si="19">IF(E45-E47-(E45*$C50/100/12)&lt;0,E45-E47,E45*$C50/100/12)</f>
        <v>4490</v>
      </c>
      <c r="F50">
        <f t="shared" si="19"/>
        <v>4490</v>
      </c>
      <c r="G50">
        <f t="shared" si="19"/>
        <v>4490</v>
      </c>
      <c r="H50">
        <f t="shared" si="19"/>
        <v>4490</v>
      </c>
      <c r="I50">
        <f t="shared" si="19"/>
        <v>4490</v>
      </c>
      <c r="J50">
        <f t="shared" si="19"/>
        <v>4490</v>
      </c>
      <c r="K50">
        <f t="shared" si="19"/>
        <v>4490</v>
      </c>
      <c r="L50">
        <f t="shared" si="19"/>
        <v>4490</v>
      </c>
      <c r="M50">
        <f t="shared" si="19"/>
        <v>4490</v>
      </c>
      <c r="N50">
        <f t="shared" si="19"/>
        <v>4490</v>
      </c>
      <c r="O50">
        <f t="shared" si="19"/>
        <v>4490</v>
      </c>
      <c r="P50">
        <f t="shared" si="19"/>
        <v>4490</v>
      </c>
      <c r="Q50">
        <f>SUM(D50:P50)</f>
        <v>53880</v>
      </c>
      <c r="R50">
        <f>Q50/13</f>
        <v>4144.6153846153848</v>
      </c>
      <c r="T50">
        <f>(D50+P50)/2</f>
        <v>2245</v>
      </c>
      <c r="V50">
        <f>R50-T50</f>
        <v>1899.6153846153848</v>
      </c>
    </row>
    <row r="51" spans="1:22" ht="12.75" customHeight="1">
      <c r="A51">
        <f t="shared" si="1"/>
        <v>38</v>
      </c>
      <c r="B51" t="s">
        <v>170</v>
      </c>
      <c r="D51">
        <f>'Depreciation 2018'!P51</f>
        <v>101025</v>
      </c>
      <c r="E51">
        <f t="shared" ref="E51:P51" si="20">SUM(E47:E50)</f>
        <v>105515</v>
      </c>
      <c r="F51">
        <f t="shared" si="20"/>
        <v>110005</v>
      </c>
      <c r="G51">
        <f t="shared" si="20"/>
        <v>114495</v>
      </c>
      <c r="H51">
        <f t="shared" si="20"/>
        <v>118985</v>
      </c>
      <c r="I51">
        <f t="shared" si="20"/>
        <v>123475</v>
      </c>
      <c r="J51">
        <f t="shared" si="20"/>
        <v>127965</v>
      </c>
      <c r="K51">
        <f t="shared" si="20"/>
        <v>132455</v>
      </c>
      <c r="L51">
        <f t="shared" si="20"/>
        <v>136945</v>
      </c>
      <c r="M51">
        <f t="shared" si="20"/>
        <v>141435</v>
      </c>
      <c r="N51">
        <f t="shared" si="20"/>
        <v>145925</v>
      </c>
      <c r="O51">
        <f t="shared" si="20"/>
        <v>150415</v>
      </c>
      <c r="P51">
        <f t="shared" si="20"/>
        <v>154905</v>
      </c>
      <c r="Q51">
        <f>SUM(D51:P51)</f>
        <v>1663545</v>
      </c>
      <c r="R51">
        <f>Q51/13</f>
        <v>127965</v>
      </c>
      <c r="T51">
        <f>(D51+P51)/2</f>
        <v>127965</v>
      </c>
      <c r="V51">
        <f>R51-T51</f>
        <v>0</v>
      </c>
    </row>
    <row r="52" spans="1:22" ht="12.75" customHeight="1">
      <c r="A52">
        <f t="shared" si="1"/>
        <v>39</v>
      </c>
    </row>
    <row r="53" spans="1:22" ht="12.75" customHeight="1">
      <c r="A53">
        <f t="shared" si="1"/>
        <v>40</v>
      </c>
      <c r="B53" t="s">
        <v>174</v>
      </c>
      <c r="D53">
        <f t="shared" ref="D53:P53" si="21">D45-D51</f>
        <v>114495</v>
      </c>
      <c r="E53">
        <f t="shared" si="21"/>
        <v>110005</v>
      </c>
      <c r="F53">
        <f t="shared" si="21"/>
        <v>105515</v>
      </c>
      <c r="G53">
        <f t="shared" si="21"/>
        <v>101025</v>
      </c>
      <c r="H53">
        <f t="shared" si="21"/>
        <v>96535</v>
      </c>
      <c r="I53">
        <f t="shared" si="21"/>
        <v>92045</v>
      </c>
      <c r="J53">
        <f t="shared" si="21"/>
        <v>87555</v>
      </c>
      <c r="K53">
        <f t="shared" si="21"/>
        <v>83065</v>
      </c>
      <c r="L53">
        <f t="shared" si="21"/>
        <v>78575</v>
      </c>
      <c r="M53">
        <f t="shared" si="21"/>
        <v>74085</v>
      </c>
      <c r="N53">
        <f t="shared" si="21"/>
        <v>69595</v>
      </c>
      <c r="O53">
        <f t="shared" si="21"/>
        <v>65105</v>
      </c>
      <c r="P53">
        <f t="shared" si="21"/>
        <v>60615</v>
      </c>
      <c r="Q53">
        <f>SUM(D53:P53)</f>
        <v>1138215</v>
      </c>
      <c r="R53">
        <f>Q53/13</f>
        <v>87555</v>
      </c>
      <c r="T53">
        <f>(D53+P53)/2</f>
        <v>87555</v>
      </c>
      <c r="V53">
        <f>R53-T53</f>
        <v>0</v>
      </c>
    </row>
    <row r="54" spans="1:22" ht="12.75" customHeight="1">
      <c r="A54">
        <f t="shared" si="1"/>
        <v>41</v>
      </c>
    </row>
    <row r="55" spans="1:22" ht="12.75" customHeight="1">
      <c r="A55">
        <f t="shared" si="1"/>
        <v>42</v>
      </c>
    </row>
    <row r="56" spans="1:22" ht="12.75" customHeight="1">
      <c r="A56">
        <f t="shared" si="1"/>
        <v>43</v>
      </c>
    </row>
    <row r="57" spans="1:22" ht="12.75" customHeight="1">
      <c r="A57">
        <f t="shared" si="1"/>
        <v>44</v>
      </c>
      <c r="B57" t="s">
        <v>177</v>
      </c>
      <c r="D57">
        <f>D14+D28+D42</f>
        <v>0</v>
      </c>
      <c r="E57">
        <f>E14+E28+E42</f>
        <v>215520</v>
      </c>
      <c r="F57">
        <f t="shared" ref="F57:P60" si="22">F14+F28+F42</f>
        <v>215520</v>
      </c>
      <c r="G57">
        <f t="shared" si="22"/>
        <v>215520</v>
      </c>
      <c r="H57">
        <f t="shared" si="22"/>
        <v>215520</v>
      </c>
      <c r="I57">
        <f t="shared" si="22"/>
        <v>215520</v>
      </c>
      <c r="J57">
        <f t="shared" si="22"/>
        <v>215520</v>
      </c>
      <c r="K57">
        <f t="shared" si="22"/>
        <v>215520</v>
      </c>
      <c r="L57">
        <f t="shared" si="22"/>
        <v>215520</v>
      </c>
      <c r="M57">
        <f t="shared" si="22"/>
        <v>215520</v>
      </c>
      <c r="N57">
        <f t="shared" si="22"/>
        <v>215520</v>
      </c>
      <c r="O57">
        <f t="shared" si="22"/>
        <v>215520</v>
      </c>
      <c r="P57">
        <f t="shared" si="22"/>
        <v>215520</v>
      </c>
      <c r="Q57">
        <f>SUM(D57:P57)</f>
        <v>2586240</v>
      </c>
      <c r="R57">
        <f>Q57/13</f>
        <v>198941.53846153847</v>
      </c>
      <c r="T57">
        <f>(D57+P57)/2</f>
        <v>107760</v>
      </c>
      <c r="V57">
        <f>R57-T57</f>
        <v>91181.538461538468</v>
      </c>
    </row>
    <row r="58" spans="1:22" ht="12.75" customHeight="1">
      <c r="A58">
        <f t="shared" si="1"/>
        <v>45</v>
      </c>
      <c r="B58" t="s">
        <v>178</v>
      </c>
      <c r="E58">
        <f>E15+E29+E43</f>
        <v>0</v>
      </c>
      <c r="F58">
        <f t="shared" si="22"/>
        <v>0</v>
      </c>
      <c r="G58">
        <f t="shared" si="22"/>
        <v>0</v>
      </c>
      <c r="H58">
        <f t="shared" si="22"/>
        <v>0</v>
      </c>
      <c r="I58">
        <f t="shared" si="22"/>
        <v>0</v>
      </c>
      <c r="J58">
        <f t="shared" si="22"/>
        <v>0</v>
      </c>
      <c r="K58">
        <f t="shared" si="22"/>
        <v>0</v>
      </c>
      <c r="L58">
        <f t="shared" si="22"/>
        <v>0</v>
      </c>
      <c r="M58">
        <f t="shared" si="22"/>
        <v>0</v>
      </c>
      <c r="N58">
        <f t="shared" si="22"/>
        <v>0</v>
      </c>
      <c r="O58">
        <f t="shared" si="22"/>
        <v>0</v>
      </c>
      <c r="P58">
        <f t="shared" si="22"/>
        <v>0</v>
      </c>
      <c r="Q58">
        <f>SUM(D58:P58)</f>
        <v>0</v>
      </c>
      <c r="R58">
        <f>Q58/13</f>
        <v>0</v>
      </c>
      <c r="T58">
        <f>(D58+P58)/2</f>
        <v>0</v>
      </c>
      <c r="V58">
        <f>R58-T58</f>
        <v>0</v>
      </c>
    </row>
    <row r="59" spans="1:22" ht="12.75" customHeight="1">
      <c r="A59">
        <v>46</v>
      </c>
      <c r="B59" t="s">
        <v>169</v>
      </c>
      <c r="E59">
        <f>E16+E30+E44</f>
        <v>0</v>
      </c>
      <c r="F59">
        <f t="shared" si="22"/>
        <v>0</v>
      </c>
      <c r="G59">
        <f t="shared" si="22"/>
        <v>0</v>
      </c>
      <c r="H59">
        <f t="shared" si="22"/>
        <v>0</v>
      </c>
      <c r="I59">
        <f t="shared" si="22"/>
        <v>0</v>
      </c>
      <c r="J59">
        <f t="shared" si="22"/>
        <v>0</v>
      </c>
      <c r="K59">
        <f t="shared" si="22"/>
        <v>0</v>
      </c>
      <c r="L59">
        <f t="shared" si="22"/>
        <v>0</v>
      </c>
      <c r="M59">
        <f t="shared" si="22"/>
        <v>0</v>
      </c>
      <c r="N59">
        <f t="shared" si="22"/>
        <v>0</v>
      </c>
      <c r="O59">
        <f t="shared" si="22"/>
        <v>0</v>
      </c>
      <c r="P59">
        <f t="shared" si="22"/>
        <v>0</v>
      </c>
      <c r="Q59">
        <f>SUM(D59:P59)</f>
        <v>0</v>
      </c>
      <c r="R59">
        <f>Q59/13</f>
        <v>0</v>
      </c>
      <c r="T59">
        <f>(D59+P59)/2</f>
        <v>0</v>
      </c>
      <c r="V59">
        <f>R59-T59</f>
        <v>0</v>
      </c>
    </row>
    <row r="60" spans="1:22" ht="15" customHeight="1">
      <c r="A60">
        <f t="shared" si="1"/>
        <v>47</v>
      </c>
      <c r="B60" t="s">
        <v>170</v>
      </c>
      <c r="D60">
        <f>D17+D31+D45</f>
        <v>215520</v>
      </c>
      <c r="E60">
        <f>E17+E31+E45</f>
        <v>215520</v>
      </c>
      <c r="F60">
        <f t="shared" si="22"/>
        <v>215520</v>
      </c>
      <c r="G60">
        <f t="shared" si="22"/>
        <v>215520</v>
      </c>
      <c r="H60">
        <f t="shared" si="22"/>
        <v>215520</v>
      </c>
      <c r="I60">
        <f t="shared" si="22"/>
        <v>215520</v>
      </c>
      <c r="J60">
        <f t="shared" si="22"/>
        <v>215520</v>
      </c>
      <c r="K60">
        <f t="shared" si="22"/>
        <v>215520</v>
      </c>
      <c r="L60">
        <f t="shared" si="22"/>
        <v>215520</v>
      </c>
      <c r="M60">
        <f t="shared" si="22"/>
        <v>215520</v>
      </c>
      <c r="N60">
        <f t="shared" si="22"/>
        <v>215520</v>
      </c>
      <c r="O60">
        <f t="shared" si="22"/>
        <v>215520</v>
      </c>
      <c r="P60">
        <f t="shared" si="22"/>
        <v>215520</v>
      </c>
      <c r="Q60">
        <f>SUM(D60:P60)</f>
        <v>2801760</v>
      </c>
      <c r="R60">
        <f>Q60/13</f>
        <v>215520</v>
      </c>
      <c r="T60">
        <f>(D60+P60)/2</f>
        <v>215520</v>
      </c>
      <c r="V60">
        <f>R60-T60</f>
        <v>0</v>
      </c>
    </row>
    <row r="61" spans="1:22" ht="12.75" customHeight="1">
      <c r="A61">
        <f t="shared" si="1"/>
        <v>48</v>
      </c>
    </row>
    <row r="62" spans="1:22" ht="15.75" customHeight="1">
      <c r="A62">
        <f t="shared" si="1"/>
        <v>49</v>
      </c>
    </row>
    <row r="63" spans="1:22" ht="12.75" customHeight="1">
      <c r="A63">
        <f t="shared" si="1"/>
        <v>50</v>
      </c>
    </row>
    <row r="64" spans="1:22" ht="12.75" customHeight="1">
      <c r="A64">
        <f t="shared" si="1"/>
        <v>51</v>
      </c>
      <c r="B64" t="s">
        <v>171</v>
      </c>
      <c r="D64">
        <f>D19+D33+D47</f>
        <v>0</v>
      </c>
      <c r="E64">
        <f>E19+E33+E47</f>
        <v>101025</v>
      </c>
      <c r="F64">
        <f t="shared" ref="F64:P68" si="23">F19+F33+F47</f>
        <v>105515</v>
      </c>
      <c r="G64">
        <f t="shared" si="23"/>
        <v>110005</v>
      </c>
      <c r="H64">
        <f t="shared" si="23"/>
        <v>114495</v>
      </c>
      <c r="I64">
        <f t="shared" si="23"/>
        <v>118985</v>
      </c>
      <c r="J64">
        <f t="shared" si="23"/>
        <v>123475</v>
      </c>
      <c r="K64">
        <f t="shared" si="23"/>
        <v>127965</v>
      </c>
      <c r="L64">
        <f t="shared" si="23"/>
        <v>132455</v>
      </c>
      <c r="M64">
        <f t="shared" si="23"/>
        <v>136945</v>
      </c>
      <c r="N64">
        <f t="shared" si="23"/>
        <v>141435</v>
      </c>
      <c r="O64">
        <f t="shared" si="23"/>
        <v>145925</v>
      </c>
      <c r="P64">
        <f t="shared" si="23"/>
        <v>150415</v>
      </c>
      <c r="Q64">
        <f>SUM(D64:P64)</f>
        <v>1508640</v>
      </c>
      <c r="R64">
        <f>Q64/13</f>
        <v>116049.23076923077</v>
      </c>
      <c r="T64">
        <f>(D64+P64)/2</f>
        <v>75207.5</v>
      </c>
      <c r="V64">
        <f>R64-T64</f>
        <v>40841.730769230766</v>
      </c>
    </row>
    <row r="65" spans="1:22" ht="12.75" customHeight="1">
      <c r="A65">
        <f t="shared" si="1"/>
        <v>52</v>
      </c>
      <c r="B65" t="s">
        <v>172</v>
      </c>
      <c r="E65">
        <f>E20+E34+E48</f>
        <v>0</v>
      </c>
      <c r="F65">
        <f t="shared" si="23"/>
        <v>0</v>
      </c>
      <c r="G65">
        <f t="shared" si="23"/>
        <v>0</v>
      </c>
      <c r="H65">
        <f t="shared" si="23"/>
        <v>0</v>
      </c>
      <c r="I65">
        <f t="shared" si="23"/>
        <v>0</v>
      </c>
      <c r="J65">
        <f t="shared" si="23"/>
        <v>0</v>
      </c>
      <c r="K65">
        <f t="shared" si="23"/>
        <v>0</v>
      </c>
      <c r="L65">
        <f t="shared" si="23"/>
        <v>0</v>
      </c>
      <c r="M65">
        <f t="shared" si="23"/>
        <v>0</v>
      </c>
      <c r="N65">
        <f t="shared" si="23"/>
        <v>0</v>
      </c>
      <c r="O65">
        <f t="shared" si="23"/>
        <v>0</v>
      </c>
      <c r="P65">
        <f t="shared" si="23"/>
        <v>0</v>
      </c>
      <c r="Q65">
        <f>SUM(D65:P65)</f>
        <v>0</v>
      </c>
      <c r="R65">
        <f>Q65/13</f>
        <v>0</v>
      </c>
      <c r="T65">
        <f>(D65+P65)/2</f>
        <v>0</v>
      </c>
      <c r="V65">
        <f>R65-T65</f>
        <v>0</v>
      </c>
    </row>
    <row r="66" spans="1:22" ht="12.75" customHeight="1">
      <c r="A66">
        <f t="shared" si="1"/>
        <v>53</v>
      </c>
      <c r="B66" t="s">
        <v>169</v>
      </c>
      <c r="E66">
        <f>E21+E35+E49</f>
        <v>0</v>
      </c>
      <c r="F66">
        <f t="shared" si="23"/>
        <v>0</v>
      </c>
      <c r="G66">
        <f t="shared" si="23"/>
        <v>0</v>
      </c>
      <c r="H66">
        <f t="shared" si="23"/>
        <v>0</v>
      </c>
      <c r="I66">
        <f t="shared" si="23"/>
        <v>0</v>
      </c>
      <c r="J66">
        <f t="shared" si="23"/>
        <v>0</v>
      </c>
      <c r="K66">
        <f t="shared" si="23"/>
        <v>0</v>
      </c>
      <c r="L66">
        <f t="shared" si="23"/>
        <v>0</v>
      </c>
      <c r="M66">
        <f t="shared" si="23"/>
        <v>0</v>
      </c>
      <c r="N66">
        <f t="shared" si="23"/>
        <v>0</v>
      </c>
      <c r="O66">
        <f t="shared" si="23"/>
        <v>0</v>
      </c>
      <c r="P66">
        <f t="shared" si="23"/>
        <v>0</v>
      </c>
      <c r="Q66">
        <f>SUM(D66:P66)</f>
        <v>0</v>
      </c>
      <c r="R66">
        <f>Q66/13</f>
        <v>0</v>
      </c>
      <c r="T66">
        <f>(D66+P66)/2</f>
        <v>0</v>
      </c>
      <c r="V66">
        <f>R66-T66</f>
        <v>0</v>
      </c>
    </row>
    <row r="67" spans="1:22" ht="12.75" customHeight="1">
      <c r="A67">
        <f t="shared" si="1"/>
        <v>54</v>
      </c>
      <c r="B67" t="s">
        <v>173</v>
      </c>
      <c r="E67">
        <f>E22+E36+E50</f>
        <v>4490</v>
      </c>
      <c r="F67">
        <f t="shared" si="23"/>
        <v>4490</v>
      </c>
      <c r="G67">
        <f t="shared" si="23"/>
        <v>4490</v>
      </c>
      <c r="H67">
        <f t="shared" si="23"/>
        <v>4490</v>
      </c>
      <c r="I67">
        <f t="shared" si="23"/>
        <v>4490</v>
      </c>
      <c r="J67">
        <f t="shared" si="23"/>
        <v>4490</v>
      </c>
      <c r="K67">
        <f t="shared" si="23"/>
        <v>4490</v>
      </c>
      <c r="L67">
        <f t="shared" si="23"/>
        <v>4490</v>
      </c>
      <c r="M67">
        <f t="shared" si="23"/>
        <v>4490</v>
      </c>
      <c r="N67">
        <f t="shared" si="23"/>
        <v>4490</v>
      </c>
      <c r="O67">
        <f t="shared" si="23"/>
        <v>4490</v>
      </c>
      <c r="P67">
        <f t="shared" si="23"/>
        <v>4490</v>
      </c>
      <c r="Q67">
        <f>SUM(D67:P67)</f>
        <v>53880</v>
      </c>
      <c r="R67">
        <f>Q67/13</f>
        <v>4144.6153846153848</v>
      </c>
      <c r="T67">
        <f>(D67+P67)/2</f>
        <v>2245</v>
      </c>
      <c r="V67">
        <f>R67-T67</f>
        <v>1899.6153846153848</v>
      </c>
    </row>
    <row r="68" spans="1:22" ht="15.75" customHeight="1">
      <c r="A68">
        <f t="shared" si="1"/>
        <v>55</v>
      </c>
      <c r="B68" t="s">
        <v>170</v>
      </c>
      <c r="D68">
        <f>D23+D37+D51</f>
        <v>101025</v>
      </c>
      <c r="E68">
        <f>E23+E37+E51</f>
        <v>105515</v>
      </c>
      <c r="F68">
        <f t="shared" si="23"/>
        <v>110005</v>
      </c>
      <c r="G68">
        <f t="shared" si="23"/>
        <v>114495</v>
      </c>
      <c r="H68">
        <f t="shared" si="23"/>
        <v>118985</v>
      </c>
      <c r="I68">
        <f t="shared" si="23"/>
        <v>123475</v>
      </c>
      <c r="J68">
        <f t="shared" si="23"/>
        <v>127965</v>
      </c>
      <c r="K68">
        <f t="shared" si="23"/>
        <v>132455</v>
      </c>
      <c r="L68">
        <f t="shared" si="23"/>
        <v>136945</v>
      </c>
      <c r="M68">
        <f t="shared" si="23"/>
        <v>141435</v>
      </c>
      <c r="N68">
        <f t="shared" si="23"/>
        <v>145925</v>
      </c>
      <c r="O68">
        <f t="shared" si="23"/>
        <v>150415</v>
      </c>
      <c r="P68">
        <f t="shared" si="23"/>
        <v>154905</v>
      </c>
      <c r="Q68">
        <f>SUM(D68:P68)</f>
        <v>1663545</v>
      </c>
      <c r="R68">
        <f>Q68/13</f>
        <v>127965</v>
      </c>
      <c r="T68">
        <f>(D68+P68)/2</f>
        <v>127965</v>
      </c>
      <c r="V68">
        <f>R68-T68</f>
        <v>0</v>
      </c>
    </row>
    <row r="69" spans="1:22" ht="12.75" customHeight="1">
      <c r="A69">
        <f t="shared" si="1"/>
        <v>56</v>
      </c>
    </row>
    <row r="70" spans="1:22" ht="12.75" customHeight="1">
      <c r="A70">
        <f t="shared" si="1"/>
        <v>57</v>
      </c>
      <c r="B70" t="s">
        <v>174</v>
      </c>
      <c r="D70">
        <f t="shared" ref="D70:P70" si="24">D60-D68</f>
        <v>114495</v>
      </c>
      <c r="E70">
        <f>E60-E68</f>
        <v>110005</v>
      </c>
      <c r="F70">
        <f t="shared" si="24"/>
        <v>105515</v>
      </c>
      <c r="G70">
        <f t="shared" si="24"/>
        <v>101025</v>
      </c>
      <c r="H70">
        <f t="shared" si="24"/>
        <v>96535</v>
      </c>
      <c r="I70">
        <f t="shared" si="24"/>
        <v>92045</v>
      </c>
      <c r="J70">
        <f t="shared" si="24"/>
        <v>87555</v>
      </c>
      <c r="K70">
        <f t="shared" si="24"/>
        <v>83065</v>
      </c>
      <c r="L70">
        <f t="shared" si="24"/>
        <v>78575</v>
      </c>
      <c r="M70">
        <f t="shared" si="24"/>
        <v>74085</v>
      </c>
      <c r="N70">
        <f t="shared" si="24"/>
        <v>69595</v>
      </c>
      <c r="O70">
        <f t="shared" si="24"/>
        <v>65105</v>
      </c>
      <c r="P70">
        <f t="shared" si="24"/>
        <v>60615</v>
      </c>
      <c r="Q70">
        <f>SUM(D70:P70)</f>
        <v>1138215</v>
      </c>
      <c r="R70">
        <f>Q70/13</f>
        <v>87555</v>
      </c>
      <c r="T70">
        <f>(D70+P70)/2</f>
        <v>87555</v>
      </c>
      <c r="V70">
        <f>R70-T70</f>
        <v>0</v>
      </c>
    </row>
    <row r="73" spans="1:22" ht="12.75" customHeight="1">
      <c r="P73">
        <f>P17-P23+P31-P37+P45-P51</f>
        <v>60615</v>
      </c>
    </row>
    <row r="75" spans="1:22" ht="12.75" customHeight="1">
      <c r="B75" t="s">
        <v>101</v>
      </c>
      <c r="E75">
        <f t="shared" ref="E75:P75" si="25">D78</f>
        <v>562100</v>
      </c>
      <c r="F75">
        <f t="shared" si="25"/>
        <v>562100</v>
      </c>
      <c r="G75">
        <f t="shared" si="25"/>
        <v>562100</v>
      </c>
      <c r="H75">
        <f t="shared" si="25"/>
        <v>562100</v>
      </c>
      <c r="I75">
        <f t="shared" si="25"/>
        <v>562100</v>
      </c>
      <c r="J75">
        <f t="shared" si="25"/>
        <v>562100</v>
      </c>
      <c r="K75">
        <f t="shared" si="25"/>
        <v>562100</v>
      </c>
      <c r="L75">
        <f t="shared" si="25"/>
        <v>562100</v>
      </c>
      <c r="M75">
        <f t="shared" si="25"/>
        <v>562100</v>
      </c>
      <c r="N75">
        <f t="shared" si="25"/>
        <v>562100</v>
      </c>
      <c r="O75">
        <f t="shared" si="25"/>
        <v>562100</v>
      </c>
      <c r="P75">
        <f t="shared" si="25"/>
        <v>562100</v>
      </c>
      <c r="Q75">
        <f>SUM(D75:P75)</f>
        <v>6745200</v>
      </c>
      <c r="R75">
        <f>Q75/13</f>
        <v>518861.53846153844</v>
      </c>
      <c r="T75">
        <f>(D75+P75)/2</f>
        <v>281050</v>
      </c>
      <c r="V75">
        <f>R75-T75</f>
        <v>237811.53846153844</v>
      </c>
    </row>
    <row r="76" spans="1:22" ht="12.75" customHeight="1">
      <c r="B76" t="s">
        <v>168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f>'GI-34 doc 3 page 1 de 2'!F37</f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f>SUM(D76:P76)</f>
        <v>0</v>
      </c>
      <c r="R76">
        <f>Q76/13</f>
        <v>0</v>
      </c>
      <c r="T76">
        <f>(D76+P76)/2</f>
        <v>0</v>
      </c>
      <c r="V76">
        <f>R76-T76</f>
        <v>0</v>
      </c>
    </row>
    <row r="77" spans="1:22" ht="12.75" customHeight="1">
      <c r="B77" t="s">
        <v>169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f>SUM(D77:P77)</f>
        <v>0</v>
      </c>
      <c r="R77">
        <f>Q77/13</f>
        <v>0</v>
      </c>
      <c r="T77">
        <f>(D77+P77)/2</f>
        <v>0</v>
      </c>
      <c r="V77">
        <f>R77-T77</f>
        <v>0</v>
      </c>
    </row>
    <row r="78" spans="1:22" ht="12.75" customHeight="1">
      <c r="B78" t="s">
        <v>170</v>
      </c>
      <c r="D78">
        <f>'Depreciation 2018'!P78</f>
        <v>562100</v>
      </c>
      <c r="E78">
        <f t="shared" ref="E78:P78" si="26">SUM(E75:E77)</f>
        <v>562100</v>
      </c>
      <c r="F78">
        <f t="shared" si="26"/>
        <v>562100</v>
      </c>
      <c r="G78">
        <f t="shared" si="26"/>
        <v>562100</v>
      </c>
      <c r="H78">
        <f t="shared" si="26"/>
        <v>562100</v>
      </c>
      <c r="I78">
        <f t="shared" si="26"/>
        <v>562100</v>
      </c>
      <c r="J78">
        <f t="shared" si="26"/>
        <v>562100</v>
      </c>
      <c r="K78">
        <f t="shared" si="26"/>
        <v>562100</v>
      </c>
      <c r="L78">
        <f t="shared" si="26"/>
        <v>562100</v>
      </c>
      <c r="M78">
        <f t="shared" si="26"/>
        <v>562100</v>
      </c>
      <c r="N78">
        <f t="shared" si="26"/>
        <v>562100</v>
      </c>
      <c r="O78">
        <f t="shared" si="26"/>
        <v>562100</v>
      </c>
      <c r="P78">
        <f t="shared" si="26"/>
        <v>562100</v>
      </c>
      <c r="Q78">
        <f>SUM(D78:P78)</f>
        <v>7307300</v>
      </c>
      <c r="R78">
        <f>Q78/13</f>
        <v>562100</v>
      </c>
      <c r="T78">
        <f>(D78+P78)/2</f>
        <v>562100</v>
      </c>
      <c r="V78">
        <f>R78-T78</f>
        <v>0</v>
      </c>
    </row>
    <row r="80" spans="1:22" ht="12.75" customHeight="1">
      <c r="B80" t="s">
        <v>179</v>
      </c>
      <c r="E80">
        <f t="shared" ref="E80:P80" si="27">D84</f>
        <v>507745.55555555545</v>
      </c>
      <c r="F80">
        <f t="shared" si="27"/>
        <v>523359.44444444432</v>
      </c>
      <c r="G80">
        <f t="shared" si="27"/>
        <v>538973.33333333326</v>
      </c>
      <c r="H80">
        <f t="shared" si="27"/>
        <v>554587.22222222213</v>
      </c>
      <c r="I80">
        <f t="shared" si="27"/>
        <v>562100</v>
      </c>
      <c r="J80">
        <f t="shared" si="27"/>
        <v>562100</v>
      </c>
      <c r="K80">
        <f t="shared" si="27"/>
        <v>562100</v>
      </c>
      <c r="L80">
        <f t="shared" si="27"/>
        <v>562100</v>
      </c>
      <c r="M80">
        <f t="shared" si="27"/>
        <v>562100</v>
      </c>
      <c r="N80">
        <f t="shared" si="27"/>
        <v>562100</v>
      </c>
      <c r="O80">
        <f t="shared" si="27"/>
        <v>562100</v>
      </c>
      <c r="P80">
        <f t="shared" si="27"/>
        <v>562100</v>
      </c>
      <c r="Q80">
        <f>SUM(D80:P80)</f>
        <v>6621465.555555555</v>
      </c>
      <c r="R80">
        <f>Q80/13</f>
        <v>509343.50427350425</v>
      </c>
      <c r="T80">
        <f>(D80+P80)/2</f>
        <v>281050</v>
      </c>
      <c r="V80">
        <f>R80-T80</f>
        <v>228293.50427350425</v>
      </c>
    </row>
    <row r="81" spans="2:22" ht="12.75" customHeight="1">
      <c r="B81" t="s">
        <v>172</v>
      </c>
      <c r="Q81">
        <f>SUM(D81:P81)</f>
        <v>0</v>
      </c>
      <c r="R81">
        <f>Q81/13</f>
        <v>0</v>
      </c>
      <c r="T81">
        <f>(D81+P81)/2</f>
        <v>0</v>
      </c>
      <c r="V81">
        <f>R81-T81</f>
        <v>0</v>
      </c>
    </row>
    <row r="82" spans="2:22" ht="12.75" customHeight="1">
      <c r="B82" t="s">
        <v>169</v>
      </c>
      <c r="E82">
        <f t="shared" ref="E82:P82" si="28">E77</f>
        <v>0</v>
      </c>
      <c r="F82">
        <f t="shared" si="28"/>
        <v>0</v>
      </c>
      <c r="G82">
        <f t="shared" si="28"/>
        <v>0</v>
      </c>
      <c r="H82">
        <f t="shared" si="28"/>
        <v>0</v>
      </c>
      <c r="I82">
        <f t="shared" si="28"/>
        <v>0</v>
      </c>
      <c r="J82">
        <f t="shared" si="28"/>
        <v>0</v>
      </c>
      <c r="K82">
        <f t="shared" si="28"/>
        <v>0</v>
      </c>
      <c r="L82">
        <f t="shared" si="28"/>
        <v>0</v>
      </c>
      <c r="M82">
        <f t="shared" si="28"/>
        <v>0</v>
      </c>
      <c r="N82">
        <f t="shared" si="28"/>
        <v>0</v>
      </c>
      <c r="O82">
        <f t="shared" si="28"/>
        <v>0</v>
      </c>
      <c r="P82">
        <f t="shared" si="28"/>
        <v>0</v>
      </c>
      <c r="Q82">
        <f>SUM(D81:P82)</f>
        <v>0</v>
      </c>
      <c r="R82">
        <f>Q82/13</f>
        <v>0</v>
      </c>
      <c r="T82">
        <f>(D82+P82)/2</f>
        <v>0</v>
      </c>
      <c r="V82">
        <f>R82-T82</f>
        <v>0</v>
      </c>
    </row>
    <row r="83" spans="2:22" ht="12.75" customHeight="1">
      <c r="B83" t="s">
        <v>173</v>
      </c>
      <c r="C83">
        <f>100/3</f>
        <v>33.333333333333336</v>
      </c>
      <c r="E83">
        <f t="shared" ref="E83:P83" si="29">IF(E78-E80-(E78*$C83/100/12)&lt;0,E78-E80,E78*$C83/100/12)</f>
        <v>15613.888888888891</v>
      </c>
      <c r="F83">
        <f t="shared" si="29"/>
        <v>15613.888888888891</v>
      </c>
      <c r="G83">
        <f t="shared" si="29"/>
        <v>15613.888888888891</v>
      </c>
      <c r="H83">
        <f t="shared" si="29"/>
        <v>7512.7777777778683</v>
      </c>
      <c r="I83">
        <f t="shared" si="29"/>
        <v>0</v>
      </c>
      <c r="J83">
        <f t="shared" si="29"/>
        <v>0</v>
      </c>
      <c r="K83">
        <f t="shared" si="29"/>
        <v>0</v>
      </c>
      <c r="L83">
        <f t="shared" si="29"/>
        <v>0</v>
      </c>
      <c r="M83">
        <f t="shared" si="29"/>
        <v>0</v>
      </c>
      <c r="N83">
        <f t="shared" si="29"/>
        <v>0</v>
      </c>
      <c r="O83">
        <f t="shared" si="29"/>
        <v>0</v>
      </c>
      <c r="P83">
        <f t="shared" si="29"/>
        <v>0</v>
      </c>
      <c r="Q83">
        <f>SUM(D83:P83)</f>
        <v>54354.44444444454</v>
      </c>
      <c r="R83">
        <f>Q83/13</f>
        <v>4181.1111111111186</v>
      </c>
      <c r="T83">
        <f>(D83+P83)/2</f>
        <v>0</v>
      </c>
      <c r="V83">
        <f>R83-T83</f>
        <v>4181.1111111111186</v>
      </c>
    </row>
    <row r="84" spans="2:22" ht="12.75" customHeight="1">
      <c r="B84" t="s">
        <v>170</v>
      </c>
      <c r="D84">
        <f>'Depreciation 2018'!P84</f>
        <v>507745.55555555545</v>
      </c>
      <c r="E84">
        <f t="shared" ref="E84:P84" si="30">SUM(E80:E83)</f>
        <v>523359.44444444432</v>
      </c>
      <c r="F84">
        <f t="shared" si="30"/>
        <v>538973.33333333326</v>
      </c>
      <c r="G84">
        <f t="shared" si="30"/>
        <v>554587.22222222213</v>
      </c>
      <c r="H84">
        <f t="shared" si="30"/>
        <v>562100</v>
      </c>
      <c r="I84">
        <f t="shared" si="30"/>
        <v>562100</v>
      </c>
      <c r="J84">
        <f t="shared" si="30"/>
        <v>562100</v>
      </c>
      <c r="K84">
        <f t="shared" si="30"/>
        <v>562100</v>
      </c>
      <c r="L84">
        <f t="shared" si="30"/>
        <v>562100</v>
      </c>
      <c r="M84">
        <f t="shared" si="30"/>
        <v>562100</v>
      </c>
      <c r="N84">
        <f t="shared" si="30"/>
        <v>562100</v>
      </c>
      <c r="O84">
        <f t="shared" si="30"/>
        <v>562100</v>
      </c>
      <c r="P84">
        <f t="shared" si="30"/>
        <v>562100</v>
      </c>
      <c r="Q84">
        <f>SUM(D84:P84)</f>
        <v>7183565.555555555</v>
      </c>
      <c r="R84">
        <f>Q84/13</f>
        <v>552581.96581196575</v>
      </c>
      <c r="T84">
        <f>(D84+P84)/2</f>
        <v>534922.77777777775</v>
      </c>
      <c r="V84">
        <f>R84-T84</f>
        <v>17659.188034188002</v>
      </c>
    </row>
    <row r="86" spans="2:22" ht="12.75" customHeight="1">
      <c r="B86" t="s">
        <v>174</v>
      </c>
      <c r="D86">
        <f t="shared" ref="D86:P86" si="31">D78-D84</f>
        <v>54354.444444444554</v>
      </c>
      <c r="E86">
        <f t="shared" si="31"/>
        <v>38740.555555555678</v>
      </c>
      <c r="F86">
        <f t="shared" si="31"/>
        <v>23126.666666666744</v>
      </c>
      <c r="G86">
        <f t="shared" si="31"/>
        <v>7512.7777777778683</v>
      </c>
      <c r="H86">
        <f t="shared" si="31"/>
        <v>0</v>
      </c>
      <c r="I86">
        <f t="shared" si="31"/>
        <v>0</v>
      </c>
      <c r="J86">
        <f t="shared" si="31"/>
        <v>0</v>
      </c>
      <c r="K86">
        <f t="shared" si="31"/>
        <v>0</v>
      </c>
      <c r="L86">
        <f t="shared" si="31"/>
        <v>0</v>
      </c>
      <c r="M86">
        <f t="shared" si="31"/>
        <v>0</v>
      </c>
      <c r="N86">
        <f t="shared" si="31"/>
        <v>0</v>
      </c>
      <c r="O86">
        <f t="shared" si="31"/>
        <v>0</v>
      </c>
      <c r="P86">
        <f t="shared" si="31"/>
        <v>0</v>
      </c>
      <c r="Q86">
        <f>SUM(D86:P86)</f>
        <v>123734.44444444485</v>
      </c>
      <c r="R86">
        <f>Q86/13</f>
        <v>9518.0341880342185</v>
      </c>
      <c r="T86">
        <f>(D86+P86)/2</f>
        <v>27177.222222222277</v>
      </c>
      <c r="V86">
        <f>R86-T86</f>
        <v>-17659.188034188061</v>
      </c>
    </row>
    <row r="90" spans="2:22" ht="12.75" customHeight="1">
      <c r="B90" t="s">
        <v>180</v>
      </c>
      <c r="D90">
        <f>D75+D57</f>
        <v>0</v>
      </c>
      <c r="E90">
        <f t="shared" ref="D90:P93" si="32">E57+E75</f>
        <v>777620</v>
      </c>
      <c r="F90">
        <f t="shared" si="32"/>
        <v>777620</v>
      </c>
      <c r="G90">
        <f t="shared" si="32"/>
        <v>777620</v>
      </c>
      <c r="H90">
        <f t="shared" si="32"/>
        <v>777620</v>
      </c>
      <c r="I90">
        <f t="shared" si="32"/>
        <v>777620</v>
      </c>
      <c r="J90">
        <f t="shared" si="32"/>
        <v>777620</v>
      </c>
      <c r="K90">
        <f t="shared" si="32"/>
        <v>777620</v>
      </c>
      <c r="L90">
        <f t="shared" si="32"/>
        <v>777620</v>
      </c>
      <c r="M90">
        <f t="shared" si="32"/>
        <v>777620</v>
      </c>
      <c r="N90">
        <f t="shared" si="32"/>
        <v>777620</v>
      </c>
      <c r="O90">
        <f t="shared" si="32"/>
        <v>777620</v>
      </c>
      <c r="P90">
        <f t="shared" si="32"/>
        <v>777620</v>
      </c>
      <c r="Q90">
        <f>SUM(D90:P90)</f>
        <v>9331440</v>
      </c>
      <c r="R90">
        <f>Q90/13</f>
        <v>717803.07692307688</v>
      </c>
      <c r="T90">
        <f>(D90+P90)/2</f>
        <v>388810</v>
      </c>
      <c r="V90">
        <f>R90-T90</f>
        <v>328993.07692307688</v>
      </c>
    </row>
    <row r="91" spans="2:22" ht="12.75" customHeight="1">
      <c r="B91" t="s">
        <v>178</v>
      </c>
      <c r="D91">
        <f t="shared" si="32"/>
        <v>0</v>
      </c>
      <c r="E91">
        <f t="shared" si="32"/>
        <v>0</v>
      </c>
      <c r="F91">
        <f t="shared" si="32"/>
        <v>0</v>
      </c>
      <c r="G91">
        <f t="shared" si="32"/>
        <v>0</v>
      </c>
      <c r="H91">
        <f t="shared" si="32"/>
        <v>0</v>
      </c>
      <c r="I91">
        <f t="shared" si="32"/>
        <v>0</v>
      </c>
      <c r="J91">
        <f t="shared" si="32"/>
        <v>0</v>
      </c>
      <c r="K91">
        <f t="shared" si="32"/>
        <v>0</v>
      </c>
      <c r="L91">
        <f t="shared" si="32"/>
        <v>0</v>
      </c>
      <c r="M91">
        <f t="shared" si="32"/>
        <v>0</v>
      </c>
      <c r="N91">
        <f t="shared" si="32"/>
        <v>0</v>
      </c>
      <c r="O91">
        <f t="shared" si="32"/>
        <v>0</v>
      </c>
      <c r="P91">
        <f t="shared" si="32"/>
        <v>0</v>
      </c>
      <c r="Q91">
        <f>SUM(D91:P91)</f>
        <v>0</v>
      </c>
      <c r="R91">
        <f>Q91/13</f>
        <v>0</v>
      </c>
      <c r="T91">
        <f>(D91+P91)/2</f>
        <v>0</v>
      </c>
      <c r="V91">
        <f>R91-T91</f>
        <v>0</v>
      </c>
    </row>
    <row r="92" spans="2:22" ht="12.75" customHeight="1">
      <c r="B92" t="s">
        <v>169</v>
      </c>
      <c r="D92">
        <f t="shared" si="32"/>
        <v>0</v>
      </c>
      <c r="E92">
        <f t="shared" si="32"/>
        <v>0</v>
      </c>
      <c r="F92">
        <f t="shared" si="32"/>
        <v>0</v>
      </c>
      <c r="G92">
        <f t="shared" si="32"/>
        <v>0</v>
      </c>
      <c r="H92">
        <f t="shared" si="32"/>
        <v>0</v>
      </c>
      <c r="I92">
        <f t="shared" si="32"/>
        <v>0</v>
      </c>
      <c r="J92">
        <f t="shared" si="32"/>
        <v>0</v>
      </c>
      <c r="K92">
        <f t="shared" si="32"/>
        <v>0</v>
      </c>
      <c r="L92">
        <f t="shared" si="32"/>
        <v>0</v>
      </c>
      <c r="M92">
        <f t="shared" si="32"/>
        <v>0</v>
      </c>
      <c r="N92">
        <f t="shared" si="32"/>
        <v>0</v>
      </c>
      <c r="O92">
        <f t="shared" si="32"/>
        <v>0</v>
      </c>
      <c r="P92">
        <f t="shared" si="32"/>
        <v>0</v>
      </c>
      <c r="Q92">
        <f>SUM(D92:P92)</f>
        <v>0</v>
      </c>
      <c r="R92">
        <f>Q92/13</f>
        <v>0</v>
      </c>
      <c r="T92">
        <f>(D92+P92)/2</f>
        <v>0</v>
      </c>
      <c r="V92">
        <f>R92-T92</f>
        <v>0</v>
      </c>
    </row>
    <row r="93" spans="2:22" ht="12.75" customHeight="1">
      <c r="B93" t="s">
        <v>170</v>
      </c>
      <c r="D93">
        <f t="shared" si="32"/>
        <v>777620</v>
      </c>
      <c r="E93">
        <f t="shared" si="32"/>
        <v>777620</v>
      </c>
      <c r="F93">
        <f t="shared" si="32"/>
        <v>777620</v>
      </c>
      <c r="G93">
        <f t="shared" si="32"/>
        <v>777620</v>
      </c>
      <c r="H93">
        <f t="shared" si="32"/>
        <v>777620</v>
      </c>
      <c r="I93">
        <f t="shared" si="32"/>
        <v>777620</v>
      </c>
      <c r="J93">
        <f t="shared" si="32"/>
        <v>777620</v>
      </c>
      <c r="K93">
        <f t="shared" si="32"/>
        <v>777620</v>
      </c>
      <c r="L93">
        <f t="shared" si="32"/>
        <v>777620</v>
      </c>
      <c r="M93">
        <f t="shared" si="32"/>
        <v>777620</v>
      </c>
      <c r="N93">
        <f t="shared" si="32"/>
        <v>777620</v>
      </c>
      <c r="O93">
        <f t="shared" si="32"/>
        <v>777620</v>
      </c>
      <c r="P93">
        <f t="shared" si="32"/>
        <v>777620</v>
      </c>
      <c r="Q93">
        <f>SUM(D93:P93)</f>
        <v>10109060</v>
      </c>
      <c r="R93">
        <f>Q93/13</f>
        <v>777620</v>
      </c>
      <c r="T93">
        <f>(D93+P93)/2</f>
        <v>777620</v>
      </c>
      <c r="V93">
        <f>R93-T93</f>
        <v>0</v>
      </c>
    </row>
    <row r="95" spans="2:22" ht="16.5" customHeight="1"/>
    <row r="97" spans="2:22" ht="12.75" customHeight="1">
      <c r="B97" t="s">
        <v>171</v>
      </c>
      <c r="D97">
        <f>D64+D80</f>
        <v>0</v>
      </c>
      <c r="E97">
        <f t="shared" ref="D97:P101" si="33">E64+E80</f>
        <v>608770.5555555555</v>
      </c>
      <c r="F97">
        <f t="shared" si="33"/>
        <v>628874.44444444426</v>
      </c>
      <c r="G97">
        <f t="shared" si="33"/>
        <v>648978.33333333326</v>
      </c>
      <c r="H97">
        <f t="shared" si="33"/>
        <v>669082.22222222213</v>
      </c>
      <c r="I97">
        <f t="shared" si="33"/>
        <v>681085</v>
      </c>
      <c r="J97">
        <f t="shared" si="33"/>
        <v>685575</v>
      </c>
      <c r="K97">
        <f t="shared" si="33"/>
        <v>690065</v>
      </c>
      <c r="L97">
        <f t="shared" si="33"/>
        <v>694555</v>
      </c>
      <c r="M97">
        <f t="shared" si="33"/>
        <v>699045</v>
      </c>
      <c r="N97">
        <f t="shared" si="33"/>
        <v>703535</v>
      </c>
      <c r="O97">
        <f t="shared" si="33"/>
        <v>708025</v>
      </c>
      <c r="P97">
        <f t="shared" si="33"/>
        <v>712515</v>
      </c>
      <c r="Q97">
        <f>SUM(D97:P97)</f>
        <v>8130105.555555555</v>
      </c>
      <c r="R97">
        <f>Q97/13</f>
        <v>625392.735042735</v>
      </c>
      <c r="T97">
        <f>(D97+P97)/2</f>
        <v>356257.5</v>
      </c>
      <c r="V97">
        <f>R97-T97</f>
        <v>269135.235042735</v>
      </c>
    </row>
    <row r="98" spans="2:22" ht="12.75" customHeight="1">
      <c r="B98" t="s">
        <v>172</v>
      </c>
      <c r="D98">
        <f t="shared" si="33"/>
        <v>0</v>
      </c>
      <c r="E98">
        <f t="shared" si="33"/>
        <v>0</v>
      </c>
      <c r="F98">
        <f t="shared" si="33"/>
        <v>0</v>
      </c>
      <c r="G98">
        <f t="shared" si="33"/>
        <v>0</v>
      </c>
      <c r="H98">
        <f t="shared" si="33"/>
        <v>0</v>
      </c>
      <c r="I98">
        <f t="shared" si="33"/>
        <v>0</v>
      </c>
      <c r="J98">
        <f t="shared" si="33"/>
        <v>0</v>
      </c>
      <c r="K98">
        <f t="shared" si="33"/>
        <v>0</v>
      </c>
      <c r="L98">
        <f t="shared" si="33"/>
        <v>0</v>
      </c>
      <c r="M98">
        <f t="shared" si="33"/>
        <v>0</v>
      </c>
      <c r="N98">
        <f t="shared" si="33"/>
        <v>0</v>
      </c>
      <c r="O98">
        <f t="shared" si="33"/>
        <v>0</v>
      </c>
      <c r="P98">
        <f t="shared" si="33"/>
        <v>0</v>
      </c>
      <c r="Q98">
        <f>SUM(D98:P98)</f>
        <v>0</v>
      </c>
      <c r="R98">
        <f>Q98/13</f>
        <v>0</v>
      </c>
      <c r="T98">
        <f>(D98+P98)/2</f>
        <v>0</v>
      </c>
      <c r="V98">
        <f>R98-T98</f>
        <v>0</v>
      </c>
    </row>
    <row r="99" spans="2:22" ht="12.75" customHeight="1">
      <c r="B99" t="s">
        <v>169</v>
      </c>
      <c r="D99">
        <f t="shared" si="33"/>
        <v>0</v>
      </c>
      <c r="E99">
        <f t="shared" si="33"/>
        <v>0</v>
      </c>
      <c r="F99">
        <f t="shared" si="33"/>
        <v>0</v>
      </c>
      <c r="G99">
        <f t="shared" si="33"/>
        <v>0</v>
      </c>
      <c r="H99">
        <f t="shared" si="33"/>
        <v>0</v>
      </c>
      <c r="I99">
        <f t="shared" si="33"/>
        <v>0</v>
      </c>
      <c r="J99">
        <f t="shared" si="33"/>
        <v>0</v>
      </c>
      <c r="K99">
        <f t="shared" si="33"/>
        <v>0</v>
      </c>
      <c r="L99">
        <f t="shared" si="33"/>
        <v>0</v>
      </c>
      <c r="M99">
        <f t="shared" si="33"/>
        <v>0</v>
      </c>
      <c r="N99">
        <f t="shared" si="33"/>
        <v>0</v>
      </c>
      <c r="O99">
        <f t="shared" si="33"/>
        <v>0</v>
      </c>
      <c r="P99">
        <f t="shared" si="33"/>
        <v>0</v>
      </c>
      <c r="Q99">
        <f>SUM(D99:P99)</f>
        <v>0</v>
      </c>
      <c r="R99">
        <f>Q99/13</f>
        <v>0</v>
      </c>
      <c r="T99">
        <f>(D99+P99)/2</f>
        <v>0</v>
      </c>
      <c r="V99">
        <f>R99-T99</f>
        <v>0</v>
      </c>
    </row>
    <row r="100" spans="2:22" ht="12.75" customHeight="1">
      <c r="B100" t="s">
        <v>173</v>
      </c>
      <c r="E100">
        <f t="shared" si="33"/>
        <v>20103.888888888891</v>
      </c>
      <c r="F100">
        <f t="shared" si="33"/>
        <v>20103.888888888891</v>
      </c>
      <c r="G100">
        <f t="shared" si="33"/>
        <v>20103.888888888891</v>
      </c>
      <c r="H100">
        <f t="shared" si="33"/>
        <v>12002.777777777868</v>
      </c>
      <c r="I100">
        <f t="shared" si="33"/>
        <v>4490</v>
      </c>
      <c r="J100">
        <f t="shared" si="33"/>
        <v>4490</v>
      </c>
      <c r="K100">
        <f t="shared" si="33"/>
        <v>4490</v>
      </c>
      <c r="L100">
        <f t="shared" si="33"/>
        <v>4490</v>
      </c>
      <c r="M100">
        <f t="shared" si="33"/>
        <v>4490</v>
      </c>
      <c r="N100">
        <f t="shared" si="33"/>
        <v>4490</v>
      </c>
      <c r="O100">
        <f t="shared" si="33"/>
        <v>4490</v>
      </c>
      <c r="P100">
        <f t="shared" si="33"/>
        <v>4490</v>
      </c>
      <c r="Q100">
        <f>SUM(D100:P100)</f>
        <v>108234.44444444454</v>
      </c>
      <c r="R100">
        <f>Q100/13</f>
        <v>8325.7264957265033</v>
      </c>
      <c r="T100">
        <f>(D100+P100)/2</f>
        <v>2245</v>
      </c>
      <c r="V100">
        <f>R100-T100</f>
        <v>6080.7264957265033</v>
      </c>
    </row>
    <row r="101" spans="2:22" ht="12.75" customHeight="1">
      <c r="B101" t="s">
        <v>170</v>
      </c>
      <c r="D101">
        <f>D68+D84</f>
        <v>608770.5555555555</v>
      </c>
      <c r="E101">
        <f t="shared" si="33"/>
        <v>628874.44444444426</v>
      </c>
      <c r="F101">
        <f t="shared" si="33"/>
        <v>648978.33333333326</v>
      </c>
      <c r="G101">
        <f t="shared" si="33"/>
        <v>669082.22222222213</v>
      </c>
      <c r="H101">
        <f t="shared" si="33"/>
        <v>681085</v>
      </c>
      <c r="I101">
        <f t="shared" si="33"/>
        <v>685575</v>
      </c>
      <c r="J101">
        <f t="shared" si="33"/>
        <v>690065</v>
      </c>
      <c r="K101">
        <f t="shared" si="33"/>
        <v>694555</v>
      </c>
      <c r="L101">
        <f t="shared" si="33"/>
        <v>699045</v>
      </c>
      <c r="M101">
        <f t="shared" si="33"/>
        <v>703535</v>
      </c>
      <c r="N101">
        <f t="shared" si="33"/>
        <v>708025</v>
      </c>
      <c r="O101">
        <f t="shared" si="33"/>
        <v>712515</v>
      </c>
      <c r="P101">
        <f t="shared" si="33"/>
        <v>717005</v>
      </c>
      <c r="Q101">
        <f>SUM(D101:P101)</f>
        <v>8847110.555555556</v>
      </c>
      <c r="R101">
        <f>Q101/13</f>
        <v>680546.96581196587</v>
      </c>
      <c r="T101">
        <f>(D101+P101)/2</f>
        <v>662887.77777777775</v>
      </c>
      <c r="V101">
        <f>R101-T101</f>
        <v>17659.188034188119</v>
      </c>
    </row>
    <row r="103" spans="2:22" ht="12.75" customHeight="1">
      <c r="B103" t="s">
        <v>174</v>
      </c>
      <c r="D103">
        <f>D93-D101</f>
        <v>168849.4444444445</v>
      </c>
      <c r="E103">
        <f>E93-E101</f>
        <v>148745.55555555574</v>
      </c>
      <c r="F103">
        <f t="shared" ref="F103:P103" si="34">F93-F101</f>
        <v>128641.66666666674</v>
      </c>
      <c r="G103">
        <f t="shared" si="34"/>
        <v>108537.77777777787</v>
      </c>
      <c r="H103">
        <f t="shared" si="34"/>
        <v>96535</v>
      </c>
      <c r="I103">
        <f t="shared" si="34"/>
        <v>92045</v>
      </c>
      <c r="J103">
        <f t="shared" si="34"/>
        <v>87555</v>
      </c>
      <c r="K103">
        <f t="shared" si="34"/>
        <v>83065</v>
      </c>
      <c r="L103">
        <f t="shared" si="34"/>
        <v>78575</v>
      </c>
      <c r="M103">
        <f t="shared" si="34"/>
        <v>74085</v>
      </c>
      <c r="N103">
        <f t="shared" si="34"/>
        <v>69595</v>
      </c>
      <c r="O103">
        <f t="shared" si="34"/>
        <v>65105</v>
      </c>
      <c r="P103">
        <f t="shared" si="34"/>
        <v>60615</v>
      </c>
      <c r="Q103">
        <f>SUM(D103:P103)</f>
        <v>1261949.444444445</v>
      </c>
      <c r="R103">
        <f>Q103/13</f>
        <v>97073.034188034231</v>
      </c>
      <c r="T103">
        <f>(D103+P103)/2</f>
        <v>114732.22222222225</v>
      </c>
      <c r="V103">
        <f>R103-T103</f>
        <v>-17659.188034188017</v>
      </c>
    </row>
    <row r="139" ht="16.5" customHeight="1"/>
  </sheetData>
  <mergeCells count="3">
    <mergeCell ref="A3:R3"/>
    <mergeCell ref="A4:T4"/>
    <mergeCell ref="A5:R5"/>
  </mergeCells>
  <printOptions horizontalCentered="1"/>
  <pageMargins left="0.27" right="0.25" top="0.47244094488188998" bottom="0.35433070866141703" header="0.23622047244094499" footer="0.15748031496063"/>
  <pageSetup scale="43" orientation="landscape" useFirstPageNumber="1" r:id="rId1"/>
  <headerFooter alignWithMargins="0"/>
  <rowBreaks count="2" manualBreakCount="2">
    <brk id="93" max="21" man="1"/>
    <brk id="13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312129">
    <tabColor theme="4" tint="0.39997558519241921"/>
    <pageSetUpPr autoPageBreaks="0" fitToPage="1"/>
  </sheetPr>
  <dimension ref="A3:V139"/>
  <sheetViews>
    <sheetView topLeftCell="A3" zoomScale="75" zoomScaleNormal="75" zoomScaleSheetLayoutView="75" workbookViewId="0">
      <pane xSplit="1" ySplit="8" topLeftCell="B50" activePane="bottomRight" state="frozen"/>
      <selection activeCell="G50" sqref="G50"/>
      <selection pane="topRight" activeCell="G50" sqref="G50"/>
      <selection pane="bottomLeft" activeCell="G50" sqref="G50"/>
      <selection pane="bottomRight" activeCell="D85" sqref="D85"/>
    </sheetView>
  </sheetViews>
  <sheetFormatPr baseColWidth="10" defaultColWidth="12.42578125" defaultRowHeight="12.75" customHeight="1"/>
  <cols>
    <col min="1" max="1" width="4.7109375" customWidth="1"/>
    <col min="2" max="2" width="31.140625" customWidth="1"/>
    <col min="3" max="3" width="9.85546875" customWidth="1"/>
    <col min="4" max="4" width="13.42578125" customWidth="1"/>
    <col min="5" max="5" width="12.7109375" customWidth="1"/>
    <col min="6" max="16" width="13.140625" customWidth="1"/>
    <col min="17" max="17" width="16" customWidth="1"/>
    <col min="18" max="18" width="16.5703125" customWidth="1"/>
    <col min="19" max="19" width="5.28515625" customWidth="1"/>
    <col min="21" max="21" width="5.42578125" customWidth="1"/>
  </cols>
  <sheetData>
    <row r="3" spans="1:22" ht="15.75" customHeight="1">
      <c r="A3" s="28" t="s">
        <v>129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2" ht="12.75" customHeight="1">
      <c r="A4" s="28" t="s">
        <v>130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2" ht="12.7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9" spans="1:22" ht="12.75" customHeight="1">
      <c r="C9" t="s">
        <v>131</v>
      </c>
      <c r="Q9" t="s">
        <v>132</v>
      </c>
      <c r="R9" t="s">
        <v>132</v>
      </c>
      <c r="T9" t="s">
        <v>133</v>
      </c>
      <c r="V9" t="s">
        <v>134</v>
      </c>
    </row>
    <row r="10" spans="1:22" ht="12.75" customHeight="1">
      <c r="C10" t="s">
        <v>135</v>
      </c>
      <c r="D10" t="s">
        <v>136</v>
      </c>
      <c r="E10" t="s">
        <v>137</v>
      </c>
      <c r="F10" t="s">
        <v>138</v>
      </c>
      <c r="G10" t="s">
        <v>139</v>
      </c>
      <c r="H10" t="s">
        <v>140</v>
      </c>
      <c r="I10" t="s">
        <v>141</v>
      </c>
      <c r="J10" t="s">
        <v>142</v>
      </c>
      <c r="K10" t="s">
        <v>143</v>
      </c>
      <c r="L10" t="s">
        <v>144</v>
      </c>
      <c r="M10" t="s">
        <v>145</v>
      </c>
      <c r="N10" t="s">
        <v>146</v>
      </c>
      <c r="O10" t="s">
        <v>147</v>
      </c>
      <c r="P10" t="s">
        <v>136</v>
      </c>
      <c r="Q10" t="s">
        <v>148</v>
      </c>
      <c r="R10" t="s">
        <v>149</v>
      </c>
      <c r="T10" t="s">
        <v>150</v>
      </c>
      <c r="V10" t="s">
        <v>151</v>
      </c>
    </row>
    <row r="11" spans="1:22" ht="12.75" customHeight="1">
      <c r="D11" t="s">
        <v>152</v>
      </c>
      <c r="E11" t="s">
        <v>153</v>
      </c>
      <c r="F11" t="s">
        <v>154</v>
      </c>
      <c r="G11" t="s">
        <v>155</v>
      </c>
      <c r="H11" t="s">
        <v>156</v>
      </c>
      <c r="I11" t="s">
        <v>157</v>
      </c>
      <c r="J11" t="s">
        <v>158</v>
      </c>
      <c r="K11" t="s">
        <v>159</v>
      </c>
      <c r="L11" t="s">
        <v>160</v>
      </c>
      <c r="M11" t="s">
        <v>161</v>
      </c>
      <c r="N11" t="s">
        <v>162</v>
      </c>
      <c r="O11" t="s">
        <v>163</v>
      </c>
      <c r="P11" t="s">
        <v>164</v>
      </c>
      <c r="Q11" t="s">
        <v>165</v>
      </c>
      <c r="R11" t="s">
        <v>166</v>
      </c>
    </row>
    <row r="14" spans="1:22" ht="12.75" customHeight="1">
      <c r="A14">
        <f>1</f>
        <v>1</v>
      </c>
      <c r="B14" t="s">
        <v>167</v>
      </c>
      <c r="E14">
        <f t="shared" ref="E14:P14" si="0">D17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>SUM(D14:P14)</f>
        <v>0</v>
      </c>
      <c r="R14">
        <f>Q14/13</f>
        <v>0</v>
      </c>
      <c r="T14">
        <f>(D14+P14)/2</f>
        <v>0</v>
      </c>
      <c r="V14">
        <f>R14-T14</f>
        <v>0</v>
      </c>
    </row>
    <row r="15" spans="1:22" ht="12.75" customHeight="1">
      <c r="A15">
        <f t="shared" ref="A15:A70" si="1">A14+1</f>
        <v>2</v>
      </c>
      <c r="B15" t="s">
        <v>168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>'GI-34 doc 3 page 1 de 2'!C37</f>
        <v>0</v>
      </c>
      <c r="Q15">
        <f>SUM(D15:P15)</f>
        <v>0</v>
      </c>
      <c r="R15">
        <f>Q15/13</f>
        <v>0</v>
      </c>
      <c r="T15">
        <f>(D15+P15)/2</f>
        <v>0</v>
      </c>
      <c r="V15">
        <f>R15-T15</f>
        <v>0</v>
      </c>
    </row>
    <row r="16" spans="1:22" ht="12.75" customHeight="1">
      <c r="A16">
        <f t="shared" si="1"/>
        <v>3</v>
      </c>
      <c r="B16" t="s">
        <v>169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SUM(D16:P16)</f>
        <v>0</v>
      </c>
      <c r="R16">
        <f>Q16/13</f>
        <v>0</v>
      </c>
      <c r="T16">
        <f>(D16+P16)/2</f>
        <v>0</v>
      </c>
      <c r="V16">
        <f>R16-T16</f>
        <v>0</v>
      </c>
    </row>
    <row r="17" spans="1:22" ht="15" customHeight="1">
      <c r="A17">
        <f t="shared" si="1"/>
        <v>4</v>
      </c>
      <c r="B17" t="s">
        <v>170</v>
      </c>
      <c r="D17">
        <f>'Depreciation 2018'!P17</f>
        <v>0</v>
      </c>
      <c r="E17">
        <f t="shared" ref="E17:P17" si="2">SUM(E14:E16)</f>
        <v>0</v>
      </c>
      <c r="F17">
        <f t="shared" si="2"/>
        <v>0</v>
      </c>
      <c r="G17">
        <f t="shared" si="2"/>
        <v>0</v>
      </c>
      <c r="H17">
        <f t="shared" si="2"/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>SUM(D17:P17)</f>
        <v>0</v>
      </c>
      <c r="R17">
        <f>Q17/13</f>
        <v>0</v>
      </c>
      <c r="T17">
        <f>(D17+P17)/2</f>
        <v>0</v>
      </c>
      <c r="V17">
        <f>R17-T17</f>
        <v>0</v>
      </c>
    </row>
    <row r="18" spans="1:22" ht="12.75" customHeight="1">
      <c r="A18">
        <f t="shared" si="1"/>
        <v>5</v>
      </c>
    </row>
    <row r="19" spans="1:22" ht="12.75" customHeight="1">
      <c r="A19">
        <f t="shared" si="1"/>
        <v>6</v>
      </c>
      <c r="B19" t="s">
        <v>171</v>
      </c>
      <c r="E19">
        <f t="shared" ref="E19:P19" si="3">D23</f>
        <v>0</v>
      </c>
      <c r="F19">
        <f t="shared" si="3"/>
        <v>0</v>
      </c>
      <c r="G19">
        <f t="shared" si="3"/>
        <v>0</v>
      </c>
      <c r="H19">
        <f t="shared" si="3"/>
        <v>0</v>
      </c>
      <c r="I19">
        <f t="shared" si="3"/>
        <v>0</v>
      </c>
      <c r="J19">
        <f t="shared" si="3"/>
        <v>0</v>
      </c>
      <c r="K19">
        <f t="shared" si="3"/>
        <v>0</v>
      </c>
      <c r="L19">
        <f t="shared" si="3"/>
        <v>0</v>
      </c>
      <c r="M19">
        <f t="shared" si="3"/>
        <v>0</v>
      </c>
      <c r="N19">
        <f t="shared" si="3"/>
        <v>0</v>
      </c>
      <c r="O19">
        <f t="shared" si="3"/>
        <v>0</v>
      </c>
      <c r="P19">
        <f t="shared" si="3"/>
        <v>0</v>
      </c>
      <c r="Q19">
        <f>SUM(D19:P19)</f>
        <v>0</v>
      </c>
      <c r="R19">
        <f>Q19/13</f>
        <v>0</v>
      </c>
      <c r="T19">
        <f>(D19+P19)/2</f>
        <v>0</v>
      </c>
      <c r="V19">
        <f>R19-T19</f>
        <v>0</v>
      </c>
    </row>
    <row r="20" spans="1:22" ht="12.75" customHeight="1">
      <c r="A20">
        <f t="shared" si="1"/>
        <v>7</v>
      </c>
      <c r="B20" t="s">
        <v>172</v>
      </c>
      <c r="Q20">
        <f>SUM(D20:P20)</f>
        <v>0</v>
      </c>
      <c r="R20">
        <f>Q20/13</f>
        <v>0</v>
      </c>
      <c r="T20">
        <f>(D20+P20)/2</f>
        <v>0</v>
      </c>
      <c r="V20">
        <f>R20-T20</f>
        <v>0</v>
      </c>
    </row>
    <row r="21" spans="1:22" ht="12.75" customHeight="1">
      <c r="A21">
        <f t="shared" si="1"/>
        <v>8</v>
      </c>
      <c r="B21" t="s">
        <v>169</v>
      </c>
      <c r="E21">
        <f t="shared" ref="E21:P21" si="4">E16</f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4"/>
        <v>0</v>
      </c>
      <c r="N21">
        <f t="shared" si="4"/>
        <v>0</v>
      </c>
      <c r="O21">
        <f t="shared" si="4"/>
        <v>0</v>
      </c>
      <c r="P21">
        <f t="shared" si="4"/>
        <v>0</v>
      </c>
      <c r="Q21">
        <f>SUM(D20:P21)</f>
        <v>0</v>
      </c>
      <c r="R21">
        <f>Q21/13</f>
        <v>0</v>
      </c>
      <c r="T21">
        <f>(D21+P21)/2</f>
        <v>0</v>
      </c>
      <c r="V21">
        <f>R21-T21</f>
        <v>0</v>
      </c>
    </row>
    <row r="22" spans="1:22" ht="12.75" customHeight="1">
      <c r="A22">
        <f t="shared" si="1"/>
        <v>9</v>
      </c>
      <c r="B22" t="s">
        <v>173</v>
      </c>
      <c r="C22">
        <v>2.2200000000000002</v>
      </c>
      <c r="E22">
        <f t="shared" ref="E22:P22" si="5">E17*$C22/100/12</f>
        <v>0</v>
      </c>
      <c r="F22">
        <f t="shared" si="5"/>
        <v>0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  <c r="Q22">
        <f>SUM(D22:P22)</f>
        <v>0</v>
      </c>
      <c r="R22">
        <f>Q22/13</f>
        <v>0</v>
      </c>
      <c r="T22">
        <f>(D22+P22)/2</f>
        <v>0</v>
      </c>
      <c r="V22">
        <f>R22-T22</f>
        <v>0</v>
      </c>
    </row>
    <row r="23" spans="1:22" ht="15" customHeight="1">
      <c r="A23">
        <f t="shared" si="1"/>
        <v>10</v>
      </c>
      <c r="B23" t="s">
        <v>170</v>
      </c>
      <c r="D23">
        <f>'Depreciation 2018'!P23</f>
        <v>0</v>
      </c>
      <c r="E23">
        <f>SUM(E19:E22)</f>
        <v>0</v>
      </c>
      <c r="F23">
        <f t="shared" ref="F23:P23" si="6">SUM(F19:F22)</f>
        <v>0</v>
      </c>
      <c r="G23">
        <f t="shared" si="6"/>
        <v>0</v>
      </c>
      <c r="H23">
        <f t="shared" si="6"/>
        <v>0</v>
      </c>
      <c r="I23">
        <f t="shared" si="6"/>
        <v>0</v>
      </c>
      <c r="J23">
        <f t="shared" si="6"/>
        <v>0</v>
      </c>
      <c r="K23">
        <f t="shared" si="6"/>
        <v>0</v>
      </c>
      <c r="L23">
        <f t="shared" si="6"/>
        <v>0</v>
      </c>
      <c r="M23">
        <f t="shared" si="6"/>
        <v>0</v>
      </c>
      <c r="N23">
        <f t="shared" si="6"/>
        <v>0</v>
      </c>
      <c r="O23">
        <f t="shared" si="6"/>
        <v>0</v>
      </c>
      <c r="P23">
        <f t="shared" si="6"/>
        <v>0</v>
      </c>
      <c r="Q23">
        <f>SUM(D23:P23)</f>
        <v>0</v>
      </c>
      <c r="R23">
        <f>Q23/13</f>
        <v>0</v>
      </c>
      <c r="T23">
        <f>(D23+P23)/2</f>
        <v>0</v>
      </c>
      <c r="V23">
        <f>R23-T23</f>
        <v>0</v>
      </c>
    </row>
    <row r="24" spans="1:22" ht="12.75" customHeight="1">
      <c r="A24">
        <f t="shared" si="1"/>
        <v>11</v>
      </c>
    </row>
    <row r="25" spans="1:22" ht="12.75" customHeight="1">
      <c r="A25">
        <f t="shared" si="1"/>
        <v>12</v>
      </c>
      <c r="B25" t="s">
        <v>174</v>
      </c>
      <c r="D25">
        <f t="shared" ref="D25:P25" si="7">D17-D23</f>
        <v>0</v>
      </c>
      <c r="E25">
        <f t="shared" si="7"/>
        <v>0</v>
      </c>
      <c r="F25">
        <f t="shared" si="7"/>
        <v>0</v>
      </c>
      <c r="G25">
        <f t="shared" si="7"/>
        <v>0</v>
      </c>
      <c r="H25">
        <f t="shared" si="7"/>
        <v>0</v>
      </c>
      <c r="I25">
        <f t="shared" si="7"/>
        <v>0</v>
      </c>
      <c r="J25">
        <f t="shared" si="7"/>
        <v>0</v>
      </c>
      <c r="K25">
        <f t="shared" si="7"/>
        <v>0</v>
      </c>
      <c r="L25">
        <f t="shared" si="7"/>
        <v>0</v>
      </c>
      <c r="M25">
        <f t="shared" si="7"/>
        <v>0</v>
      </c>
      <c r="N25">
        <f t="shared" si="7"/>
        <v>0</v>
      </c>
      <c r="O25">
        <f t="shared" si="7"/>
        <v>0</v>
      </c>
      <c r="P25">
        <f t="shared" si="7"/>
        <v>0</v>
      </c>
      <c r="Q25">
        <f>SUM(D25:P25)</f>
        <v>0</v>
      </c>
      <c r="R25">
        <f>Q25/13</f>
        <v>0</v>
      </c>
      <c r="T25">
        <f>(D25+P25)/2</f>
        <v>0</v>
      </c>
      <c r="V25">
        <f>R25-T25</f>
        <v>0</v>
      </c>
    </row>
    <row r="26" spans="1:22" ht="12.75" customHeight="1">
      <c r="A26">
        <f t="shared" si="1"/>
        <v>13</v>
      </c>
    </row>
    <row r="27" spans="1:22" ht="12.75" customHeight="1">
      <c r="A27">
        <f t="shared" si="1"/>
        <v>14</v>
      </c>
    </row>
    <row r="28" spans="1:22" ht="12.75" customHeight="1">
      <c r="A28">
        <f t="shared" si="1"/>
        <v>15</v>
      </c>
      <c r="B28" t="s">
        <v>175</v>
      </c>
      <c r="E28">
        <f t="shared" ref="E28:P28" si="8">D31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>SUM(D28:P28)</f>
        <v>0</v>
      </c>
      <c r="R28">
        <f>Q28/13</f>
        <v>0</v>
      </c>
      <c r="T28">
        <f>(D28+P28)/2</f>
        <v>0</v>
      </c>
      <c r="V28">
        <f>R28-T28</f>
        <v>0</v>
      </c>
    </row>
    <row r="29" spans="1:22" ht="12.75" customHeight="1">
      <c r="A29">
        <f t="shared" si="1"/>
        <v>16</v>
      </c>
      <c r="B29" t="s">
        <v>168</v>
      </c>
      <c r="K29">
        <f>'GI-34 doc 3 page 1 de 2'!D37</f>
        <v>0</v>
      </c>
      <c r="Q29">
        <f>SUM(D29:P29)</f>
        <v>0</v>
      </c>
      <c r="R29">
        <f>Q29/13</f>
        <v>0</v>
      </c>
      <c r="T29">
        <f>(D29+P29)/2</f>
        <v>0</v>
      </c>
      <c r="V29">
        <f>R29-T29</f>
        <v>0</v>
      </c>
    </row>
    <row r="30" spans="1:22" ht="12.75" customHeight="1">
      <c r="A30">
        <f t="shared" si="1"/>
        <v>17</v>
      </c>
      <c r="B30" t="s">
        <v>169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SUM(D30:P30)</f>
        <v>0</v>
      </c>
      <c r="R30">
        <f>Q30/13</f>
        <v>0</v>
      </c>
      <c r="T30">
        <f>(D30+P30)/2</f>
        <v>0</v>
      </c>
      <c r="V30">
        <f>R30-T30</f>
        <v>0</v>
      </c>
    </row>
    <row r="31" spans="1:22" ht="12.75" customHeight="1">
      <c r="A31">
        <f t="shared" si="1"/>
        <v>18</v>
      </c>
      <c r="B31" t="s">
        <v>170</v>
      </c>
      <c r="D31">
        <f>'Depreciation 2018'!P31</f>
        <v>0</v>
      </c>
      <c r="E31">
        <f t="shared" ref="E31:P31" si="9">SUM(E28:E30)</f>
        <v>0</v>
      </c>
      <c r="F31">
        <f t="shared" si="9"/>
        <v>0</v>
      </c>
      <c r="G31">
        <f t="shared" si="9"/>
        <v>0</v>
      </c>
      <c r="H31">
        <f t="shared" si="9"/>
        <v>0</v>
      </c>
      <c r="I31">
        <f t="shared" si="9"/>
        <v>0</v>
      </c>
      <c r="J31">
        <f t="shared" si="9"/>
        <v>0</v>
      </c>
      <c r="K31">
        <f t="shared" si="9"/>
        <v>0</v>
      </c>
      <c r="L31">
        <f t="shared" si="9"/>
        <v>0</v>
      </c>
      <c r="M31">
        <f t="shared" si="9"/>
        <v>0</v>
      </c>
      <c r="N31">
        <f t="shared" si="9"/>
        <v>0</v>
      </c>
      <c r="O31">
        <f t="shared" si="9"/>
        <v>0</v>
      </c>
      <c r="P31">
        <f t="shared" si="9"/>
        <v>0</v>
      </c>
      <c r="Q31">
        <f>SUM(D31:P31)</f>
        <v>0</v>
      </c>
      <c r="R31">
        <f>Q31/13</f>
        <v>0</v>
      </c>
      <c r="T31">
        <f>(D31+P31)/2</f>
        <v>0</v>
      </c>
      <c r="V31">
        <f>R31-T31</f>
        <v>0</v>
      </c>
    </row>
    <row r="32" spans="1:22" ht="12.75" customHeight="1">
      <c r="A32">
        <f t="shared" si="1"/>
        <v>19</v>
      </c>
    </row>
    <row r="33" spans="1:22" ht="12.75" customHeight="1">
      <c r="A33">
        <f t="shared" si="1"/>
        <v>20</v>
      </c>
      <c r="B33" t="s">
        <v>171</v>
      </c>
      <c r="E33">
        <f t="shared" ref="E33:P33" si="10">D37</f>
        <v>0</v>
      </c>
      <c r="F33">
        <f t="shared" si="10"/>
        <v>0</v>
      </c>
      <c r="G33">
        <f t="shared" si="10"/>
        <v>0</v>
      </c>
      <c r="H33">
        <f t="shared" si="10"/>
        <v>0</v>
      </c>
      <c r="I33">
        <f t="shared" si="10"/>
        <v>0</v>
      </c>
      <c r="J33">
        <f t="shared" si="10"/>
        <v>0</v>
      </c>
      <c r="K33">
        <f t="shared" si="10"/>
        <v>0</v>
      </c>
      <c r="L33">
        <f t="shared" si="10"/>
        <v>0</v>
      </c>
      <c r="M33">
        <f t="shared" si="10"/>
        <v>0</v>
      </c>
      <c r="N33">
        <f t="shared" si="10"/>
        <v>0</v>
      </c>
      <c r="O33">
        <f t="shared" si="10"/>
        <v>0</v>
      </c>
      <c r="P33">
        <f t="shared" si="10"/>
        <v>0</v>
      </c>
      <c r="Q33">
        <f>SUM(D33:P33)</f>
        <v>0</v>
      </c>
      <c r="R33">
        <f>Q33/13</f>
        <v>0</v>
      </c>
      <c r="T33">
        <f>(D33+P33)/2</f>
        <v>0</v>
      </c>
      <c r="V33">
        <f>R33-T33</f>
        <v>0</v>
      </c>
    </row>
    <row r="34" spans="1:22" ht="12.75" customHeight="1">
      <c r="A34">
        <f t="shared" si="1"/>
        <v>21</v>
      </c>
      <c r="B34" t="s">
        <v>172</v>
      </c>
      <c r="Q34">
        <f>SUM(D34:P34)</f>
        <v>0</v>
      </c>
      <c r="R34">
        <f>Q34/13</f>
        <v>0</v>
      </c>
      <c r="T34">
        <f>(D34+P34)/2</f>
        <v>0</v>
      </c>
      <c r="V34">
        <f>R34-T34</f>
        <v>0</v>
      </c>
    </row>
    <row r="35" spans="1:22" ht="12.75" customHeight="1">
      <c r="A35">
        <f t="shared" si="1"/>
        <v>22</v>
      </c>
      <c r="B35" t="s">
        <v>169</v>
      </c>
      <c r="E35">
        <f t="shared" ref="E35:P35" si="11">E30</f>
        <v>0</v>
      </c>
      <c r="F35">
        <f t="shared" si="11"/>
        <v>0</v>
      </c>
      <c r="G35">
        <f t="shared" si="11"/>
        <v>0</v>
      </c>
      <c r="H35">
        <f t="shared" si="11"/>
        <v>0</v>
      </c>
      <c r="I35">
        <f t="shared" si="11"/>
        <v>0</v>
      </c>
      <c r="J35">
        <f t="shared" si="11"/>
        <v>0</v>
      </c>
      <c r="K35">
        <f t="shared" si="11"/>
        <v>0</v>
      </c>
      <c r="L35">
        <f t="shared" si="11"/>
        <v>0</v>
      </c>
      <c r="M35">
        <f t="shared" si="11"/>
        <v>0</v>
      </c>
      <c r="N35">
        <f t="shared" si="11"/>
        <v>0</v>
      </c>
      <c r="O35">
        <f t="shared" si="11"/>
        <v>0</v>
      </c>
      <c r="P35">
        <f t="shared" si="11"/>
        <v>0</v>
      </c>
      <c r="Q35">
        <f>SUM(D34:P35)</f>
        <v>0</v>
      </c>
      <c r="R35">
        <f>Q35/13</f>
        <v>0</v>
      </c>
      <c r="T35">
        <f>(D35+P35)/2</f>
        <v>0</v>
      </c>
      <c r="V35">
        <f>R35-T35</f>
        <v>0</v>
      </c>
    </row>
    <row r="36" spans="1:22" ht="12.75" customHeight="1">
      <c r="A36">
        <f t="shared" si="1"/>
        <v>23</v>
      </c>
      <c r="B36" t="s">
        <v>173</v>
      </c>
      <c r="C36">
        <f>'[8]Coût de service'!R8*100</f>
        <v>4.5199999999999996</v>
      </c>
      <c r="E36">
        <f t="shared" ref="E36:P36" si="12">E31*$C36/100/12</f>
        <v>0</v>
      </c>
      <c r="F36">
        <f t="shared" si="12"/>
        <v>0</v>
      </c>
      <c r="G36">
        <f t="shared" si="12"/>
        <v>0</v>
      </c>
      <c r="H36">
        <f t="shared" si="12"/>
        <v>0</v>
      </c>
      <c r="I36">
        <f t="shared" si="12"/>
        <v>0</v>
      </c>
      <c r="J36">
        <f t="shared" si="12"/>
        <v>0</v>
      </c>
      <c r="K36">
        <f t="shared" si="12"/>
        <v>0</v>
      </c>
      <c r="L36">
        <f t="shared" si="12"/>
        <v>0</v>
      </c>
      <c r="M36">
        <f t="shared" si="12"/>
        <v>0</v>
      </c>
      <c r="N36">
        <f t="shared" si="12"/>
        <v>0</v>
      </c>
      <c r="O36">
        <f t="shared" si="12"/>
        <v>0</v>
      </c>
      <c r="P36">
        <f t="shared" si="12"/>
        <v>0</v>
      </c>
      <c r="Q36">
        <f>SUM(D36:P36)</f>
        <v>0</v>
      </c>
      <c r="R36">
        <f>Q36/13</f>
        <v>0</v>
      </c>
      <c r="T36">
        <f>(D36+P36)/2</f>
        <v>0</v>
      </c>
      <c r="V36">
        <f>R36-T36</f>
        <v>0</v>
      </c>
    </row>
    <row r="37" spans="1:22" ht="12.75" customHeight="1">
      <c r="A37">
        <f t="shared" si="1"/>
        <v>24</v>
      </c>
      <c r="B37" t="s">
        <v>170</v>
      </c>
      <c r="D37">
        <f>'Depreciation 2018'!P37</f>
        <v>0</v>
      </c>
      <c r="E37">
        <f t="shared" ref="E37:P37" si="13">SUM(E33:E36)</f>
        <v>0</v>
      </c>
      <c r="F37">
        <f t="shared" si="13"/>
        <v>0</v>
      </c>
      <c r="G37">
        <f t="shared" si="13"/>
        <v>0</v>
      </c>
      <c r="H37">
        <f t="shared" si="13"/>
        <v>0</v>
      </c>
      <c r="I37">
        <f t="shared" si="13"/>
        <v>0</v>
      </c>
      <c r="J37">
        <f t="shared" si="13"/>
        <v>0</v>
      </c>
      <c r="K37">
        <f t="shared" si="13"/>
        <v>0</v>
      </c>
      <c r="L37">
        <f t="shared" si="13"/>
        <v>0</v>
      </c>
      <c r="M37">
        <f t="shared" si="13"/>
        <v>0</v>
      </c>
      <c r="N37">
        <f t="shared" si="13"/>
        <v>0</v>
      </c>
      <c r="O37">
        <f t="shared" si="13"/>
        <v>0</v>
      </c>
      <c r="P37">
        <f t="shared" si="13"/>
        <v>0</v>
      </c>
      <c r="Q37">
        <f>SUM(D37:P37)</f>
        <v>0</v>
      </c>
      <c r="R37">
        <f>Q37/13</f>
        <v>0</v>
      </c>
      <c r="T37">
        <f>(D37+P37)/2</f>
        <v>0</v>
      </c>
      <c r="V37">
        <f>R37-T37</f>
        <v>0</v>
      </c>
    </row>
    <row r="38" spans="1:22" ht="12.75" customHeight="1">
      <c r="A38">
        <f t="shared" si="1"/>
        <v>25</v>
      </c>
    </row>
    <row r="39" spans="1:22" ht="12.75" customHeight="1">
      <c r="A39">
        <f t="shared" si="1"/>
        <v>26</v>
      </c>
      <c r="B39" t="s">
        <v>174</v>
      </c>
      <c r="D39">
        <f t="shared" ref="D39:P39" si="14">D31-D37</f>
        <v>0</v>
      </c>
      <c r="E39">
        <f t="shared" si="14"/>
        <v>0</v>
      </c>
      <c r="F39">
        <f t="shared" si="14"/>
        <v>0</v>
      </c>
      <c r="G39">
        <f t="shared" si="14"/>
        <v>0</v>
      </c>
      <c r="H39">
        <f t="shared" si="14"/>
        <v>0</v>
      </c>
      <c r="I39">
        <f t="shared" si="14"/>
        <v>0</v>
      </c>
      <c r="J39">
        <f t="shared" si="14"/>
        <v>0</v>
      </c>
      <c r="K39">
        <f t="shared" si="14"/>
        <v>0</v>
      </c>
      <c r="L39">
        <f t="shared" si="14"/>
        <v>0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  <c r="Q39">
        <f>SUM(D39:P39)</f>
        <v>0</v>
      </c>
      <c r="R39">
        <f>Q39/13</f>
        <v>0</v>
      </c>
      <c r="T39">
        <f>(D39+P39)/2</f>
        <v>0</v>
      </c>
      <c r="V39">
        <f>R39-T39</f>
        <v>0</v>
      </c>
    </row>
    <row r="40" spans="1:22" ht="12.75" customHeight="1">
      <c r="A40">
        <f t="shared" si="1"/>
        <v>27</v>
      </c>
    </row>
    <row r="41" spans="1:22" ht="12.75" customHeight="1">
      <c r="A41">
        <v>28</v>
      </c>
    </row>
    <row r="42" spans="1:22" ht="12.75" customHeight="1">
      <c r="A42">
        <v>29</v>
      </c>
      <c r="B42" t="s">
        <v>176</v>
      </c>
      <c r="E42">
        <f t="shared" ref="E42:P42" si="15">D45</f>
        <v>215520</v>
      </c>
      <c r="F42">
        <f t="shared" si="15"/>
        <v>215520</v>
      </c>
      <c r="G42">
        <f t="shared" si="15"/>
        <v>215520</v>
      </c>
      <c r="H42">
        <f t="shared" si="15"/>
        <v>215520</v>
      </c>
      <c r="I42">
        <f t="shared" si="15"/>
        <v>215520</v>
      </c>
      <c r="J42">
        <f t="shared" si="15"/>
        <v>215520</v>
      </c>
      <c r="K42">
        <f t="shared" si="15"/>
        <v>215520</v>
      </c>
      <c r="L42">
        <f t="shared" si="15"/>
        <v>215520</v>
      </c>
      <c r="M42">
        <f t="shared" si="15"/>
        <v>215520</v>
      </c>
      <c r="N42">
        <f t="shared" si="15"/>
        <v>215520</v>
      </c>
      <c r="O42">
        <f t="shared" si="15"/>
        <v>215520</v>
      </c>
      <c r="P42">
        <f t="shared" si="15"/>
        <v>215520</v>
      </c>
      <c r="Q42">
        <f>SUM(D42:P42)</f>
        <v>2586240</v>
      </c>
      <c r="R42">
        <f>Q42/13</f>
        <v>198941.53846153847</v>
      </c>
      <c r="T42">
        <f>(D42+P42)/2</f>
        <v>107760</v>
      </c>
      <c r="V42">
        <f>R42-T42</f>
        <v>91181.538461538468</v>
      </c>
    </row>
    <row r="43" spans="1:22" ht="12.75" customHeight="1">
      <c r="A43">
        <v>30</v>
      </c>
      <c r="B43" t="s">
        <v>168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>'GI-34 doc 3 page 1 de 2'!E37</f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f>SUM(D43:P43)</f>
        <v>0</v>
      </c>
      <c r="R43">
        <f>Q43/13</f>
        <v>0</v>
      </c>
      <c r="T43">
        <f>(D43+P43)/2</f>
        <v>0</v>
      </c>
      <c r="V43">
        <f>R43-T43</f>
        <v>0</v>
      </c>
    </row>
    <row r="44" spans="1:22" ht="12.75" customHeight="1">
      <c r="A44">
        <f t="shared" si="1"/>
        <v>31</v>
      </c>
      <c r="B44" t="s">
        <v>169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>SUM(D44:P44)</f>
        <v>0</v>
      </c>
      <c r="R44">
        <f>Q44/13</f>
        <v>0</v>
      </c>
      <c r="T44">
        <f>(D44+P44)/2</f>
        <v>0</v>
      </c>
      <c r="V44">
        <f>R44-T44</f>
        <v>0</v>
      </c>
    </row>
    <row r="45" spans="1:22" ht="12.75" customHeight="1">
      <c r="A45">
        <f t="shared" si="1"/>
        <v>32</v>
      </c>
      <c r="B45" t="s">
        <v>170</v>
      </c>
      <c r="D45">
        <f>'Depreciation 2019'!P45</f>
        <v>215520</v>
      </c>
      <c r="E45">
        <f t="shared" ref="E45:P45" si="16">SUM(E42:E44)</f>
        <v>215520</v>
      </c>
      <c r="F45">
        <f t="shared" si="16"/>
        <v>215520</v>
      </c>
      <c r="G45">
        <f t="shared" si="16"/>
        <v>215520</v>
      </c>
      <c r="H45">
        <f t="shared" si="16"/>
        <v>215520</v>
      </c>
      <c r="I45">
        <f t="shared" si="16"/>
        <v>215520</v>
      </c>
      <c r="J45">
        <f t="shared" si="16"/>
        <v>215520</v>
      </c>
      <c r="K45">
        <f t="shared" si="16"/>
        <v>215520</v>
      </c>
      <c r="L45">
        <f t="shared" si="16"/>
        <v>215520</v>
      </c>
      <c r="M45">
        <f t="shared" si="16"/>
        <v>215520</v>
      </c>
      <c r="N45">
        <f t="shared" si="16"/>
        <v>215520</v>
      </c>
      <c r="O45">
        <f t="shared" si="16"/>
        <v>215520</v>
      </c>
      <c r="P45">
        <f t="shared" si="16"/>
        <v>215520</v>
      </c>
      <c r="Q45">
        <f>SUM(D45:P45)</f>
        <v>2801760</v>
      </c>
      <c r="R45">
        <f>Q45/13</f>
        <v>215520</v>
      </c>
      <c r="T45">
        <f>(D45+P45)/2</f>
        <v>215520</v>
      </c>
      <c r="V45">
        <f>R45-T45</f>
        <v>0</v>
      </c>
    </row>
    <row r="46" spans="1:22" ht="12.75" customHeight="1">
      <c r="A46">
        <f t="shared" si="1"/>
        <v>33</v>
      </c>
    </row>
    <row r="47" spans="1:22" ht="12.75" customHeight="1">
      <c r="A47">
        <f t="shared" si="1"/>
        <v>34</v>
      </c>
      <c r="B47" t="s">
        <v>171</v>
      </c>
      <c r="E47">
        <f t="shared" ref="E47:P47" si="17">D51</f>
        <v>154905</v>
      </c>
      <c r="F47">
        <f t="shared" si="17"/>
        <v>159395</v>
      </c>
      <c r="G47">
        <f t="shared" si="17"/>
        <v>163885</v>
      </c>
      <c r="H47">
        <f t="shared" si="17"/>
        <v>168375</v>
      </c>
      <c r="I47">
        <f t="shared" si="17"/>
        <v>172865</v>
      </c>
      <c r="J47">
        <f t="shared" si="17"/>
        <v>177355</v>
      </c>
      <c r="K47">
        <f t="shared" si="17"/>
        <v>181845</v>
      </c>
      <c r="L47">
        <f t="shared" si="17"/>
        <v>186335</v>
      </c>
      <c r="M47">
        <f t="shared" si="17"/>
        <v>190825</v>
      </c>
      <c r="N47">
        <f t="shared" si="17"/>
        <v>195315</v>
      </c>
      <c r="O47">
        <f t="shared" si="17"/>
        <v>199805</v>
      </c>
      <c r="P47">
        <f t="shared" si="17"/>
        <v>204295</v>
      </c>
      <c r="Q47">
        <f>SUM(D47:P47)</f>
        <v>2155200</v>
      </c>
      <c r="R47">
        <f>Q47/13</f>
        <v>165784.61538461538</v>
      </c>
      <c r="T47">
        <f>(D47+P47)/2</f>
        <v>102147.5</v>
      </c>
      <c r="V47">
        <f>R47-T47</f>
        <v>63637.115384615376</v>
      </c>
    </row>
    <row r="48" spans="1:22" ht="12.75" customHeight="1">
      <c r="A48">
        <f t="shared" si="1"/>
        <v>35</v>
      </c>
      <c r="B48" t="s">
        <v>172</v>
      </c>
      <c r="Q48">
        <f>SUM(D48:P48)</f>
        <v>0</v>
      </c>
      <c r="R48">
        <f>Q48/13</f>
        <v>0</v>
      </c>
      <c r="T48">
        <f>(D48+P48)/2</f>
        <v>0</v>
      </c>
      <c r="V48">
        <f>R48-T48</f>
        <v>0</v>
      </c>
    </row>
    <row r="49" spans="1:22" ht="12.75" customHeight="1">
      <c r="A49">
        <f t="shared" si="1"/>
        <v>36</v>
      </c>
      <c r="B49" t="s">
        <v>169</v>
      </c>
      <c r="E49">
        <f t="shared" ref="E49:P49" si="18">E44</f>
        <v>0</v>
      </c>
      <c r="F49">
        <f t="shared" si="18"/>
        <v>0</v>
      </c>
      <c r="G49">
        <f t="shared" si="18"/>
        <v>0</v>
      </c>
      <c r="H49">
        <f t="shared" si="18"/>
        <v>0</v>
      </c>
      <c r="I49">
        <f t="shared" si="18"/>
        <v>0</v>
      </c>
      <c r="J49">
        <f t="shared" si="18"/>
        <v>0</v>
      </c>
      <c r="K49">
        <f t="shared" si="18"/>
        <v>0</v>
      </c>
      <c r="L49">
        <f t="shared" si="18"/>
        <v>0</v>
      </c>
      <c r="M49">
        <f t="shared" si="18"/>
        <v>0</v>
      </c>
      <c r="N49">
        <f t="shared" si="18"/>
        <v>0</v>
      </c>
      <c r="O49">
        <f t="shared" si="18"/>
        <v>0</v>
      </c>
      <c r="P49">
        <f t="shared" si="18"/>
        <v>0</v>
      </c>
      <c r="Q49">
        <f>SUM(D48:P49)</f>
        <v>0</v>
      </c>
      <c r="R49">
        <f>Q49/13</f>
        <v>0</v>
      </c>
      <c r="T49">
        <f>(D49+P49)/2</f>
        <v>0</v>
      </c>
      <c r="V49">
        <f>R49-T49</f>
        <v>0</v>
      </c>
    </row>
    <row r="50" spans="1:22" ht="12.75" customHeight="1">
      <c r="A50">
        <f t="shared" si="1"/>
        <v>37</v>
      </c>
      <c r="B50" t="s">
        <v>173</v>
      </c>
      <c r="C50">
        <v>25</v>
      </c>
      <c r="E50">
        <f t="shared" ref="E50:P50" si="19">IF(E45-E47-(E45*$C50/100/12)&lt;0,E45-E47,E45*$C50/100/12)</f>
        <v>4490</v>
      </c>
      <c r="F50">
        <f t="shared" si="19"/>
        <v>4490</v>
      </c>
      <c r="G50">
        <f t="shared" si="19"/>
        <v>4490</v>
      </c>
      <c r="H50">
        <f t="shared" si="19"/>
        <v>4490</v>
      </c>
      <c r="I50">
        <f t="shared" si="19"/>
        <v>4490</v>
      </c>
      <c r="J50">
        <f t="shared" si="19"/>
        <v>4490</v>
      </c>
      <c r="K50">
        <f t="shared" si="19"/>
        <v>4490</v>
      </c>
      <c r="L50">
        <f t="shared" si="19"/>
        <v>4490</v>
      </c>
      <c r="M50">
        <f t="shared" si="19"/>
        <v>4490</v>
      </c>
      <c r="N50">
        <f t="shared" si="19"/>
        <v>4490</v>
      </c>
      <c r="O50">
        <f t="shared" si="19"/>
        <v>4490</v>
      </c>
      <c r="P50">
        <f t="shared" si="19"/>
        <v>4490</v>
      </c>
      <c r="Q50">
        <f>SUM(D50:P50)</f>
        <v>53880</v>
      </c>
      <c r="R50">
        <f>Q50/13</f>
        <v>4144.6153846153848</v>
      </c>
      <c r="T50">
        <f>(D50+P50)/2</f>
        <v>2245</v>
      </c>
      <c r="V50">
        <f>R50-T50</f>
        <v>1899.6153846153848</v>
      </c>
    </row>
    <row r="51" spans="1:22" ht="12.75" customHeight="1">
      <c r="A51">
        <f t="shared" si="1"/>
        <v>38</v>
      </c>
      <c r="B51" t="s">
        <v>170</v>
      </c>
      <c r="D51">
        <f>'Depreciation 2019'!P51</f>
        <v>154905</v>
      </c>
      <c r="E51">
        <f t="shared" ref="E51:P51" si="20">SUM(E47:E50)</f>
        <v>159395</v>
      </c>
      <c r="F51">
        <f t="shared" si="20"/>
        <v>163885</v>
      </c>
      <c r="G51">
        <f t="shared" si="20"/>
        <v>168375</v>
      </c>
      <c r="H51">
        <f t="shared" si="20"/>
        <v>172865</v>
      </c>
      <c r="I51">
        <f t="shared" si="20"/>
        <v>177355</v>
      </c>
      <c r="J51">
        <f t="shared" si="20"/>
        <v>181845</v>
      </c>
      <c r="K51">
        <f t="shared" si="20"/>
        <v>186335</v>
      </c>
      <c r="L51">
        <f t="shared" si="20"/>
        <v>190825</v>
      </c>
      <c r="M51">
        <f t="shared" si="20"/>
        <v>195315</v>
      </c>
      <c r="N51">
        <f t="shared" si="20"/>
        <v>199805</v>
      </c>
      <c r="O51">
        <f t="shared" si="20"/>
        <v>204295</v>
      </c>
      <c r="P51">
        <f t="shared" si="20"/>
        <v>208785</v>
      </c>
      <c r="Q51">
        <f>SUM(D51:P51)</f>
        <v>2363985</v>
      </c>
      <c r="R51">
        <f>Q51/13</f>
        <v>181845</v>
      </c>
      <c r="T51">
        <f>(D51+P51)/2</f>
        <v>181845</v>
      </c>
      <c r="V51">
        <f>R51-T51</f>
        <v>0</v>
      </c>
    </row>
    <row r="52" spans="1:22" ht="12.75" customHeight="1">
      <c r="A52">
        <f t="shared" si="1"/>
        <v>39</v>
      </c>
    </row>
    <row r="53" spans="1:22" ht="12.75" customHeight="1">
      <c r="A53">
        <f t="shared" si="1"/>
        <v>40</v>
      </c>
      <c r="B53" t="s">
        <v>174</v>
      </c>
      <c r="D53">
        <f t="shared" ref="D53:P53" si="21">D45-D51</f>
        <v>60615</v>
      </c>
      <c r="E53">
        <f t="shared" si="21"/>
        <v>56125</v>
      </c>
      <c r="F53">
        <f t="shared" si="21"/>
        <v>51635</v>
      </c>
      <c r="G53">
        <f t="shared" si="21"/>
        <v>47145</v>
      </c>
      <c r="H53">
        <f t="shared" si="21"/>
        <v>42655</v>
      </c>
      <c r="I53">
        <f t="shared" si="21"/>
        <v>38165</v>
      </c>
      <c r="J53">
        <f t="shared" si="21"/>
        <v>33675</v>
      </c>
      <c r="K53">
        <f t="shared" si="21"/>
        <v>29185</v>
      </c>
      <c r="L53">
        <f t="shared" si="21"/>
        <v>24695</v>
      </c>
      <c r="M53">
        <f t="shared" si="21"/>
        <v>20205</v>
      </c>
      <c r="N53">
        <f t="shared" si="21"/>
        <v>15715</v>
      </c>
      <c r="O53">
        <f t="shared" si="21"/>
        <v>11225</v>
      </c>
      <c r="P53">
        <f t="shared" si="21"/>
        <v>6735</v>
      </c>
      <c r="Q53">
        <f>SUM(D53:P53)</f>
        <v>437775</v>
      </c>
      <c r="R53">
        <f>Q53/13</f>
        <v>33675</v>
      </c>
      <c r="T53">
        <f>(D53+P53)/2</f>
        <v>33675</v>
      </c>
      <c r="V53">
        <f>R53-T53</f>
        <v>0</v>
      </c>
    </row>
    <row r="54" spans="1:22" ht="12.75" customHeight="1">
      <c r="A54">
        <f t="shared" si="1"/>
        <v>41</v>
      </c>
    </row>
    <row r="55" spans="1:22" ht="12.75" customHeight="1">
      <c r="A55">
        <f t="shared" si="1"/>
        <v>42</v>
      </c>
    </row>
    <row r="56" spans="1:22" ht="12.75" customHeight="1">
      <c r="A56">
        <f t="shared" si="1"/>
        <v>43</v>
      </c>
    </row>
    <row r="57" spans="1:22" ht="12.75" customHeight="1">
      <c r="A57">
        <f t="shared" si="1"/>
        <v>44</v>
      </c>
      <c r="B57" t="s">
        <v>177</v>
      </c>
      <c r="D57">
        <f>D14+D28+D42</f>
        <v>0</v>
      </c>
      <c r="E57">
        <f>E14+E28+E42</f>
        <v>215520</v>
      </c>
      <c r="F57">
        <f t="shared" ref="F57:P60" si="22">F14+F28+F42</f>
        <v>215520</v>
      </c>
      <c r="G57">
        <f t="shared" si="22"/>
        <v>215520</v>
      </c>
      <c r="H57">
        <f t="shared" si="22"/>
        <v>215520</v>
      </c>
      <c r="I57">
        <f t="shared" si="22"/>
        <v>215520</v>
      </c>
      <c r="J57">
        <f t="shared" si="22"/>
        <v>215520</v>
      </c>
      <c r="K57">
        <f t="shared" si="22"/>
        <v>215520</v>
      </c>
      <c r="L57">
        <f t="shared" si="22"/>
        <v>215520</v>
      </c>
      <c r="M57">
        <f t="shared" si="22"/>
        <v>215520</v>
      </c>
      <c r="N57">
        <f t="shared" si="22"/>
        <v>215520</v>
      </c>
      <c r="O57">
        <f t="shared" si="22"/>
        <v>215520</v>
      </c>
      <c r="P57">
        <f t="shared" si="22"/>
        <v>215520</v>
      </c>
      <c r="Q57">
        <f>SUM(D57:P57)</f>
        <v>2586240</v>
      </c>
      <c r="R57">
        <f>Q57/13</f>
        <v>198941.53846153847</v>
      </c>
      <c r="T57">
        <f>(D57+P57)/2</f>
        <v>107760</v>
      </c>
      <c r="V57">
        <f>R57-T57</f>
        <v>91181.538461538468</v>
      </c>
    </row>
    <row r="58" spans="1:22" ht="12.75" customHeight="1">
      <c r="A58">
        <f t="shared" si="1"/>
        <v>45</v>
      </c>
      <c r="B58" t="s">
        <v>178</v>
      </c>
      <c r="E58">
        <f>E15+E29+E43</f>
        <v>0</v>
      </c>
      <c r="F58">
        <f t="shared" si="22"/>
        <v>0</v>
      </c>
      <c r="G58">
        <f t="shared" si="22"/>
        <v>0</v>
      </c>
      <c r="H58">
        <f t="shared" si="22"/>
        <v>0</v>
      </c>
      <c r="I58">
        <f t="shared" si="22"/>
        <v>0</v>
      </c>
      <c r="J58">
        <f t="shared" si="22"/>
        <v>0</v>
      </c>
      <c r="K58">
        <f t="shared" si="22"/>
        <v>0</v>
      </c>
      <c r="L58">
        <f t="shared" si="22"/>
        <v>0</v>
      </c>
      <c r="M58">
        <f t="shared" si="22"/>
        <v>0</v>
      </c>
      <c r="N58">
        <f t="shared" si="22"/>
        <v>0</v>
      </c>
      <c r="O58">
        <f t="shared" si="22"/>
        <v>0</v>
      </c>
      <c r="P58">
        <f t="shared" si="22"/>
        <v>0</v>
      </c>
      <c r="Q58">
        <f>SUM(D58:P58)</f>
        <v>0</v>
      </c>
      <c r="R58">
        <f>Q58/13</f>
        <v>0</v>
      </c>
      <c r="T58">
        <f>(D58+P58)/2</f>
        <v>0</v>
      </c>
      <c r="V58">
        <f>R58-T58</f>
        <v>0</v>
      </c>
    </row>
    <row r="59" spans="1:22" ht="12.75" customHeight="1">
      <c r="A59">
        <v>46</v>
      </c>
      <c r="B59" t="s">
        <v>169</v>
      </c>
      <c r="E59">
        <f>E16+E30+E44</f>
        <v>0</v>
      </c>
      <c r="F59">
        <f t="shared" si="22"/>
        <v>0</v>
      </c>
      <c r="G59">
        <f t="shared" si="22"/>
        <v>0</v>
      </c>
      <c r="H59">
        <f t="shared" si="22"/>
        <v>0</v>
      </c>
      <c r="I59">
        <f t="shared" si="22"/>
        <v>0</v>
      </c>
      <c r="J59">
        <f t="shared" si="22"/>
        <v>0</v>
      </c>
      <c r="K59">
        <f t="shared" si="22"/>
        <v>0</v>
      </c>
      <c r="L59">
        <f t="shared" si="22"/>
        <v>0</v>
      </c>
      <c r="M59">
        <f t="shared" si="22"/>
        <v>0</v>
      </c>
      <c r="N59">
        <f t="shared" si="22"/>
        <v>0</v>
      </c>
      <c r="O59">
        <f t="shared" si="22"/>
        <v>0</v>
      </c>
      <c r="P59">
        <f t="shared" si="22"/>
        <v>0</v>
      </c>
      <c r="Q59">
        <f>SUM(D59:P59)</f>
        <v>0</v>
      </c>
      <c r="R59">
        <f>Q59/13</f>
        <v>0</v>
      </c>
      <c r="T59">
        <f>(D59+P59)/2</f>
        <v>0</v>
      </c>
      <c r="V59">
        <f>R59-T59</f>
        <v>0</v>
      </c>
    </row>
    <row r="60" spans="1:22" ht="15" customHeight="1">
      <c r="A60">
        <f t="shared" si="1"/>
        <v>47</v>
      </c>
      <c r="B60" t="s">
        <v>170</v>
      </c>
      <c r="D60">
        <f>D17+D31+D45</f>
        <v>215520</v>
      </c>
      <c r="E60">
        <f>E17+E31+E45</f>
        <v>215520</v>
      </c>
      <c r="F60">
        <f t="shared" si="22"/>
        <v>215520</v>
      </c>
      <c r="G60">
        <f t="shared" si="22"/>
        <v>215520</v>
      </c>
      <c r="H60">
        <f t="shared" si="22"/>
        <v>215520</v>
      </c>
      <c r="I60">
        <f t="shared" si="22"/>
        <v>215520</v>
      </c>
      <c r="J60">
        <f t="shared" si="22"/>
        <v>215520</v>
      </c>
      <c r="K60">
        <f t="shared" si="22"/>
        <v>215520</v>
      </c>
      <c r="L60">
        <f t="shared" si="22"/>
        <v>215520</v>
      </c>
      <c r="M60">
        <f t="shared" si="22"/>
        <v>215520</v>
      </c>
      <c r="N60">
        <f t="shared" si="22"/>
        <v>215520</v>
      </c>
      <c r="O60">
        <f t="shared" si="22"/>
        <v>215520</v>
      </c>
      <c r="P60">
        <f t="shared" si="22"/>
        <v>215520</v>
      </c>
      <c r="Q60">
        <f>SUM(D60:P60)</f>
        <v>2801760</v>
      </c>
      <c r="R60">
        <f>Q60/13</f>
        <v>215520</v>
      </c>
      <c r="T60">
        <f>(D60+P60)/2</f>
        <v>215520</v>
      </c>
      <c r="V60">
        <f>R60-T60</f>
        <v>0</v>
      </c>
    </row>
    <row r="61" spans="1:22" ht="12.75" customHeight="1">
      <c r="A61">
        <f t="shared" si="1"/>
        <v>48</v>
      </c>
    </row>
    <row r="62" spans="1:22" ht="15.75" customHeight="1">
      <c r="A62">
        <f t="shared" si="1"/>
        <v>49</v>
      </c>
    </row>
    <row r="63" spans="1:22" ht="12.75" customHeight="1">
      <c r="A63">
        <f t="shared" si="1"/>
        <v>50</v>
      </c>
    </row>
    <row r="64" spans="1:22" ht="12.75" customHeight="1">
      <c r="A64">
        <f t="shared" si="1"/>
        <v>51</v>
      </c>
      <c r="B64" t="s">
        <v>171</v>
      </c>
      <c r="D64">
        <f>D19+D33+D47</f>
        <v>0</v>
      </c>
      <c r="E64">
        <f>E19+E33+E47</f>
        <v>154905</v>
      </c>
      <c r="F64">
        <f t="shared" ref="F64:P68" si="23">F19+F33+F47</f>
        <v>159395</v>
      </c>
      <c r="G64">
        <f t="shared" si="23"/>
        <v>163885</v>
      </c>
      <c r="H64">
        <f t="shared" si="23"/>
        <v>168375</v>
      </c>
      <c r="I64">
        <f t="shared" si="23"/>
        <v>172865</v>
      </c>
      <c r="J64">
        <f t="shared" si="23"/>
        <v>177355</v>
      </c>
      <c r="K64">
        <f t="shared" si="23"/>
        <v>181845</v>
      </c>
      <c r="L64">
        <f t="shared" si="23"/>
        <v>186335</v>
      </c>
      <c r="M64">
        <f t="shared" si="23"/>
        <v>190825</v>
      </c>
      <c r="N64">
        <f t="shared" si="23"/>
        <v>195315</v>
      </c>
      <c r="O64">
        <f t="shared" si="23"/>
        <v>199805</v>
      </c>
      <c r="P64">
        <f t="shared" si="23"/>
        <v>204295</v>
      </c>
      <c r="Q64">
        <f>SUM(D64:P64)</f>
        <v>2155200</v>
      </c>
      <c r="R64">
        <f>Q64/13</f>
        <v>165784.61538461538</v>
      </c>
      <c r="T64">
        <f>(D64+P64)/2</f>
        <v>102147.5</v>
      </c>
      <c r="V64">
        <f>R64-T64</f>
        <v>63637.115384615376</v>
      </c>
    </row>
    <row r="65" spans="1:22" ht="12.75" customHeight="1">
      <c r="A65">
        <f t="shared" si="1"/>
        <v>52</v>
      </c>
      <c r="B65" t="s">
        <v>172</v>
      </c>
      <c r="E65">
        <f>E20+E34+E48</f>
        <v>0</v>
      </c>
      <c r="F65">
        <f t="shared" si="23"/>
        <v>0</v>
      </c>
      <c r="G65">
        <f t="shared" si="23"/>
        <v>0</v>
      </c>
      <c r="H65">
        <f t="shared" si="23"/>
        <v>0</v>
      </c>
      <c r="I65">
        <f t="shared" si="23"/>
        <v>0</v>
      </c>
      <c r="J65">
        <f t="shared" si="23"/>
        <v>0</v>
      </c>
      <c r="K65">
        <f t="shared" si="23"/>
        <v>0</v>
      </c>
      <c r="L65">
        <f t="shared" si="23"/>
        <v>0</v>
      </c>
      <c r="M65">
        <f t="shared" si="23"/>
        <v>0</v>
      </c>
      <c r="N65">
        <f t="shared" si="23"/>
        <v>0</v>
      </c>
      <c r="O65">
        <f t="shared" si="23"/>
        <v>0</v>
      </c>
      <c r="P65">
        <f t="shared" si="23"/>
        <v>0</v>
      </c>
      <c r="Q65">
        <f>SUM(D65:P65)</f>
        <v>0</v>
      </c>
      <c r="R65">
        <f>Q65/13</f>
        <v>0</v>
      </c>
      <c r="T65">
        <f>(D65+P65)/2</f>
        <v>0</v>
      </c>
      <c r="V65">
        <f>R65-T65</f>
        <v>0</v>
      </c>
    </row>
    <row r="66" spans="1:22" ht="12.75" customHeight="1">
      <c r="A66">
        <f t="shared" si="1"/>
        <v>53</v>
      </c>
      <c r="B66" t="s">
        <v>169</v>
      </c>
      <c r="E66">
        <f>E21+E35+E49</f>
        <v>0</v>
      </c>
      <c r="F66">
        <f t="shared" si="23"/>
        <v>0</v>
      </c>
      <c r="G66">
        <f t="shared" si="23"/>
        <v>0</v>
      </c>
      <c r="H66">
        <f t="shared" si="23"/>
        <v>0</v>
      </c>
      <c r="I66">
        <f t="shared" si="23"/>
        <v>0</v>
      </c>
      <c r="J66">
        <f t="shared" si="23"/>
        <v>0</v>
      </c>
      <c r="K66">
        <f t="shared" si="23"/>
        <v>0</v>
      </c>
      <c r="L66">
        <f t="shared" si="23"/>
        <v>0</v>
      </c>
      <c r="M66">
        <f t="shared" si="23"/>
        <v>0</v>
      </c>
      <c r="N66">
        <f t="shared" si="23"/>
        <v>0</v>
      </c>
      <c r="O66">
        <f t="shared" si="23"/>
        <v>0</v>
      </c>
      <c r="P66">
        <f t="shared" si="23"/>
        <v>0</v>
      </c>
      <c r="Q66">
        <f>SUM(D66:P66)</f>
        <v>0</v>
      </c>
      <c r="R66">
        <f>Q66/13</f>
        <v>0</v>
      </c>
      <c r="T66">
        <f>(D66+P66)/2</f>
        <v>0</v>
      </c>
      <c r="V66">
        <f>R66-T66</f>
        <v>0</v>
      </c>
    </row>
    <row r="67" spans="1:22" ht="12.75" customHeight="1">
      <c r="A67">
        <f t="shared" si="1"/>
        <v>54</v>
      </c>
      <c r="B67" t="s">
        <v>173</v>
      </c>
      <c r="E67">
        <f>E22+E36+E50</f>
        <v>4490</v>
      </c>
      <c r="F67">
        <f t="shared" si="23"/>
        <v>4490</v>
      </c>
      <c r="G67">
        <f t="shared" si="23"/>
        <v>4490</v>
      </c>
      <c r="H67">
        <f t="shared" si="23"/>
        <v>4490</v>
      </c>
      <c r="I67">
        <f t="shared" si="23"/>
        <v>4490</v>
      </c>
      <c r="J67">
        <f t="shared" si="23"/>
        <v>4490</v>
      </c>
      <c r="K67">
        <f t="shared" si="23"/>
        <v>4490</v>
      </c>
      <c r="L67">
        <f t="shared" si="23"/>
        <v>4490</v>
      </c>
      <c r="M67">
        <f t="shared" si="23"/>
        <v>4490</v>
      </c>
      <c r="N67">
        <f t="shared" si="23"/>
        <v>4490</v>
      </c>
      <c r="O67">
        <f t="shared" si="23"/>
        <v>4490</v>
      </c>
      <c r="P67">
        <f t="shared" si="23"/>
        <v>4490</v>
      </c>
      <c r="Q67">
        <f>SUM(D67:P67)</f>
        <v>53880</v>
      </c>
      <c r="R67">
        <f>Q67/13</f>
        <v>4144.6153846153848</v>
      </c>
      <c r="T67">
        <f>(D67+P67)/2</f>
        <v>2245</v>
      </c>
      <c r="V67">
        <f>R67-T67</f>
        <v>1899.6153846153848</v>
      </c>
    </row>
    <row r="68" spans="1:22" ht="15.75" customHeight="1">
      <c r="A68">
        <f t="shared" si="1"/>
        <v>55</v>
      </c>
      <c r="B68" t="s">
        <v>170</v>
      </c>
      <c r="D68">
        <f>D23+D37+D51</f>
        <v>154905</v>
      </c>
      <c r="E68">
        <f>E23+E37+E51</f>
        <v>159395</v>
      </c>
      <c r="F68">
        <f t="shared" si="23"/>
        <v>163885</v>
      </c>
      <c r="G68">
        <f t="shared" si="23"/>
        <v>168375</v>
      </c>
      <c r="H68">
        <f t="shared" si="23"/>
        <v>172865</v>
      </c>
      <c r="I68">
        <f t="shared" si="23"/>
        <v>177355</v>
      </c>
      <c r="J68">
        <f t="shared" si="23"/>
        <v>181845</v>
      </c>
      <c r="K68">
        <f t="shared" si="23"/>
        <v>186335</v>
      </c>
      <c r="L68">
        <f t="shared" si="23"/>
        <v>190825</v>
      </c>
      <c r="M68">
        <f t="shared" si="23"/>
        <v>195315</v>
      </c>
      <c r="N68">
        <f t="shared" si="23"/>
        <v>199805</v>
      </c>
      <c r="O68">
        <f t="shared" si="23"/>
        <v>204295</v>
      </c>
      <c r="P68">
        <f t="shared" si="23"/>
        <v>208785</v>
      </c>
      <c r="Q68">
        <f>SUM(D68:P68)</f>
        <v>2363985</v>
      </c>
      <c r="R68">
        <f>Q68/13</f>
        <v>181845</v>
      </c>
      <c r="T68">
        <f>(D68+P68)/2</f>
        <v>181845</v>
      </c>
      <c r="V68">
        <f>R68-T68</f>
        <v>0</v>
      </c>
    </row>
    <row r="69" spans="1:22" ht="12.75" customHeight="1">
      <c r="A69">
        <f t="shared" si="1"/>
        <v>56</v>
      </c>
    </row>
    <row r="70" spans="1:22" ht="12.75" customHeight="1">
      <c r="A70">
        <f t="shared" si="1"/>
        <v>57</v>
      </c>
      <c r="B70" t="s">
        <v>174</v>
      </c>
      <c r="D70">
        <f t="shared" ref="D70:P70" si="24">D60-D68</f>
        <v>60615</v>
      </c>
      <c r="E70">
        <f>E60-E68</f>
        <v>56125</v>
      </c>
      <c r="F70">
        <f t="shared" si="24"/>
        <v>51635</v>
      </c>
      <c r="G70">
        <f t="shared" si="24"/>
        <v>47145</v>
      </c>
      <c r="H70">
        <f t="shared" si="24"/>
        <v>42655</v>
      </c>
      <c r="I70">
        <f t="shared" si="24"/>
        <v>38165</v>
      </c>
      <c r="J70">
        <f t="shared" si="24"/>
        <v>33675</v>
      </c>
      <c r="K70">
        <f t="shared" si="24"/>
        <v>29185</v>
      </c>
      <c r="L70">
        <f t="shared" si="24"/>
        <v>24695</v>
      </c>
      <c r="M70">
        <f t="shared" si="24"/>
        <v>20205</v>
      </c>
      <c r="N70">
        <f t="shared" si="24"/>
        <v>15715</v>
      </c>
      <c r="O70">
        <f t="shared" si="24"/>
        <v>11225</v>
      </c>
      <c r="P70">
        <f t="shared" si="24"/>
        <v>6735</v>
      </c>
      <c r="Q70">
        <f>SUM(D70:P70)</f>
        <v>437775</v>
      </c>
      <c r="R70">
        <f>Q70/13</f>
        <v>33675</v>
      </c>
      <c r="T70">
        <f>(D70+P70)/2</f>
        <v>33675</v>
      </c>
      <c r="V70">
        <f>R70-T70</f>
        <v>0</v>
      </c>
    </row>
    <row r="73" spans="1:22" ht="12.75" customHeight="1">
      <c r="P73">
        <f>P17-P23+P31-P37+P45-P51</f>
        <v>6735</v>
      </c>
    </row>
    <row r="75" spans="1:22" ht="12.75" customHeight="1">
      <c r="B75" t="s">
        <v>101</v>
      </c>
      <c r="E75">
        <f t="shared" ref="E75:P75" si="25">D78</f>
        <v>562100</v>
      </c>
      <c r="F75">
        <f t="shared" si="25"/>
        <v>562100</v>
      </c>
      <c r="G75">
        <f t="shared" si="25"/>
        <v>562100</v>
      </c>
      <c r="H75">
        <f t="shared" si="25"/>
        <v>562100</v>
      </c>
      <c r="I75">
        <f t="shared" si="25"/>
        <v>562100</v>
      </c>
      <c r="J75">
        <f t="shared" si="25"/>
        <v>562100</v>
      </c>
      <c r="K75">
        <f t="shared" si="25"/>
        <v>562100</v>
      </c>
      <c r="L75">
        <f t="shared" si="25"/>
        <v>562100</v>
      </c>
      <c r="M75">
        <f t="shared" si="25"/>
        <v>562100</v>
      </c>
      <c r="N75">
        <f t="shared" si="25"/>
        <v>562100</v>
      </c>
      <c r="O75">
        <f t="shared" si="25"/>
        <v>562100</v>
      </c>
      <c r="P75">
        <f t="shared" si="25"/>
        <v>562100</v>
      </c>
      <c r="Q75">
        <f>SUM(D75:P75)</f>
        <v>6745200</v>
      </c>
      <c r="R75">
        <f>Q75/13</f>
        <v>518861.53846153844</v>
      </c>
      <c r="T75">
        <f>(D75+P75)/2</f>
        <v>281050</v>
      </c>
      <c r="V75">
        <f>R75-T75</f>
        <v>237811.53846153844</v>
      </c>
    </row>
    <row r="76" spans="1:22" ht="12.75" customHeight="1">
      <c r="B76" t="s">
        <v>168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f>'GI-34 doc 3 page 1 de 2'!F37</f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f>SUM(D76:P76)</f>
        <v>0</v>
      </c>
      <c r="R76">
        <f>Q76/13</f>
        <v>0</v>
      </c>
      <c r="T76">
        <f>(D76+P76)/2</f>
        <v>0</v>
      </c>
      <c r="V76">
        <f>R76-T76</f>
        <v>0</v>
      </c>
    </row>
    <row r="77" spans="1:22" ht="12.75" customHeight="1">
      <c r="B77" t="s">
        <v>169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f>SUM(D77:P77)</f>
        <v>0</v>
      </c>
      <c r="R77">
        <f>Q77/13</f>
        <v>0</v>
      </c>
      <c r="T77">
        <f>(D77+P77)/2</f>
        <v>0</v>
      </c>
      <c r="V77">
        <f>R77-T77</f>
        <v>0</v>
      </c>
    </row>
    <row r="78" spans="1:22" ht="12.75" customHeight="1">
      <c r="B78" t="s">
        <v>170</v>
      </c>
      <c r="D78">
        <f>'Depreciation 2019'!P78</f>
        <v>562100</v>
      </c>
      <c r="E78">
        <f t="shared" ref="E78:P78" si="26">SUM(E75:E77)</f>
        <v>562100</v>
      </c>
      <c r="F78">
        <f t="shared" si="26"/>
        <v>562100</v>
      </c>
      <c r="G78">
        <f t="shared" si="26"/>
        <v>562100</v>
      </c>
      <c r="H78">
        <f t="shared" si="26"/>
        <v>562100</v>
      </c>
      <c r="I78">
        <f t="shared" si="26"/>
        <v>562100</v>
      </c>
      <c r="J78">
        <f t="shared" si="26"/>
        <v>562100</v>
      </c>
      <c r="K78">
        <f t="shared" si="26"/>
        <v>562100</v>
      </c>
      <c r="L78">
        <f t="shared" si="26"/>
        <v>562100</v>
      </c>
      <c r="M78">
        <f t="shared" si="26"/>
        <v>562100</v>
      </c>
      <c r="N78">
        <f t="shared" si="26"/>
        <v>562100</v>
      </c>
      <c r="O78">
        <f t="shared" si="26"/>
        <v>562100</v>
      </c>
      <c r="P78">
        <f t="shared" si="26"/>
        <v>562100</v>
      </c>
      <c r="Q78">
        <f>SUM(D78:P78)</f>
        <v>7307300</v>
      </c>
      <c r="R78">
        <f>Q78/13</f>
        <v>562100</v>
      </c>
      <c r="T78">
        <f>(D78+P78)/2</f>
        <v>562100</v>
      </c>
      <c r="V78">
        <f>R78-T78</f>
        <v>0</v>
      </c>
    </row>
    <row r="80" spans="1:22" ht="12.75" customHeight="1">
      <c r="B80" t="s">
        <v>179</v>
      </c>
      <c r="E80">
        <f t="shared" ref="E80:P80" si="27">D84</f>
        <v>562100</v>
      </c>
      <c r="F80">
        <f t="shared" si="27"/>
        <v>562100</v>
      </c>
      <c r="G80">
        <f t="shared" si="27"/>
        <v>562100</v>
      </c>
      <c r="H80">
        <f t="shared" si="27"/>
        <v>562100</v>
      </c>
      <c r="I80">
        <f t="shared" si="27"/>
        <v>562100</v>
      </c>
      <c r="J80">
        <f t="shared" si="27"/>
        <v>562100</v>
      </c>
      <c r="K80">
        <f t="shared" si="27"/>
        <v>562100</v>
      </c>
      <c r="L80">
        <f t="shared" si="27"/>
        <v>562100</v>
      </c>
      <c r="M80">
        <f t="shared" si="27"/>
        <v>562100</v>
      </c>
      <c r="N80">
        <f t="shared" si="27"/>
        <v>562100</v>
      </c>
      <c r="O80">
        <f t="shared" si="27"/>
        <v>562100</v>
      </c>
      <c r="P80">
        <f t="shared" si="27"/>
        <v>562100</v>
      </c>
      <c r="Q80">
        <f>SUM(D80:P80)</f>
        <v>6745200</v>
      </c>
      <c r="R80">
        <f>Q80/13</f>
        <v>518861.53846153844</v>
      </c>
      <c r="T80">
        <f>(D80+P80)/2</f>
        <v>281050</v>
      </c>
      <c r="V80">
        <f>R80-T80</f>
        <v>237811.53846153844</v>
      </c>
    </row>
    <row r="81" spans="2:22" ht="12.75" customHeight="1">
      <c r="B81" t="s">
        <v>172</v>
      </c>
      <c r="Q81">
        <f>SUM(D81:P81)</f>
        <v>0</v>
      </c>
      <c r="R81">
        <f>Q81/13</f>
        <v>0</v>
      </c>
      <c r="T81">
        <f>(D81+P81)/2</f>
        <v>0</v>
      </c>
      <c r="V81">
        <f>R81-T81</f>
        <v>0</v>
      </c>
    </row>
    <row r="82" spans="2:22" ht="12.75" customHeight="1">
      <c r="B82" t="s">
        <v>169</v>
      </c>
      <c r="E82">
        <f t="shared" ref="E82:P82" si="28">E77</f>
        <v>0</v>
      </c>
      <c r="F82">
        <f t="shared" si="28"/>
        <v>0</v>
      </c>
      <c r="G82">
        <f t="shared" si="28"/>
        <v>0</v>
      </c>
      <c r="H82">
        <f t="shared" si="28"/>
        <v>0</v>
      </c>
      <c r="I82">
        <f t="shared" si="28"/>
        <v>0</v>
      </c>
      <c r="J82">
        <f t="shared" si="28"/>
        <v>0</v>
      </c>
      <c r="K82">
        <f t="shared" si="28"/>
        <v>0</v>
      </c>
      <c r="L82">
        <f t="shared" si="28"/>
        <v>0</v>
      </c>
      <c r="M82">
        <f t="shared" si="28"/>
        <v>0</v>
      </c>
      <c r="N82">
        <f t="shared" si="28"/>
        <v>0</v>
      </c>
      <c r="O82">
        <f t="shared" si="28"/>
        <v>0</v>
      </c>
      <c r="P82">
        <f t="shared" si="28"/>
        <v>0</v>
      </c>
      <c r="Q82">
        <f>SUM(D81:P82)</f>
        <v>0</v>
      </c>
      <c r="R82">
        <f>Q82/13</f>
        <v>0</v>
      </c>
      <c r="T82">
        <f>(D82+P82)/2</f>
        <v>0</v>
      </c>
      <c r="V82">
        <f>R82-T82</f>
        <v>0</v>
      </c>
    </row>
    <row r="83" spans="2:22" ht="12.75" customHeight="1">
      <c r="B83" t="s">
        <v>173</v>
      </c>
      <c r="C83">
        <f>100/3</f>
        <v>33.333333333333336</v>
      </c>
      <c r="E83">
        <f t="shared" ref="E83:P83" si="29">IF(E78-E80-(E78*$C83/100/12)&lt;0,E78-E80,E78*$C83/100/12)</f>
        <v>0</v>
      </c>
      <c r="F83">
        <f t="shared" si="29"/>
        <v>0</v>
      </c>
      <c r="G83">
        <f t="shared" si="29"/>
        <v>0</v>
      </c>
      <c r="H83">
        <f t="shared" si="29"/>
        <v>0</v>
      </c>
      <c r="I83">
        <f t="shared" si="29"/>
        <v>0</v>
      </c>
      <c r="J83">
        <f t="shared" si="29"/>
        <v>0</v>
      </c>
      <c r="K83">
        <f t="shared" si="29"/>
        <v>0</v>
      </c>
      <c r="L83">
        <f t="shared" si="29"/>
        <v>0</v>
      </c>
      <c r="M83">
        <f t="shared" si="29"/>
        <v>0</v>
      </c>
      <c r="N83">
        <f t="shared" si="29"/>
        <v>0</v>
      </c>
      <c r="O83">
        <f t="shared" si="29"/>
        <v>0</v>
      </c>
      <c r="P83">
        <f t="shared" si="29"/>
        <v>0</v>
      </c>
      <c r="Q83">
        <f>SUM(D83:P83)</f>
        <v>0</v>
      </c>
      <c r="R83">
        <f>Q83/13</f>
        <v>0</v>
      </c>
      <c r="T83">
        <f>(D83+P83)/2</f>
        <v>0</v>
      </c>
      <c r="V83">
        <f>R83-T83</f>
        <v>0</v>
      </c>
    </row>
    <row r="84" spans="2:22" ht="12.75" customHeight="1">
      <c r="B84" t="s">
        <v>170</v>
      </c>
      <c r="D84">
        <f>'Depreciation 2019'!P84</f>
        <v>562100</v>
      </c>
      <c r="E84">
        <f t="shared" ref="E84:P84" si="30">SUM(E80:E83)</f>
        <v>562100</v>
      </c>
      <c r="F84">
        <f t="shared" si="30"/>
        <v>562100</v>
      </c>
      <c r="G84">
        <f t="shared" si="30"/>
        <v>562100</v>
      </c>
      <c r="H84">
        <f t="shared" si="30"/>
        <v>562100</v>
      </c>
      <c r="I84">
        <f t="shared" si="30"/>
        <v>562100</v>
      </c>
      <c r="J84">
        <f t="shared" si="30"/>
        <v>562100</v>
      </c>
      <c r="K84">
        <f t="shared" si="30"/>
        <v>562100</v>
      </c>
      <c r="L84">
        <f t="shared" si="30"/>
        <v>562100</v>
      </c>
      <c r="M84">
        <f t="shared" si="30"/>
        <v>562100</v>
      </c>
      <c r="N84">
        <f t="shared" si="30"/>
        <v>562100</v>
      </c>
      <c r="O84">
        <f t="shared" si="30"/>
        <v>562100</v>
      </c>
      <c r="P84">
        <f t="shared" si="30"/>
        <v>562100</v>
      </c>
      <c r="Q84">
        <f>SUM(D84:P84)</f>
        <v>7307300</v>
      </c>
      <c r="R84">
        <f>Q84/13</f>
        <v>562100</v>
      </c>
      <c r="T84">
        <f>(D84+P84)/2</f>
        <v>562100</v>
      </c>
      <c r="V84">
        <f>R84-T84</f>
        <v>0</v>
      </c>
    </row>
    <row r="86" spans="2:22" ht="12.75" customHeight="1">
      <c r="B86" t="s">
        <v>174</v>
      </c>
      <c r="D86">
        <f t="shared" ref="D86:P86" si="31">D78-D84</f>
        <v>0</v>
      </c>
      <c r="E86">
        <f t="shared" si="31"/>
        <v>0</v>
      </c>
      <c r="F86">
        <f t="shared" si="31"/>
        <v>0</v>
      </c>
      <c r="G86">
        <f t="shared" si="31"/>
        <v>0</v>
      </c>
      <c r="H86">
        <f t="shared" si="31"/>
        <v>0</v>
      </c>
      <c r="I86">
        <f t="shared" si="31"/>
        <v>0</v>
      </c>
      <c r="J86">
        <f t="shared" si="31"/>
        <v>0</v>
      </c>
      <c r="K86">
        <f t="shared" si="31"/>
        <v>0</v>
      </c>
      <c r="L86">
        <f t="shared" si="31"/>
        <v>0</v>
      </c>
      <c r="M86">
        <f t="shared" si="31"/>
        <v>0</v>
      </c>
      <c r="N86">
        <f t="shared" si="31"/>
        <v>0</v>
      </c>
      <c r="O86">
        <f t="shared" si="31"/>
        <v>0</v>
      </c>
      <c r="P86">
        <f t="shared" si="31"/>
        <v>0</v>
      </c>
      <c r="Q86">
        <f>SUM(D86:P86)</f>
        <v>0</v>
      </c>
      <c r="R86">
        <f>Q86/13</f>
        <v>0</v>
      </c>
      <c r="T86">
        <f>(D86+P86)/2</f>
        <v>0</v>
      </c>
      <c r="V86">
        <f>R86-T86</f>
        <v>0</v>
      </c>
    </row>
    <row r="90" spans="2:22" ht="12.75" customHeight="1">
      <c r="B90" t="s">
        <v>180</v>
      </c>
      <c r="D90">
        <f>D75+D57</f>
        <v>0</v>
      </c>
      <c r="E90">
        <f t="shared" ref="D90:P93" si="32">E57+E75</f>
        <v>777620</v>
      </c>
      <c r="F90">
        <f t="shared" si="32"/>
        <v>777620</v>
      </c>
      <c r="G90">
        <f t="shared" si="32"/>
        <v>777620</v>
      </c>
      <c r="H90">
        <f t="shared" si="32"/>
        <v>777620</v>
      </c>
      <c r="I90">
        <f t="shared" si="32"/>
        <v>777620</v>
      </c>
      <c r="J90">
        <f t="shared" si="32"/>
        <v>777620</v>
      </c>
      <c r="K90">
        <f t="shared" si="32"/>
        <v>777620</v>
      </c>
      <c r="L90">
        <f t="shared" si="32"/>
        <v>777620</v>
      </c>
      <c r="M90">
        <f t="shared" si="32"/>
        <v>777620</v>
      </c>
      <c r="N90">
        <f t="shared" si="32"/>
        <v>777620</v>
      </c>
      <c r="O90">
        <f t="shared" si="32"/>
        <v>777620</v>
      </c>
      <c r="P90">
        <f t="shared" si="32"/>
        <v>777620</v>
      </c>
      <c r="Q90">
        <f>SUM(D90:P90)</f>
        <v>9331440</v>
      </c>
      <c r="R90">
        <f>Q90/13</f>
        <v>717803.07692307688</v>
      </c>
      <c r="T90">
        <f>(D90+P90)/2</f>
        <v>388810</v>
      </c>
      <c r="V90">
        <f>R90-T90</f>
        <v>328993.07692307688</v>
      </c>
    </row>
    <row r="91" spans="2:22" ht="12.75" customHeight="1">
      <c r="B91" t="s">
        <v>178</v>
      </c>
      <c r="D91">
        <f t="shared" si="32"/>
        <v>0</v>
      </c>
      <c r="E91">
        <f t="shared" si="32"/>
        <v>0</v>
      </c>
      <c r="F91">
        <f t="shared" si="32"/>
        <v>0</v>
      </c>
      <c r="G91">
        <f t="shared" si="32"/>
        <v>0</v>
      </c>
      <c r="H91">
        <f t="shared" si="32"/>
        <v>0</v>
      </c>
      <c r="I91">
        <f t="shared" si="32"/>
        <v>0</v>
      </c>
      <c r="J91">
        <f t="shared" si="32"/>
        <v>0</v>
      </c>
      <c r="K91">
        <f t="shared" si="32"/>
        <v>0</v>
      </c>
      <c r="L91">
        <f t="shared" si="32"/>
        <v>0</v>
      </c>
      <c r="M91">
        <f t="shared" si="32"/>
        <v>0</v>
      </c>
      <c r="N91">
        <f t="shared" si="32"/>
        <v>0</v>
      </c>
      <c r="O91">
        <f t="shared" si="32"/>
        <v>0</v>
      </c>
      <c r="P91">
        <f t="shared" si="32"/>
        <v>0</v>
      </c>
      <c r="Q91">
        <f>SUM(D91:P91)</f>
        <v>0</v>
      </c>
      <c r="R91">
        <f>Q91/13</f>
        <v>0</v>
      </c>
      <c r="T91">
        <f>(D91+P91)/2</f>
        <v>0</v>
      </c>
      <c r="V91">
        <f>R91-T91</f>
        <v>0</v>
      </c>
    </row>
    <row r="92" spans="2:22" ht="12.75" customHeight="1">
      <c r="B92" t="s">
        <v>169</v>
      </c>
      <c r="D92">
        <f t="shared" si="32"/>
        <v>0</v>
      </c>
      <c r="E92">
        <f t="shared" si="32"/>
        <v>0</v>
      </c>
      <c r="F92">
        <f t="shared" si="32"/>
        <v>0</v>
      </c>
      <c r="G92">
        <f t="shared" si="32"/>
        <v>0</v>
      </c>
      <c r="H92">
        <f t="shared" si="32"/>
        <v>0</v>
      </c>
      <c r="I92">
        <f t="shared" si="32"/>
        <v>0</v>
      </c>
      <c r="J92">
        <f t="shared" si="32"/>
        <v>0</v>
      </c>
      <c r="K92">
        <f t="shared" si="32"/>
        <v>0</v>
      </c>
      <c r="L92">
        <f t="shared" si="32"/>
        <v>0</v>
      </c>
      <c r="M92">
        <f t="shared" si="32"/>
        <v>0</v>
      </c>
      <c r="N92">
        <f t="shared" si="32"/>
        <v>0</v>
      </c>
      <c r="O92">
        <f t="shared" si="32"/>
        <v>0</v>
      </c>
      <c r="P92">
        <f t="shared" si="32"/>
        <v>0</v>
      </c>
      <c r="Q92">
        <f>SUM(D92:P92)</f>
        <v>0</v>
      </c>
      <c r="R92">
        <f>Q92/13</f>
        <v>0</v>
      </c>
      <c r="T92">
        <f>(D92+P92)/2</f>
        <v>0</v>
      </c>
      <c r="V92">
        <f>R92-T92</f>
        <v>0</v>
      </c>
    </row>
    <row r="93" spans="2:22" ht="12.75" customHeight="1">
      <c r="B93" t="s">
        <v>170</v>
      </c>
      <c r="D93">
        <f t="shared" si="32"/>
        <v>777620</v>
      </c>
      <c r="E93">
        <f t="shared" si="32"/>
        <v>777620</v>
      </c>
      <c r="F93">
        <f t="shared" si="32"/>
        <v>777620</v>
      </c>
      <c r="G93">
        <f t="shared" si="32"/>
        <v>777620</v>
      </c>
      <c r="H93">
        <f t="shared" si="32"/>
        <v>777620</v>
      </c>
      <c r="I93">
        <f t="shared" si="32"/>
        <v>777620</v>
      </c>
      <c r="J93">
        <f t="shared" si="32"/>
        <v>777620</v>
      </c>
      <c r="K93">
        <f t="shared" si="32"/>
        <v>777620</v>
      </c>
      <c r="L93">
        <f t="shared" si="32"/>
        <v>777620</v>
      </c>
      <c r="M93">
        <f t="shared" si="32"/>
        <v>777620</v>
      </c>
      <c r="N93">
        <f t="shared" si="32"/>
        <v>777620</v>
      </c>
      <c r="O93">
        <f t="shared" si="32"/>
        <v>777620</v>
      </c>
      <c r="P93">
        <f t="shared" si="32"/>
        <v>777620</v>
      </c>
      <c r="Q93">
        <f>SUM(D93:P93)</f>
        <v>10109060</v>
      </c>
      <c r="R93">
        <f>Q93/13</f>
        <v>777620</v>
      </c>
      <c r="T93">
        <f>(D93+P93)/2</f>
        <v>777620</v>
      </c>
      <c r="V93">
        <f>R93-T93</f>
        <v>0</v>
      </c>
    </row>
    <row r="95" spans="2:22" ht="16.5" customHeight="1"/>
    <row r="97" spans="2:22" ht="12.75" customHeight="1">
      <c r="B97" t="s">
        <v>171</v>
      </c>
      <c r="D97">
        <f>D64+D80</f>
        <v>0</v>
      </c>
      <c r="E97">
        <f t="shared" ref="D97:P101" si="33">E64+E80</f>
        <v>717005</v>
      </c>
      <c r="F97">
        <f t="shared" si="33"/>
        <v>721495</v>
      </c>
      <c r="G97">
        <f t="shared" si="33"/>
        <v>725985</v>
      </c>
      <c r="H97">
        <f t="shared" si="33"/>
        <v>730475</v>
      </c>
      <c r="I97">
        <f t="shared" si="33"/>
        <v>734965</v>
      </c>
      <c r="J97">
        <f t="shared" si="33"/>
        <v>739455</v>
      </c>
      <c r="K97">
        <f t="shared" si="33"/>
        <v>743945</v>
      </c>
      <c r="L97">
        <f t="shared" si="33"/>
        <v>748435</v>
      </c>
      <c r="M97">
        <f t="shared" si="33"/>
        <v>752925</v>
      </c>
      <c r="N97">
        <f t="shared" si="33"/>
        <v>757415</v>
      </c>
      <c r="O97">
        <f t="shared" si="33"/>
        <v>761905</v>
      </c>
      <c r="P97">
        <f t="shared" si="33"/>
        <v>766395</v>
      </c>
      <c r="Q97">
        <f>SUM(D97:P97)</f>
        <v>8900400</v>
      </c>
      <c r="R97">
        <f>Q97/13</f>
        <v>684646.15384615387</v>
      </c>
      <c r="T97">
        <f>(D97+P97)/2</f>
        <v>383197.5</v>
      </c>
      <c r="V97">
        <f>R97-T97</f>
        <v>301448.65384615387</v>
      </c>
    </row>
    <row r="98" spans="2:22" ht="12.75" customHeight="1">
      <c r="B98" t="s">
        <v>172</v>
      </c>
      <c r="D98">
        <f t="shared" si="33"/>
        <v>0</v>
      </c>
      <c r="E98">
        <f t="shared" si="33"/>
        <v>0</v>
      </c>
      <c r="F98">
        <f t="shared" si="33"/>
        <v>0</v>
      </c>
      <c r="G98">
        <f t="shared" si="33"/>
        <v>0</v>
      </c>
      <c r="H98">
        <f t="shared" si="33"/>
        <v>0</v>
      </c>
      <c r="I98">
        <f t="shared" si="33"/>
        <v>0</v>
      </c>
      <c r="J98">
        <f t="shared" si="33"/>
        <v>0</v>
      </c>
      <c r="K98">
        <f t="shared" si="33"/>
        <v>0</v>
      </c>
      <c r="L98">
        <f t="shared" si="33"/>
        <v>0</v>
      </c>
      <c r="M98">
        <f t="shared" si="33"/>
        <v>0</v>
      </c>
      <c r="N98">
        <f t="shared" si="33"/>
        <v>0</v>
      </c>
      <c r="O98">
        <f t="shared" si="33"/>
        <v>0</v>
      </c>
      <c r="P98">
        <f t="shared" si="33"/>
        <v>0</v>
      </c>
      <c r="Q98">
        <f>SUM(D98:P98)</f>
        <v>0</v>
      </c>
      <c r="R98">
        <f>Q98/13</f>
        <v>0</v>
      </c>
      <c r="T98">
        <f>(D98+P98)/2</f>
        <v>0</v>
      </c>
      <c r="V98">
        <f>R98-T98</f>
        <v>0</v>
      </c>
    </row>
    <row r="99" spans="2:22" ht="12.75" customHeight="1">
      <c r="B99" t="s">
        <v>169</v>
      </c>
      <c r="D99">
        <f t="shared" si="33"/>
        <v>0</v>
      </c>
      <c r="E99">
        <f t="shared" si="33"/>
        <v>0</v>
      </c>
      <c r="F99">
        <f t="shared" si="33"/>
        <v>0</v>
      </c>
      <c r="G99">
        <f t="shared" si="33"/>
        <v>0</v>
      </c>
      <c r="H99">
        <f t="shared" si="33"/>
        <v>0</v>
      </c>
      <c r="I99">
        <f t="shared" si="33"/>
        <v>0</v>
      </c>
      <c r="J99">
        <f t="shared" si="33"/>
        <v>0</v>
      </c>
      <c r="K99">
        <f t="shared" si="33"/>
        <v>0</v>
      </c>
      <c r="L99">
        <f t="shared" si="33"/>
        <v>0</v>
      </c>
      <c r="M99">
        <f t="shared" si="33"/>
        <v>0</v>
      </c>
      <c r="N99">
        <f t="shared" si="33"/>
        <v>0</v>
      </c>
      <c r="O99">
        <f t="shared" si="33"/>
        <v>0</v>
      </c>
      <c r="P99">
        <f t="shared" si="33"/>
        <v>0</v>
      </c>
      <c r="Q99">
        <f>SUM(D99:P99)</f>
        <v>0</v>
      </c>
      <c r="R99">
        <f>Q99/13</f>
        <v>0</v>
      </c>
      <c r="T99">
        <f>(D99+P99)/2</f>
        <v>0</v>
      </c>
      <c r="V99">
        <f>R99-T99</f>
        <v>0</v>
      </c>
    </row>
    <row r="100" spans="2:22" ht="12.75" customHeight="1">
      <c r="B100" t="s">
        <v>173</v>
      </c>
      <c r="E100">
        <f t="shared" si="33"/>
        <v>4490</v>
      </c>
      <c r="F100">
        <f t="shared" si="33"/>
        <v>4490</v>
      </c>
      <c r="G100">
        <f t="shared" si="33"/>
        <v>4490</v>
      </c>
      <c r="H100">
        <f t="shared" si="33"/>
        <v>4490</v>
      </c>
      <c r="I100">
        <f t="shared" si="33"/>
        <v>4490</v>
      </c>
      <c r="J100">
        <f t="shared" si="33"/>
        <v>4490</v>
      </c>
      <c r="K100">
        <f t="shared" si="33"/>
        <v>4490</v>
      </c>
      <c r="L100">
        <f t="shared" si="33"/>
        <v>4490</v>
      </c>
      <c r="M100">
        <f t="shared" si="33"/>
        <v>4490</v>
      </c>
      <c r="N100">
        <f t="shared" si="33"/>
        <v>4490</v>
      </c>
      <c r="O100">
        <f t="shared" si="33"/>
        <v>4490</v>
      </c>
      <c r="P100">
        <f t="shared" si="33"/>
        <v>4490</v>
      </c>
      <c r="Q100">
        <f>SUM(D100:P100)</f>
        <v>53880</v>
      </c>
      <c r="R100">
        <f>Q100/13</f>
        <v>4144.6153846153848</v>
      </c>
      <c r="T100">
        <f>(D100+P100)/2</f>
        <v>2245</v>
      </c>
      <c r="V100">
        <f>R100-T100</f>
        <v>1899.6153846153848</v>
      </c>
    </row>
    <row r="101" spans="2:22" ht="12.75" customHeight="1">
      <c r="B101" t="s">
        <v>170</v>
      </c>
      <c r="D101">
        <f>D68+D84</f>
        <v>717005</v>
      </c>
      <c r="E101">
        <f t="shared" si="33"/>
        <v>721495</v>
      </c>
      <c r="F101">
        <f t="shared" si="33"/>
        <v>725985</v>
      </c>
      <c r="G101">
        <f t="shared" si="33"/>
        <v>730475</v>
      </c>
      <c r="H101">
        <f t="shared" si="33"/>
        <v>734965</v>
      </c>
      <c r="I101">
        <f t="shared" si="33"/>
        <v>739455</v>
      </c>
      <c r="J101">
        <f t="shared" si="33"/>
        <v>743945</v>
      </c>
      <c r="K101">
        <f t="shared" si="33"/>
        <v>748435</v>
      </c>
      <c r="L101">
        <f t="shared" si="33"/>
        <v>752925</v>
      </c>
      <c r="M101">
        <f t="shared" si="33"/>
        <v>757415</v>
      </c>
      <c r="N101">
        <f t="shared" si="33"/>
        <v>761905</v>
      </c>
      <c r="O101">
        <f t="shared" si="33"/>
        <v>766395</v>
      </c>
      <c r="P101">
        <f t="shared" si="33"/>
        <v>770885</v>
      </c>
      <c r="Q101">
        <f>SUM(D101:P101)</f>
        <v>9671285</v>
      </c>
      <c r="R101">
        <f>Q101/13</f>
        <v>743945</v>
      </c>
      <c r="T101">
        <f>(D101+P101)/2</f>
        <v>743945</v>
      </c>
      <c r="V101">
        <f>R101-T101</f>
        <v>0</v>
      </c>
    </row>
    <row r="103" spans="2:22" ht="12.75" customHeight="1">
      <c r="B103" t="s">
        <v>174</v>
      </c>
      <c r="D103">
        <f>D93-D101</f>
        <v>60615</v>
      </c>
      <c r="E103">
        <f>E93-E101</f>
        <v>56125</v>
      </c>
      <c r="F103">
        <f t="shared" ref="F103:P103" si="34">F93-F101</f>
        <v>51635</v>
      </c>
      <c r="G103">
        <f t="shared" si="34"/>
        <v>47145</v>
      </c>
      <c r="H103">
        <f t="shared" si="34"/>
        <v>42655</v>
      </c>
      <c r="I103">
        <f t="shared" si="34"/>
        <v>38165</v>
      </c>
      <c r="J103">
        <f t="shared" si="34"/>
        <v>33675</v>
      </c>
      <c r="K103">
        <f t="shared" si="34"/>
        <v>29185</v>
      </c>
      <c r="L103">
        <f t="shared" si="34"/>
        <v>24695</v>
      </c>
      <c r="M103">
        <f t="shared" si="34"/>
        <v>20205</v>
      </c>
      <c r="N103">
        <f t="shared" si="34"/>
        <v>15715</v>
      </c>
      <c r="O103">
        <f t="shared" si="34"/>
        <v>11225</v>
      </c>
      <c r="P103">
        <f t="shared" si="34"/>
        <v>6735</v>
      </c>
      <c r="Q103">
        <f>SUM(D103:P103)</f>
        <v>437775</v>
      </c>
      <c r="R103">
        <f>Q103/13</f>
        <v>33675</v>
      </c>
      <c r="T103">
        <f>(D103+P103)/2</f>
        <v>33675</v>
      </c>
      <c r="V103">
        <f>R103-T103</f>
        <v>0</v>
      </c>
    </row>
    <row r="139" ht="16.5" customHeight="1"/>
  </sheetData>
  <mergeCells count="3">
    <mergeCell ref="A3:R3"/>
    <mergeCell ref="A4:T4"/>
    <mergeCell ref="A5:R5"/>
  </mergeCells>
  <printOptions horizontalCentered="1"/>
  <pageMargins left="0.27" right="0.25" top="0.47244094488188998" bottom="0.35433070866141703" header="0.23622047244094499" footer="0.15748031496063"/>
  <pageSetup scale="43" orientation="landscape" useFirstPageNumber="1" r:id="rId1"/>
  <headerFooter alignWithMargins="0"/>
  <rowBreaks count="2" manualBreakCount="2">
    <brk id="93" max="21" man="1"/>
    <brk id="13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312130">
    <tabColor theme="4" tint="0.39997558519241921"/>
    <pageSetUpPr autoPageBreaks="0" fitToPage="1"/>
  </sheetPr>
  <dimension ref="A3:V139"/>
  <sheetViews>
    <sheetView topLeftCell="A3" zoomScale="75" zoomScaleNormal="75" zoomScaleSheetLayoutView="75" workbookViewId="0">
      <pane xSplit="1" ySplit="8" topLeftCell="B42" activePane="bottomRight" state="frozen"/>
      <selection activeCell="G50" sqref="G50"/>
      <selection pane="topRight" activeCell="G50" sqref="G50"/>
      <selection pane="bottomLeft" activeCell="G50" sqref="G50"/>
      <selection pane="bottomRight" activeCell="D85" sqref="D85"/>
    </sheetView>
  </sheetViews>
  <sheetFormatPr baseColWidth="10" defaultColWidth="12.42578125" defaultRowHeight="12.75" customHeight="1"/>
  <cols>
    <col min="1" max="1" width="4.7109375" customWidth="1"/>
    <col min="2" max="2" width="31.140625" customWidth="1"/>
    <col min="3" max="3" width="9.85546875" customWidth="1"/>
    <col min="4" max="4" width="13.42578125" customWidth="1"/>
    <col min="5" max="5" width="12.7109375" customWidth="1"/>
    <col min="6" max="16" width="13.140625" customWidth="1"/>
    <col min="17" max="17" width="16" customWidth="1"/>
    <col min="18" max="18" width="16.5703125" customWidth="1"/>
    <col min="19" max="19" width="5.28515625" customWidth="1"/>
    <col min="21" max="21" width="5.42578125" customWidth="1"/>
  </cols>
  <sheetData>
    <row r="3" spans="1:22" ht="15.75" customHeight="1">
      <c r="A3" s="28" t="s">
        <v>129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2" ht="12.75" customHeight="1">
      <c r="A4" s="28" t="s">
        <v>130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2" ht="12.7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9" spans="1:22" ht="12.75" customHeight="1">
      <c r="C9" t="s">
        <v>131</v>
      </c>
      <c r="Q9" t="s">
        <v>132</v>
      </c>
      <c r="R9" t="s">
        <v>132</v>
      </c>
      <c r="T9" t="s">
        <v>133</v>
      </c>
      <c r="V9" t="s">
        <v>134</v>
      </c>
    </row>
    <row r="10" spans="1:22" ht="12.75" customHeight="1">
      <c r="C10" t="s">
        <v>135</v>
      </c>
      <c r="D10" t="s">
        <v>136</v>
      </c>
      <c r="E10" t="s">
        <v>137</v>
      </c>
      <c r="F10" t="s">
        <v>138</v>
      </c>
      <c r="G10" t="s">
        <v>139</v>
      </c>
      <c r="H10" t="s">
        <v>140</v>
      </c>
      <c r="I10" t="s">
        <v>141</v>
      </c>
      <c r="J10" t="s">
        <v>142</v>
      </c>
      <c r="K10" t="s">
        <v>143</v>
      </c>
      <c r="L10" t="s">
        <v>144</v>
      </c>
      <c r="M10" t="s">
        <v>145</v>
      </c>
      <c r="N10" t="s">
        <v>146</v>
      </c>
      <c r="O10" t="s">
        <v>147</v>
      </c>
      <c r="P10" t="s">
        <v>136</v>
      </c>
      <c r="Q10" t="s">
        <v>148</v>
      </c>
      <c r="R10" t="s">
        <v>149</v>
      </c>
      <c r="T10" t="s">
        <v>150</v>
      </c>
      <c r="V10" t="s">
        <v>151</v>
      </c>
    </row>
    <row r="11" spans="1:22" ht="12.75" customHeight="1">
      <c r="D11" t="s">
        <v>152</v>
      </c>
      <c r="E11" t="s">
        <v>153</v>
      </c>
      <c r="F11" t="s">
        <v>154</v>
      </c>
      <c r="G11" t="s">
        <v>155</v>
      </c>
      <c r="H11" t="s">
        <v>156</v>
      </c>
      <c r="I11" t="s">
        <v>157</v>
      </c>
      <c r="J11" t="s">
        <v>158</v>
      </c>
      <c r="K11" t="s">
        <v>159</v>
      </c>
      <c r="L11" t="s">
        <v>160</v>
      </c>
      <c r="M11" t="s">
        <v>161</v>
      </c>
      <c r="N11" t="s">
        <v>162</v>
      </c>
      <c r="O11" t="s">
        <v>163</v>
      </c>
      <c r="P11" t="s">
        <v>164</v>
      </c>
      <c r="Q11" t="s">
        <v>165</v>
      </c>
      <c r="R11" t="s">
        <v>166</v>
      </c>
    </row>
    <row r="14" spans="1:22" ht="12.75" customHeight="1">
      <c r="A14">
        <f>1</f>
        <v>1</v>
      </c>
      <c r="B14" t="s">
        <v>167</v>
      </c>
      <c r="E14">
        <f t="shared" ref="E14:P14" si="0">D17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>SUM(D14:P14)</f>
        <v>0</v>
      </c>
      <c r="R14">
        <f>Q14/13</f>
        <v>0</v>
      </c>
      <c r="T14">
        <f>(D14+P14)/2</f>
        <v>0</v>
      </c>
      <c r="V14">
        <f>R14-T14</f>
        <v>0</v>
      </c>
    </row>
    <row r="15" spans="1:22" ht="12.75" customHeight="1">
      <c r="A15">
        <f t="shared" ref="A15:A70" si="1">A14+1</f>
        <v>2</v>
      </c>
      <c r="B15" t="s">
        <v>168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>'GI-34 doc 3 page 1 de 2'!C37</f>
        <v>0</v>
      </c>
      <c r="Q15">
        <f>SUM(D15:P15)</f>
        <v>0</v>
      </c>
      <c r="R15">
        <f>Q15/13</f>
        <v>0</v>
      </c>
      <c r="T15">
        <f>(D15+P15)/2</f>
        <v>0</v>
      </c>
      <c r="V15">
        <f>R15-T15</f>
        <v>0</v>
      </c>
    </row>
    <row r="16" spans="1:22" ht="12.75" customHeight="1">
      <c r="A16">
        <f t="shared" si="1"/>
        <v>3</v>
      </c>
      <c r="B16" t="s">
        <v>169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SUM(D16:P16)</f>
        <v>0</v>
      </c>
      <c r="R16">
        <f>Q16/13</f>
        <v>0</v>
      </c>
      <c r="T16">
        <f>(D16+P16)/2</f>
        <v>0</v>
      </c>
      <c r="V16">
        <f>R16-T16</f>
        <v>0</v>
      </c>
    </row>
    <row r="17" spans="1:22" ht="15" customHeight="1">
      <c r="A17">
        <f t="shared" si="1"/>
        <v>4</v>
      </c>
      <c r="B17" t="s">
        <v>170</v>
      </c>
      <c r="D17">
        <f>'Depreciation 2018'!P17</f>
        <v>0</v>
      </c>
      <c r="E17">
        <f t="shared" ref="E17:P17" si="2">SUM(E14:E16)</f>
        <v>0</v>
      </c>
      <c r="F17">
        <f t="shared" si="2"/>
        <v>0</v>
      </c>
      <c r="G17">
        <f t="shared" si="2"/>
        <v>0</v>
      </c>
      <c r="H17">
        <f t="shared" si="2"/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>SUM(D17:P17)</f>
        <v>0</v>
      </c>
      <c r="R17">
        <f>Q17/13</f>
        <v>0</v>
      </c>
      <c r="T17">
        <f>(D17+P17)/2</f>
        <v>0</v>
      </c>
      <c r="V17">
        <f>R17-T17</f>
        <v>0</v>
      </c>
    </row>
    <row r="18" spans="1:22" ht="12.75" customHeight="1">
      <c r="A18">
        <f t="shared" si="1"/>
        <v>5</v>
      </c>
    </row>
    <row r="19" spans="1:22" ht="12.75" customHeight="1">
      <c r="A19">
        <f t="shared" si="1"/>
        <v>6</v>
      </c>
      <c r="B19" t="s">
        <v>171</v>
      </c>
      <c r="E19">
        <f t="shared" ref="E19:P19" si="3">D23</f>
        <v>0</v>
      </c>
      <c r="F19">
        <f t="shared" si="3"/>
        <v>0</v>
      </c>
      <c r="G19">
        <f t="shared" si="3"/>
        <v>0</v>
      </c>
      <c r="H19">
        <f t="shared" si="3"/>
        <v>0</v>
      </c>
      <c r="I19">
        <f t="shared" si="3"/>
        <v>0</v>
      </c>
      <c r="J19">
        <f t="shared" si="3"/>
        <v>0</v>
      </c>
      <c r="K19">
        <f t="shared" si="3"/>
        <v>0</v>
      </c>
      <c r="L19">
        <f t="shared" si="3"/>
        <v>0</v>
      </c>
      <c r="M19">
        <f t="shared" si="3"/>
        <v>0</v>
      </c>
      <c r="N19">
        <f t="shared" si="3"/>
        <v>0</v>
      </c>
      <c r="O19">
        <f t="shared" si="3"/>
        <v>0</v>
      </c>
      <c r="P19">
        <f t="shared" si="3"/>
        <v>0</v>
      </c>
      <c r="Q19">
        <f>SUM(D19:P19)</f>
        <v>0</v>
      </c>
      <c r="R19">
        <f>Q19/13</f>
        <v>0</v>
      </c>
      <c r="T19">
        <f>(D19+P19)/2</f>
        <v>0</v>
      </c>
      <c r="V19">
        <f>R19-T19</f>
        <v>0</v>
      </c>
    </row>
    <row r="20" spans="1:22" ht="12.75" customHeight="1">
      <c r="A20">
        <f t="shared" si="1"/>
        <v>7</v>
      </c>
      <c r="B20" t="s">
        <v>172</v>
      </c>
      <c r="Q20">
        <f>SUM(D20:P20)</f>
        <v>0</v>
      </c>
      <c r="R20">
        <f>Q20/13</f>
        <v>0</v>
      </c>
      <c r="T20">
        <f>(D20+P20)/2</f>
        <v>0</v>
      </c>
      <c r="V20">
        <f>R20-T20</f>
        <v>0</v>
      </c>
    </row>
    <row r="21" spans="1:22" ht="12.75" customHeight="1">
      <c r="A21">
        <f t="shared" si="1"/>
        <v>8</v>
      </c>
      <c r="B21" t="s">
        <v>169</v>
      </c>
      <c r="E21">
        <f t="shared" ref="E21:P21" si="4">E16</f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4"/>
        <v>0</v>
      </c>
      <c r="N21">
        <f t="shared" si="4"/>
        <v>0</v>
      </c>
      <c r="O21">
        <f t="shared" si="4"/>
        <v>0</v>
      </c>
      <c r="P21">
        <f t="shared" si="4"/>
        <v>0</v>
      </c>
      <c r="Q21">
        <f>SUM(D20:P21)</f>
        <v>0</v>
      </c>
      <c r="R21">
        <f>Q21/13</f>
        <v>0</v>
      </c>
      <c r="T21">
        <f>(D21+P21)/2</f>
        <v>0</v>
      </c>
      <c r="V21">
        <f>R21-T21</f>
        <v>0</v>
      </c>
    </row>
    <row r="22" spans="1:22" ht="12.75" customHeight="1">
      <c r="A22">
        <f t="shared" si="1"/>
        <v>9</v>
      </c>
      <c r="B22" t="s">
        <v>173</v>
      </c>
      <c r="C22">
        <v>2.2200000000000002</v>
      </c>
      <c r="E22">
        <f t="shared" ref="E22:P22" si="5">E17*$C22/100/12</f>
        <v>0</v>
      </c>
      <c r="F22">
        <f t="shared" si="5"/>
        <v>0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  <c r="Q22">
        <f>SUM(D22:P22)</f>
        <v>0</v>
      </c>
      <c r="R22">
        <f>Q22/13</f>
        <v>0</v>
      </c>
      <c r="T22">
        <f>(D22+P22)/2</f>
        <v>0</v>
      </c>
      <c r="V22">
        <f>R22-T22</f>
        <v>0</v>
      </c>
    </row>
    <row r="23" spans="1:22" ht="15" customHeight="1">
      <c r="A23">
        <f t="shared" si="1"/>
        <v>10</v>
      </c>
      <c r="B23" t="s">
        <v>170</v>
      </c>
      <c r="D23">
        <f>'Depreciation 2018'!P23</f>
        <v>0</v>
      </c>
      <c r="E23">
        <f>SUM(E19:E22)</f>
        <v>0</v>
      </c>
      <c r="F23">
        <f t="shared" ref="F23:P23" si="6">SUM(F19:F22)</f>
        <v>0</v>
      </c>
      <c r="G23">
        <f t="shared" si="6"/>
        <v>0</v>
      </c>
      <c r="H23">
        <f t="shared" si="6"/>
        <v>0</v>
      </c>
      <c r="I23">
        <f t="shared" si="6"/>
        <v>0</v>
      </c>
      <c r="J23">
        <f t="shared" si="6"/>
        <v>0</v>
      </c>
      <c r="K23">
        <f t="shared" si="6"/>
        <v>0</v>
      </c>
      <c r="L23">
        <f t="shared" si="6"/>
        <v>0</v>
      </c>
      <c r="M23">
        <f t="shared" si="6"/>
        <v>0</v>
      </c>
      <c r="N23">
        <f t="shared" si="6"/>
        <v>0</v>
      </c>
      <c r="O23">
        <f t="shared" si="6"/>
        <v>0</v>
      </c>
      <c r="P23">
        <f t="shared" si="6"/>
        <v>0</v>
      </c>
      <c r="Q23">
        <f>SUM(D23:P23)</f>
        <v>0</v>
      </c>
      <c r="R23">
        <f>Q23/13</f>
        <v>0</v>
      </c>
      <c r="T23">
        <f>(D23+P23)/2</f>
        <v>0</v>
      </c>
      <c r="V23">
        <f>R23-T23</f>
        <v>0</v>
      </c>
    </row>
    <row r="24" spans="1:22" ht="12.75" customHeight="1">
      <c r="A24">
        <f t="shared" si="1"/>
        <v>11</v>
      </c>
    </row>
    <row r="25" spans="1:22" ht="12.75" customHeight="1">
      <c r="A25">
        <f t="shared" si="1"/>
        <v>12</v>
      </c>
      <c r="B25" t="s">
        <v>174</v>
      </c>
      <c r="D25">
        <f t="shared" ref="D25:P25" si="7">D17-D23</f>
        <v>0</v>
      </c>
      <c r="E25">
        <f t="shared" si="7"/>
        <v>0</v>
      </c>
      <c r="F25">
        <f t="shared" si="7"/>
        <v>0</v>
      </c>
      <c r="G25">
        <f t="shared" si="7"/>
        <v>0</v>
      </c>
      <c r="H25">
        <f t="shared" si="7"/>
        <v>0</v>
      </c>
      <c r="I25">
        <f t="shared" si="7"/>
        <v>0</v>
      </c>
      <c r="J25">
        <f t="shared" si="7"/>
        <v>0</v>
      </c>
      <c r="K25">
        <f t="shared" si="7"/>
        <v>0</v>
      </c>
      <c r="L25">
        <f t="shared" si="7"/>
        <v>0</v>
      </c>
      <c r="M25">
        <f t="shared" si="7"/>
        <v>0</v>
      </c>
      <c r="N25">
        <f t="shared" si="7"/>
        <v>0</v>
      </c>
      <c r="O25">
        <f t="shared" si="7"/>
        <v>0</v>
      </c>
      <c r="P25">
        <f t="shared" si="7"/>
        <v>0</v>
      </c>
      <c r="Q25">
        <f>SUM(D25:P25)</f>
        <v>0</v>
      </c>
      <c r="R25">
        <f>Q25/13</f>
        <v>0</v>
      </c>
      <c r="T25">
        <f>(D25+P25)/2</f>
        <v>0</v>
      </c>
      <c r="V25">
        <f>R25-T25</f>
        <v>0</v>
      </c>
    </row>
    <row r="26" spans="1:22" ht="12.75" customHeight="1">
      <c r="A26">
        <f t="shared" si="1"/>
        <v>13</v>
      </c>
    </row>
    <row r="27" spans="1:22" ht="12.75" customHeight="1">
      <c r="A27">
        <f t="shared" si="1"/>
        <v>14</v>
      </c>
    </row>
    <row r="28" spans="1:22" ht="12.75" customHeight="1">
      <c r="A28">
        <f t="shared" si="1"/>
        <v>15</v>
      </c>
      <c r="B28" t="s">
        <v>175</v>
      </c>
      <c r="E28">
        <f t="shared" ref="E28:P28" si="8">D31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>SUM(D28:P28)</f>
        <v>0</v>
      </c>
      <c r="R28">
        <f>Q28/13</f>
        <v>0</v>
      </c>
      <c r="T28">
        <f>(D28+P28)/2</f>
        <v>0</v>
      </c>
      <c r="V28">
        <f>R28-T28</f>
        <v>0</v>
      </c>
    </row>
    <row r="29" spans="1:22" ht="12.75" customHeight="1">
      <c r="A29">
        <f t="shared" si="1"/>
        <v>16</v>
      </c>
      <c r="B29" t="s">
        <v>168</v>
      </c>
      <c r="K29">
        <f>'GI-34 doc 3 page 1 de 2'!D37</f>
        <v>0</v>
      </c>
      <c r="Q29">
        <f>SUM(D29:P29)</f>
        <v>0</v>
      </c>
      <c r="R29">
        <f>Q29/13</f>
        <v>0</v>
      </c>
      <c r="T29">
        <f>(D29+P29)/2</f>
        <v>0</v>
      </c>
      <c r="V29">
        <f>R29-T29</f>
        <v>0</v>
      </c>
    </row>
    <row r="30" spans="1:22" ht="12.75" customHeight="1">
      <c r="A30">
        <f t="shared" si="1"/>
        <v>17</v>
      </c>
      <c r="B30" t="s">
        <v>169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SUM(D30:P30)</f>
        <v>0</v>
      </c>
      <c r="R30">
        <f>Q30/13</f>
        <v>0</v>
      </c>
      <c r="T30">
        <f>(D30+P30)/2</f>
        <v>0</v>
      </c>
      <c r="V30">
        <f>R30-T30</f>
        <v>0</v>
      </c>
    </row>
    <row r="31" spans="1:22" ht="12.75" customHeight="1">
      <c r="A31">
        <f t="shared" si="1"/>
        <v>18</v>
      </c>
      <c r="B31" t="s">
        <v>170</v>
      </c>
      <c r="D31">
        <f>'Depreciation 2018'!P31</f>
        <v>0</v>
      </c>
      <c r="E31">
        <f t="shared" ref="E31:P31" si="9">SUM(E28:E30)</f>
        <v>0</v>
      </c>
      <c r="F31">
        <f t="shared" si="9"/>
        <v>0</v>
      </c>
      <c r="G31">
        <f t="shared" si="9"/>
        <v>0</v>
      </c>
      <c r="H31">
        <f t="shared" si="9"/>
        <v>0</v>
      </c>
      <c r="I31">
        <f t="shared" si="9"/>
        <v>0</v>
      </c>
      <c r="J31">
        <f t="shared" si="9"/>
        <v>0</v>
      </c>
      <c r="K31">
        <f t="shared" si="9"/>
        <v>0</v>
      </c>
      <c r="L31">
        <f t="shared" si="9"/>
        <v>0</v>
      </c>
      <c r="M31">
        <f t="shared" si="9"/>
        <v>0</v>
      </c>
      <c r="N31">
        <f t="shared" si="9"/>
        <v>0</v>
      </c>
      <c r="O31">
        <f t="shared" si="9"/>
        <v>0</v>
      </c>
      <c r="P31">
        <f t="shared" si="9"/>
        <v>0</v>
      </c>
      <c r="Q31">
        <f>SUM(D31:P31)</f>
        <v>0</v>
      </c>
      <c r="R31">
        <f>Q31/13</f>
        <v>0</v>
      </c>
      <c r="T31">
        <f>(D31+P31)/2</f>
        <v>0</v>
      </c>
      <c r="V31">
        <f>R31-T31</f>
        <v>0</v>
      </c>
    </row>
    <row r="32" spans="1:22" ht="12.75" customHeight="1">
      <c r="A32">
        <f t="shared" si="1"/>
        <v>19</v>
      </c>
    </row>
    <row r="33" spans="1:22" ht="12.75" customHeight="1">
      <c r="A33">
        <f t="shared" si="1"/>
        <v>20</v>
      </c>
      <c r="B33" t="s">
        <v>171</v>
      </c>
      <c r="E33">
        <f t="shared" ref="E33:P33" si="10">D37</f>
        <v>0</v>
      </c>
      <c r="F33">
        <f t="shared" si="10"/>
        <v>0</v>
      </c>
      <c r="G33">
        <f t="shared" si="10"/>
        <v>0</v>
      </c>
      <c r="H33">
        <f t="shared" si="10"/>
        <v>0</v>
      </c>
      <c r="I33">
        <f t="shared" si="10"/>
        <v>0</v>
      </c>
      <c r="J33">
        <f t="shared" si="10"/>
        <v>0</v>
      </c>
      <c r="K33">
        <f t="shared" si="10"/>
        <v>0</v>
      </c>
      <c r="L33">
        <f t="shared" si="10"/>
        <v>0</v>
      </c>
      <c r="M33">
        <f t="shared" si="10"/>
        <v>0</v>
      </c>
      <c r="N33">
        <f t="shared" si="10"/>
        <v>0</v>
      </c>
      <c r="O33">
        <f t="shared" si="10"/>
        <v>0</v>
      </c>
      <c r="P33">
        <f t="shared" si="10"/>
        <v>0</v>
      </c>
      <c r="Q33">
        <f>SUM(D33:P33)</f>
        <v>0</v>
      </c>
      <c r="R33">
        <f>Q33/13</f>
        <v>0</v>
      </c>
      <c r="T33">
        <f>(D33+P33)/2</f>
        <v>0</v>
      </c>
      <c r="V33">
        <f>R33-T33</f>
        <v>0</v>
      </c>
    </row>
    <row r="34" spans="1:22" ht="12.75" customHeight="1">
      <c r="A34">
        <f t="shared" si="1"/>
        <v>21</v>
      </c>
      <c r="B34" t="s">
        <v>172</v>
      </c>
      <c r="Q34">
        <f>SUM(D34:P34)</f>
        <v>0</v>
      </c>
      <c r="R34">
        <f>Q34/13</f>
        <v>0</v>
      </c>
      <c r="T34">
        <f>(D34+P34)/2</f>
        <v>0</v>
      </c>
      <c r="V34">
        <f>R34-T34</f>
        <v>0</v>
      </c>
    </row>
    <row r="35" spans="1:22" ht="12.75" customHeight="1">
      <c r="A35">
        <f t="shared" si="1"/>
        <v>22</v>
      </c>
      <c r="B35" t="s">
        <v>169</v>
      </c>
      <c r="E35">
        <f t="shared" ref="E35:P35" si="11">E30</f>
        <v>0</v>
      </c>
      <c r="F35">
        <f t="shared" si="11"/>
        <v>0</v>
      </c>
      <c r="G35">
        <f t="shared" si="11"/>
        <v>0</v>
      </c>
      <c r="H35">
        <f t="shared" si="11"/>
        <v>0</v>
      </c>
      <c r="I35">
        <f t="shared" si="11"/>
        <v>0</v>
      </c>
      <c r="J35">
        <f t="shared" si="11"/>
        <v>0</v>
      </c>
      <c r="K35">
        <f t="shared" si="11"/>
        <v>0</v>
      </c>
      <c r="L35">
        <f t="shared" si="11"/>
        <v>0</v>
      </c>
      <c r="M35">
        <f t="shared" si="11"/>
        <v>0</v>
      </c>
      <c r="N35">
        <f t="shared" si="11"/>
        <v>0</v>
      </c>
      <c r="O35">
        <f t="shared" si="11"/>
        <v>0</v>
      </c>
      <c r="P35">
        <f t="shared" si="11"/>
        <v>0</v>
      </c>
      <c r="Q35">
        <f>SUM(D34:P35)</f>
        <v>0</v>
      </c>
      <c r="R35">
        <f>Q35/13</f>
        <v>0</v>
      </c>
      <c r="T35">
        <f>(D35+P35)/2</f>
        <v>0</v>
      </c>
      <c r="V35">
        <f>R35-T35</f>
        <v>0</v>
      </c>
    </row>
    <row r="36" spans="1:22" ht="12.75" customHeight="1">
      <c r="A36">
        <f t="shared" si="1"/>
        <v>23</v>
      </c>
      <c r="B36" t="s">
        <v>173</v>
      </c>
      <c r="C36">
        <f>'[8]Coût de service'!R8*100</f>
        <v>4.5199999999999996</v>
      </c>
      <c r="E36">
        <f t="shared" ref="E36:P36" si="12">E31*$C36/100/12</f>
        <v>0</v>
      </c>
      <c r="F36">
        <f t="shared" si="12"/>
        <v>0</v>
      </c>
      <c r="G36">
        <f t="shared" si="12"/>
        <v>0</v>
      </c>
      <c r="H36">
        <f t="shared" si="12"/>
        <v>0</v>
      </c>
      <c r="I36">
        <f t="shared" si="12"/>
        <v>0</v>
      </c>
      <c r="J36">
        <f t="shared" si="12"/>
        <v>0</v>
      </c>
      <c r="K36">
        <f t="shared" si="12"/>
        <v>0</v>
      </c>
      <c r="L36">
        <f t="shared" si="12"/>
        <v>0</v>
      </c>
      <c r="M36">
        <f t="shared" si="12"/>
        <v>0</v>
      </c>
      <c r="N36">
        <f t="shared" si="12"/>
        <v>0</v>
      </c>
      <c r="O36">
        <f t="shared" si="12"/>
        <v>0</v>
      </c>
      <c r="P36">
        <f t="shared" si="12"/>
        <v>0</v>
      </c>
      <c r="Q36">
        <f>SUM(D36:P36)</f>
        <v>0</v>
      </c>
      <c r="R36">
        <f>Q36/13</f>
        <v>0</v>
      </c>
      <c r="T36">
        <f>(D36+P36)/2</f>
        <v>0</v>
      </c>
      <c r="V36">
        <f>R36-T36</f>
        <v>0</v>
      </c>
    </row>
    <row r="37" spans="1:22" ht="12.75" customHeight="1">
      <c r="A37">
        <f t="shared" si="1"/>
        <v>24</v>
      </c>
      <c r="B37" t="s">
        <v>170</v>
      </c>
      <c r="D37">
        <f>'Depreciation 2018'!P37</f>
        <v>0</v>
      </c>
      <c r="E37">
        <f t="shared" ref="E37:P37" si="13">SUM(E33:E36)</f>
        <v>0</v>
      </c>
      <c r="F37">
        <f t="shared" si="13"/>
        <v>0</v>
      </c>
      <c r="G37">
        <f t="shared" si="13"/>
        <v>0</v>
      </c>
      <c r="H37">
        <f t="shared" si="13"/>
        <v>0</v>
      </c>
      <c r="I37">
        <f t="shared" si="13"/>
        <v>0</v>
      </c>
      <c r="J37">
        <f t="shared" si="13"/>
        <v>0</v>
      </c>
      <c r="K37">
        <f t="shared" si="13"/>
        <v>0</v>
      </c>
      <c r="L37">
        <f t="shared" si="13"/>
        <v>0</v>
      </c>
      <c r="M37">
        <f t="shared" si="13"/>
        <v>0</v>
      </c>
      <c r="N37">
        <f t="shared" si="13"/>
        <v>0</v>
      </c>
      <c r="O37">
        <f t="shared" si="13"/>
        <v>0</v>
      </c>
      <c r="P37">
        <f t="shared" si="13"/>
        <v>0</v>
      </c>
      <c r="Q37">
        <f>SUM(D37:P37)</f>
        <v>0</v>
      </c>
      <c r="R37">
        <f>Q37/13</f>
        <v>0</v>
      </c>
      <c r="T37">
        <f>(D37+P37)/2</f>
        <v>0</v>
      </c>
      <c r="V37">
        <f>R37-T37</f>
        <v>0</v>
      </c>
    </row>
    <row r="38" spans="1:22" ht="12.75" customHeight="1">
      <c r="A38">
        <f t="shared" si="1"/>
        <v>25</v>
      </c>
    </row>
    <row r="39" spans="1:22" ht="12.75" customHeight="1">
      <c r="A39">
        <f t="shared" si="1"/>
        <v>26</v>
      </c>
      <c r="B39" t="s">
        <v>174</v>
      </c>
      <c r="D39">
        <f t="shared" ref="D39:P39" si="14">D31-D37</f>
        <v>0</v>
      </c>
      <c r="E39">
        <f t="shared" si="14"/>
        <v>0</v>
      </c>
      <c r="F39">
        <f t="shared" si="14"/>
        <v>0</v>
      </c>
      <c r="G39">
        <f t="shared" si="14"/>
        <v>0</v>
      </c>
      <c r="H39">
        <f t="shared" si="14"/>
        <v>0</v>
      </c>
      <c r="I39">
        <f t="shared" si="14"/>
        <v>0</v>
      </c>
      <c r="J39">
        <f t="shared" si="14"/>
        <v>0</v>
      </c>
      <c r="K39">
        <f t="shared" si="14"/>
        <v>0</v>
      </c>
      <c r="L39">
        <f t="shared" si="14"/>
        <v>0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  <c r="Q39">
        <f>SUM(D39:P39)</f>
        <v>0</v>
      </c>
      <c r="R39">
        <f>Q39/13</f>
        <v>0</v>
      </c>
      <c r="T39">
        <f>(D39+P39)/2</f>
        <v>0</v>
      </c>
      <c r="V39">
        <f>R39-T39</f>
        <v>0</v>
      </c>
    </row>
    <row r="40" spans="1:22" ht="12.75" customHeight="1">
      <c r="A40">
        <f t="shared" si="1"/>
        <v>27</v>
      </c>
    </row>
    <row r="41" spans="1:22" ht="12.75" customHeight="1">
      <c r="A41">
        <v>28</v>
      </c>
    </row>
    <row r="42" spans="1:22" ht="12.75" customHeight="1">
      <c r="A42">
        <v>29</v>
      </c>
      <c r="B42" t="s">
        <v>176</v>
      </c>
      <c r="E42">
        <f t="shared" ref="E42:P42" si="15">D45</f>
        <v>215520</v>
      </c>
      <c r="F42">
        <f t="shared" si="15"/>
        <v>215520</v>
      </c>
      <c r="G42">
        <f t="shared" si="15"/>
        <v>215520</v>
      </c>
      <c r="H42">
        <f t="shared" si="15"/>
        <v>215520</v>
      </c>
      <c r="I42">
        <f t="shared" si="15"/>
        <v>215520</v>
      </c>
      <c r="J42">
        <f t="shared" si="15"/>
        <v>215520</v>
      </c>
      <c r="K42">
        <f t="shared" si="15"/>
        <v>215520</v>
      </c>
      <c r="L42">
        <f t="shared" si="15"/>
        <v>215520</v>
      </c>
      <c r="M42">
        <f t="shared" si="15"/>
        <v>215520</v>
      </c>
      <c r="N42">
        <f t="shared" si="15"/>
        <v>215520</v>
      </c>
      <c r="O42">
        <f t="shared" si="15"/>
        <v>215520</v>
      </c>
      <c r="P42">
        <f t="shared" si="15"/>
        <v>215520</v>
      </c>
      <c r="Q42">
        <f>SUM(D42:P42)</f>
        <v>2586240</v>
      </c>
      <c r="R42">
        <f>Q42/13</f>
        <v>198941.53846153847</v>
      </c>
      <c r="T42">
        <f>(D42+P42)/2</f>
        <v>107760</v>
      </c>
      <c r="V42">
        <f>R42-T42</f>
        <v>91181.538461538468</v>
      </c>
    </row>
    <row r="43" spans="1:22" ht="12.75" customHeight="1">
      <c r="A43">
        <v>30</v>
      </c>
      <c r="B43" t="s">
        <v>168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>'GI-34 doc 3 page 1 de 2'!E37</f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f>SUM(D43:P43)</f>
        <v>0</v>
      </c>
      <c r="R43">
        <f>Q43/13</f>
        <v>0</v>
      </c>
      <c r="T43">
        <f>(D43+P43)/2</f>
        <v>0</v>
      </c>
      <c r="V43">
        <f>R43-T43</f>
        <v>0</v>
      </c>
    </row>
    <row r="44" spans="1:22" ht="12.75" customHeight="1">
      <c r="A44">
        <f t="shared" si="1"/>
        <v>31</v>
      </c>
      <c r="B44" t="s">
        <v>169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>SUM(D44:P44)</f>
        <v>0</v>
      </c>
      <c r="R44">
        <f>Q44/13</f>
        <v>0</v>
      </c>
      <c r="T44">
        <f>(D44+P44)/2</f>
        <v>0</v>
      </c>
      <c r="V44">
        <f>R44-T44</f>
        <v>0</v>
      </c>
    </row>
    <row r="45" spans="1:22" ht="12.75" customHeight="1">
      <c r="A45">
        <f t="shared" si="1"/>
        <v>32</v>
      </c>
      <c r="B45" t="s">
        <v>170</v>
      </c>
      <c r="D45">
        <f>'Depreciation 2020'!P45</f>
        <v>215520</v>
      </c>
      <c r="E45">
        <f t="shared" ref="E45:P45" si="16">SUM(E42:E44)</f>
        <v>215520</v>
      </c>
      <c r="F45">
        <f t="shared" si="16"/>
        <v>215520</v>
      </c>
      <c r="G45">
        <f t="shared" si="16"/>
        <v>215520</v>
      </c>
      <c r="H45">
        <f t="shared" si="16"/>
        <v>215520</v>
      </c>
      <c r="I45">
        <f t="shared" si="16"/>
        <v>215520</v>
      </c>
      <c r="J45">
        <f t="shared" si="16"/>
        <v>215520</v>
      </c>
      <c r="K45">
        <f t="shared" si="16"/>
        <v>215520</v>
      </c>
      <c r="L45">
        <f t="shared" si="16"/>
        <v>215520</v>
      </c>
      <c r="M45">
        <f t="shared" si="16"/>
        <v>215520</v>
      </c>
      <c r="N45">
        <f t="shared" si="16"/>
        <v>215520</v>
      </c>
      <c r="O45">
        <f t="shared" si="16"/>
        <v>215520</v>
      </c>
      <c r="P45">
        <f t="shared" si="16"/>
        <v>215520</v>
      </c>
      <c r="Q45">
        <f>SUM(D45:P45)</f>
        <v>2801760</v>
      </c>
      <c r="R45">
        <f>Q45/13</f>
        <v>215520</v>
      </c>
      <c r="T45">
        <f>(D45+P45)/2</f>
        <v>215520</v>
      </c>
      <c r="V45">
        <f>R45-T45</f>
        <v>0</v>
      </c>
    </row>
    <row r="46" spans="1:22" ht="12.75" customHeight="1">
      <c r="A46">
        <f t="shared" si="1"/>
        <v>33</v>
      </c>
    </row>
    <row r="47" spans="1:22" ht="12.75" customHeight="1">
      <c r="A47">
        <f t="shared" si="1"/>
        <v>34</v>
      </c>
      <c r="B47" t="s">
        <v>171</v>
      </c>
      <c r="E47">
        <f t="shared" ref="E47:P47" si="17">D51</f>
        <v>208785</v>
      </c>
      <c r="F47">
        <f t="shared" si="17"/>
        <v>213275</v>
      </c>
      <c r="G47">
        <f t="shared" si="17"/>
        <v>215520</v>
      </c>
      <c r="H47">
        <f t="shared" si="17"/>
        <v>215520</v>
      </c>
      <c r="I47">
        <f t="shared" si="17"/>
        <v>215520</v>
      </c>
      <c r="J47">
        <f t="shared" si="17"/>
        <v>215520</v>
      </c>
      <c r="K47">
        <f t="shared" si="17"/>
        <v>215520</v>
      </c>
      <c r="L47">
        <f t="shared" si="17"/>
        <v>215520</v>
      </c>
      <c r="M47">
        <f t="shared" si="17"/>
        <v>215520</v>
      </c>
      <c r="N47">
        <f t="shared" si="17"/>
        <v>215520</v>
      </c>
      <c r="O47">
        <f t="shared" si="17"/>
        <v>215520</v>
      </c>
      <c r="P47">
        <f t="shared" si="17"/>
        <v>215520</v>
      </c>
      <c r="Q47">
        <f>SUM(D47:P47)</f>
        <v>2577260</v>
      </c>
      <c r="R47">
        <f>Q47/13</f>
        <v>198250.76923076922</v>
      </c>
      <c r="T47">
        <f>(D47+P47)/2</f>
        <v>107760</v>
      </c>
      <c r="V47">
        <f>R47-T47</f>
        <v>90490.76923076922</v>
      </c>
    </row>
    <row r="48" spans="1:22" ht="12.75" customHeight="1">
      <c r="A48">
        <f t="shared" si="1"/>
        <v>35</v>
      </c>
      <c r="B48" t="s">
        <v>172</v>
      </c>
      <c r="Q48">
        <f>SUM(D48:P48)</f>
        <v>0</v>
      </c>
      <c r="R48">
        <f>Q48/13</f>
        <v>0</v>
      </c>
      <c r="T48">
        <f>(D48+P48)/2</f>
        <v>0</v>
      </c>
      <c r="V48">
        <f>R48-T48</f>
        <v>0</v>
      </c>
    </row>
    <row r="49" spans="1:22" ht="12.75" customHeight="1">
      <c r="A49">
        <f t="shared" si="1"/>
        <v>36</v>
      </c>
      <c r="B49" t="s">
        <v>169</v>
      </c>
      <c r="E49">
        <f t="shared" ref="E49:P49" si="18">E44</f>
        <v>0</v>
      </c>
      <c r="F49">
        <f t="shared" si="18"/>
        <v>0</v>
      </c>
      <c r="G49">
        <f t="shared" si="18"/>
        <v>0</v>
      </c>
      <c r="H49">
        <f t="shared" si="18"/>
        <v>0</v>
      </c>
      <c r="I49">
        <f t="shared" si="18"/>
        <v>0</v>
      </c>
      <c r="J49">
        <f t="shared" si="18"/>
        <v>0</v>
      </c>
      <c r="K49">
        <f t="shared" si="18"/>
        <v>0</v>
      </c>
      <c r="L49">
        <f t="shared" si="18"/>
        <v>0</v>
      </c>
      <c r="M49">
        <f t="shared" si="18"/>
        <v>0</v>
      </c>
      <c r="N49">
        <f t="shared" si="18"/>
        <v>0</v>
      </c>
      <c r="O49">
        <f t="shared" si="18"/>
        <v>0</v>
      </c>
      <c r="P49">
        <f t="shared" si="18"/>
        <v>0</v>
      </c>
      <c r="Q49">
        <f>SUM(D48:P49)</f>
        <v>0</v>
      </c>
      <c r="R49">
        <f>Q49/13</f>
        <v>0</v>
      </c>
      <c r="T49">
        <f>(D49+P49)/2</f>
        <v>0</v>
      </c>
      <c r="V49">
        <f>R49-T49</f>
        <v>0</v>
      </c>
    </row>
    <row r="50" spans="1:22" ht="12.75" customHeight="1">
      <c r="A50">
        <f t="shared" si="1"/>
        <v>37</v>
      </c>
      <c r="B50" t="s">
        <v>173</v>
      </c>
      <c r="C50">
        <v>25</v>
      </c>
      <c r="E50">
        <f t="shared" ref="E50:P50" si="19">IF(E45-E47-(E45*$C50/100/12)&lt;0,E45-E47,E45*$C50/100/12)</f>
        <v>4490</v>
      </c>
      <c r="F50">
        <f t="shared" si="19"/>
        <v>2245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>
        <f t="shared" si="19"/>
        <v>0</v>
      </c>
      <c r="O50">
        <f t="shared" si="19"/>
        <v>0</v>
      </c>
      <c r="P50">
        <f t="shared" si="19"/>
        <v>0</v>
      </c>
      <c r="Q50">
        <f>SUM(D50:P50)</f>
        <v>6735</v>
      </c>
      <c r="R50">
        <f>Q50/13</f>
        <v>518.07692307692309</v>
      </c>
      <c r="T50">
        <f>(D50+P50)/2</f>
        <v>0</v>
      </c>
      <c r="V50">
        <f>R50-T50</f>
        <v>518.07692307692309</v>
      </c>
    </row>
    <row r="51" spans="1:22" ht="12.75" customHeight="1">
      <c r="A51">
        <f t="shared" si="1"/>
        <v>38</v>
      </c>
      <c r="B51" t="s">
        <v>170</v>
      </c>
      <c r="D51">
        <f>'Depreciation 2020'!P51</f>
        <v>208785</v>
      </c>
      <c r="E51">
        <f t="shared" ref="E51:P51" si="20">SUM(E47:E50)</f>
        <v>213275</v>
      </c>
      <c r="F51">
        <f t="shared" si="20"/>
        <v>215520</v>
      </c>
      <c r="G51">
        <f t="shared" si="20"/>
        <v>215520</v>
      </c>
      <c r="H51">
        <f t="shared" si="20"/>
        <v>215520</v>
      </c>
      <c r="I51">
        <f t="shared" si="20"/>
        <v>215520</v>
      </c>
      <c r="J51">
        <f t="shared" si="20"/>
        <v>215520</v>
      </c>
      <c r="K51">
        <f t="shared" si="20"/>
        <v>215520</v>
      </c>
      <c r="L51">
        <f t="shared" si="20"/>
        <v>215520</v>
      </c>
      <c r="M51">
        <f t="shared" si="20"/>
        <v>215520</v>
      </c>
      <c r="N51">
        <f t="shared" si="20"/>
        <v>215520</v>
      </c>
      <c r="O51">
        <f t="shared" si="20"/>
        <v>215520</v>
      </c>
      <c r="P51">
        <f t="shared" si="20"/>
        <v>215520</v>
      </c>
      <c r="Q51">
        <f>SUM(D51:P51)</f>
        <v>2792780</v>
      </c>
      <c r="R51">
        <f>Q51/13</f>
        <v>214829.23076923078</v>
      </c>
      <c r="T51">
        <f>(D51+P51)/2</f>
        <v>212152.5</v>
      </c>
      <c r="V51">
        <f>R51-T51</f>
        <v>2676.7307692307804</v>
      </c>
    </row>
    <row r="52" spans="1:22" ht="12.75" customHeight="1">
      <c r="A52">
        <f t="shared" si="1"/>
        <v>39</v>
      </c>
    </row>
    <row r="53" spans="1:22" ht="12.75" customHeight="1">
      <c r="A53">
        <f t="shared" si="1"/>
        <v>40</v>
      </c>
      <c r="B53" t="s">
        <v>174</v>
      </c>
      <c r="D53">
        <f t="shared" ref="D53:P53" si="21">D45-D51</f>
        <v>6735</v>
      </c>
      <c r="E53">
        <f t="shared" si="21"/>
        <v>2245</v>
      </c>
      <c r="F53">
        <f t="shared" si="21"/>
        <v>0</v>
      </c>
      <c r="G53">
        <f t="shared" si="21"/>
        <v>0</v>
      </c>
      <c r="H53">
        <f t="shared" si="21"/>
        <v>0</v>
      </c>
      <c r="I53">
        <f t="shared" si="21"/>
        <v>0</v>
      </c>
      <c r="J53">
        <f t="shared" si="21"/>
        <v>0</v>
      </c>
      <c r="K53">
        <f t="shared" si="21"/>
        <v>0</v>
      </c>
      <c r="L53">
        <f t="shared" si="21"/>
        <v>0</v>
      </c>
      <c r="M53">
        <f t="shared" si="21"/>
        <v>0</v>
      </c>
      <c r="N53">
        <f t="shared" si="21"/>
        <v>0</v>
      </c>
      <c r="O53">
        <f t="shared" si="21"/>
        <v>0</v>
      </c>
      <c r="P53">
        <f t="shared" si="21"/>
        <v>0</v>
      </c>
      <c r="Q53">
        <f>SUM(D53:P53)</f>
        <v>8980</v>
      </c>
      <c r="R53">
        <f>Q53/13</f>
        <v>690.76923076923072</v>
      </c>
      <c r="T53">
        <f>(D53+P53)/2</f>
        <v>3367.5</v>
      </c>
      <c r="V53">
        <f>R53-T53</f>
        <v>-2676.7307692307695</v>
      </c>
    </row>
    <row r="54" spans="1:22" ht="12.75" customHeight="1">
      <c r="A54">
        <f t="shared" si="1"/>
        <v>41</v>
      </c>
    </row>
    <row r="55" spans="1:22" ht="12.75" customHeight="1">
      <c r="A55">
        <f t="shared" si="1"/>
        <v>42</v>
      </c>
    </row>
    <row r="56" spans="1:22" ht="12.75" customHeight="1">
      <c r="A56">
        <f t="shared" si="1"/>
        <v>43</v>
      </c>
    </row>
    <row r="57" spans="1:22" ht="12.75" customHeight="1">
      <c r="A57">
        <f t="shared" si="1"/>
        <v>44</v>
      </c>
      <c r="B57" t="s">
        <v>177</v>
      </c>
      <c r="D57">
        <f>D14+D28+D42</f>
        <v>0</v>
      </c>
      <c r="E57">
        <f>E14+E28+E42</f>
        <v>215520</v>
      </c>
      <c r="F57">
        <f t="shared" ref="F57:P60" si="22">F14+F28+F42</f>
        <v>215520</v>
      </c>
      <c r="G57">
        <f t="shared" si="22"/>
        <v>215520</v>
      </c>
      <c r="H57">
        <f t="shared" si="22"/>
        <v>215520</v>
      </c>
      <c r="I57">
        <f t="shared" si="22"/>
        <v>215520</v>
      </c>
      <c r="J57">
        <f t="shared" si="22"/>
        <v>215520</v>
      </c>
      <c r="K57">
        <f t="shared" si="22"/>
        <v>215520</v>
      </c>
      <c r="L57">
        <f t="shared" si="22"/>
        <v>215520</v>
      </c>
      <c r="M57">
        <f t="shared" si="22"/>
        <v>215520</v>
      </c>
      <c r="N57">
        <f t="shared" si="22"/>
        <v>215520</v>
      </c>
      <c r="O57">
        <f t="shared" si="22"/>
        <v>215520</v>
      </c>
      <c r="P57">
        <f t="shared" si="22"/>
        <v>215520</v>
      </c>
      <c r="Q57">
        <f>SUM(D57:P57)</f>
        <v>2586240</v>
      </c>
      <c r="R57">
        <f>Q57/13</f>
        <v>198941.53846153847</v>
      </c>
      <c r="T57">
        <f>(D57+P57)/2</f>
        <v>107760</v>
      </c>
      <c r="V57">
        <f>R57-T57</f>
        <v>91181.538461538468</v>
      </c>
    </row>
    <row r="58" spans="1:22" ht="12.75" customHeight="1">
      <c r="A58">
        <f t="shared" si="1"/>
        <v>45</v>
      </c>
      <c r="B58" t="s">
        <v>178</v>
      </c>
      <c r="E58">
        <f>E15+E29+E43</f>
        <v>0</v>
      </c>
      <c r="F58">
        <f t="shared" si="22"/>
        <v>0</v>
      </c>
      <c r="G58">
        <f t="shared" si="22"/>
        <v>0</v>
      </c>
      <c r="H58">
        <f t="shared" si="22"/>
        <v>0</v>
      </c>
      <c r="I58">
        <f t="shared" si="22"/>
        <v>0</v>
      </c>
      <c r="J58">
        <f t="shared" si="22"/>
        <v>0</v>
      </c>
      <c r="K58">
        <f t="shared" si="22"/>
        <v>0</v>
      </c>
      <c r="L58">
        <f t="shared" si="22"/>
        <v>0</v>
      </c>
      <c r="M58">
        <f t="shared" si="22"/>
        <v>0</v>
      </c>
      <c r="N58">
        <f t="shared" si="22"/>
        <v>0</v>
      </c>
      <c r="O58">
        <f t="shared" si="22"/>
        <v>0</v>
      </c>
      <c r="P58">
        <f t="shared" si="22"/>
        <v>0</v>
      </c>
      <c r="Q58">
        <f>SUM(D58:P58)</f>
        <v>0</v>
      </c>
      <c r="R58">
        <f>Q58/13</f>
        <v>0</v>
      </c>
      <c r="T58">
        <f>(D58+P58)/2</f>
        <v>0</v>
      </c>
      <c r="V58">
        <f>R58-T58</f>
        <v>0</v>
      </c>
    </row>
    <row r="59" spans="1:22" ht="12.75" customHeight="1">
      <c r="A59">
        <v>46</v>
      </c>
      <c r="B59" t="s">
        <v>169</v>
      </c>
      <c r="E59">
        <f>E16+E30+E44</f>
        <v>0</v>
      </c>
      <c r="F59">
        <f t="shared" si="22"/>
        <v>0</v>
      </c>
      <c r="G59">
        <f t="shared" si="22"/>
        <v>0</v>
      </c>
      <c r="H59">
        <f t="shared" si="22"/>
        <v>0</v>
      </c>
      <c r="I59">
        <f t="shared" si="22"/>
        <v>0</v>
      </c>
      <c r="J59">
        <f t="shared" si="22"/>
        <v>0</v>
      </c>
      <c r="K59">
        <f t="shared" si="22"/>
        <v>0</v>
      </c>
      <c r="L59">
        <f t="shared" si="22"/>
        <v>0</v>
      </c>
      <c r="M59">
        <f t="shared" si="22"/>
        <v>0</v>
      </c>
      <c r="N59">
        <f t="shared" si="22"/>
        <v>0</v>
      </c>
      <c r="O59">
        <f t="shared" si="22"/>
        <v>0</v>
      </c>
      <c r="P59">
        <f t="shared" si="22"/>
        <v>0</v>
      </c>
      <c r="Q59">
        <f>SUM(D59:P59)</f>
        <v>0</v>
      </c>
      <c r="R59">
        <f>Q59/13</f>
        <v>0</v>
      </c>
      <c r="T59">
        <f>(D59+P59)/2</f>
        <v>0</v>
      </c>
      <c r="V59">
        <f>R59-T59</f>
        <v>0</v>
      </c>
    </row>
    <row r="60" spans="1:22" ht="15" customHeight="1">
      <c r="A60">
        <f t="shared" si="1"/>
        <v>47</v>
      </c>
      <c r="B60" t="s">
        <v>170</v>
      </c>
      <c r="D60">
        <f>D17+D31+D45</f>
        <v>215520</v>
      </c>
      <c r="E60">
        <f>E17+E31+E45</f>
        <v>215520</v>
      </c>
      <c r="F60">
        <f t="shared" si="22"/>
        <v>215520</v>
      </c>
      <c r="G60">
        <f t="shared" si="22"/>
        <v>215520</v>
      </c>
      <c r="H60">
        <f t="shared" si="22"/>
        <v>215520</v>
      </c>
      <c r="I60">
        <f t="shared" si="22"/>
        <v>215520</v>
      </c>
      <c r="J60">
        <f t="shared" si="22"/>
        <v>215520</v>
      </c>
      <c r="K60">
        <f t="shared" si="22"/>
        <v>215520</v>
      </c>
      <c r="L60">
        <f t="shared" si="22"/>
        <v>215520</v>
      </c>
      <c r="M60">
        <f t="shared" si="22"/>
        <v>215520</v>
      </c>
      <c r="N60">
        <f t="shared" si="22"/>
        <v>215520</v>
      </c>
      <c r="O60">
        <f t="shared" si="22"/>
        <v>215520</v>
      </c>
      <c r="P60">
        <f t="shared" si="22"/>
        <v>215520</v>
      </c>
      <c r="Q60">
        <f>SUM(D60:P60)</f>
        <v>2801760</v>
      </c>
      <c r="R60">
        <f>Q60/13</f>
        <v>215520</v>
      </c>
      <c r="T60">
        <f>(D60+P60)/2</f>
        <v>215520</v>
      </c>
      <c r="V60">
        <f>R60-T60</f>
        <v>0</v>
      </c>
    </row>
    <row r="61" spans="1:22" ht="12.75" customHeight="1">
      <c r="A61">
        <f t="shared" si="1"/>
        <v>48</v>
      </c>
    </row>
    <row r="62" spans="1:22" ht="15.75" customHeight="1">
      <c r="A62">
        <f t="shared" si="1"/>
        <v>49</v>
      </c>
    </row>
    <row r="63" spans="1:22" ht="12.75" customHeight="1">
      <c r="A63">
        <f t="shared" si="1"/>
        <v>50</v>
      </c>
    </row>
    <row r="64" spans="1:22" ht="12.75" customHeight="1">
      <c r="A64">
        <f t="shared" si="1"/>
        <v>51</v>
      </c>
      <c r="B64" t="s">
        <v>171</v>
      </c>
      <c r="D64">
        <f>D19+D33+D47</f>
        <v>0</v>
      </c>
      <c r="E64">
        <f>E19+E33+E47</f>
        <v>208785</v>
      </c>
      <c r="F64">
        <f t="shared" ref="F64:P68" si="23">F19+F33+F47</f>
        <v>213275</v>
      </c>
      <c r="G64">
        <f t="shared" si="23"/>
        <v>215520</v>
      </c>
      <c r="H64">
        <f t="shared" si="23"/>
        <v>215520</v>
      </c>
      <c r="I64">
        <f t="shared" si="23"/>
        <v>215520</v>
      </c>
      <c r="J64">
        <f t="shared" si="23"/>
        <v>215520</v>
      </c>
      <c r="K64">
        <f t="shared" si="23"/>
        <v>215520</v>
      </c>
      <c r="L64">
        <f t="shared" si="23"/>
        <v>215520</v>
      </c>
      <c r="M64">
        <f t="shared" si="23"/>
        <v>215520</v>
      </c>
      <c r="N64">
        <f t="shared" si="23"/>
        <v>215520</v>
      </c>
      <c r="O64">
        <f t="shared" si="23"/>
        <v>215520</v>
      </c>
      <c r="P64">
        <f t="shared" si="23"/>
        <v>215520</v>
      </c>
      <c r="Q64">
        <f>SUM(D64:P64)</f>
        <v>2577260</v>
      </c>
      <c r="R64">
        <f>Q64/13</f>
        <v>198250.76923076922</v>
      </c>
      <c r="T64">
        <f>(D64+P64)/2</f>
        <v>107760</v>
      </c>
      <c r="V64">
        <f>R64-T64</f>
        <v>90490.76923076922</v>
      </c>
    </row>
    <row r="65" spans="1:22" ht="12.75" customHeight="1">
      <c r="A65">
        <f t="shared" si="1"/>
        <v>52</v>
      </c>
      <c r="B65" t="s">
        <v>172</v>
      </c>
      <c r="E65">
        <f>E20+E34+E48</f>
        <v>0</v>
      </c>
      <c r="F65">
        <f t="shared" si="23"/>
        <v>0</v>
      </c>
      <c r="G65">
        <f t="shared" si="23"/>
        <v>0</v>
      </c>
      <c r="H65">
        <f t="shared" si="23"/>
        <v>0</v>
      </c>
      <c r="I65">
        <f t="shared" si="23"/>
        <v>0</v>
      </c>
      <c r="J65">
        <f t="shared" si="23"/>
        <v>0</v>
      </c>
      <c r="K65">
        <f t="shared" si="23"/>
        <v>0</v>
      </c>
      <c r="L65">
        <f t="shared" si="23"/>
        <v>0</v>
      </c>
      <c r="M65">
        <f t="shared" si="23"/>
        <v>0</v>
      </c>
      <c r="N65">
        <f t="shared" si="23"/>
        <v>0</v>
      </c>
      <c r="O65">
        <f t="shared" si="23"/>
        <v>0</v>
      </c>
      <c r="P65">
        <f t="shared" si="23"/>
        <v>0</v>
      </c>
      <c r="Q65">
        <f>SUM(D65:P65)</f>
        <v>0</v>
      </c>
      <c r="R65">
        <f>Q65/13</f>
        <v>0</v>
      </c>
      <c r="T65">
        <f>(D65+P65)/2</f>
        <v>0</v>
      </c>
      <c r="V65">
        <f>R65-T65</f>
        <v>0</v>
      </c>
    </row>
    <row r="66" spans="1:22" ht="12.75" customHeight="1">
      <c r="A66">
        <f t="shared" si="1"/>
        <v>53</v>
      </c>
      <c r="B66" t="s">
        <v>169</v>
      </c>
      <c r="E66">
        <f>E21+E35+E49</f>
        <v>0</v>
      </c>
      <c r="F66">
        <f t="shared" si="23"/>
        <v>0</v>
      </c>
      <c r="G66">
        <f t="shared" si="23"/>
        <v>0</v>
      </c>
      <c r="H66">
        <f t="shared" si="23"/>
        <v>0</v>
      </c>
      <c r="I66">
        <f t="shared" si="23"/>
        <v>0</v>
      </c>
      <c r="J66">
        <f t="shared" si="23"/>
        <v>0</v>
      </c>
      <c r="K66">
        <f t="shared" si="23"/>
        <v>0</v>
      </c>
      <c r="L66">
        <f t="shared" si="23"/>
        <v>0</v>
      </c>
      <c r="M66">
        <f t="shared" si="23"/>
        <v>0</v>
      </c>
      <c r="N66">
        <f t="shared" si="23"/>
        <v>0</v>
      </c>
      <c r="O66">
        <f t="shared" si="23"/>
        <v>0</v>
      </c>
      <c r="P66">
        <f t="shared" si="23"/>
        <v>0</v>
      </c>
      <c r="Q66">
        <f>SUM(D66:P66)</f>
        <v>0</v>
      </c>
      <c r="R66">
        <f>Q66/13</f>
        <v>0</v>
      </c>
      <c r="T66">
        <f>(D66+P66)/2</f>
        <v>0</v>
      </c>
      <c r="V66">
        <f>R66-T66</f>
        <v>0</v>
      </c>
    </row>
    <row r="67" spans="1:22" ht="12.75" customHeight="1">
      <c r="A67">
        <f t="shared" si="1"/>
        <v>54</v>
      </c>
      <c r="B67" t="s">
        <v>173</v>
      </c>
      <c r="E67">
        <f>E22+E36+E50</f>
        <v>4490</v>
      </c>
      <c r="F67">
        <f t="shared" si="23"/>
        <v>2245</v>
      </c>
      <c r="G67">
        <f t="shared" si="23"/>
        <v>0</v>
      </c>
      <c r="H67">
        <f t="shared" si="23"/>
        <v>0</v>
      </c>
      <c r="I67">
        <f t="shared" si="23"/>
        <v>0</v>
      </c>
      <c r="J67">
        <f t="shared" si="23"/>
        <v>0</v>
      </c>
      <c r="K67">
        <f t="shared" si="23"/>
        <v>0</v>
      </c>
      <c r="L67">
        <f t="shared" si="23"/>
        <v>0</v>
      </c>
      <c r="M67">
        <f t="shared" si="23"/>
        <v>0</v>
      </c>
      <c r="N67">
        <f t="shared" si="23"/>
        <v>0</v>
      </c>
      <c r="O67">
        <f t="shared" si="23"/>
        <v>0</v>
      </c>
      <c r="P67">
        <f t="shared" si="23"/>
        <v>0</v>
      </c>
      <c r="Q67">
        <f>SUM(D67:P67)</f>
        <v>6735</v>
      </c>
      <c r="R67">
        <f>Q67/13</f>
        <v>518.07692307692309</v>
      </c>
      <c r="T67">
        <f>(D67+P67)/2</f>
        <v>0</v>
      </c>
      <c r="V67">
        <f>R67-T67</f>
        <v>518.07692307692309</v>
      </c>
    </row>
    <row r="68" spans="1:22" ht="15.75" customHeight="1">
      <c r="A68">
        <f t="shared" si="1"/>
        <v>55</v>
      </c>
      <c r="B68" t="s">
        <v>170</v>
      </c>
      <c r="D68">
        <f>D23+D37+D51</f>
        <v>208785</v>
      </c>
      <c r="E68">
        <f>E23+E37+E51</f>
        <v>213275</v>
      </c>
      <c r="F68">
        <f t="shared" si="23"/>
        <v>215520</v>
      </c>
      <c r="G68">
        <f t="shared" si="23"/>
        <v>215520</v>
      </c>
      <c r="H68">
        <f t="shared" si="23"/>
        <v>215520</v>
      </c>
      <c r="I68">
        <f t="shared" si="23"/>
        <v>215520</v>
      </c>
      <c r="J68">
        <f t="shared" si="23"/>
        <v>215520</v>
      </c>
      <c r="K68">
        <f t="shared" si="23"/>
        <v>215520</v>
      </c>
      <c r="L68">
        <f t="shared" si="23"/>
        <v>215520</v>
      </c>
      <c r="M68">
        <f t="shared" si="23"/>
        <v>215520</v>
      </c>
      <c r="N68">
        <f t="shared" si="23"/>
        <v>215520</v>
      </c>
      <c r="O68">
        <f t="shared" si="23"/>
        <v>215520</v>
      </c>
      <c r="P68">
        <f t="shared" si="23"/>
        <v>215520</v>
      </c>
      <c r="Q68">
        <f>SUM(D68:P68)</f>
        <v>2792780</v>
      </c>
      <c r="R68">
        <f>Q68/13</f>
        <v>214829.23076923078</v>
      </c>
      <c r="T68">
        <f>(D68+P68)/2</f>
        <v>212152.5</v>
      </c>
      <c r="V68">
        <f>R68-T68</f>
        <v>2676.7307692307804</v>
      </c>
    </row>
    <row r="69" spans="1:22" ht="12.75" customHeight="1">
      <c r="A69">
        <f t="shared" si="1"/>
        <v>56</v>
      </c>
    </row>
    <row r="70" spans="1:22" ht="12.75" customHeight="1">
      <c r="A70">
        <f t="shared" si="1"/>
        <v>57</v>
      </c>
      <c r="B70" t="s">
        <v>174</v>
      </c>
      <c r="D70">
        <f t="shared" ref="D70:P70" si="24">D60-D68</f>
        <v>6735</v>
      </c>
      <c r="E70">
        <f>E60-E68</f>
        <v>2245</v>
      </c>
      <c r="F70">
        <f t="shared" si="24"/>
        <v>0</v>
      </c>
      <c r="G70">
        <f t="shared" si="24"/>
        <v>0</v>
      </c>
      <c r="H70">
        <f t="shared" si="24"/>
        <v>0</v>
      </c>
      <c r="I70">
        <f t="shared" si="24"/>
        <v>0</v>
      </c>
      <c r="J70">
        <f t="shared" si="24"/>
        <v>0</v>
      </c>
      <c r="K70">
        <f t="shared" si="24"/>
        <v>0</v>
      </c>
      <c r="L70">
        <f t="shared" si="24"/>
        <v>0</v>
      </c>
      <c r="M70">
        <f t="shared" si="24"/>
        <v>0</v>
      </c>
      <c r="N70">
        <f t="shared" si="24"/>
        <v>0</v>
      </c>
      <c r="O70">
        <f t="shared" si="24"/>
        <v>0</v>
      </c>
      <c r="P70">
        <f t="shared" si="24"/>
        <v>0</v>
      </c>
      <c r="Q70">
        <f>SUM(D70:P70)</f>
        <v>8980</v>
      </c>
      <c r="R70">
        <f>Q70/13</f>
        <v>690.76923076923072</v>
      </c>
      <c r="T70">
        <f>(D70+P70)/2</f>
        <v>3367.5</v>
      </c>
      <c r="V70">
        <f>R70-T70</f>
        <v>-2676.7307692307695</v>
      </c>
    </row>
    <row r="73" spans="1:22" ht="12.75" customHeight="1">
      <c r="P73">
        <f>P17-P23+P31-P37+P45-P51</f>
        <v>0</v>
      </c>
    </row>
    <row r="75" spans="1:22" ht="12.75" customHeight="1">
      <c r="B75" t="s">
        <v>101</v>
      </c>
      <c r="E75">
        <f t="shared" ref="E75:P75" si="25">D78</f>
        <v>562100</v>
      </c>
      <c r="F75">
        <f t="shared" si="25"/>
        <v>562100</v>
      </c>
      <c r="G75">
        <f t="shared" si="25"/>
        <v>562100</v>
      </c>
      <c r="H75">
        <f t="shared" si="25"/>
        <v>562100</v>
      </c>
      <c r="I75">
        <f t="shared" si="25"/>
        <v>562100</v>
      </c>
      <c r="J75">
        <f t="shared" si="25"/>
        <v>562100</v>
      </c>
      <c r="K75">
        <f t="shared" si="25"/>
        <v>562100</v>
      </c>
      <c r="L75">
        <f t="shared" si="25"/>
        <v>562100</v>
      </c>
      <c r="M75">
        <f t="shared" si="25"/>
        <v>562100</v>
      </c>
      <c r="N75">
        <f t="shared" si="25"/>
        <v>562100</v>
      </c>
      <c r="O75">
        <f t="shared" si="25"/>
        <v>562100</v>
      </c>
      <c r="P75">
        <f t="shared" si="25"/>
        <v>562100</v>
      </c>
      <c r="Q75">
        <f>SUM(D75:P75)</f>
        <v>6745200</v>
      </c>
      <c r="R75">
        <f>Q75/13</f>
        <v>518861.53846153844</v>
      </c>
      <c r="T75">
        <f>(D75+P75)/2</f>
        <v>281050</v>
      </c>
      <c r="V75">
        <f>R75-T75</f>
        <v>237811.53846153844</v>
      </c>
    </row>
    <row r="76" spans="1:22" ht="12.75" customHeight="1">
      <c r="B76" t="s">
        <v>168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f>'GI-34 doc 3 page 1 de 2'!F37</f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f>SUM(D76:P76)</f>
        <v>0</v>
      </c>
      <c r="R76">
        <f>Q76/13</f>
        <v>0</v>
      </c>
      <c r="T76">
        <f>(D76+P76)/2</f>
        <v>0</v>
      </c>
      <c r="V76">
        <f>R76-T76</f>
        <v>0</v>
      </c>
    </row>
    <row r="77" spans="1:22" ht="12.75" customHeight="1">
      <c r="B77" t="s">
        <v>169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f>SUM(D77:P77)</f>
        <v>0</v>
      </c>
      <c r="R77">
        <f>Q77/13</f>
        <v>0</v>
      </c>
      <c r="T77">
        <f>(D77+P77)/2</f>
        <v>0</v>
      </c>
      <c r="V77">
        <f>R77-T77</f>
        <v>0</v>
      </c>
    </row>
    <row r="78" spans="1:22" ht="12.75" customHeight="1">
      <c r="B78" t="s">
        <v>170</v>
      </c>
      <c r="D78">
        <f>'Depreciation 2020'!P78</f>
        <v>562100</v>
      </c>
      <c r="E78">
        <f t="shared" ref="E78:P78" si="26">SUM(E75:E77)</f>
        <v>562100</v>
      </c>
      <c r="F78">
        <f t="shared" si="26"/>
        <v>562100</v>
      </c>
      <c r="G78">
        <f t="shared" si="26"/>
        <v>562100</v>
      </c>
      <c r="H78">
        <f t="shared" si="26"/>
        <v>562100</v>
      </c>
      <c r="I78">
        <f t="shared" si="26"/>
        <v>562100</v>
      </c>
      <c r="J78">
        <f t="shared" si="26"/>
        <v>562100</v>
      </c>
      <c r="K78">
        <f t="shared" si="26"/>
        <v>562100</v>
      </c>
      <c r="L78">
        <f t="shared" si="26"/>
        <v>562100</v>
      </c>
      <c r="M78">
        <f t="shared" si="26"/>
        <v>562100</v>
      </c>
      <c r="N78">
        <f t="shared" si="26"/>
        <v>562100</v>
      </c>
      <c r="O78">
        <f t="shared" si="26"/>
        <v>562100</v>
      </c>
      <c r="P78">
        <f t="shared" si="26"/>
        <v>562100</v>
      </c>
      <c r="Q78">
        <f>SUM(D78:P78)</f>
        <v>7307300</v>
      </c>
      <c r="R78">
        <f>Q78/13</f>
        <v>562100</v>
      </c>
      <c r="T78">
        <f>(D78+P78)/2</f>
        <v>562100</v>
      </c>
      <c r="V78">
        <f>R78-T78</f>
        <v>0</v>
      </c>
    </row>
    <row r="80" spans="1:22" ht="12.75" customHeight="1">
      <c r="B80" t="s">
        <v>179</v>
      </c>
      <c r="E80">
        <f t="shared" ref="E80:P80" si="27">D84</f>
        <v>562100</v>
      </c>
      <c r="F80">
        <f t="shared" si="27"/>
        <v>562100</v>
      </c>
      <c r="G80">
        <f t="shared" si="27"/>
        <v>562100</v>
      </c>
      <c r="H80">
        <f t="shared" si="27"/>
        <v>562100</v>
      </c>
      <c r="I80">
        <f t="shared" si="27"/>
        <v>562100</v>
      </c>
      <c r="J80">
        <f t="shared" si="27"/>
        <v>562100</v>
      </c>
      <c r="K80">
        <f t="shared" si="27"/>
        <v>562100</v>
      </c>
      <c r="L80">
        <f t="shared" si="27"/>
        <v>562100</v>
      </c>
      <c r="M80">
        <f t="shared" si="27"/>
        <v>562100</v>
      </c>
      <c r="N80">
        <f t="shared" si="27"/>
        <v>562100</v>
      </c>
      <c r="O80">
        <f t="shared" si="27"/>
        <v>562100</v>
      </c>
      <c r="P80">
        <f t="shared" si="27"/>
        <v>562100</v>
      </c>
      <c r="Q80">
        <f>SUM(D80:P80)</f>
        <v>6745200</v>
      </c>
      <c r="R80">
        <f>Q80/13</f>
        <v>518861.53846153844</v>
      </c>
      <c r="T80">
        <f>(D80+P80)/2</f>
        <v>281050</v>
      </c>
      <c r="V80">
        <f>R80-T80</f>
        <v>237811.53846153844</v>
      </c>
    </row>
    <row r="81" spans="2:22" ht="12.75" customHeight="1">
      <c r="B81" t="s">
        <v>172</v>
      </c>
      <c r="Q81">
        <f>SUM(D81:P81)</f>
        <v>0</v>
      </c>
      <c r="R81">
        <f>Q81/13</f>
        <v>0</v>
      </c>
      <c r="T81">
        <f>(D81+P81)/2</f>
        <v>0</v>
      </c>
      <c r="V81">
        <f>R81-T81</f>
        <v>0</v>
      </c>
    </row>
    <row r="82" spans="2:22" ht="12.75" customHeight="1">
      <c r="B82" t="s">
        <v>169</v>
      </c>
      <c r="E82">
        <f t="shared" ref="E82:P82" si="28">E77</f>
        <v>0</v>
      </c>
      <c r="F82">
        <f t="shared" si="28"/>
        <v>0</v>
      </c>
      <c r="G82">
        <f t="shared" si="28"/>
        <v>0</v>
      </c>
      <c r="H82">
        <f t="shared" si="28"/>
        <v>0</v>
      </c>
      <c r="I82">
        <f t="shared" si="28"/>
        <v>0</v>
      </c>
      <c r="J82">
        <f t="shared" si="28"/>
        <v>0</v>
      </c>
      <c r="K82">
        <f t="shared" si="28"/>
        <v>0</v>
      </c>
      <c r="L82">
        <f t="shared" si="28"/>
        <v>0</v>
      </c>
      <c r="M82">
        <f t="shared" si="28"/>
        <v>0</v>
      </c>
      <c r="N82">
        <f t="shared" si="28"/>
        <v>0</v>
      </c>
      <c r="O82">
        <f t="shared" si="28"/>
        <v>0</v>
      </c>
      <c r="P82">
        <f t="shared" si="28"/>
        <v>0</v>
      </c>
      <c r="Q82">
        <f>SUM(D81:P82)</f>
        <v>0</v>
      </c>
      <c r="R82">
        <f>Q82/13</f>
        <v>0</v>
      </c>
      <c r="T82">
        <f>(D82+P82)/2</f>
        <v>0</v>
      </c>
      <c r="V82">
        <f>R82-T82</f>
        <v>0</v>
      </c>
    </row>
    <row r="83" spans="2:22" ht="12.75" customHeight="1">
      <c r="B83" t="s">
        <v>173</v>
      </c>
      <c r="C83">
        <f>100/3</f>
        <v>33.333333333333336</v>
      </c>
      <c r="E83">
        <f t="shared" ref="E83:P83" si="29">IF(E78-E80-(E78*$C83/100/12)&lt;0,E78-E80,E78*$C83/100/12)</f>
        <v>0</v>
      </c>
      <c r="F83">
        <f t="shared" si="29"/>
        <v>0</v>
      </c>
      <c r="G83">
        <f t="shared" si="29"/>
        <v>0</v>
      </c>
      <c r="H83">
        <f t="shared" si="29"/>
        <v>0</v>
      </c>
      <c r="I83">
        <f t="shared" si="29"/>
        <v>0</v>
      </c>
      <c r="J83">
        <f t="shared" si="29"/>
        <v>0</v>
      </c>
      <c r="K83">
        <f t="shared" si="29"/>
        <v>0</v>
      </c>
      <c r="L83">
        <f t="shared" si="29"/>
        <v>0</v>
      </c>
      <c r="M83">
        <f t="shared" si="29"/>
        <v>0</v>
      </c>
      <c r="N83">
        <f t="shared" si="29"/>
        <v>0</v>
      </c>
      <c r="O83">
        <f t="shared" si="29"/>
        <v>0</v>
      </c>
      <c r="P83">
        <f t="shared" si="29"/>
        <v>0</v>
      </c>
      <c r="Q83">
        <f>SUM(D83:P83)</f>
        <v>0</v>
      </c>
      <c r="R83">
        <f>Q83/13</f>
        <v>0</v>
      </c>
      <c r="T83">
        <f>(D83+P83)/2</f>
        <v>0</v>
      </c>
      <c r="V83">
        <f>R83-T83</f>
        <v>0</v>
      </c>
    </row>
    <row r="84" spans="2:22" ht="12.75" customHeight="1">
      <c r="B84" t="s">
        <v>170</v>
      </c>
      <c r="D84">
        <f>'Depreciation 2020'!P84</f>
        <v>562100</v>
      </c>
      <c r="E84">
        <f t="shared" ref="E84:P84" si="30">SUM(E80:E83)</f>
        <v>562100</v>
      </c>
      <c r="F84">
        <f t="shared" si="30"/>
        <v>562100</v>
      </c>
      <c r="G84">
        <f t="shared" si="30"/>
        <v>562100</v>
      </c>
      <c r="H84">
        <f t="shared" si="30"/>
        <v>562100</v>
      </c>
      <c r="I84">
        <f t="shared" si="30"/>
        <v>562100</v>
      </c>
      <c r="J84">
        <f t="shared" si="30"/>
        <v>562100</v>
      </c>
      <c r="K84">
        <f t="shared" si="30"/>
        <v>562100</v>
      </c>
      <c r="L84">
        <f t="shared" si="30"/>
        <v>562100</v>
      </c>
      <c r="M84">
        <f t="shared" si="30"/>
        <v>562100</v>
      </c>
      <c r="N84">
        <f t="shared" si="30"/>
        <v>562100</v>
      </c>
      <c r="O84">
        <f t="shared" si="30"/>
        <v>562100</v>
      </c>
      <c r="P84">
        <f t="shared" si="30"/>
        <v>562100</v>
      </c>
      <c r="Q84">
        <f>SUM(D84:P84)</f>
        <v>7307300</v>
      </c>
      <c r="R84">
        <f>Q84/13</f>
        <v>562100</v>
      </c>
      <c r="T84">
        <f>(D84+P84)/2</f>
        <v>562100</v>
      </c>
      <c r="V84">
        <f>R84-T84</f>
        <v>0</v>
      </c>
    </row>
    <row r="86" spans="2:22" ht="12.75" customHeight="1">
      <c r="B86" t="s">
        <v>174</v>
      </c>
      <c r="D86">
        <f t="shared" ref="D86:P86" si="31">D78-D84</f>
        <v>0</v>
      </c>
      <c r="E86">
        <f t="shared" si="31"/>
        <v>0</v>
      </c>
      <c r="F86">
        <f t="shared" si="31"/>
        <v>0</v>
      </c>
      <c r="G86">
        <f t="shared" si="31"/>
        <v>0</v>
      </c>
      <c r="H86">
        <f t="shared" si="31"/>
        <v>0</v>
      </c>
      <c r="I86">
        <f t="shared" si="31"/>
        <v>0</v>
      </c>
      <c r="J86">
        <f t="shared" si="31"/>
        <v>0</v>
      </c>
      <c r="K86">
        <f t="shared" si="31"/>
        <v>0</v>
      </c>
      <c r="L86">
        <f t="shared" si="31"/>
        <v>0</v>
      </c>
      <c r="M86">
        <f t="shared" si="31"/>
        <v>0</v>
      </c>
      <c r="N86">
        <f t="shared" si="31"/>
        <v>0</v>
      </c>
      <c r="O86">
        <f t="shared" si="31"/>
        <v>0</v>
      </c>
      <c r="P86">
        <f t="shared" si="31"/>
        <v>0</v>
      </c>
      <c r="Q86">
        <f>SUM(D86:P86)</f>
        <v>0</v>
      </c>
      <c r="R86">
        <f>Q86/13</f>
        <v>0</v>
      </c>
      <c r="T86">
        <f>(D86+P86)/2</f>
        <v>0</v>
      </c>
      <c r="V86">
        <f>R86-T86</f>
        <v>0</v>
      </c>
    </row>
    <row r="90" spans="2:22" ht="12.75" customHeight="1">
      <c r="B90" t="s">
        <v>180</v>
      </c>
      <c r="D90">
        <f>D75+D57</f>
        <v>0</v>
      </c>
      <c r="E90">
        <f t="shared" ref="D90:P93" si="32">E57+E75</f>
        <v>777620</v>
      </c>
      <c r="F90">
        <f t="shared" si="32"/>
        <v>777620</v>
      </c>
      <c r="G90">
        <f t="shared" si="32"/>
        <v>777620</v>
      </c>
      <c r="H90">
        <f t="shared" si="32"/>
        <v>777620</v>
      </c>
      <c r="I90">
        <f t="shared" si="32"/>
        <v>777620</v>
      </c>
      <c r="J90">
        <f t="shared" si="32"/>
        <v>777620</v>
      </c>
      <c r="K90">
        <f t="shared" si="32"/>
        <v>777620</v>
      </c>
      <c r="L90">
        <f t="shared" si="32"/>
        <v>777620</v>
      </c>
      <c r="M90">
        <f t="shared" si="32"/>
        <v>777620</v>
      </c>
      <c r="N90">
        <f t="shared" si="32"/>
        <v>777620</v>
      </c>
      <c r="O90">
        <f t="shared" si="32"/>
        <v>777620</v>
      </c>
      <c r="P90">
        <f t="shared" si="32"/>
        <v>777620</v>
      </c>
      <c r="Q90">
        <f>SUM(D90:P90)</f>
        <v>9331440</v>
      </c>
      <c r="R90">
        <f>Q90/13</f>
        <v>717803.07692307688</v>
      </c>
      <c r="T90">
        <f>(D90+P90)/2</f>
        <v>388810</v>
      </c>
      <c r="V90">
        <f>R90-T90</f>
        <v>328993.07692307688</v>
      </c>
    </row>
    <row r="91" spans="2:22" ht="12.75" customHeight="1">
      <c r="B91" t="s">
        <v>178</v>
      </c>
      <c r="D91">
        <f t="shared" si="32"/>
        <v>0</v>
      </c>
      <c r="E91">
        <f t="shared" si="32"/>
        <v>0</v>
      </c>
      <c r="F91">
        <f t="shared" si="32"/>
        <v>0</v>
      </c>
      <c r="G91">
        <f t="shared" si="32"/>
        <v>0</v>
      </c>
      <c r="H91">
        <f t="shared" si="32"/>
        <v>0</v>
      </c>
      <c r="I91">
        <f t="shared" si="32"/>
        <v>0</v>
      </c>
      <c r="J91">
        <f t="shared" si="32"/>
        <v>0</v>
      </c>
      <c r="K91">
        <f t="shared" si="32"/>
        <v>0</v>
      </c>
      <c r="L91">
        <f t="shared" si="32"/>
        <v>0</v>
      </c>
      <c r="M91">
        <f t="shared" si="32"/>
        <v>0</v>
      </c>
      <c r="N91">
        <f t="shared" si="32"/>
        <v>0</v>
      </c>
      <c r="O91">
        <f t="shared" si="32"/>
        <v>0</v>
      </c>
      <c r="P91">
        <f t="shared" si="32"/>
        <v>0</v>
      </c>
      <c r="Q91">
        <f>SUM(D91:P91)</f>
        <v>0</v>
      </c>
      <c r="R91">
        <f>Q91/13</f>
        <v>0</v>
      </c>
      <c r="T91">
        <f>(D91+P91)/2</f>
        <v>0</v>
      </c>
      <c r="V91">
        <f>R91-T91</f>
        <v>0</v>
      </c>
    </row>
    <row r="92" spans="2:22" ht="12.75" customHeight="1">
      <c r="B92" t="s">
        <v>169</v>
      </c>
      <c r="D92">
        <f t="shared" si="32"/>
        <v>0</v>
      </c>
      <c r="E92">
        <f t="shared" si="32"/>
        <v>0</v>
      </c>
      <c r="F92">
        <f t="shared" si="32"/>
        <v>0</v>
      </c>
      <c r="G92">
        <f t="shared" si="32"/>
        <v>0</v>
      </c>
      <c r="H92">
        <f t="shared" si="32"/>
        <v>0</v>
      </c>
      <c r="I92">
        <f t="shared" si="32"/>
        <v>0</v>
      </c>
      <c r="J92">
        <f t="shared" si="32"/>
        <v>0</v>
      </c>
      <c r="K92">
        <f t="shared" si="32"/>
        <v>0</v>
      </c>
      <c r="L92">
        <f t="shared" si="32"/>
        <v>0</v>
      </c>
      <c r="M92">
        <f t="shared" si="32"/>
        <v>0</v>
      </c>
      <c r="N92">
        <f t="shared" si="32"/>
        <v>0</v>
      </c>
      <c r="O92">
        <f t="shared" si="32"/>
        <v>0</v>
      </c>
      <c r="P92">
        <f t="shared" si="32"/>
        <v>0</v>
      </c>
      <c r="Q92">
        <f>SUM(D92:P92)</f>
        <v>0</v>
      </c>
      <c r="R92">
        <f>Q92/13</f>
        <v>0</v>
      </c>
      <c r="T92">
        <f>(D92+P92)/2</f>
        <v>0</v>
      </c>
      <c r="V92">
        <f>R92-T92</f>
        <v>0</v>
      </c>
    </row>
    <row r="93" spans="2:22" ht="12.75" customHeight="1">
      <c r="B93" t="s">
        <v>170</v>
      </c>
      <c r="D93">
        <f t="shared" si="32"/>
        <v>777620</v>
      </c>
      <c r="E93">
        <f t="shared" si="32"/>
        <v>777620</v>
      </c>
      <c r="F93">
        <f t="shared" si="32"/>
        <v>777620</v>
      </c>
      <c r="G93">
        <f t="shared" si="32"/>
        <v>777620</v>
      </c>
      <c r="H93">
        <f t="shared" si="32"/>
        <v>777620</v>
      </c>
      <c r="I93">
        <f t="shared" si="32"/>
        <v>777620</v>
      </c>
      <c r="J93">
        <f t="shared" si="32"/>
        <v>777620</v>
      </c>
      <c r="K93">
        <f t="shared" si="32"/>
        <v>777620</v>
      </c>
      <c r="L93">
        <f t="shared" si="32"/>
        <v>777620</v>
      </c>
      <c r="M93">
        <f t="shared" si="32"/>
        <v>777620</v>
      </c>
      <c r="N93">
        <f t="shared" si="32"/>
        <v>777620</v>
      </c>
      <c r="O93">
        <f t="shared" si="32"/>
        <v>777620</v>
      </c>
      <c r="P93">
        <f t="shared" si="32"/>
        <v>777620</v>
      </c>
      <c r="Q93">
        <f>SUM(D93:P93)</f>
        <v>10109060</v>
      </c>
      <c r="R93">
        <f>Q93/13</f>
        <v>777620</v>
      </c>
      <c r="T93">
        <f>(D93+P93)/2</f>
        <v>777620</v>
      </c>
      <c r="V93">
        <f>R93-T93</f>
        <v>0</v>
      </c>
    </row>
    <row r="95" spans="2:22" ht="16.5" customHeight="1"/>
    <row r="97" spans="2:22" ht="12.75" customHeight="1">
      <c r="B97" t="s">
        <v>171</v>
      </c>
      <c r="D97">
        <f>D64+D80</f>
        <v>0</v>
      </c>
      <c r="E97">
        <f t="shared" ref="D97:P101" si="33">E64+E80</f>
        <v>770885</v>
      </c>
      <c r="F97">
        <f t="shared" si="33"/>
        <v>775375</v>
      </c>
      <c r="G97">
        <f t="shared" si="33"/>
        <v>777620</v>
      </c>
      <c r="H97">
        <f t="shared" si="33"/>
        <v>777620</v>
      </c>
      <c r="I97">
        <f t="shared" si="33"/>
        <v>777620</v>
      </c>
      <c r="J97">
        <f t="shared" si="33"/>
        <v>777620</v>
      </c>
      <c r="K97">
        <f t="shared" si="33"/>
        <v>777620</v>
      </c>
      <c r="L97">
        <f t="shared" si="33"/>
        <v>777620</v>
      </c>
      <c r="M97">
        <f t="shared" si="33"/>
        <v>777620</v>
      </c>
      <c r="N97">
        <f t="shared" si="33"/>
        <v>777620</v>
      </c>
      <c r="O97">
        <f t="shared" si="33"/>
        <v>777620</v>
      </c>
      <c r="P97">
        <f t="shared" si="33"/>
        <v>777620</v>
      </c>
      <c r="Q97">
        <f>SUM(D97:P97)</f>
        <v>9322460</v>
      </c>
      <c r="R97">
        <f>Q97/13</f>
        <v>717112.30769230775</v>
      </c>
      <c r="T97">
        <f>(D97+P97)/2</f>
        <v>388810</v>
      </c>
      <c r="V97">
        <f>R97-T97</f>
        <v>328302.30769230775</v>
      </c>
    </row>
    <row r="98" spans="2:22" ht="12.75" customHeight="1">
      <c r="B98" t="s">
        <v>172</v>
      </c>
      <c r="D98">
        <f t="shared" si="33"/>
        <v>0</v>
      </c>
      <c r="E98">
        <f t="shared" si="33"/>
        <v>0</v>
      </c>
      <c r="F98">
        <f t="shared" si="33"/>
        <v>0</v>
      </c>
      <c r="G98">
        <f t="shared" si="33"/>
        <v>0</v>
      </c>
      <c r="H98">
        <f t="shared" si="33"/>
        <v>0</v>
      </c>
      <c r="I98">
        <f t="shared" si="33"/>
        <v>0</v>
      </c>
      <c r="J98">
        <f t="shared" si="33"/>
        <v>0</v>
      </c>
      <c r="K98">
        <f t="shared" si="33"/>
        <v>0</v>
      </c>
      <c r="L98">
        <f t="shared" si="33"/>
        <v>0</v>
      </c>
      <c r="M98">
        <f t="shared" si="33"/>
        <v>0</v>
      </c>
      <c r="N98">
        <f t="shared" si="33"/>
        <v>0</v>
      </c>
      <c r="O98">
        <f t="shared" si="33"/>
        <v>0</v>
      </c>
      <c r="P98">
        <f t="shared" si="33"/>
        <v>0</v>
      </c>
      <c r="Q98">
        <f>SUM(D98:P98)</f>
        <v>0</v>
      </c>
      <c r="R98">
        <f>Q98/13</f>
        <v>0</v>
      </c>
      <c r="T98">
        <f>(D98+P98)/2</f>
        <v>0</v>
      </c>
      <c r="V98">
        <f>R98-T98</f>
        <v>0</v>
      </c>
    </row>
    <row r="99" spans="2:22" ht="12.75" customHeight="1">
      <c r="B99" t="s">
        <v>169</v>
      </c>
      <c r="D99">
        <f t="shared" si="33"/>
        <v>0</v>
      </c>
      <c r="E99">
        <f t="shared" si="33"/>
        <v>0</v>
      </c>
      <c r="F99">
        <f t="shared" si="33"/>
        <v>0</v>
      </c>
      <c r="G99">
        <f t="shared" si="33"/>
        <v>0</v>
      </c>
      <c r="H99">
        <f t="shared" si="33"/>
        <v>0</v>
      </c>
      <c r="I99">
        <f t="shared" si="33"/>
        <v>0</v>
      </c>
      <c r="J99">
        <f t="shared" si="33"/>
        <v>0</v>
      </c>
      <c r="K99">
        <f t="shared" si="33"/>
        <v>0</v>
      </c>
      <c r="L99">
        <f t="shared" si="33"/>
        <v>0</v>
      </c>
      <c r="M99">
        <f t="shared" si="33"/>
        <v>0</v>
      </c>
      <c r="N99">
        <f t="shared" si="33"/>
        <v>0</v>
      </c>
      <c r="O99">
        <f t="shared" si="33"/>
        <v>0</v>
      </c>
      <c r="P99">
        <f t="shared" si="33"/>
        <v>0</v>
      </c>
      <c r="Q99">
        <f>SUM(D99:P99)</f>
        <v>0</v>
      </c>
      <c r="R99">
        <f>Q99/13</f>
        <v>0</v>
      </c>
      <c r="T99">
        <f>(D99+P99)/2</f>
        <v>0</v>
      </c>
      <c r="V99">
        <f>R99-T99</f>
        <v>0</v>
      </c>
    </row>
    <row r="100" spans="2:22" ht="12.75" customHeight="1">
      <c r="B100" t="s">
        <v>173</v>
      </c>
      <c r="E100">
        <f t="shared" si="33"/>
        <v>4490</v>
      </c>
      <c r="F100">
        <f t="shared" si="33"/>
        <v>2245</v>
      </c>
      <c r="G100">
        <f t="shared" si="33"/>
        <v>0</v>
      </c>
      <c r="H100">
        <f t="shared" si="33"/>
        <v>0</v>
      </c>
      <c r="I100">
        <f t="shared" si="33"/>
        <v>0</v>
      </c>
      <c r="J100">
        <f t="shared" si="33"/>
        <v>0</v>
      </c>
      <c r="K100">
        <f t="shared" si="33"/>
        <v>0</v>
      </c>
      <c r="L100">
        <f t="shared" si="33"/>
        <v>0</v>
      </c>
      <c r="M100">
        <f t="shared" si="33"/>
        <v>0</v>
      </c>
      <c r="N100">
        <f t="shared" si="33"/>
        <v>0</v>
      </c>
      <c r="O100">
        <f t="shared" si="33"/>
        <v>0</v>
      </c>
      <c r="P100">
        <f t="shared" si="33"/>
        <v>0</v>
      </c>
      <c r="Q100">
        <f>SUM(D100:P100)</f>
        <v>6735</v>
      </c>
      <c r="R100">
        <f>Q100/13</f>
        <v>518.07692307692309</v>
      </c>
      <c r="T100">
        <f>(D100+P100)/2</f>
        <v>0</v>
      </c>
      <c r="V100">
        <f>R100-T100</f>
        <v>518.07692307692309</v>
      </c>
    </row>
    <row r="101" spans="2:22" ht="12.75" customHeight="1">
      <c r="B101" t="s">
        <v>170</v>
      </c>
      <c r="D101">
        <f>D68+D84</f>
        <v>770885</v>
      </c>
      <c r="E101">
        <f t="shared" si="33"/>
        <v>775375</v>
      </c>
      <c r="F101">
        <f t="shared" si="33"/>
        <v>777620</v>
      </c>
      <c r="G101">
        <f t="shared" si="33"/>
        <v>777620</v>
      </c>
      <c r="H101">
        <f t="shared" si="33"/>
        <v>777620</v>
      </c>
      <c r="I101">
        <f t="shared" si="33"/>
        <v>777620</v>
      </c>
      <c r="J101">
        <f t="shared" si="33"/>
        <v>777620</v>
      </c>
      <c r="K101">
        <f t="shared" si="33"/>
        <v>777620</v>
      </c>
      <c r="L101">
        <f t="shared" si="33"/>
        <v>777620</v>
      </c>
      <c r="M101">
        <f t="shared" si="33"/>
        <v>777620</v>
      </c>
      <c r="N101">
        <f t="shared" si="33"/>
        <v>777620</v>
      </c>
      <c r="O101">
        <f t="shared" si="33"/>
        <v>777620</v>
      </c>
      <c r="P101">
        <f t="shared" si="33"/>
        <v>777620</v>
      </c>
      <c r="Q101">
        <f>SUM(D101:P101)</f>
        <v>10100080</v>
      </c>
      <c r="R101">
        <f>Q101/13</f>
        <v>776929.23076923075</v>
      </c>
      <c r="T101">
        <f>(D101+P101)/2</f>
        <v>774252.5</v>
      </c>
      <c r="V101">
        <f>R101-T101</f>
        <v>2676.7307692307513</v>
      </c>
    </row>
    <row r="103" spans="2:22" ht="12.75" customHeight="1">
      <c r="B103" t="s">
        <v>174</v>
      </c>
      <c r="D103">
        <f>D93-D101</f>
        <v>6735</v>
      </c>
      <c r="E103">
        <f>E93-E101</f>
        <v>2245</v>
      </c>
      <c r="F103">
        <f t="shared" ref="F103:P103" si="34">F93-F101</f>
        <v>0</v>
      </c>
      <c r="G103">
        <f t="shared" si="34"/>
        <v>0</v>
      </c>
      <c r="H103">
        <f t="shared" si="34"/>
        <v>0</v>
      </c>
      <c r="I103">
        <f t="shared" si="34"/>
        <v>0</v>
      </c>
      <c r="J103">
        <f t="shared" si="34"/>
        <v>0</v>
      </c>
      <c r="K103">
        <f t="shared" si="34"/>
        <v>0</v>
      </c>
      <c r="L103">
        <f t="shared" si="34"/>
        <v>0</v>
      </c>
      <c r="M103">
        <f t="shared" si="34"/>
        <v>0</v>
      </c>
      <c r="N103">
        <f t="shared" si="34"/>
        <v>0</v>
      </c>
      <c r="O103">
        <f t="shared" si="34"/>
        <v>0</v>
      </c>
      <c r="P103">
        <f t="shared" si="34"/>
        <v>0</v>
      </c>
      <c r="Q103">
        <f>SUM(D103:P103)</f>
        <v>8980</v>
      </c>
      <c r="R103">
        <f>Q103/13</f>
        <v>690.76923076923072</v>
      </c>
      <c r="T103">
        <f>(D103+P103)/2</f>
        <v>3367.5</v>
      </c>
      <c r="V103">
        <f>R103-T103</f>
        <v>-2676.7307692307695</v>
      </c>
    </row>
    <row r="139" ht="16.5" customHeight="1"/>
  </sheetData>
  <mergeCells count="3">
    <mergeCell ref="A3:R3"/>
    <mergeCell ref="A4:T4"/>
    <mergeCell ref="A5:R5"/>
  </mergeCells>
  <printOptions horizontalCentered="1"/>
  <pageMargins left="0.27" right="0.25" top="0.47244094488188998" bottom="0.35433070866141703" header="0.23622047244094499" footer="0.15748031496063"/>
  <pageSetup scale="43" orientation="landscape" useFirstPageNumber="1" r:id="rId1"/>
  <headerFooter alignWithMargins="0"/>
  <rowBreaks count="2" manualBreakCount="2">
    <brk id="93" max="21" man="1"/>
    <brk id="13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N107"/>
  <sheetViews>
    <sheetView topLeftCell="A30" workbookViewId="0">
      <selection activeCell="C70" sqref="C70"/>
    </sheetView>
  </sheetViews>
  <sheetFormatPr baseColWidth="10" defaultRowHeight="12.75"/>
  <cols>
    <col min="1" max="1" width="56.140625" customWidth="1"/>
    <col min="5" max="6" width="13.5703125" customWidth="1"/>
    <col min="7" max="7" width="12.85546875" customWidth="1"/>
    <col min="15" max="15" width="9.85546875" customWidth="1"/>
    <col min="17" max="17" width="9.42578125" customWidth="1"/>
    <col min="20" max="21" width="9.28515625" customWidth="1"/>
    <col min="22" max="26" width="9.42578125" customWidth="1"/>
  </cols>
  <sheetData>
    <row r="1" spans="1:17">
      <c r="A1" t="s">
        <v>235</v>
      </c>
    </row>
    <row r="3" spans="1:17">
      <c r="A3" t="s">
        <v>236</v>
      </c>
    </row>
    <row r="4" spans="1:17">
      <c r="A4" t="s">
        <v>237</v>
      </c>
      <c r="B4" t="s">
        <v>238</v>
      </c>
    </row>
    <row r="5" spans="1:17">
      <c r="A5" t="s">
        <v>239</v>
      </c>
      <c r="B5" t="s">
        <v>240</v>
      </c>
    </row>
    <row r="6" spans="1:17">
      <c r="A6" t="s">
        <v>241</v>
      </c>
      <c r="B6" t="s">
        <v>242</v>
      </c>
    </row>
    <row r="9" spans="1:17">
      <c r="A9" t="s">
        <v>243</v>
      </c>
      <c r="B9" t="s">
        <v>244</v>
      </c>
      <c r="C9" t="s">
        <v>245</v>
      </c>
      <c r="D9" t="s">
        <v>246</v>
      </c>
      <c r="E9" t="s">
        <v>247</v>
      </c>
      <c r="H9" t="s">
        <v>248</v>
      </c>
    </row>
    <row r="10" spans="1:17">
      <c r="A10" t="s">
        <v>237</v>
      </c>
      <c r="B10">
        <v>0</v>
      </c>
      <c r="C10">
        <v>182000</v>
      </c>
      <c r="D10">
        <v>300000</v>
      </c>
      <c r="E10" s="28" t="s">
        <v>249</v>
      </c>
      <c r="F10" s="28"/>
      <c r="G10" s="28"/>
      <c r="H10" s="28" t="s">
        <v>250</v>
      </c>
      <c r="I10" s="28"/>
      <c r="J10" s="28"/>
      <c r="K10" s="28"/>
      <c r="L10" s="28"/>
    </row>
    <row r="11" spans="1:17" ht="33.75" customHeight="1">
      <c r="A11" t="s">
        <v>239</v>
      </c>
      <c r="B11">
        <v>5808</v>
      </c>
      <c r="C11">
        <v>17400</v>
      </c>
      <c r="D11">
        <v>0</v>
      </c>
      <c r="E11" s="28" t="s">
        <v>251</v>
      </c>
      <c r="F11" s="28"/>
      <c r="G11" s="28"/>
      <c r="H11" s="28" t="s">
        <v>252</v>
      </c>
      <c r="I11" s="28"/>
      <c r="J11" s="28"/>
      <c r="K11" s="28"/>
      <c r="L11" s="28"/>
    </row>
    <row r="12" spans="1:17">
      <c r="A12" t="s">
        <v>241</v>
      </c>
      <c r="B12">
        <v>23412</v>
      </c>
      <c r="C12">
        <v>0</v>
      </c>
      <c r="D12">
        <v>0</v>
      </c>
      <c r="E12" s="28" t="s">
        <v>253</v>
      </c>
      <c r="F12" s="28"/>
      <c r="G12" s="28"/>
      <c r="H12" s="28" t="s">
        <v>254</v>
      </c>
      <c r="I12" s="28"/>
      <c r="J12" s="28"/>
      <c r="K12" s="28"/>
      <c r="L12" s="28"/>
    </row>
    <row r="14" spans="1:17" ht="13.5" thickBot="1"/>
    <row r="15" spans="1:17">
      <c r="A15" t="s">
        <v>245</v>
      </c>
    </row>
    <row r="16" spans="1:17">
      <c r="A16" t="s">
        <v>243</v>
      </c>
      <c r="B16" t="s">
        <v>255</v>
      </c>
      <c r="C16" t="s">
        <v>256</v>
      </c>
      <c r="D16" t="s">
        <v>257</v>
      </c>
      <c r="E16" t="s">
        <v>258</v>
      </c>
      <c r="F16" t="s">
        <v>259</v>
      </c>
      <c r="G16" t="s">
        <v>260</v>
      </c>
      <c r="H16" t="s">
        <v>261</v>
      </c>
      <c r="I16" t="s">
        <v>262</v>
      </c>
      <c r="J16" t="s">
        <v>263</v>
      </c>
      <c r="K16" t="s">
        <v>264</v>
      </c>
      <c r="L16" t="s">
        <v>265</v>
      </c>
      <c r="M16" t="s">
        <v>266</v>
      </c>
      <c r="N16" t="s">
        <v>267</v>
      </c>
      <c r="P16" t="s">
        <v>268</v>
      </c>
      <c r="Q16" t="s">
        <v>269</v>
      </c>
    </row>
    <row r="17" spans="1:21" ht="7.5" customHeight="1"/>
    <row r="18" spans="1:21">
      <c r="A18" t="s">
        <v>270</v>
      </c>
      <c r="B18">
        <v>0</v>
      </c>
      <c r="C18">
        <f>B23</f>
        <v>5808</v>
      </c>
      <c r="D18">
        <f>C23</f>
        <v>5808</v>
      </c>
      <c r="E18">
        <f t="shared" ref="E18:N18" si="0">D23</f>
        <v>5808</v>
      </c>
      <c r="F18">
        <f t="shared" si="0"/>
        <v>5808</v>
      </c>
      <c r="G18">
        <f t="shared" si="0"/>
        <v>5808</v>
      </c>
      <c r="H18">
        <f t="shared" si="0"/>
        <v>30733</v>
      </c>
      <c r="I18">
        <f t="shared" si="0"/>
        <v>55658</v>
      </c>
      <c r="J18">
        <f t="shared" si="0"/>
        <v>80583</v>
      </c>
      <c r="K18">
        <f t="shared" si="0"/>
        <v>105508</v>
      </c>
      <c r="L18">
        <f t="shared" si="0"/>
        <v>130433</v>
      </c>
      <c r="M18">
        <f t="shared" si="0"/>
        <v>155358</v>
      </c>
      <c r="N18">
        <f t="shared" si="0"/>
        <v>180283</v>
      </c>
    </row>
    <row r="19" spans="1:21" ht="6" customHeight="1"/>
    <row r="20" spans="1:21">
      <c r="A20" t="s">
        <v>271</v>
      </c>
      <c r="B20">
        <f>B10</f>
        <v>0</v>
      </c>
      <c r="C20">
        <v>0</v>
      </c>
      <c r="D20">
        <v>0</v>
      </c>
      <c r="E20">
        <v>0</v>
      </c>
      <c r="F20">
        <v>0</v>
      </c>
      <c r="G20">
        <f t="shared" ref="G20:N20" si="1">$C$10/8</f>
        <v>22750</v>
      </c>
      <c r="H20">
        <f t="shared" si="1"/>
        <v>22750</v>
      </c>
      <c r="I20">
        <f t="shared" si="1"/>
        <v>22750</v>
      </c>
      <c r="J20">
        <f t="shared" si="1"/>
        <v>22750</v>
      </c>
      <c r="K20">
        <f t="shared" si="1"/>
        <v>22750</v>
      </c>
      <c r="L20">
        <f t="shared" si="1"/>
        <v>22750</v>
      </c>
      <c r="M20">
        <f t="shared" si="1"/>
        <v>22750</v>
      </c>
      <c r="N20">
        <f t="shared" si="1"/>
        <v>22750</v>
      </c>
      <c r="P20">
        <f>SUM(C20:N20)</f>
        <v>182000</v>
      </c>
    </row>
    <row r="21" spans="1:21">
      <c r="A21" t="s">
        <v>272</v>
      </c>
      <c r="B21">
        <f>B11</f>
        <v>5808</v>
      </c>
      <c r="C21">
        <v>0</v>
      </c>
      <c r="D21">
        <v>0</v>
      </c>
      <c r="E21">
        <v>0</v>
      </c>
      <c r="F21">
        <v>0</v>
      </c>
      <c r="G21">
        <f t="shared" ref="G21:N21" si="2">$C$11/8</f>
        <v>2175</v>
      </c>
      <c r="H21">
        <f t="shared" si="2"/>
        <v>2175</v>
      </c>
      <c r="I21">
        <f t="shared" si="2"/>
        <v>2175</v>
      </c>
      <c r="J21">
        <f t="shared" si="2"/>
        <v>2175</v>
      </c>
      <c r="K21">
        <f t="shared" si="2"/>
        <v>2175</v>
      </c>
      <c r="L21">
        <f t="shared" si="2"/>
        <v>2175</v>
      </c>
      <c r="M21">
        <f t="shared" si="2"/>
        <v>2175</v>
      </c>
      <c r="N21">
        <f t="shared" si="2"/>
        <v>2175</v>
      </c>
      <c r="P21">
        <f>SUM(C21:N21)</f>
        <v>17400</v>
      </c>
    </row>
    <row r="22" spans="1:21">
      <c r="A22" t="s">
        <v>273</v>
      </c>
    </row>
    <row r="23" spans="1:21">
      <c r="A23" t="s">
        <v>274</v>
      </c>
      <c r="B23">
        <f>SUM(B20:B22)</f>
        <v>5808</v>
      </c>
      <c r="C23">
        <f>C18+C20+C21</f>
        <v>5808</v>
      </c>
      <c r="D23">
        <f t="shared" ref="D23:N23" si="3">D18+D20+D21</f>
        <v>5808</v>
      </c>
      <c r="E23">
        <f t="shared" si="3"/>
        <v>5808</v>
      </c>
      <c r="F23">
        <f t="shared" si="3"/>
        <v>5808</v>
      </c>
      <c r="G23">
        <f t="shared" si="3"/>
        <v>30733</v>
      </c>
      <c r="H23">
        <f t="shared" si="3"/>
        <v>55658</v>
      </c>
      <c r="I23">
        <f t="shared" si="3"/>
        <v>80583</v>
      </c>
      <c r="J23">
        <f t="shared" si="3"/>
        <v>105508</v>
      </c>
      <c r="K23">
        <f t="shared" si="3"/>
        <v>130433</v>
      </c>
      <c r="L23">
        <f t="shared" si="3"/>
        <v>155358</v>
      </c>
      <c r="M23">
        <f t="shared" si="3"/>
        <v>180283</v>
      </c>
      <c r="N23">
        <f t="shared" si="3"/>
        <v>205208</v>
      </c>
      <c r="Q23" t="s">
        <v>275</v>
      </c>
    </row>
    <row r="24" spans="1:21" ht="44.25" customHeight="1">
      <c r="A24" t="s">
        <v>276</v>
      </c>
      <c r="C24">
        <f>C72</f>
        <v>0</v>
      </c>
      <c r="D24">
        <f t="shared" ref="D24:N24" si="4">D72</f>
        <v>0</v>
      </c>
      <c r="E24">
        <f t="shared" si="4"/>
        <v>0</v>
      </c>
      <c r="F24">
        <f t="shared" si="4"/>
        <v>0</v>
      </c>
      <c r="G24">
        <f t="shared" si="4"/>
        <v>315.97222222222223</v>
      </c>
      <c r="H24">
        <f t="shared" si="4"/>
        <v>947.91666666666674</v>
      </c>
      <c r="I24">
        <f t="shared" si="4"/>
        <v>1579.8611111111111</v>
      </c>
      <c r="J24">
        <f t="shared" si="4"/>
        <v>2211.8055555555557</v>
      </c>
      <c r="K24">
        <f t="shared" si="4"/>
        <v>2843.75</v>
      </c>
      <c r="L24">
        <f t="shared" si="4"/>
        <v>3475.6944444444443</v>
      </c>
      <c r="M24">
        <f t="shared" si="4"/>
        <v>4107.6388888888887</v>
      </c>
      <c r="N24">
        <f t="shared" si="4"/>
        <v>4739.5833333333339</v>
      </c>
      <c r="P24">
        <f>SUM(C24:N24)</f>
        <v>20222.222222222223</v>
      </c>
      <c r="Q24" s="28" t="s">
        <v>277</v>
      </c>
      <c r="R24" s="28"/>
      <c r="S24" s="28"/>
      <c r="T24" s="28"/>
      <c r="U24" s="28"/>
    </row>
    <row r="25" spans="1:21">
      <c r="A25" t="s">
        <v>278</v>
      </c>
      <c r="C25">
        <f>C86</f>
        <v>161.33333333333334</v>
      </c>
      <c r="D25">
        <f t="shared" ref="D25:N25" si="5">D86</f>
        <v>161.33333333333334</v>
      </c>
      <c r="E25">
        <f t="shared" si="5"/>
        <v>161.33333333333334</v>
      </c>
      <c r="F25">
        <f t="shared" si="5"/>
        <v>161.33333333333334</v>
      </c>
      <c r="G25">
        <f t="shared" si="5"/>
        <v>191.54166666666669</v>
      </c>
      <c r="H25">
        <f t="shared" si="5"/>
        <v>251.95833333333334</v>
      </c>
      <c r="I25">
        <f t="shared" si="5"/>
        <v>312.375</v>
      </c>
      <c r="J25">
        <f t="shared" si="5"/>
        <v>372.79166666666669</v>
      </c>
      <c r="K25">
        <f t="shared" si="5"/>
        <v>433.20833333333337</v>
      </c>
      <c r="L25">
        <f t="shared" si="5"/>
        <v>493.62500000000006</v>
      </c>
      <c r="M25">
        <f t="shared" si="5"/>
        <v>554.04166666666674</v>
      </c>
      <c r="N25">
        <f t="shared" si="5"/>
        <v>614.45833333333337</v>
      </c>
      <c r="P25">
        <f>SUM(C25:N25)</f>
        <v>3869.3333333333335</v>
      </c>
    </row>
    <row r="26" spans="1:21">
      <c r="A26" t="s">
        <v>279</v>
      </c>
      <c r="C26">
        <f>C24+C25</f>
        <v>161.33333333333334</v>
      </c>
      <c r="D26">
        <f t="shared" ref="D26:N26" si="6">D24+D25</f>
        <v>161.33333333333334</v>
      </c>
      <c r="E26">
        <f t="shared" si="6"/>
        <v>161.33333333333334</v>
      </c>
      <c r="F26">
        <f t="shared" si="6"/>
        <v>161.33333333333334</v>
      </c>
      <c r="G26">
        <f t="shared" si="6"/>
        <v>507.51388888888891</v>
      </c>
      <c r="H26">
        <f t="shared" si="6"/>
        <v>1199.875</v>
      </c>
      <c r="I26">
        <f t="shared" si="6"/>
        <v>1892.2361111111111</v>
      </c>
      <c r="J26">
        <f t="shared" si="6"/>
        <v>2584.5972222222222</v>
      </c>
      <c r="K26">
        <f t="shared" si="6"/>
        <v>3276.9583333333335</v>
      </c>
      <c r="L26">
        <f t="shared" si="6"/>
        <v>3969.3194444444443</v>
      </c>
      <c r="M26">
        <f t="shared" si="6"/>
        <v>4661.6805555555557</v>
      </c>
      <c r="N26">
        <f t="shared" si="6"/>
        <v>5354.041666666667</v>
      </c>
    </row>
    <row r="27" spans="1:21">
      <c r="A27" t="s">
        <v>280</v>
      </c>
      <c r="C27">
        <f>C26</f>
        <v>161.33333333333334</v>
      </c>
      <c r="D27">
        <f>C27+D26</f>
        <v>322.66666666666669</v>
      </c>
      <c r="E27">
        <f t="shared" ref="E27:N27" si="7">D27+E26</f>
        <v>484</v>
      </c>
      <c r="F27">
        <f t="shared" si="7"/>
        <v>645.33333333333337</v>
      </c>
      <c r="G27">
        <f t="shared" si="7"/>
        <v>1152.8472222222222</v>
      </c>
      <c r="H27">
        <f t="shared" si="7"/>
        <v>2352.7222222222222</v>
      </c>
      <c r="I27">
        <f t="shared" si="7"/>
        <v>4244.958333333333</v>
      </c>
      <c r="J27">
        <f t="shared" si="7"/>
        <v>6829.5555555555547</v>
      </c>
      <c r="K27">
        <f t="shared" si="7"/>
        <v>10106.513888888889</v>
      </c>
      <c r="L27">
        <f t="shared" si="7"/>
        <v>14075.833333333332</v>
      </c>
      <c r="M27">
        <f t="shared" si="7"/>
        <v>18737.513888888887</v>
      </c>
      <c r="N27">
        <f t="shared" si="7"/>
        <v>24091.555555555555</v>
      </c>
    </row>
    <row r="30" spans="1:21" ht="16.5" thickBot="1">
      <c r="A30" t="s">
        <v>281</v>
      </c>
      <c r="B30">
        <f>B20+B21</f>
        <v>5808</v>
      </c>
      <c r="C30">
        <f>C23-C27</f>
        <v>5646.666666666667</v>
      </c>
      <c r="D30">
        <f t="shared" ref="D30:N30" si="8">D23-D27</f>
        <v>5485.333333333333</v>
      </c>
      <c r="E30">
        <f t="shared" si="8"/>
        <v>5324</v>
      </c>
      <c r="F30">
        <f t="shared" si="8"/>
        <v>5162.666666666667</v>
      </c>
      <c r="G30">
        <f t="shared" si="8"/>
        <v>29580.152777777777</v>
      </c>
      <c r="H30">
        <f t="shared" si="8"/>
        <v>53305.277777777781</v>
      </c>
      <c r="I30">
        <f t="shared" si="8"/>
        <v>76338.041666666672</v>
      </c>
      <c r="J30">
        <f t="shared" si="8"/>
        <v>98678.444444444438</v>
      </c>
      <c r="K30">
        <f t="shared" si="8"/>
        <v>120326.48611111111</v>
      </c>
      <c r="L30">
        <f t="shared" si="8"/>
        <v>141282.16666666666</v>
      </c>
      <c r="M30">
        <f t="shared" si="8"/>
        <v>161545.48611111112</v>
      </c>
      <c r="N30">
        <f t="shared" si="8"/>
        <v>181116.44444444444</v>
      </c>
      <c r="Q30" t="s">
        <v>282</v>
      </c>
      <c r="R30" t="s">
        <v>283</v>
      </c>
      <c r="S30">
        <f>N23</f>
        <v>205208</v>
      </c>
    </row>
    <row r="31" spans="1:21">
      <c r="R31" t="s">
        <v>284</v>
      </c>
      <c r="S31">
        <f>P24+P25</f>
        <v>24091.555555555555</v>
      </c>
    </row>
    <row r="32" spans="1:21" ht="13.5" thickBot="1">
      <c r="R32" t="s">
        <v>285</v>
      </c>
      <c r="S32">
        <f>S30-S31</f>
        <v>181116.44444444444</v>
      </c>
      <c r="T32" t="s">
        <v>75</v>
      </c>
    </row>
    <row r="33" spans="1:21" ht="9.75" customHeight="1" thickBot="1"/>
    <row r="35" spans="1:21" ht="7.5" customHeight="1" thickBot="1"/>
    <row r="36" spans="1:21">
      <c r="A36" t="s">
        <v>246</v>
      </c>
    </row>
    <row r="37" spans="1:21">
      <c r="A37" t="s">
        <v>243</v>
      </c>
      <c r="B37" t="s">
        <v>267</v>
      </c>
      <c r="C37" t="s">
        <v>286</v>
      </c>
      <c r="D37" t="s">
        <v>287</v>
      </c>
      <c r="E37" t="s">
        <v>288</v>
      </c>
      <c r="F37" t="s">
        <v>289</v>
      </c>
      <c r="G37" t="s">
        <v>290</v>
      </c>
      <c r="H37" t="s">
        <v>291</v>
      </c>
      <c r="I37" t="s">
        <v>292</v>
      </c>
      <c r="J37" t="s">
        <v>293</v>
      </c>
      <c r="K37" t="s">
        <v>294</v>
      </c>
      <c r="L37" t="s">
        <v>295</v>
      </c>
      <c r="M37" t="s">
        <v>296</v>
      </c>
      <c r="N37" t="s">
        <v>297</v>
      </c>
      <c r="P37" t="s">
        <v>268</v>
      </c>
      <c r="Q37" t="s">
        <v>269</v>
      </c>
    </row>
    <row r="39" spans="1:21">
      <c r="A39" t="s">
        <v>270</v>
      </c>
      <c r="B39">
        <f>N23</f>
        <v>205208</v>
      </c>
      <c r="C39">
        <f>B44</f>
        <v>205208</v>
      </c>
      <c r="D39">
        <f>C44</f>
        <v>230208</v>
      </c>
      <c r="E39">
        <f t="shared" ref="E39:N39" si="9">D44</f>
        <v>255208</v>
      </c>
      <c r="F39">
        <f t="shared" si="9"/>
        <v>280208</v>
      </c>
      <c r="G39">
        <f t="shared" si="9"/>
        <v>305208</v>
      </c>
      <c r="H39">
        <f t="shared" si="9"/>
        <v>330208</v>
      </c>
      <c r="I39">
        <f t="shared" si="9"/>
        <v>355208</v>
      </c>
      <c r="J39">
        <f t="shared" si="9"/>
        <v>380208</v>
      </c>
      <c r="K39">
        <f t="shared" si="9"/>
        <v>405208</v>
      </c>
      <c r="L39">
        <f t="shared" si="9"/>
        <v>430208</v>
      </c>
      <c r="M39">
        <f t="shared" si="9"/>
        <v>455208</v>
      </c>
      <c r="N39">
        <f t="shared" si="9"/>
        <v>480208</v>
      </c>
    </row>
    <row r="41" spans="1:21">
      <c r="A41" t="s">
        <v>271</v>
      </c>
      <c r="B41">
        <v>0</v>
      </c>
      <c r="C41">
        <f>$D$10/12</f>
        <v>25000</v>
      </c>
      <c r="D41">
        <f t="shared" ref="D41:N41" si="10">$D$10/12</f>
        <v>25000</v>
      </c>
      <c r="E41">
        <f t="shared" si="10"/>
        <v>25000</v>
      </c>
      <c r="F41">
        <f t="shared" si="10"/>
        <v>25000</v>
      </c>
      <c r="G41">
        <f t="shared" si="10"/>
        <v>25000</v>
      </c>
      <c r="H41">
        <f t="shared" si="10"/>
        <v>25000</v>
      </c>
      <c r="I41">
        <f t="shared" si="10"/>
        <v>25000</v>
      </c>
      <c r="J41">
        <f t="shared" si="10"/>
        <v>25000</v>
      </c>
      <c r="K41">
        <f t="shared" si="10"/>
        <v>25000</v>
      </c>
      <c r="L41">
        <f t="shared" si="10"/>
        <v>25000</v>
      </c>
      <c r="M41">
        <f t="shared" si="10"/>
        <v>25000</v>
      </c>
      <c r="N41">
        <f t="shared" si="10"/>
        <v>25000</v>
      </c>
      <c r="P41">
        <f>SUM(C41:N41)</f>
        <v>300000</v>
      </c>
    </row>
    <row r="42" spans="1:21">
      <c r="A42" t="s">
        <v>272</v>
      </c>
      <c r="B42">
        <f>B32</f>
        <v>0</v>
      </c>
      <c r="C42">
        <f>$D$11</f>
        <v>0</v>
      </c>
      <c r="D42">
        <f t="shared" ref="D42:N42" si="11">$D$11</f>
        <v>0</v>
      </c>
      <c r="E42">
        <f t="shared" si="11"/>
        <v>0</v>
      </c>
      <c r="F42">
        <f t="shared" si="11"/>
        <v>0</v>
      </c>
      <c r="G42">
        <f t="shared" si="11"/>
        <v>0</v>
      </c>
      <c r="H42">
        <f t="shared" si="11"/>
        <v>0</v>
      </c>
      <c r="I42">
        <f t="shared" si="11"/>
        <v>0</v>
      </c>
      <c r="J42">
        <f t="shared" si="11"/>
        <v>0</v>
      </c>
      <c r="K42">
        <f t="shared" si="11"/>
        <v>0</v>
      </c>
      <c r="L42">
        <f t="shared" si="11"/>
        <v>0</v>
      </c>
      <c r="M42">
        <f t="shared" si="11"/>
        <v>0</v>
      </c>
      <c r="N42">
        <f t="shared" si="11"/>
        <v>0</v>
      </c>
      <c r="P42">
        <f>SUM(C42:N42)</f>
        <v>0</v>
      </c>
    </row>
    <row r="43" spans="1:21">
      <c r="A43" t="s">
        <v>273</v>
      </c>
    </row>
    <row r="44" spans="1:21">
      <c r="A44" t="s">
        <v>274</v>
      </c>
      <c r="B44">
        <f>B39+B41+B42</f>
        <v>205208</v>
      </c>
      <c r="C44">
        <f>C39+C41+C42</f>
        <v>230208</v>
      </c>
      <c r="D44">
        <f t="shared" ref="D44:N44" si="12">D39+D41+D42</f>
        <v>255208</v>
      </c>
      <c r="E44">
        <f t="shared" si="12"/>
        <v>280208</v>
      </c>
      <c r="F44">
        <f t="shared" si="12"/>
        <v>305208</v>
      </c>
      <c r="G44">
        <f t="shared" si="12"/>
        <v>330208</v>
      </c>
      <c r="H44">
        <f t="shared" si="12"/>
        <v>355208</v>
      </c>
      <c r="I44">
        <f t="shared" si="12"/>
        <v>380208</v>
      </c>
      <c r="J44">
        <f t="shared" si="12"/>
        <v>405208</v>
      </c>
      <c r="K44">
        <f t="shared" si="12"/>
        <v>430208</v>
      </c>
      <c r="L44">
        <f t="shared" si="12"/>
        <v>455208</v>
      </c>
      <c r="M44">
        <f t="shared" si="12"/>
        <v>480208</v>
      </c>
      <c r="N44">
        <f t="shared" si="12"/>
        <v>505208</v>
      </c>
      <c r="Q44" t="s">
        <v>298</v>
      </c>
    </row>
    <row r="45" spans="1:21" ht="48" customHeight="1">
      <c r="Q45" s="28" t="s">
        <v>277</v>
      </c>
      <c r="R45" s="28"/>
      <c r="S45" s="28"/>
      <c r="T45" s="28"/>
      <c r="U45" s="28"/>
    </row>
    <row r="46" spans="1:21" ht="15" customHeight="1">
      <c r="A46" t="s">
        <v>270</v>
      </c>
      <c r="B46">
        <f>N27</f>
        <v>24091.555555555555</v>
      </c>
      <c r="C46">
        <f>B51</f>
        <v>24091.555555555555</v>
      </c>
      <c r="D46">
        <f t="shared" ref="D46:N46" si="13">C51</f>
        <v>30139</v>
      </c>
      <c r="E46">
        <f t="shared" si="13"/>
        <v>36880.888888888891</v>
      </c>
      <c r="F46">
        <f t="shared" si="13"/>
        <v>44317.222222222226</v>
      </c>
      <c r="G46">
        <f t="shared" si="13"/>
        <v>52448.000000000007</v>
      </c>
      <c r="H46">
        <f t="shared" si="13"/>
        <v>61273.222222222234</v>
      </c>
      <c r="I46">
        <f t="shared" si="13"/>
        <v>70792.888888888905</v>
      </c>
      <c r="J46">
        <f t="shared" si="13"/>
        <v>81007.000000000015</v>
      </c>
      <c r="K46">
        <f t="shared" si="13"/>
        <v>91915.555555555577</v>
      </c>
      <c r="L46">
        <f t="shared" si="13"/>
        <v>103518.55555555558</v>
      </c>
      <c r="M46">
        <f t="shared" si="13"/>
        <v>115816.00000000001</v>
      </c>
      <c r="N46">
        <f t="shared" si="13"/>
        <v>128807.88888888891</v>
      </c>
    </row>
    <row r="47" spans="1:21" ht="15" customHeight="1"/>
    <row r="48" spans="1:21" ht="19.5" customHeight="1">
      <c r="A48" t="s">
        <v>276</v>
      </c>
      <c r="C48">
        <f>O103</f>
        <v>5402.7777777777783</v>
      </c>
      <c r="D48">
        <f t="shared" ref="D48:N48" si="14">P103</f>
        <v>6097.2222222222226</v>
      </c>
      <c r="E48">
        <f t="shared" si="14"/>
        <v>6791.666666666667</v>
      </c>
      <c r="F48">
        <f t="shared" si="14"/>
        <v>7486.1111111111113</v>
      </c>
      <c r="G48">
        <f t="shared" si="14"/>
        <v>8180.5555555555557</v>
      </c>
      <c r="H48">
        <f t="shared" si="14"/>
        <v>8875</v>
      </c>
      <c r="I48">
        <f t="shared" si="14"/>
        <v>9569.4444444444453</v>
      </c>
      <c r="J48">
        <f t="shared" si="14"/>
        <v>10263.888888888891</v>
      </c>
      <c r="K48">
        <f t="shared" si="14"/>
        <v>10958.333333333334</v>
      </c>
      <c r="L48">
        <f t="shared" si="14"/>
        <v>11652.777777777777</v>
      </c>
      <c r="M48">
        <f t="shared" si="14"/>
        <v>12347.222222222223</v>
      </c>
      <c r="N48">
        <f t="shared" si="14"/>
        <v>13041.666666666668</v>
      </c>
      <c r="P48">
        <f>SUM(C48:N48)</f>
        <v>110666.66666666667</v>
      </c>
    </row>
    <row r="49" spans="1:64">
      <c r="A49" t="s">
        <v>278</v>
      </c>
      <c r="C49">
        <f>O105</f>
        <v>644.66666666666663</v>
      </c>
      <c r="D49">
        <f t="shared" ref="D49:N49" si="15">P105</f>
        <v>644.66666666666663</v>
      </c>
      <c r="E49">
        <f t="shared" si="15"/>
        <v>644.66666666666663</v>
      </c>
      <c r="F49">
        <f t="shared" si="15"/>
        <v>644.66666666666663</v>
      </c>
      <c r="G49">
        <f t="shared" si="15"/>
        <v>644.66666666666663</v>
      </c>
      <c r="H49">
        <f t="shared" si="15"/>
        <v>644.66666666666663</v>
      </c>
      <c r="I49">
        <f t="shared" si="15"/>
        <v>644.66666666666663</v>
      </c>
      <c r="J49">
        <f t="shared" si="15"/>
        <v>644.66666666666663</v>
      </c>
      <c r="K49">
        <f t="shared" si="15"/>
        <v>644.66666666666663</v>
      </c>
      <c r="L49">
        <f t="shared" si="15"/>
        <v>644.66666666666663</v>
      </c>
      <c r="M49">
        <f t="shared" si="15"/>
        <v>644.66666666666663</v>
      </c>
      <c r="N49">
        <f t="shared" si="15"/>
        <v>644.66666666666663</v>
      </c>
      <c r="P49">
        <f>SUM(C49:N49)</f>
        <v>7736.0000000000009</v>
      </c>
      <c r="Q49">
        <f>P48+P49</f>
        <v>118402.66666666667</v>
      </c>
    </row>
    <row r="50" spans="1:64">
      <c r="A50" t="s">
        <v>279</v>
      </c>
      <c r="C50">
        <f>C48+C49</f>
        <v>6047.4444444444453</v>
      </c>
      <c r="D50">
        <f t="shared" ref="D50:N50" si="16">D48+D49</f>
        <v>6741.8888888888896</v>
      </c>
      <c r="E50">
        <f t="shared" si="16"/>
        <v>7436.3333333333339</v>
      </c>
      <c r="F50">
        <f t="shared" si="16"/>
        <v>8130.7777777777783</v>
      </c>
      <c r="G50">
        <f t="shared" si="16"/>
        <v>8825.2222222222226</v>
      </c>
      <c r="H50">
        <f t="shared" si="16"/>
        <v>9519.6666666666661</v>
      </c>
      <c r="I50">
        <f t="shared" si="16"/>
        <v>10214.111111111111</v>
      </c>
      <c r="J50">
        <f t="shared" si="16"/>
        <v>10908.555555555557</v>
      </c>
      <c r="K50">
        <f t="shared" si="16"/>
        <v>11603</v>
      </c>
      <c r="L50">
        <f t="shared" si="16"/>
        <v>12297.444444444443</v>
      </c>
      <c r="M50">
        <f t="shared" si="16"/>
        <v>12991.888888888889</v>
      </c>
      <c r="N50">
        <f t="shared" si="16"/>
        <v>13686.333333333334</v>
      </c>
    </row>
    <row r="51" spans="1:64">
      <c r="A51" t="s">
        <v>280</v>
      </c>
      <c r="B51">
        <f>B46+B50</f>
        <v>24091.555555555555</v>
      </c>
      <c r="C51">
        <f t="shared" ref="C51:N51" si="17">C46+C50</f>
        <v>30139</v>
      </c>
      <c r="D51">
        <f t="shared" si="17"/>
        <v>36880.888888888891</v>
      </c>
      <c r="E51">
        <f t="shared" si="17"/>
        <v>44317.222222222226</v>
      </c>
      <c r="F51">
        <f t="shared" si="17"/>
        <v>52448.000000000007</v>
      </c>
      <c r="G51">
        <f t="shared" si="17"/>
        <v>61273.222222222234</v>
      </c>
      <c r="H51">
        <f t="shared" si="17"/>
        <v>70792.888888888905</v>
      </c>
      <c r="I51">
        <f t="shared" si="17"/>
        <v>81007.000000000015</v>
      </c>
      <c r="J51">
        <f t="shared" si="17"/>
        <v>91915.555555555577</v>
      </c>
      <c r="K51">
        <f t="shared" si="17"/>
        <v>103518.55555555558</v>
      </c>
      <c r="L51">
        <f t="shared" si="17"/>
        <v>115816.00000000001</v>
      </c>
      <c r="M51">
        <f t="shared" si="17"/>
        <v>128807.88888888891</v>
      </c>
      <c r="N51">
        <f t="shared" si="17"/>
        <v>142494.22222222225</v>
      </c>
    </row>
    <row r="54" spans="1:64" ht="16.5" thickBot="1">
      <c r="A54" t="s">
        <v>299</v>
      </c>
      <c r="B54">
        <f>B41+B42</f>
        <v>0</v>
      </c>
      <c r="C54">
        <f>C44-C51</f>
        <v>200069</v>
      </c>
      <c r="D54">
        <f t="shared" ref="D54:N54" si="18">D44-D51</f>
        <v>218327.11111111112</v>
      </c>
      <c r="E54">
        <f t="shared" si="18"/>
        <v>235890.77777777778</v>
      </c>
      <c r="F54">
        <f t="shared" si="18"/>
        <v>252760</v>
      </c>
      <c r="G54">
        <f t="shared" si="18"/>
        <v>268934.77777777775</v>
      </c>
      <c r="H54">
        <f t="shared" si="18"/>
        <v>284415.11111111112</v>
      </c>
      <c r="I54">
        <f t="shared" si="18"/>
        <v>299201</v>
      </c>
      <c r="J54">
        <f t="shared" si="18"/>
        <v>313292.44444444444</v>
      </c>
      <c r="K54">
        <f t="shared" si="18"/>
        <v>326689.44444444444</v>
      </c>
      <c r="L54">
        <f t="shared" si="18"/>
        <v>339392</v>
      </c>
      <c r="M54">
        <f t="shared" si="18"/>
        <v>351400.11111111112</v>
      </c>
      <c r="N54">
        <f t="shared" si="18"/>
        <v>362713.77777777775</v>
      </c>
      <c r="Q54" t="s">
        <v>282</v>
      </c>
      <c r="R54" t="s">
        <v>283</v>
      </c>
      <c r="S54">
        <f>N44</f>
        <v>505208</v>
      </c>
    </row>
    <row r="55" spans="1:64">
      <c r="R55" t="s">
        <v>284</v>
      </c>
      <c r="S55">
        <f>P48+P49</f>
        <v>118402.66666666667</v>
      </c>
    </row>
    <row r="56" spans="1:64" ht="13.5" thickBot="1">
      <c r="R56" t="s">
        <v>285</v>
      </c>
      <c r="S56">
        <f>S54-S55</f>
        <v>386805.33333333331</v>
      </c>
      <c r="T56" t="s">
        <v>75</v>
      </c>
    </row>
    <row r="57" spans="1:64" ht="7.5" customHeight="1" thickBot="1"/>
    <row r="59" spans="1:64" ht="10.5" customHeight="1"/>
    <row r="60" spans="1:64">
      <c r="A60" t="s">
        <v>300</v>
      </c>
    </row>
    <row r="61" spans="1:64">
      <c r="B61" t="s">
        <v>255</v>
      </c>
      <c r="C61" t="s">
        <v>256</v>
      </c>
      <c r="D61" t="s">
        <v>257</v>
      </c>
      <c r="E61" t="s">
        <v>258</v>
      </c>
      <c r="F61" t="s">
        <v>259</v>
      </c>
      <c r="G61" t="s">
        <v>260</v>
      </c>
      <c r="H61" t="s">
        <v>261</v>
      </c>
      <c r="I61" t="s">
        <v>262</v>
      </c>
      <c r="J61" t="s">
        <v>263</v>
      </c>
      <c r="K61" t="s">
        <v>264</v>
      </c>
      <c r="L61" t="s">
        <v>265</v>
      </c>
      <c r="M61" t="s">
        <v>266</v>
      </c>
      <c r="N61" t="s">
        <v>267</v>
      </c>
      <c r="O61" t="s">
        <v>286</v>
      </c>
      <c r="P61" t="s">
        <v>287</v>
      </c>
      <c r="Q61" t="s">
        <v>288</v>
      </c>
      <c r="R61" t="s">
        <v>289</v>
      </c>
      <c r="S61" t="s">
        <v>290</v>
      </c>
      <c r="T61" t="s">
        <v>291</v>
      </c>
      <c r="U61" t="s">
        <v>292</v>
      </c>
      <c r="V61" t="s">
        <v>293</v>
      </c>
      <c r="W61" t="s">
        <v>294</v>
      </c>
      <c r="X61" t="s">
        <v>295</v>
      </c>
      <c r="Y61" t="s">
        <v>296</v>
      </c>
      <c r="Z61" t="s">
        <v>297</v>
      </c>
      <c r="AA61" t="s">
        <v>301</v>
      </c>
      <c r="AB61" t="s">
        <v>302</v>
      </c>
      <c r="AC61" t="s">
        <v>303</v>
      </c>
      <c r="AD61" t="s">
        <v>304</v>
      </c>
      <c r="AE61" t="s">
        <v>305</v>
      </c>
      <c r="AF61" t="s">
        <v>306</v>
      </c>
      <c r="AG61" t="s">
        <v>307</v>
      </c>
      <c r="AH61" t="s">
        <v>308</v>
      </c>
      <c r="AI61" t="s">
        <v>309</v>
      </c>
      <c r="AJ61" t="s">
        <v>310</v>
      </c>
      <c r="AK61" t="s">
        <v>311</v>
      </c>
      <c r="AL61" t="s">
        <v>312</v>
      </c>
      <c r="AM61" t="s">
        <v>313</v>
      </c>
      <c r="AN61" t="s">
        <v>314</v>
      </c>
      <c r="AO61" t="s">
        <v>315</v>
      </c>
      <c r="AP61" t="s">
        <v>316</v>
      </c>
      <c r="AQ61" t="s">
        <v>317</v>
      </c>
      <c r="AR61" t="s">
        <v>318</v>
      </c>
      <c r="AS61" t="s">
        <v>319</v>
      </c>
      <c r="AT61" t="s">
        <v>320</v>
      </c>
      <c r="AU61" t="s">
        <v>321</v>
      </c>
      <c r="AV61" t="s">
        <v>322</v>
      </c>
      <c r="AW61" t="s">
        <v>323</v>
      </c>
      <c r="AX61" t="s">
        <v>324</v>
      </c>
      <c r="AY61" t="s">
        <v>325</v>
      </c>
      <c r="AZ61" t="s">
        <v>326</v>
      </c>
      <c r="BA61" t="s">
        <v>327</v>
      </c>
      <c r="BB61" t="s">
        <v>328</v>
      </c>
      <c r="BC61" t="s">
        <v>329</v>
      </c>
      <c r="BD61" t="s">
        <v>330</v>
      </c>
      <c r="BE61" t="s">
        <v>331</v>
      </c>
      <c r="BF61" t="s">
        <v>332</v>
      </c>
      <c r="BG61" t="s">
        <v>333</v>
      </c>
      <c r="BH61" t="s">
        <v>334</v>
      </c>
      <c r="BI61" t="s">
        <v>335</v>
      </c>
      <c r="BJ61" t="s">
        <v>336</v>
      </c>
    </row>
    <row r="63" spans="1:64">
      <c r="A63" t="s">
        <v>337</v>
      </c>
      <c r="G63">
        <f>$G$20*0.5/36</f>
        <v>315.97222222222223</v>
      </c>
      <c r="H63">
        <f>$G$20/36</f>
        <v>631.94444444444446</v>
      </c>
      <c r="I63">
        <f t="shared" ref="I63:AP63" si="19">$G$20/36</f>
        <v>631.94444444444446</v>
      </c>
      <c r="J63">
        <f t="shared" si="19"/>
        <v>631.94444444444446</v>
      </c>
      <c r="K63">
        <f t="shared" si="19"/>
        <v>631.94444444444446</v>
      </c>
      <c r="L63">
        <f t="shared" si="19"/>
        <v>631.94444444444446</v>
      </c>
      <c r="M63">
        <f t="shared" si="19"/>
        <v>631.94444444444446</v>
      </c>
      <c r="N63">
        <f t="shared" si="19"/>
        <v>631.94444444444446</v>
      </c>
      <c r="O63">
        <f t="shared" si="19"/>
        <v>631.94444444444446</v>
      </c>
      <c r="P63">
        <f t="shared" si="19"/>
        <v>631.94444444444446</v>
      </c>
      <c r="Q63">
        <f t="shared" si="19"/>
        <v>631.94444444444446</v>
      </c>
      <c r="R63">
        <f t="shared" si="19"/>
        <v>631.94444444444446</v>
      </c>
      <c r="S63">
        <f t="shared" si="19"/>
        <v>631.94444444444446</v>
      </c>
      <c r="T63">
        <f t="shared" si="19"/>
        <v>631.94444444444446</v>
      </c>
      <c r="U63">
        <f t="shared" si="19"/>
        <v>631.94444444444446</v>
      </c>
      <c r="V63">
        <f t="shared" si="19"/>
        <v>631.94444444444446</v>
      </c>
      <c r="W63">
        <f t="shared" si="19"/>
        <v>631.94444444444446</v>
      </c>
      <c r="X63">
        <f t="shared" si="19"/>
        <v>631.94444444444446</v>
      </c>
      <c r="Y63">
        <f t="shared" si="19"/>
        <v>631.94444444444446</v>
      </c>
      <c r="Z63">
        <f>$G$20/36</f>
        <v>631.94444444444446</v>
      </c>
      <c r="AA63">
        <f t="shared" si="19"/>
        <v>631.94444444444446</v>
      </c>
      <c r="AB63">
        <f t="shared" si="19"/>
        <v>631.94444444444446</v>
      </c>
      <c r="AC63">
        <f t="shared" si="19"/>
        <v>631.94444444444446</v>
      </c>
      <c r="AD63">
        <f t="shared" si="19"/>
        <v>631.94444444444446</v>
      </c>
      <c r="AE63">
        <f t="shared" si="19"/>
        <v>631.94444444444446</v>
      </c>
      <c r="AF63">
        <f t="shared" si="19"/>
        <v>631.94444444444446</v>
      </c>
      <c r="AG63">
        <f t="shared" si="19"/>
        <v>631.94444444444446</v>
      </c>
      <c r="AH63">
        <f t="shared" si="19"/>
        <v>631.94444444444446</v>
      </c>
      <c r="AI63">
        <f t="shared" si="19"/>
        <v>631.94444444444446</v>
      </c>
      <c r="AJ63">
        <f t="shared" si="19"/>
        <v>631.94444444444446</v>
      </c>
      <c r="AK63">
        <f t="shared" si="19"/>
        <v>631.94444444444446</v>
      </c>
      <c r="AL63">
        <f t="shared" si="19"/>
        <v>631.94444444444446</v>
      </c>
      <c r="AM63">
        <f t="shared" si="19"/>
        <v>631.94444444444446</v>
      </c>
      <c r="AN63">
        <f t="shared" si="19"/>
        <v>631.94444444444446</v>
      </c>
      <c r="AO63">
        <f t="shared" si="19"/>
        <v>631.94444444444446</v>
      </c>
      <c r="AP63">
        <f t="shared" si="19"/>
        <v>631.94444444444446</v>
      </c>
      <c r="AQ63">
        <f>($G$20*0.5)/36</f>
        <v>315.97222222222223</v>
      </c>
      <c r="BL63">
        <f>SUM(B63:BK63)</f>
        <v>22750.000000000018</v>
      </c>
    </row>
    <row r="64" spans="1:64">
      <c r="A64" t="s">
        <v>338</v>
      </c>
      <c r="H64">
        <f>$H$20*0.5/36</f>
        <v>315.97222222222223</v>
      </c>
      <c r="I64">
        <f>$H$20/36</f>
        <v>631.94444444444446</v>
      </c>
      <c r="J64">
        <f t="shared" ref="J64:AQ64" si="20">$H$20/36</f>
        <v>631.94444444444446</v>
      </c>
      <c r="K64">
        <f t="shared" si="20"/>
        <v>631.94444444444446</v>
      </c>
      <c r="L64">
        <f t="shared" si="20"/>
        <v>631.94444444444446</v>
      </c>
      <c r="M64">
        <f t="shared" si="20"/>
        <v>631.94444444444446</v>
      </c>
      <c r="N64">
        <f t="shared" si="20"/>
        <v>631.94444444444446</v>
      </c>
      <c r="O64">
        <f t="shared" si="20"/>
        <v>631.94444444444446</v>
      </c>
      <c r="P64">
        <f t="shared" si="20"/>
        <v>631.94444444444446</v>
      </c>
      <c r="Q64">
        <f t="shared" si="20"/>
        <v>631.94444444444446</v>
      </c>
      <c r="R64">
        <f t="shared" si="20"/>
        <v>631.94444444444446</v>
      </c>
      <c r="S64">
        <f t="shared" si="20"/>
        <v>631.94444444444446</v>
      </c>
      <c r="T64">
        <f t="shared" si="20"/>
        <v>631.94444444444446</v>
      </c>
      <c r="U64">
        <f t="shared" si="20"/>
        <v>631.94444444444446</v>
      </c>
      <c r="V64">
        <f t="shared" si="20"/>
        <v>631.94444444444446</v>
      </c>
      <c r="W64">
        <f t="shared" si="20"/>
        <v>631.94444444444446</v>
      </c>
      <c r="X64">
        <f t="shared" si="20"/>
        <v>631.94444444444446</v>
      </c>
      <c r="Y64">
        <f t="shared" si="20"/>
        <v>631.94444444444446</v>
      </c>
      <c r="Z64">
        <f t="shared" si="20"/>
        <v>631.94444444444446</v>
      </c>
      <c r="AA64">
        <f t="shared" si="20"/>
        <v>631.94444444444446</v>
      </c>
      <c r="AB64">
        <f t="shared" si="20"/>
        <v>631.94444444444446</v>
      </c>
      <c r="AC64">
        <f t="shared" si="20"/>
        <v>631.94444444444446</v>
      </c>
      <c r="AD64">
        <f t="shared" si="20"/>
        <v>631.94444444444446</v>
      </c>
      <c r="AE64">
        <f t="shared" si="20"/>
        <v>631.94444444444446</v>
      </c>
      <c r="AF64">
        <f t="shared" si="20"/>
        <v>631.94444444444446</v>
      </c>
      <c r="AG64">
        <f t="shared" si="20"/>
        <v>631.94444444444446</v>
      </c>
      <c r="AH64">
        <f t="shared" si="20"/>
        <v>631.94444444444446</v>
      </c>
      <c r="AI64">
        <f t="shared" si="20"/>
        <v>631.94444444444446</v>
      </c>
      <c r="AJ64">
        <f t="shared" si="20"/>
        <v>631.94444444444446</v>
      </c>
      <c r="AK64">
        <f t="shared" si="20"/>
        <v>631.94444444444446</v>
      </c>
      <c r="AL64">
        <f t="shared" si="20"/>
        <v>631.94444444444446</v>
      </c>
      <c r="AM64">
        <f t="shared" si="20"/>
        <v>631.94444444444446</v>
      </c>
      <c r="AN64">
        <f t="shared" si="20"/>
        <v>631.94444444444446</v>
      </c>
      <c r="AO64">
        <f t="shared" si="20"/>
        <v>631.94444444444446</v>
      </c>
      <c r="AP64">
        <f t="shared" si="20"/>
        <v>631.94444444444446</v>
      </c>
      <c r="AQ64">
        <f t="shared" si="20"/>
        <v>631.94444444444446</v>
      </c>
      <c r="AR64">
        <f>($H$20*0.5)/36</f>
        <v>315.97222222222223</v>
      </c>
      <c r="BL64">
        <f t="shared" ref="BL64:BL84" si="21">SUM(B64:BK64)</f>
        <v>22750.000000000018</v>
      </c>
    </row>
    <row r="65" spans="1:66">
      <c r="A65" t="s">
        <v>339</v>
      </c>
      <c r="I65">
        <f>$I$20*0.5/36</f>
        <v>315.97222222222223</v>
      </c>
      <c r="J65">
        <f>$I$20/36</f>
        <v>631.94444444444446</v>
      </c>
      <c r="K65">
        <f t="shared" ref="K65:AR65" si="22">$I$20/36</f>
        <v>631.94444444444446</v>
      </c>
      <c r="L65">
        <f t="shared" si="22"/>
        <v>631.94444444444446</v>
      </c>
      <c r="M65">
        <f t="shared" si="22"/>
        <v>631.94444444444446</v>
      </c>
      <c r="N65">
        <f t="shared" si="22"/>
        <v>631.94444444444446</v>
      </c>
      <c r="O65">
        <f t="shared" si="22"/>
        <v>631.94444444444446</v>
      </c>
      <c r="P65">
        <f t="shared" si="22"/>
        <v>631.94444444444446</v>
      </c>
      <c r="Q65">
        <f t="shared" si="22"/>
        <v>631.94444444444446</v>
      </c>
      <c r="R65">
        <f t="shared" si="22"/>
        <v>631.94444444444446</v>
      </c>
      <c r="S65">
        <f t="shared" si="22"/>
        <v>631.94444444444446</v>
      </c>
      <c r="T65">
        <f t="shared" si="22"/>
        <v>631.94444444444446</v>
      </c>
      <c r="U65">
        <f t="shared" si="22"/>
        <v>631.94444444444446</v>
      </c>
      <c r="V65">
        <f t="shared" si="22"/>
        <v>631.94444444444446</v>
      </c>
      <c r="W65">
        <f t="shared" si="22"/>
        <v>631.94444444444446</v>
      </c>
      <c r="X65">
        <f t="shared" si="22"/>
        <v>631.94444444444446</v>
      </c>
      <c r="Y65">
        <f t="shared" si="22"/>
        <v>631.94444444444446</v>
      </c>
      <c r="Z65">
        <f t="shared" si="22"/>
        <v>631.94444444444446</v>
      </c>
      <c r="AA65">
        <f t="shared" si="22"/>
        <v>631.94444444444446</v>
      </c>
      <c r="AB65">
        <f t="shared" si="22"/>
        <v>631.94444444444446</v>
      </c>
      <c r="AC65">
        <f t="shared" si="22"/>
        <v>631.94444444444446</v>
      </c>
      <c r="AD65">
        <f t="shared" si="22"/>
        <v>631.94444444444446</v>
      </c>
      <c r="AE65">
        <f t="shared" si="22"/>
        <v>631.94444444444446</v>
      </c>
      <c r="AF65">
        <f t="shared" si="22"/>
        <v>631.94444444444446</v>
      </c>
      <c r="AG65">
        <f t="shared" si="22"/>
        <v>631.94444444444446</v>
      </c>
      <c r="AH65">
        <f t="shared" si="22"/>
        <v>631.94444444444446</v>
      </c>
      <c r="AI65">
        <f t="shared" si="22"/>
        <v>631.94444444444446</v>
      </c>
      <c r="AJ65">
        <f t="shared" si="22"/>
        <v>631.94444444444446</v>
      </c>
      <c r="AK65">
        <f t="shared" si="22"/>
        <v>631.94444444444446</v>
      </c>
      <c r="AL65">
        <f t="shared" si="22"/>
        <v>631.94444444444446</v>
      </c>
      <c r="AM65">
        <f t="shared" si="22"/>
        <v>631.94444444444446</v>
      </c>
      <c r="AN65">
        <f t="shared" si="22"/>
        <v>631.94444444444446</v>
      </c>
      <c r="AO65">
        <f t="shared" si="22"/>
        <v>631.94444444444446</v>
      </c>
      <c r="AP65">
        <f t="shared" si="22"/>
        <v>631.94444444444446</v>
      </c>
      <c r="AQ65">
        <f t="shared" si="22"/>
        <v>631.94444444444446</v>
      </c>
      <c r="AR65">
        <f t="shared" si="22"/>
        <v>631.94444444444446</v>
      </c>
      <c r="AS65">
        <f>$I$20*0.5/36</f>
        <v>315.97222222222223</v>
      </c>
      <c r="BL65">
        <f t="shared" si="21"/>
        <v>22750.000000000018</v>
      </c>
    </row>
    <row r="66" spans="1:66">
      <c r="A66" t="s">
        <v>340</v>
      </c>
      <c r="J66">
        <f>$J$20*0.5/36</f>
        <v>315.97222222222223</v>
      </c>
      <c r="K66">
        <f>$J$20/36</f>
        <v>631.94444444444446</v>
      </c>
      <c r="L66">
        <f t="shared" ref="L66:AS66" si="23">$J$20/36</f>
        <v>631.94444444444446</v>
      </c>
      <c r="M66">
        <f t="shared" si="23"/>
        <v>631.94444444444446</v>
      </c>
      <c r="N66">
        <f t="shared" si="23"/>
        <v>631.94444444444446</v>
      </c>
      <c r="O66">
        <f t="shared" si="23"/>
        <v>631.94444444444446</v>
      </c>
      <c r="P66">
        <f t="shared" si="23"/>
        <v>631.94444444444446</v>
      </c>
      <c r="Q66">
        <f t="shared" si="23"/>
        <v>631.94444444444446</v>
      </c>
      <c r="R66">
        <f t="shared" si="23"/>
        <v>631.94444444444446</v>
      </c>
      <c r="S66">
        <f t="shared" si="23"/>
        <v>631.94444444444446</v>
      </c>
      <c r="T66">
        <f t="shared" si="23"/>
        <v>631.94444444444446</v>
      </c>
      <c r="U66">
        <f t="shared" si="23"/>
        <v>631.94444444444446</v>
      </c>
      <c r="V66">
        <f t="shared" si="23"/>
        <v>631.94444444444446</v>
      </c>
      <c r="W66">
        <f t="shared" si="23"/>
        <v>631.94444444444446</v>
      </c>
      <c r="X66">
        <f t="shared" si="23"/>
        <v>631.94444444444446</v>
      </c>
      <c r="Y66">
        <f t="shared" si="23"/>
        <v>631.94444444444446</v>
      </c>
      <c r="Z66">
        <f t="shared" si="23"/>
        <v>631.94444444444446</v>
      </c>
      <c r="AA66">
        <f t="shared" si="23"/>
        <v>631.94444444444446</v>
      </c>
      <c r="AB66">
        <f t="shared" si="23"/>
        <v>631.94444444444446</v>
      </c>
      <c r="AC66">
        <f t="shared" si="23"/>
        <v>631.94444444444446</v>
      </c>
      <c r="AD66">
        <f t="shared" si="23"/>
        <v>631.94444444444446</v>
      </c>
      <c r="AE66">
        <f t="shared" si="23"/>
        <v>631.94444444444446</v>
      </c>
      <c r="AF66">
        <f t="shared" si="23"/>
        <v>631.94444444444446</v>
      </c>
      <c r="AG66">
        <f t="shared" si="23"/>
        <v>631.94444444444446</v>
      </c>
      <c r="AH66">
        <f t="shared" si="23"/>
        <v>631.94444444444446</v>
      </c>
      <c r="AI66">
        <f t="shared" si="23"/>
        <v>631.94444444444446</v>
      </c>
      <c r="AJ66">
        <f t="shared" si="23"/>
        <v>631.94444444444446</v>
      </c>
      <c r="AK66">
        <f t="shared" si="23"/>
        <v>631.94444444444446</v>
      </c>
      <c r="AL66">
        <f t="shared" si="23"/>
        <v>631.94444444444446</v>
      </c>
      <c r="AM66">
        <f t="shared" si="23"/>
        <v>631.94444444444446</v>
      </c>
      <c r="AN66">
        <f t="shared" si="23"/>
        <v>631.94444444444446</v>
      </c>
      <c r="AO66">
        <f t="shared" si="23"/>
        <v>631.94444444444446</v>
      </c>
      <c r="AP66">
        <f t="shared" si="23"/>
        <v>631.94444444444446</v>
      </c>
      <c r="AQ66">
        <f t="shared" si="23"/>
        <v>631.94444444444446</v>
      </c>
      <c r="AR66">
        <f t="shared" si="23"/>
        <v>631.94444444444446</v>
      </c>
      <c r="AS66">
        <f t="shared" si="23"/>
        <v>631.94444444444446</v>
      </c>
      <c r="AT66">
        <f>$J$20*0.5/36</f>
        <v>315.97222222222223</v>
      </c>
      <c r="BL66">
        <f t="shared" si="21"/>
        <v>22750.000000000018</v>
      </c>
    </row>
    <row r="67" spans="1:66">
      <c r="A67" t="s">
        <v>341</v>
      </c>
      <c r="K67">
        <f>$K$20*0.5/36</f>
        <v>315.97222222222223</v>
      </c>
      <c r="L67">
        <f>$K$20/36</f>
        <v>631.94444444444446</v>
      </c>
      <c r="M67">
        <f t="shared" ref="M67:AT67" si="24">$K$20/36</f>
        <v>631.94444444444446</v>
      </c>
      <c r="N67">
        <f t="shared" si="24"/>
        <v>631.94444444444446</v>
      </c>
      <c r="O67">
        <f t="shared" si="24"/>
        <v>631.94444444444446</v>
      </c>
      <c r="P67">
        <f t="shared" si="24"/>
        <v>631.94444444444446</v>
      </c>
      <c r="Q67">
        <f t="shared" si="24"/>
        <v>631.94444444444446</v>
      </c>
      <c r="R67">
        <f t="shared" si="24"/>
        <v>631.94444444444446</v>
      </c>
      <c r="S67">
        <f t="shared" si="24"/>
        <v>631.94444444444446</v>
      </c>
      <c r="T67">
        <f t="shared" si="24"/>
        <v>631.94444444444446</v>
      </c>
      <c r="U67">
        <f t="shared" si="24"/>
        <v>631.94444444444446</v>
      </c>
      <c r="V67">
        <f t="shared" si="24"/>
        <v>631.94444444444446</v>
      </c>
      <c r="W67">
        <f t="shared" si="24"/>
        <v>631.94444444444446</v>
      </c>
      <c r="X67">
        <f t="shared" si="24"/>
        <v>631.94444444444446</v>
      </c>
      <c r="Y67">
        <f t="shared" si="24"/>
        <v>631.94444444444446</v>
      </c>
      <c r="Z67">
        <f t="shared" si="24"/>
        <v>631.94444444444446</v>
      </c>
      <c r="AA67">
        <f t="shared" si="24"/>
        <v>631.94444444444446</v>
      </c>
      <c r="AB67">
        <f t="shared" si="24"/>
        <v>631.94444444444446</v>
      </c>
      <c r="AC67">
        <f t="shared" si="24"/>
        <v>631.94444444444446</v>
      </c>
      <c r="AD67">
        <f t="shared" si="24"/>
        <v>631.94444444444446</v>
      </c>
      <c r="AE67">
        <f t="shared" si="24"/>
        <v>631.94444444444446</v>
      </c>
      <c r="AF67">
        <f t="shared" si="24"/>
        <v>631.94444444444446</v>
      </c>
      <c r="AG67">
        <f t="shared" si="24"/>
        <v>631.94444444444446</v>
      </c>
      <c r="AH67">
        <f t="shared" si="24"/>
        <v>631.94444444444446</v>
      </c>
      <c r="AI67">
        <f t="shared" si="24"/>
        <v>631.94444444444446</v>
      </c>
      <c r="AJ67">
        <f t="shared" si="24"/>
        <v>631.94444444444446</v>
      </c>
      <c r="AK67">
        <f t="shared" si="24"/>
        <v>631.94444444444446</v>
      </c>
      <c r="AL67">
        <f t="shared" si="24"/>
        <v>631.94444444444446</v>
      </c>
      <c r="AM67">
        <f t="shared" si="24"/>
        <v>631.94444444444446</v>
      </c>
      <c r="AN67">
        <f t="shared" si="24"/>
        <v>631.94444444444446</v>
      </c>
      <c r="AO67">
        <f t="shared" si="24"/>
        <v>631.94444444444446</v>
      </c>
      <c r="AP67">
        <f t="shared" si="24"/>
        <v>631.94444444444446</v>
      </c>
      <c r="AQ67">
        <f t="shared" si="24"/>
        <v>631.94444444444446</v>
      </c>
      <c r="AR67">
        <f t="shared" si="24"/>
        <v>631.94444444444446</v>
      </c>
      <c r="AS67">
        <f t="shared" si="24"/>
        <v>631.94444444444446</v>
      </c>
      <c r="AT67">
        <f t="shared" si="24"/>
        <v>631.94444444444446</v>
      </c>
      <c r="AU67">
        <f>$K$20*0.5/36</f>
        <v>315.97222222222223</v>
      </c>
      <c r="BL67">
        <f t="shared" si="21"/>
        <v>22750.000000000018</v>
      </c>
    </row>
    <row r="68" spans="1:66">
      <c r="A68" t="s">
        <v>342</v>
      </c>
      <c r="L68">
        <f>$L$20*0.5/36</f>
        <v>315.97222222222223</v>
      </c>
      <c r="M68">
        <f>$L$20/36</f>
        <v>631.94444444444446</v>
      </c>
      <c r="N68">
        <f t="shared" ref="N68:AU68" si="25">$L$20/36</f>
        <v>631.94444444444446</v>
      </c>
      <c r="O68">
        <f t="shared" si="25"/>
        <v>631.94444444444446</v>
      </c>
      <c r="P68">
        <f t="shared" si="25"/>
        <v>631.94444444444446</v>
      </c>
      <c r="Q68">
        <f t="shared" si="25"/>
        <v>631.94444444444446</v>
      </c>
      <c r="R68">
        <f t="shared" si="25"/>
        <v>631.94444444444446</v>
      </c>
      <c r="S68">
        <f t="shared" si="25"/>
        <v>631.94444444444446</v>
      </c>
      <c r="T68">
        <f t="shared" si="25"/>
        <v>631.94444444444446</v>
      </c>
      <c r="U68">
        <f t="shared" si="25"/>
        <v>631.94444444444446</v>
      </c>
      <c r="V68">
        <f t="shared" si="25"/>
        <v>631.94444444444446</v>
      </c>
      <c r="W68">
        <f t="shared" si="25"/>
        <v>631.94444444444446</v>
      </c>
      <c r="X68">
        <f t="shared" si="25"/>
        <v>631.94444444444446</v>
      </c>
      <c r="Y68">
        <f t="shared" si="25"/>
        <v>631.94444444444446</v>
      </c>
      <c r="Z68">
        <f t="shared" si="25"/>
        <v>631.94444444444446</v>
      </c>
      <c r="AA68">
        <f t="shared" si="25"/>
        <v>631.94444444444446</v>
      </c>
      <c r="AB68">
        <f t="shared" si="25"/>
        <v>631.94444444444446</v>
      </c>
      <c r="AC68">
        <f t="shared" si="25"/>
        <v>631.94444444444446</v>
      </c>
      <c r="AD68">
        <f t="shared" si="25"/>
        <v>631.94444444444446</v>
      </c>
      <c r="AE68">
        <f t="shared" si="25"/>
        <v>631.94444444444446</v>
      </c>
      <c r="AF68">
        <f t="shared" si="25"/>
        <v>631.94444444444446</v>
      </c>
      <c r="AG68">
        <f t="shared" si="25"/>
        <v>631.94444444444446</v>
      </c>
      <c r="AH68">
        <f t="shared" si="25"/>
        <v>631.94444444444446</v>
      </c>
      <c r="AI68">
        <f t="shared" si="25"/>
        <v>631.94444444444446</v>
      </c>
      <c r="AJ68">
        <f t="shared" si="25"/>
        <v>631.94444444444446</v>
      </c>
      <c r="AK68">
        <f t="shared" si="25"/>
        <v>631.94444444444446</v>
      </c>
      <c r="AL68">
        <f t="shared" si="25"/>
        <v>631.94444444444446</v>
      </c>
      <c r="AM68">
        <f t="shared" si="25"/>
        <v>631.94444444444446</v>
      </c>
      <c r="AN68">
        <f t="shared" si="25"/>
        <v>631.94444444444446</v>
      </c>
      <c r="AO68">
        <f t="shared" si="25"/>
        <v>631.94444444444446</v>
      </c>
      <c r="AP68">
        <f t="shared" si="25"/>
        <v>631.94444444444446</v>
      </c>
      <c r="AQ68">
        <f t="shared" si="25"/>
        <v>631.94444444444446</v>
      </c>
      <c r="AR68">
        <f t="shared" si="25"/>
        <v>631.94444444444446</v>
      </c>
      <c r="AS68">
        <f t="shared" si="25"/>
        <v>631.94444444444446</v>
      </c>
      <c r="AT68">
        <f t="shared" si="25"/>
        <v>631.94444444444446</v>
      </c>
      <c r="AU68">
        <f t="shared" si="25"/>
        <v>631.94444444444446</v>
      </c>
      <c r="AV68">
        <f>$L$20*0.5/36</f>
        <v>315.97222222222223</v>
      </c>
      <c r="BL68">
        <f t="shared" si="21"/>
        <v>22750.000000000018</v>
      </c>
    </row>
    <row r="69" spans="1:66">
      <c r="A69" t="s">
        <v>343</v>
      </c>
      <c r="M69">
        <f>$M$20*0.5/36</f>
        <v>315.97222222222223</v>
      </c>
      <c r="N69">
        <f>$M$20/36</f>
        <v>631.94444444444446</v>
      </c>
      <c r="O69">
        <f t="shared" ref="O69:AW70" si="26">$M$20/36</f>
        <v>631.94444444444446</v>
      </c>
      <c r="P69">
        <f t="shared" si="26"/>
        <v>631.94444444444446</v>
      </c>
      <c r="Q69">
        <f t="shared" si="26"/>
        <v>631.94444444444446</v>
      </c>
      <c r="R69">
        <f t="shared" si="26"/>
        <v>631.94444444444446</v>
      </c>
      <c r="S69">
        <f t="shared" si="26"/>
        <v>631.94444444444446</v>
      </c>
      <c r="T69">
        <f t="shared" si="26"/>
        <v>631.94444444444446</v>
      </c>
      <c r="U69">
        <f t="shared" si="26"/>
        <v>631.94444444444446</v>
      </c>
      <c r="V69">
        <f t="shared" si="26"/>
        <v>631.94444444444446</v>
      </c>
      <c r="W69">
        <f t="shared" si="26"/>
        <v>631.94444444444446</v>
      </c>
      <c r="X69">
        <f t="shared" si="26"/>
        <v>631.94444444444446</v>
      </c>
      <c r="Y69">
        <f t="shared" si="26"/>
        <v>631.94444444444446</v>
      </c>
      <c r="Z69">
        <f t="shared" si="26"/>
        <v>631.94444444444446</v>
      </c>
      <c r="AA69">
        <f t="shared" si="26"/>
        <v>631.94444444444446</v>
      </c>
      <c r="AB69">
        <f t="shared" si="26"/>
        <v>631.94444444444446</v>
      </c>
      <c r="AC69">
        <f t="shared" si="26"/>
        <v>631.94444444444446</v>
      </c>
      <c r="AD69">
        <f t="shared" si="26"/>
        <v>631.94444444444446</v>
      </c>
      <c r="AE69">
        <f t="shared" si="26"/>
        <v>631.94444444444446</v>
      </c>
      <c r="AF69">
        <f t="shared" si="26"/>
        <v>631.94444444444446</v>
      </c>
      <c r="AG69">
        <f t="shared" si="26"/>
        <v>631.94444444444446</v>
      </c>
      <c r="AH69">
        <f t="shared" si="26"/>
        <v>631.94444444444446</v>
      </c>
      <c r="AI69">
        <f t="shared" si="26"/>
        <v>631.94444444444446</v>
      </c>
      <c r="AJ69">
        <f t="shared" si="26"/>
        <v>631.94444444444446</v>
      </c>
      <c r="AK69">
        <f t="shared" si="26"/>
        <v>631.94444444444446</v>
      </c>
      <c r="AL69">
        <f t="shared" si="26"/>
        <v>631.94444444444446</v>
      </c>
      <c r="AM69">
        <f t="shared" si="26"/>
        <v>631.94444444444446</v>
      </c>
      <c r="AN69">
        <f t="shared" si="26"/>
        <v>631.94444444444446</v>
      </c>
      <c r="AO69">
        <f t="shared" si="26"/>
        <v>631.94444444444446</v>
      </c>
      <c r="AP69">
        <f t="shared" si="26"/>
        <v>631.94444444444446</v>
      </c>
      <c r="AQ69">
        <f t="shared" si="26"/>
        <v>631.94444444444446</v>
      </c>
      <c r="AR69">
        <f t="shared" si="26"/>
        <v>631.94444444444446</v>
      </c>
      <c r="AS69">
        <f t="shared" si="26"/>
        <v>631.94444444444446</v>
      </c>
      <c r="AT69">
        <f t="shared" si="26"/>
        <v>631.94444444444446</v>
      </c>
      <c r="AU69">
        <f t="shared" si="26"/>
        <v>631.94444444444446</v>
      </c>
      <c r="AV69">
        <f t="shared" si="26"/>
        <v>631.94444444444446</v>
      </c>
      <c r="AW69">
        <f>$M$20*0.5/36</f>
        <v>315.97222222222223</v>
      </c>
      <c r="BL69">
        <f t="shared" si="21"/>
        <v>22750.000000000018</v>
      </c>
    </row>
    <row r="70" spans="1:66">
      <c r="A70" t="s">
        <v>344</v>
      </c>
      <c r="N70">
        <f>$M$20*0.5/36</f>
        <v>315.97222222222223</v>
      </c>
      <c r="O70">
        <f>$M$20/36</f>
        <v>631.94444444444446</v>
      </c>
      <c r="P70">
        <f t="shared" si="26"/>
        <v>631.94444444444446</v>
      </c>
      <c r="Q70">
        <f t="shared" si="26"/>
        <v>631.94444444444446</v>
      </c>
      <c r="R70">
        <f t="shared" si="26"/>
        <v>631.94444444444446</v>
      </c>
      <c r="S70">
        <f t="shared" si="26"/>
        <v>631.94444444444446</v>
      </c>
      <c r="T70">
        <f t="shared" si="26"/>
        <v>631.94444444444446</v>
      </c>
      <c r="U70">
        <f t="shared" si="26"/>
        <v>631.94444444444446</v>
      </c>
      <c r="V70">
        <f t="shared" si="26"/>
        <v>631.94444444444446</v>
      </c>
      <c r="W70">
        <f t="shared" si="26"/>
        <v>631.94444444444446</v>
      </c>
      <c r="X70">
        <f t="shared" si="26"/>
        <v>631.94444444444446</v>
      </c>
      <c r="Y70">
        <f t="shared" si="26"/>
        <v>631.94444444444446</v>
      </c>
      <c r="Z70">
        <f t="shared" si="26"/>
        <v>631.94444444444446</v>
      </c>
      <c r="AA70">
        <f t="shared" si="26"/>
        <v>631.94444444444446</v>
      </c>
      <c r="AB70">
        <f t="shared" si="26"/>
        <v>631.94444444444446</v>
      </c>
      <c r="AC70">
        <f t="shared" si="26"/>
        <v>631.94444444444446</v>
      </c>
      <c r="AD70">
        <f t="shared" si="26"/>
        <v>631.94444444444446</v>
      </c>
      <c r="AE70">
        <f t="shared" si="26"/>
        <v>631.94444444444446</v>
      </c>
      <c r="AF70">
        <f t="shared" si="26"/>
        <v>631.94444444444446</v>
      </c>
      <c r="AG70">
        <f t="shared" si="26"/>
        <v>631.94444444444446</v>
      </c>
      <c r="AH70">
        <f t="shared" si="26"/>
        <v>631.94444444444446</v>
      </c>
      <c r="AI70">
        <f t="shared" si="26"/>
        <v>631.94444444444446</v>
      </c>
      <c r="AJ70">
        <f t="shared" si="26"/>
        <v>631.94444444444446</v>
      </c>
      <c r="AK70">
        <f t="shared" si="26"/>
        <v>631.94444444444446</v>
      </c>
      <c r="AL70">
        <f t="shared" si="26"/>
        <v>631.94444444444446</v>
      </c>
      <c r="AM70">
        <f t="shared" si="26"/>
        <v>631.94444444444446</v>
      </c>
      <c r="AN70">
        <f t="shared" si="26"/>
        <v>631.94444444444446</v>
      </c>
      <c r="AO70">
        <f t="shared" si="26"/>
        <v>631.94444444444446</v>
      </c>
      <c r="AP70">
        <f t="shared" si="26"/>
        <v>631.94444444444446</v>
      </c>
      <c r="AQ70">
        <f t="shared" si="26"/>
        <v>631.94444444444446</v>
      </c>
      <c r="AR70">
        <f t="shared" si="26"/>
        <v>631.94444444444446</v>
      </c>
      <c r="AS70">
        <f t="shared" si="26"/>
        <v>631.94444444444446</v>
      </c>
      <c r="AT70">
        <f t="shared" si="26"/>
        <v>631.94444444444446</v>
      </c>
      <c r="AU70">
        <f t="shared" si="26"/>
        <v>631.94444444444446</v>
      </c>
      <c r="AV70">
        <f t="shared" si="26"/>
        <v>631.94444444444446</v>
      </c>
      <c r="AW70">
        <f t="shared" si="26"/>
        <v>631.94444444444446</v>
      </c>
      <c r="AX70">
        <f>$M$20*0.5/36</f>
        <v>315.97222222222223</v>
      </c>
      <c r="BL70">
        <f t="shared" si="21"/>
        <v>22750.000000000018</v>
      </c>
      <c r="BM70">
        <f>SUM(BL63:BL70)</f>
        <v>182000.00000000017</v>
      </c>
      <c r="BN70" t="s">
        <v>345</v>
      </c>
    </row>
    <row r="71" spans="1:66" ht="7.5" customHeight="1"/>
    <row r="72" spans="1:66">
      <c r="A72" t="s">
        <v>346</v>
      </c>
      <c r="C72">
        <f>SUM(C63:C70)</f>
        <v>0</v>
      </c>
      <c r="D72">
        <f t="shared" ref="D72:N72" si="27">SUM(D63:D70)</f>
        <v>0</v>
      </c>
      <c r="E72">
        <f t="shared" si="27"/>
        <v>0</v>
      </c>
      <c r="F72">
        <f t="shared" si="27"/>
        <v>0</v>
      </c>
      <c r="G72">
        <f t="shared" si="27"/>
        <v>315.97222222222223</v>
      </c>
      <c r="H72">
        <f t="shared" si="27"/>
        <v>947.91666666666674</v>
      </c>
      <c r="I72">
        <f t="shared" si="27"/>
        <v>1579.8611111111111</v>
      </c>
      <c r="J72">
        <f t="shared" si="27"/>
        <v>2211.8055555555557</v>
      </c>
      <c r="K72">
        <f t="shared" si="27"/>
        <v>2843.75</v>
      </c>
      <c r="L72">
        <f t="shared" si="27"/>
        <v>3475.6944444444443</v>
      </c>
      <c r="M72">
        <f t="shared" si="27"/>
        <v>4107.6388888888887</v>
      </c>
      <c r="N72">
        <f t="shared" si="27"/>
        <v>4739.5833333333339</v>
      </c>
    </row>
    <row r="75" spans="1:66">
      <c r="A75" t="s">
        <v>347</v>
      </c>
      <c r="C75">
        <f>$B$11/36</f>
        <v>161.33333333333334</v>
      </c>
      <c r="D75">
        <f t="shared" ref="D75:AL75" si="28">$B$11/36</f>
        <v>161.33333333333334</v>
      </c>
      <c r="E75">
        <f t="shared" si="28"/>
        <v>161.33333333333334</v>
      </c>
      <c r="F75">
        <f t="shared" si="28"/>
        <v>161.33333333333334</v>
      </c>
      <c r="G75">
        <f t="shared" si="28"/>
        <v>161.33333333333334</v>
      </c>
      <c r="H75">
        <f t="shared" si="28"/>
        <v>161.33333333333334</v>
      </c>
      <c r="I75">
        <f t="shared" si="28"/>
        <v>161.33333333333334</v>
      </c>
      <c r="J75">
        <f t="shared" si="28"/>
        <v>161.33333333333334</v>
      </c>
      <c r="K75">
        <f t="shared" si="28"/>
        <v>161.33333333333334</v>
      </c>
      <c r="L75">
        <f t="shared" si="28"/>
        <v>161.33333333333334</v>
      </c>
      <c r="M75">
        <f t="shared" si="28"/>
        <v>161.33333333333334</v>
      </c>
      <c r="N75">
        <f t="shared" si="28"/>
        <v>161.33333333333334</v>
      </c>
      <c r="O75">
        <f t="shared" si="28"/>
        <v>161.33333333333334</v>
      </c>
      <c r="P75">
        <f t="shared" si="28"/>
        <v>161.33333333333334</v>
      </c>
      <c r="Q75">
        <f t="shared" si="28"/>
        <v>161.33333333333334</v>
      </c>
      <c r="R75">
        <f t="shared" si="28"/>
        <v>161.33333333333334</v>
      </c>
      <c r="S75">
        <f t="shared" si="28"/>
        <v>161.33333333333334</v>
      </c>
      <c r="T75">
        <f t="shared" si="28"/>
        <v>161.33333333333334</v>
      </c>
      <c r="U75">
        <f t="shared" si="28"/>
        <v>161.33333333333334</v>
      </c>
      <c r="V75">
        <f t="shared" si="28"/>
        <v>161.33333333333334</v>
      </c>
      <c r="W75">
        <f t="shared" si="28"/>
        <v>161.33333333333334</v>
      </c>
      <c r="X75">
        <f t="shared" si="28"/>
        <v>161.33333333333334</v>
      </c>
      <c r="Y75">
        <f t="shared" si="28"/>
        <v>161.33333333333334</v>
      </c>
      <c r="Z75">
        <f t="shared" si="28"/>
        <v>161.33333333333334</v>
      </c>
      <c r="AA75">
        <f t="shared" si="28"/>
        <v>161.33333333333334</v>
      </c>
      <c r="AB75">
        <f t="shared" si="28"/>
        <v>161.33333333333334</v>
      </c>
      <c r="AC75">
        <f t="shared" si="28"/>
        <v>161.33333333333334</v>
      </c>
      <c r="AD75">
        <f t="shared" si="28"/>
        <v>161.33333333333334</v>
      </c>
      <c r="AE75">
        <f t="shared" si="28"/>
        <v>161.33333333333334</v>
      </c>
      <c r="AF75">
        <f t="shared" si="28"/>
        <v>161.33333333333334</v>
      </c>
      <c r="AG75">
        <f t="shared" si="28"/>
        <v>161.33333333333334</v>
      </c>
      <c r="AH75">
        <f t="shared" si="28"/>
        <v>161.33333333333334</v>
      </c>
      <c r="AI75">
        <f t="shared" si="28"/>
        <v>161.33333333333334</v>
      </c>
      <c r="AJ75">
        <f t="shared" si="28"/>
        <v>161.33333333333334</v>
      </c>
      <c r="AK75">
        <f t="shared" si="28"/>
        <v>161.33333333333334</v>
      </c>
      <c r="AL75">
        <f t="shared" si="28"/>
        <v>161.33333333333334</v>
      </c>
      <c r="BL75">
        <f>SUM(B75:BK75)</f>
        <v>5807.9999999999982</v>
      </c>
      <c r="BM75" t="s">
        <v>348</v>
      </c>
    </row>
    <row r="77" spans="1:66">
      <c r="A77" t="s">
        <v>349</v>
      </c>
      <c r="G77">
        <f>$G$21*0.5/36</f>
        <v>30.208333333333332</v>
      </c>
      <c r="H77">
        <f>$G$21/36</f>
        <v>60.416666666666664</v>
      </c>
      <c r="I77">
        <f t="shared" ref="I77:AP77" si="29">$G$21/36</f>
        <v>60.416666666666664</v>
      </c>
      <c r="J77">
        <f t="shared" si="29"/>
        <v>60.416666666666664</v>
      </c>
      <c r="K77">
        <f t="shared" si="29"/>
        <v>60.416666666666664</v>
      </c>
      <c r="L77">
        <f t="shared" si="29"/>
        <v>60.416666666666664</v>
      </c>
      <c r="M77">
        <f t="shared" si="29"/>
        <v>60.416666666666664</v>
      </c>
      <c r="N77">
        <f t="shared" si="29"/>
        <v>60.416666666666664</v>
      </c>
      <c r="O77">
        <f t="shared" si="29"/>
        <v>60.416666666666664</v>
      </c>
      <c r="P77">
        <f t="shared" si="29"/>
        <v>60.416666666666664</v>
      </c>
      <c r="Q77">
        <f t="shared" si="29"/>
        <v>60.416666666666664</v>
      </c>
      <c r="R77">
        <f t="shared" si="29"/>
        <v>60.416666666666664</v>
      </c>
      <c r="S77">
        <f t="shared" si="29"/>
        <v>60.416666666666664</v>
      </c>
      <c r="T77">
        <f t="shared" si="29"/>
        <v>60.416666666666664</v>
      </c>
      <c r="U77">
        <f t="shared" si="29"/>
        <v>60.416666666666664</v>
      </c>
      <c r="V77">
        <f t="shared" si="29"/>
        <v>60.416666666666664</v>
      </c>
      <c r="W77">
        <f t="shared" si="29"/>
        <v>60.416666666666664</v>
      </c>
      <c r="X77">
        <f t="shared" si="29"/>
        <v>60.416666666666664</v>
      </c>
      <c r="Y77">
        <f t="shared" si="29"/>
        <v>60.416666666666664</v>
      </c>
      <c r="Z77">
        <f t="shared" si="29"/>
        <v>60.416666666666664</v>
      </c>
      <c r="AA77">
        <f t="shared" si="29"/>
        <v>60.416666666666664</v>
      </c>
      <c r="AB77">
        <f t="shared" si="29"/>
        <v>60.416666666666664</v>
      </c>
      <c r="AC77">
        <f t="shared" si="29"/>
        <v>60.416666666666664</v>
      </c>
      <c r="AD77">
        <f t="shared" si="29"/>
        <v>60.416666666666664</v>
      </c>
      <c r="AE77">
        <f t="shared" si="29"/>
        <v>60.416666666666664</v>
      </c>
      <c r="AF77">
        <f t="shared" si="29"/>
        <v>60.416666666666664</v>
      </c>
      <c r="AG77">
        <f t="shared" si="29"/>
        <v>60.416666666666664</v>
      </c>
      <c r="AH77">
        <f t="shared" si="29"/>
        <v>60.416666666666664</v>
      </c>
      <c r="AI77">
        <f t="shared" si="29"/>
        <v>60.416666666666664</v>
      </c>
      <c r="AJ77">
        <f t="shared" si="29"/>
        <v>60.416666666666664</v>
      </c>
      <c r="AK77">
        <f t="shared" si="29"/>
        <v>60.416666666666664</v>
      </c>
      <c r="AL77">
        <f t="shared" si="29"/>
        <v>60.416666666666664</v>
      </c>
      <c r="AM77">
        <f t="shared" si="29"/>
        <v>60.416666666666664</v>
      </c>
      <c r="AN77">
        <f t="shared" si="29"/>
        <v>60.416666666666664</v>
      </c>
      <c r="AO77">
        <f t="shared" si="29"/>
        <v>60.416666666666664</v>
      </c>
      <c r="AP77">
        <f t="shared" si="29"/>
        <v>60.416666666666664</v>
      </c>
      <c r="AQ77">
        <f>$G$21*0.5/36</f>
        <v>30.208333333333332</v>
      </c>
      <c r="BL77">
        <f t="shared" si="21"/>
        <v>2175.0000000000009</v>
      </c>
    </row>
    <row r="78" spans="1:66">
      <c r="A78" t="s">
        <v>350</v>
      </c>
      <c r="H78">
        <f>$H$21*0.5/36</f>
        <v>30.208333333333332</v>
      </c>
      <c r="I78">
        <f>$H$21/36</f>
        <v>60.416666666666664</v>
      </c>
      <c r="J78">
        <f t="shared" ref="J78:AQ78" si="30">$H$21/36</f>
        <v>60.416666666666664</v>
      </c>
      <c r="K78">
        <f t="shared" si="30"/>
        <v>60.416666666666664</v>
      </c>
      <c r="L78">
        <f t="shared" si="30"/>
        <v>60.416666666666664</v>
      </c>
      <c r="M78">
        <f t="shared" si="30"/>
        <v>60.416666666666664</v>
      </c>
      <c r="N78">
        <f t="shared" si="30"/>
        <v>60.416666666666664</v>
      </c>
      <c r="O78">
        <f t="shared" si="30"/>
        <v>60.416666666666664</v>
      </c>
      <c r="P78">
        <f t="shared" si="30"/>
        <v>60.416666666666664</v>
      </c>
      <c r="Q78">
        <f t="shared" si="30"/>
        <v>60.416666666666664</v>
      </c>
      <c r="R78">
        <f t="shared" si="30"/>
        <v>60.416666666666664</v>
      </c>
      <c r="S78">
        <f t="shared" si="30"/>
        <v>60.416666666666664</v>
      </c>
      <c r="T78">
        <f t="shared" si="30"/>
        <v>60.416666666666664</v>
      </c>
      <c r="U78">
        <f t="shared" si="30"/>
        <v>60.416666666666664</v>
      </c>
      <c r="V78">
        <f t="shared" si="30"/>
        <v>60.416666666666664</v>
      </c>
      <c r="W78">
        <f t="shared" si="30"/>
        <v>60.416666666666664</v>
      </c>
      <c r="X78">
        <f t="shared" si="30"/>
        <v>60.416666666666664</v>
      </c>
      <c r="Y78">
        <f t="shared" si="30"/>
        <v>60.416666666666664</v>
      </c>
      <c r="Z78">
        <f t="shared" si="30"/>
        <v>60.416666666666664</v>
      </c>
      <c r="AA78">
        <f t="shared" si="30"/>
        <v>60.416666666666664</v>
      </c>
      <c r="AB78">
        <f t="shared" si="30"/>
        <v>60.416666666666664</v>
      </c>
      <c r="AC78">
        <f t="shared" si="30"/>
        <v>60.416666666666664</v>
      </c>
      <c r="AD78">
        <f t="shared" si="30"/>
        <v>60.416666666666664</v>
      </c>
      <c r="AE78">
        <f t="shared" si="30"/>
        <v>60.416666666666664</v>
      </c>
      <c r="AF78">
        <f t="shared" si="30"/>
        <v>60.416666666666664</v>
      </c>
      <c r="AG78">
        <f t="shared" si="30"/>
        <v>60.416666666666664</v>
      </c>
      <c r="AH78">
        <f t="shared" si="30"/>
        <v>60.416666666666664</v>
      </c>
      <c r="AI78">
        <f t="shared" si="30"/>
        <v>60.416666666666664</v>
      </c>
      <c r="AJ78">
        <f t="shared" si="30"/>
        <v>60.416666666666664</v>
      </c>
      <c r="AK78">
        <f t="shared" si="30"/>
        <v>60.416666666666664</v>
      </c>
      <c r="AL78">
        <f t="shared" si="30"/>
        <v>60.416666666666664</v>
      </c>
      <c r="AM78">
        <f t="shared" si="30"/>
        <v>60.416666666666664</v>
      </c>
      <c r="AN78">
        <f t="shared" si="30"/>
        <v>60.416666666666664</v>
      </c>
      <c r="AO78">
        <f t="shared" si="30"/>
        <v>60.416666666666664</v>
      </c>
      <c r="AP78">
        <f t="shared" si="30"/>
        <v>60.416666666666664</v>
      </c>
      <c r="AQ78">
        <f t="shared" si="30"/>
        <v>60.416666666666664</v>
      </c>
      <c r="AR78">
        <f>$H$21*0.5/36</f>
        <v>30.208333333333332</v>
      </c>
      <c r="BL78">
        <f t="shared" si="21"/>
        <v>2175.0000000000009</v>
      </c>
    </row>
    <row r="79" spans="1:66">
      <c r="A79" t="s">
        <v>351</v>
      </c>
      <c r="I79">
        <f>$I$21*0.5/36</f>
        <v>30.208333333333332</v>
      </c>
      <c r="J79">
        <f>$I$21/36</f>
        <v>60.416666666666664</v>
      </c>
      <c r="K79">
        <f t="shared" ref="K79:AR79" si="31">$I$21/36</f>
        <v>60.416666666666664</v>
      </c>
      <c r="L79">
        <f t="shared" si="31"/>
        <v>60.416666666666664</v>
      </c>
      <c r="M79">
        <f t="shared" si="31"/>
        <v>60.416666666666664</v>
      </c>
      <c r="N79">
        <f t="shared" si="31"/>
        <v>60.416666666666664</v>
      </c>
      <c r="O79">
        <f t="shared" si="31"/>
        <v>60.416666666666664</v>
      </c>
      <c r="P79">
        <f t="shared" si="31"/>
        <v>60.416666666666664</v>
      </c>
      <c r="Q79">
        <f t="shared" si="31"/>
        <v>60.416666666666664</v>
      </c>
      <c r="R79">
        <f t="shared" si="31"/>
        <v>60.416666666666664</v>
      </c>
      <c r="S79">
        <f t="shared" si="31"/>
        <v>60.416666666666664</v>
      </c>
      <c r="T79">
        <f t="shared" si="31"/>
        <v>60.416666666666664</v>
      </c>
      <c r="U79">
        <f t="shared" si="31"/>
        <v>60.416666666666664</v>
      </c>
      <c r="V79">
        <f t="shared" si="31"/>
        <v>60.416666666666664</v>
      </c>
      <c r="W79">
        <f t="shared" si="31"/>
        <v>60.416666666666664</v>
      </c>
      <c r="X79">
        <f t="shared" si="31"/>
        <v>60.416666666666664</v>
      </c>
      <c r="Y79">
        <f t="shared" si="31"/>
        <v>60.416666666666664</v>
      </c>
      <c r="Z79">
        <f t="shared" si="31"/>
        <v>60.416666666666664</v>
      </c>
      <c r="AA79">
        <f t="shared" si="31"/>
        <v>60.416666666666664</v>
      </c>
      <c r="AB79">
        <f t="shared" si="31"/>
        <v>60.416666666666664</v>
      </c>
      <c r="AC79">
        <f t="shared" si="31"/>
        <v>60.416666666666664</v>
      </c>
      <c r="AD79">
        <f t="shared" si="31"/>
        <v>60.416666666666664</v>
      </c>
      <c r="AE79">
        <f t="shared" si="31"/>
        <v>60.416666666666664</v>
      </c>
      <c r="AF79">
        <f t="shared" si="31"/>
        <v>60.416666666666664</v>
      </c>
      <c r="AG79">
        <f t="shared" si="31"/>
        <v>60.416666666666664</v>
      </c>
      <c r="AH79">
        <f t="shared" si="31"/>
        <v>60.416666666666664</v>
      </c>
      <c r="AI79">
        <f t="shared" si="31"/>
        <v>60.416666666666664</v>
      </c>
      <c r="AJ79">
        <f t="shared" si="31"/>
        <v>60.416666666666664</v>
      </c>
      <c r="AK79">
        <f t="shared" si="31"/>
        <v>60.416666666666664</v>
      </c>
      <c r="AL79">
        <f t="shared" si="31"/>
        <v>60.416666666666664</v>
      </c>
      <c r="AM79">
        <f t="shared" si="31"/>
        <v>60.416666666666664</v>
      </c>
      <c r="AN79">
        <f t="shared" si="31"/>
        <v>60.416666666666664</v>
      </c>
      <c r="AO79">
        <f t="shared" si="31"/>
        <v>60.416666666666664</v>
      </c>
      <c r="AP79">
        <f t="shared" si="31"/>
        <v>60.416666666666664</v>
      </c>
      <c r="AQ79">
        <f t="shared" si="31"/>
        <v>60.416666666666664</v>
      </c>
      <c r="AR79">
        <f t="shared" si="31"/>
        <v>60.416666666666664</v>
      </c>
      <c r="AS79">
        <f>$I$21*0.5/36</f>
        <v>30.208333333333332</v>
      </c>
      <c r="BL79">
        <f t="shared" si="21"/>
        <v>2175.0000000000009</v>
      </c>
    </row>
    <row r="80" spans="1:66">
      <c r="A80" t="s">
        <v>352</v>
      </c>
      <c r="J80">
        <f>$J$21*0.5/36</f>
        <v>30.208333333333332</v>
      </c>
      <c r="K80">
        <f>$J$21/36</f>
        <v>60.416666666666664</v>
      </c>
      <c r="L80">
        <f t="shared" ref="L80:AS80" si="32">$J$21/36</f>
        <v>60.416666666666664</v>
      </c>
      <c r="M80">
        <f t="shared" si="32"/>
        <v>60.416666666666664</v>
      </c>
      <c r="N80">
        <f t="shared" si="32"/>
        <v>60.416666666666664</v>
      </c>
      <c r="O80">
        <f t="shared" si="32"/>
        <v>60.416666666666664</v>
      </c>
      <c r="P80">
        <f t="shared" si="32"/>
        <v>60.416666666666664</v>
      </c>
      <c r="Q80">
        <f t="shared" si="32"/>
        <v>60.416666666666664</v>
      </c>
      <c r="R80">
        <f t="shared" si="32"/>
        <v>60.416666666666664</v>
      </c>
      <c r="S80">
        <f t="shared" si="32"/>
        <v>60.416666666666664</v>
      </c>
      <c r="T80">
        <f t="shared" si="32"/>
        <v>60.416666666666664</v>
      </c>
      <c r="U80">
        <f t="shared" si="32"/>
        <v>60.416666666666664</v>
      </c>
      <c r="V80">
        <f t="shared" si="32"/>
        <v>60.416666666666664</v>
      </c>
      <c r="W80">
        <f t="shared" si="32"/>
        <v>60.416666666666664</v>
      </c>
      <c r="X80">
        <f t="shared" si="32"/>
        <v>60.416666666666664</v>
      </c>
      <c r="Y80">
        <f t="shared" si="32"/>
        <v>60.416666666666664</v>
      </c>
      <c r="Z80">
        <f t="shared" si="32"/>
        <v>60.416666666666664</v>
      </c>
      <c r="AA80">
        <f t="shared" si="32"/>
        <v>60.416666666666664</v>
      </c>
      <c r="AB80">
        <f t="shared" si="32"/>
        <v>60.416666666666664</v>
      </c>
      <c r="AC80">
        <f t="shared" si="32"/>
        <v>60.416666666666664</v>
      </c>
      <c r="AD80">
        <f t="shared" si="32"/>
        <v>60.416666666666664</v>
      </c>
      <c r="AE80">
        <f t="shared" si="32"/>
        <v>60.416666666666664</v>
      </c>
      <c r="AF80">
        <f t="shared" si="32"/>
        <v>60.416666666666664</v>
      </c>
      <c r="AG80">
        <f t="shared" si="32"/>
        <v>60.416666666666664</v>
      </c>
      <c r="AH80">
        <f t="shared" si="32"/>
        <v>60.416666666666664</v>
      </c>
      <c r="AI80">
        <f t="shared" si="32"/>
        <v>60.416666666666664</v>
      </c>
      <c r="AJ80">
        <f t="shared" si="32"/>
        <v>60.416666666666664</v>
      </c>
      <c r="AK80">
        <f t="shared" si="32"/>
        <v>60.416666666666664</v>
      </c>
      <c r="AL80">
        <f t="shared" si="32"/>
        <v>60.416666666666664</v>
      </c>
      <c r="AM80">
        <f t="shared" si="32"/>
        <v>60.416666666666664</v>
      </c>
      <c r="AN80">
        <f t="shared" si="32"/>
        <v>60.416666666666664</v>
      </c>
      <c r="AO80">
        <f t="shared" si="32"/>
        <v>60.416666666666664</v>
      </c>
      <c r="AP80">
        <f t="shared" si="32"/>
        <v>60.416666666666664</v>
      </c>
      <c r="AQ80">
        <f t="shared" si="32"/>
        <v>60.416666666666664</v>
      </c>
      <c r="AR80">
        <f t="shared" si="32"/>
        <v>60.416666666666664</v>
      </c>
      <c r="AS80">
        <f t="shared" si="32"/>
        <v>60.416666666666664</v>
      </c>
      <c r="AT80">
        <f>$J$21*0.5/36</f>
        <v>30.208333333333332</v>
      </c>
      <c r="BL80">
        <f t="shared" si="21"/>
        <v>2175.0000000000009</v>
      </c>
    </row>
    <row r="81" spans="1:66">
      <c r="A81" t="s">
        <v>353</v>
      </c>
      <c r="K81">
        <f>$K$21*0.5/36</f>
        <v>30.208333333333332</v>
      </c>
      <c r="L81">
        <f>$K$21/36</f>
        <v>60.416666666666664</v>
      </c>
      <c r="M81">
        <f t="shared" ref="M81:AT81" si="33">$K$21/36</f>
        <v>60.416666666666664</v>
      </c>
      <c r="N81">
        <f t="shared" si="33"/>
        <v>60.416666666666664</v>
      </c>
      <c r="O81">
        <f t="shared" si="33"/>
        <v>60.416666666666664</v>
      </c>
      <c r="P81">
        <f t="shared" si="33"/>
        <v>60.416666666666664</v>
      </c>
      <c r="Q81">
        <f t="shared" si="33"/>
        <v>60.416666666666664</v>
      </c>
      <c r="R81">
        <f t="shared" si="33"/>
        <v>60.416666666666664</v>
      </c>
      <c r="S81">
        <f t="shared" si="33"/>
        <v>60.416666666666664</v>
      </c>
      <c r="T81">
        <f t="shared" si="33"/>
        <v>60.416666666666664</v>
      </c>
      <c r="U81">
        <f t="shared" si="33"/>
        <v>60.416666666666664</v>
      </c>
      <c r="V81">
        <f t="shared" si="33"/>
        <v>60.416666666666664</v>
      </c>
      <c r="W81">
        <f t="shared" si="33"/>
        <v>60.416666666666664</v>
      </c>
      <c r="X81">
        <f t="shared" si="33"/>
        <v>60.416666666666664</v>
      </c>
      <c r="Y81">
        <f t="shared" si="33"/>
        <v>60.416666666666664</v>
      </c>
      <c r="Z81">
        <f t="shared" si="33"/>
        <v>60.416666666666664</v>
      </c>
      <c r="AA81">
        <f t="shared" si="33"/>
        <v>60.416666666666664</v>
      </c>
      <c r="AB81">
        <f t="shared" si="33"/>
        <v>60.416666666666664</v>
      </c>
      <c r="AC81">
        <f t="shared" si="33"/>
        <v>60.416666666666664</v>
      </c>
      <c r="AD81">
        <f t="shared" si="33"/>
        <v>60.416666666666664</v>
      </c>
      <c r="AE81">
        <f t="shared" si="33"/>
        <v>60.416666666666664</v>
      </c>
      <c r="AF81">
        <f t="shared" si="33"/>
        <v>60.416666666666664</v>
      </c>
      <c r="AG81">
        <f t="shared" si="33"/>
        <v>60.416666666666664</v>
      </c>
      <c r="AH81">
        <f t="shared" si="33"/>
        <v>60.416666666666664</v>
      </c>
      <c r="AI81">
        <f t="shared" si="33"/>
        <v>60.416666666666664</v>
      </c>
      <c r="AJ81">
        <f t="shared" si="33"/>
        <v>60.416666666666664</v>
      </c>
      <c r="AK81">
        <f t="shared" si="33"/>
        <v>60.416666666666664</v>
      </c>
      <c r="AL81">
        <f t="shared" si="33"/>
        <v>60.416666666666664</v>
      </c>
      <c r="AM81">
        <f t="shared" si="33"/>
        <v>60.416666666666664</v>
      </c>
      <c r="AN81">
        <f t="shared" si="33"/>
        <v>60.416666666666664</v>
      </c>
      <c r="AO81">
        <f t="shared" si="33"/>
        <v>60.416666666666664</v>
      </c>
      <c r="AP81">
        <f t="shared" si="33"/>
        <v>60.416666666666664</v>
      </c>
      <c r="AQ81">
        <f t="shared" si="33"/>
        <v>60.416666666666664</v>
      </c>
      <c r="AR81">
        <f t="shared" si="33"/>
        <v>60.416666666666664</v>
      </c>
      <c r="AS81">
        <f t="shared" si="33"/>
        <v>60.416666666666664</v>
      </c>
      <c r="AT81">
        <f t="shared" si="33"/>
        <v>60.416666666666664</v>
      </c>
      <c r="AU81">
        <f>$K$21*0.5/36</f>
        <v>30.208333333333332</v>
      </c>
      <c r="BL81">
        <f t="shared" si="21"/>
        <v>2175.0000000000009</v>
      </c>
    </row>
    <row r="82" spans="1:66">
      <c r="A82" t="s">
        <v>354</v>
      </c>
      <c r="L82">
        <f>$L$21*0.5/36</f>
        <v>30.208333333333332</v>
      </c>
      <c r="M82">
        <f>$L$21/36</f>
        <v>60.416666666666664</v>
      </c>
      <c r="N82">
        <f t="shared" ref="N82:AU82" si="34">$L$21/36</f>
        <v>60.416666666666664</v>
      </c>
      <c r="O82">
        <f t="shared" si="34"/>
        <v>60.416666666666664</v>
      </c>
      <c r="P82">
        <f t="shared" si="34"/>
        <v>60.416666666666664</v>
      </c>
      <c r="Q82">
        <f t="shared" si="34"/>
        <v>60.416666666666664</v>
      </c>
      <c r="R82">
        <f t="shared" si="34"/>
        <v>60.416666666666664</v>
      </c>
      <c r="S82">
        <f t="shared" si="34"/>
        <v>60.416666666666664</v>
      </c>
      <c r="T82">
        <f t="shared" si="34"/>
        <v>60.416666666666664</v>
      </c>
      <c r="U82">
        <f t="shared" si="34"/>
        <v>60.416666666666664</v>
      </c>
      <c r="V82">
        <f t="shared" si="34"/>
        <v>60.416666666666664</v>
      </c>
      <c r="W82">
        <f t="shared" si="34"/>
        <v>60.416666666666664</v>
      </c>
      <c r="X82">
        <f t="shared" si="34"/>
        <v>60.416666666666664</v>
      </c>
      <c r="Y82">
        <f t="shared" si="34"/>
        <v>60.416666666666664</v>
      </c>
      <c r="Z82">
        <f t="shared" si="34"/>
        <v>60.416666666666664</v>
      </c>
      <c r="AA82">
        <f t="shared" si="34"/>
        <v>60.416666666666664</v>
      </c>
      <c r="AB82">
        <f t="shared" si="34"/>
        <v>60.416666666666664</v>
      </c>
      <c r="AC82">
        <f t="shared" si="34"/>
        <v>60.416666666666664</v>
      </c>
      <c r="AD82">
        <f t="shared" si="34"/>
        <v>60.416666666666664</v>
      </c>
      <c r="AE82">
        <f t="shared" si="34"/>
        <v>60.416666666666664</v>
      </c>
      <c r="AF82">
        <f t="shared" si="34"/>
        <v>60.416666666666664</v>
      </c>
      <c r="AG82">
        <f t="shared" si="34"/>
        <v>60.416666666666664</v>
      </c>
      <c r="AH82">
        <f t="shared" si="34"/>
        <v>60.416666666666664</v>
      </c>
      <c r="AI82">
        <f t="shared" si="34"/>
        <v>60.416666666666664</v>
      </c>
      <c r="AJ82">
        <f t="shared" si="34"/>
        <v>60.416666666666664</v>
      </c>
      <c r="AK82">
        <f t="shared" si="34"/>
        <v>60.416666666666664</v>
      </c>
      <c r="AL82">
        <f t="shared" si="34"/>
        <v>60.416666666666664</v>
      </c>
      <c r="AM82">
        <f t="shared" si="34"/>
        <v>60.416666666666664</v>
      </c>
      <c r="AN82">
        <f t="shared" si="34"/>
        <v>60.416666666666664</v>
      </c>
      <c r="AO82">
        <f t="shared" si="34"/>
        <v>60.416666666666664</v>
      </c>
      <c r="AP82">
        <f t="shared" si="34"/>
        <v>60.416666666666664</v>
      </c>
      <c r="AQ82">
        <f t="shared" si="34"/>
        <v>60.416666666666664</v>
      </c>
      <c r="AR82">
        <f t="shared" si="34"/>
        <v>60.416666666666664</v>
      </c>
      <c r="AS82">
        <f t="shared" si="34"/>
        <v>60.416666666666664</v>
      </c>
      <c r="AT82">
        <f t="shared" si="34"/>
        <v>60.416666666666664</v>
      </c>
      <c r="AU82">
        <f t="shared" si="34"/>
        <v>60.416666666666664</v>
      </c>
      <c r="AV82">
        <f>$L$21*0.5/36</f>
        <v>30.208333333333332</v>
      </c>
      <c r="BL82">
        <f t="shared" si="21"/>
        <v>2175.0000000000009</v>
      </c>
    </row>
    <row r="83" spans="1:66">
      <c r="A83" t="s">
        <v>355</v>
      </c>
      <c r="M83">
        <f>$M$21*0.5/36</f>
        <v>30.208333333333332</v>
      </c>
      <c r="N83">
        <f>$M$21/36</f>
        <v>60.416666666666664</v>
      </c>
      <c r="O83">
        <f t="shared" ref="O83:AV83" si="35">$M$21/36</f>
        <v>60.416666666666664</v>
      </c>
      <c r="P83">
        <f t="shared" si="35"/>
        <v>60.416666666666664</v>
      </c>
      <c r="Q83">
        <f t="shared" si="35"/>
        <v>60.416666666666664</v>
      </c>
      <c r="R83">
        <f t="shared" si="35"/>
        <v>60.416666666666664</v>
      </c>
      <c r="S83">
        <f t="shared" si="35"/>
        <v>60.416666666666664</v>
      </c>
      <c r="T83">
        <f t="shared" si="35"/>
        <v>60.416666666666664</v>
      </c>
      <c r="U83">
        <f t="shared" si="35"/>
        <v>60.416666666666664</v>
      </c>
      <c r="V83">
        <f t="shared" si="35"/>
        <v>60.416666666666664</v>
      </c>
      <c r="W83">
        <f t="shared" si="35"/>
        <v>60.416666666666664</v>
      </c>
      <c r="X83">
        <f t="shared" si="35"/>
        <v>60.416666666666664</v>
      </c>
      <c r="Y83">
        <f t="shared" si="35"/>
        <v>60.416666666666664</v>
      </c>
      <c r="Z83">
        <f t="shared" si="35"/>
        <v>60.416666666666664</v>
      </c>
      <c r="AA83">
        <f t="shared" si="35"/>
        <v>60.416666666666664</v>
      </c>
      <c r="AB83">
        <f t="shared" si="35"/>
        <v>60.416666666666664</v>
      </c>
      <c r="AC83">
        <f t="shared" si="35"/>
        <v>60.416666666666664</v>
      </c>
      <c r="AD83">
        <f t="shared" si="35"/>
        <v>60.416666666666664</v>
      </c>
      <c r="AE83">
        <f t="shared" si="35"/>
        <v>60.416666666666664</v>
      </c>
      <c r="AF83">
        <f t="shared" si="35"/>
        <v>60.416666666666664</v>
      </c>
      <c r="AG83">
        <f t="shared" si="35"/>
        <v>60.416666666666664</v>
      </c>
      <c r="AH83">
        <f t="shared" si="35"/>
        <v>60.416666666666664</v>
      </c>
      <c r="AI83">
        <f t="shared" si="35"/>
        <v>60.416666666666664</v>
      </c>
      <c r="AJ83">
        <f t="shared" si="35"/>
        <v>60.416666666666664</v>
      </c>
      <c r="AK83">
        <f t="shared" si="35"/>
        <v>60.416666666666664</v>
      </c>
      <c r="AL83">
        <f t="shared" si="35"/>
        <v>60.416666666666664</v>
      </c>
      <c r="AM83">
        <f t="shared" si="35"/>
        <v>60.416666666666664</v>
      </c>
      <c r="AN83">
        <f t="shared" si="35"/>
        <v>60.416666666666664</v>
      </c>
      <c r="AO83">
        <f t="shared" si="35"/>
        <v>60.416666666666664</v>
      </c>
      <c r="AP83">
        <f t="shared" si="35"/>
        <v>60.416666666666664</v>
      </c>
      <c r="AQ83">
        <f t="shared" si="35"/>
        <v>60.416666666666664</v>
      </c>
      <c r="AR83">
        <f t="shared" si="35"/>
        <v>60.416666666666664</v>
      </c>
      <c r="AS83">
        <f t="shared" si="35"/>
        <v>60.416666666666664</v>
      </c>
      <c r="AT83">
        <f t="shared" si="35"/>
        <v>60.416666666666664</v>
      </c>
      <c r="AU83">
        <f t="shared" si="35"/>
        <v>60.416666666666664</v>
      </c>
      <c r="AV83">
        <f t="shared" si="35"/>
        <v>60.416666666666664</v>
      </c>
      <c r="AW83">
        <f>$M$21*0.5/36</f>
        <v>30.208333333333332</v>
      </c>
      <c r="BL83">
        <f t="shared" si="21"/>
        <v>2175.0000000000009</v>
      </c>
    </row>
    <row r="84" spans="1:66">
      <c r="A84" t="s">
        <v>356</v>
      </c>
      <c r="N84">
        <f>$N$21*0.5/36</f>
        <v>30.208333333333332</v>
      </c>
      <c r="O84">
        <f>$N$21/36</f>
        <v>60.416666666666664</v>
      </c>
      <c r="P84">
        <f t="shared" ref="P84:AW84" si="36">$N$21/36</f>
        <v>60.416666666666664</v>
      </c>
      <c r="Q84">
        <f t="shared" si="36"/>
        <v>60.416666666666664</v>
      </c>
      <c r="R84">
        <f t="shared" si="36"/>
        <v>60.416666666666664</v>
      </c>
      <c r="S84">
        <f t="shared" si="36"/>
        <v>60.416666666666664</v>
      </c>
      <c r="T84">
        <f t="shared" si="36"/>
        <v>60.416666666666664</v>
      </c>
      <c r="U84">
        <f t="shared" si="36"/>
        <v>60.416666666666664</v>
      </c>
      <c r="V84">
        <f t="shared" si="36"/>
        <v>60.416666666666664</v>
      </c>
      <c r="W84">
        <f t="shared" si="36"/>
        <v>60.416666666666664</v>
      </c>
      <c r="X84">
        <f t="shared" si="36"/>
        <v>60.416666666666664</v>
      </c>
      <c r="Y84">
        <f t="shared" si="36"/>
        <v>60.416666666666664</v>
      </c>
      <c r="Z84">
        <f t="shared" si="36"/>
        <v>60.416666666666664</v>
      </c>
      <c r="AA84">
        <f t="shared" si="36"/>
        <v>60.416666666666664</v>
      </c>
      <c r="AB84">
        <f t="shared" si="36"/>
        <v>60.416666666666664</v>
      </c>
      <c r="AC84">
        <f t="shared" si="36"/>
        <v>60.416666666666664</v>
      </c>
      <c r="AD84">
        <f t="shared" si="36"/>
        <v>60.416666666666664</v>
      </c>
      <c r="AE84">
        <f t="shared" si="36"/>
        <v>60.416666666666664</v>
      </c>
      <c r="AF84">
        <f t="shared" si="36"/>
        <v>60.416666666666664</v>
      </c>
      <c r="AG84">
        <f t="shared" si="36"/>
        <v>60.416666666666664</v>
      </c>
      <c r="AH84">
        <f t="shared" si="36"/>
        <v>60.416666666666664</v>
      </c>
      <c r="AI84">
        <f t="shared" si="36"/>
        <v>60.416666666666664</v>
      </c>
      <c r="AJ84">
        <f t="shared" si="36"/>
        <v>60.416666666666664</v>
      </c>
      <c r="AK84">
        <f t="shared" si="36"/>
        <v>60.416666666666664</v>
      </c>
      <c r="AL84">
        <f t="shared" si="36"/>
        <v>60.416666666666664</v>
      </c>
      <c r="AM84">
        <f t="shared" si="36"/>
        <v>60.416666666666664</v>
      </c>
      <c r="AN84">
        <f t="shared" si="36"/>
        <v>60.416666666666664</v>
      </c>
      <c r="AO84">
        <f t="shared" si="36"/>
        <v>60.416666666666664</v>
      </c>
      <c r="AP84">
        <f t="shared" si="36"/>
        <v>60.416666666666664</v>
      </c>
      <c r="AQ84">
        <f t="shared" si="36"/>
        <v>60.416666666666664</v>
      </c>
      <c r="AR84">
        <f t="shared" si="36"/>
        <v>60.416666666666664</v>
      </c>
      <c r="AS84">
        <f t="shared" si="36"/>
        <v>60.416666666666664</v>
      </c>
      <c r="AT84">
        <f t="shared" si="36"/>
        <v>60.416666666666664</v>
      </c>
      <c r="AU84">
        <f t="shared" si="36"/>
        <v>60.416666666666664</v>
      </c>
      <c r="AV84">
        <f t="shared" si="36"/>
        <v>60.416666666666664</v>
      </c>
      <c r="AW84">
        <f t="shared" si="36"/>
        <v>60.416666666666664</v>
      </c>
      <c r="AX84">
        <f>$N$21*0.5/36</f>
        <v>30.208333333333332</v>
      </c>
      <c r="BL84">
        <f t="shared" si="21"/>
        <v>2175.0000000000009</v>
      </c>
      <c r="BM84">
        <f>SUM(BL77:BL84)</f>
        <v>17400.000000000004</v>
      </c>
      <c r="BN84" t="s">
        <v>345</v>
      </c>
    </row>
    <row r="85" spans="1:66" ht="7.5" customHeight="1"/>
    <row r="86" spans="1:66">
      <c r="A86" t="s">
        <v>357</v>
      </c>
      <c r="C86">
        <f>SUM(C75:C85)</f>
        <v>161.33333333333334</v>
      </c>
      <c r="D86">
        <f t="shared" ref="D86:N86" si="37">SUM(D75:D85)</f>
        <v>161.33333333333334</v>
      </c>
      <c r="E86">
        <f t="shared" si="37"/>
        <v>161.33333333333334</v>
      </c>
      <c r="F86">
        <f t="shared" si="37"/>
        <v>161.33333333333334</v>
      </c>
      <c r="G86">
        <f t="shared" si="37"/>
        <v>191.54166666666669</v>
      </c>
      <c r="H86">
        <f t="shared" si="37"/>
        <v>251.95833333333334</v>
      </c>
      <c r="I86">
        <f t="shared" si="37"/>
        <v>312.375</v>
      </c>
      <c r="J86">
        <f t="shared" si="37"/>
        <v>372.79166666666669</v>
      </c>
      <c r="K86">
        <f t="shared" si="37"/>
        <v>433.20833333333337</v>
      </c>
      <c r="L86">
        <f t="shared" si="37"/>
        <v>493.62500000000006</v>
      </c>
      <c r="M86">
        <f t="shared" si="37"/>
        <v>554.04166666666674</v>
      </c>
      <c r="N86">
        <f t="shared" si="37"/>
        <v>614.45833333333337</v>
      </c>
    </row>
    <row r="87" spans="1:66" ht="7.5" customHeight="1"/>
    <row r="88" spans="1:66" ht="13.5" thickBot="1">
      <c r="A88" t="s">
        <v>358</v>
      </c>
      <c r="C88">
        <f>C86+C72</f>
        <v>161.33333333333334</v>
      </c>
      <c r="D88">
        <f t="shared" ref="D88:N88" si="38">D86+D72</f>
        <v>161.33333333333334</v>
      </c>
      <c r="E88">
        <f t="shared" si="38"/>
        <v>161.33333333333334</v>
      </c>
      <c r="F88">
        <f t="shared" si="38"/>
        <v>161.33333333333334</v>
      </c>
      <c r="G88">
        <f t="shared" si="38"/>
        <v>507.51388888888891</v>
      </c>
      <c r="H88">
        <f t="shared" si="38"/>
        <v>1199.875</v>
      </c>
      <c r="I88">
        <f t="shared" si="38"/>
        <v>1892.2361111111111</v>
      </c>
      <c r="J88">
        <f t="shared" si="38"/>
        <v>2584.5972222222222</v>
      </c>
      <c r="K88">
        <f t="shared" si="38"/>
        <v>3276.9583333333335</v>
      </c>
      <c r="L88">
        <f t="shared" si="38"/>
        <v>3969.3194444444443</v>
      </c>
      <c r="M88">
        <f t="shared" si="38"/>
        <v>4661.6805555555557</v>
      </c>
      <c r="N88">
        <f t="shared" si="38"/>
        <v>5354.041666666667</v>
      </c>
    </row>
    <row r="90" spans="1:66">
      <c r="A90" t="s">
        <v>359</v>
      </c>
      <c r="O90">
        <f>$C$41*0.5/36</f>
        <v>347.22222222222223</v>
      </c>
      <c r="P90">
        <f>$C$41/36</f>
        <v>694.44444444444446</v>
      </c>
      <c r="Q90">
        <f t="shared" ref="Q90:AX90" si="39">$C$41/36</f>
        <v>694.44444444444446</v>
      </c>
      <c r="R90">
        <f t="shared" si="39"/>
        <v>694.44444444444446</v>
      </c>
      <c r="S90">
        <f t="shared" si="39"/>
        <v>694.44444444444446</v>
      </c>
      <c r="T90">
        <f t="shared" si="39"/>
        <v>694.44444444444446</v>
      </c>
      <c r="U90">
        <f t="shared" si="39"/>
        <v>694.44444444444446</v>
      </c>
      <c r="V90">
        <f t="shared" si="39"/>
        <v>694.44444444444446</v>
      </c>
      <c r="W90">
        <f t="shared" si="39"/>
        <v>694.44444444444446</v>
      </c>
      <c r="X90">
        <f t="shared" si="39"/>
        <v>694.44444444444446</v>
      </c>
      <c r="Y90">
        <f t="shared" si="39"/>
        <v>694.44444444444446</v>
      </c>
      <c r="Z90">
        <f t="shared" si="39"/>
        <v>694.44444444444446</v>
      </c>
      <c r="AA90">
        <f t="shared" si="39"/>
        <v>694.44444444444446</v>
      </c>
      <c r="AB90">
        <f t="shared" si="39"/>
        <v>694.44444444444446</v>
      </c>
      <c r="AC90">
        <f t="shared" si="39"/>
        <v>694.44444444444446</v>
      </c>
      <c r="AD90">
        <f t="shared" si="39"/>
        <v>694.44444444444446</v>
      </c>
      <c r="AE90">
        <f t="shared" si="39"/>
        <v>694.44444444444446</v>
      </c>
      <c r="AF90">
        <f t="shared" si="39"/>
        <v>694.44444444444446</v>
      </c>
      <c r="AG90">
        <f t="shared" si="39"/>
        <v>694.44444444444446</v>
      </c>
      <c r="AH90">
        <f t="shared" si="39"/>
        <v>694.44444444444446</v>
      </c>
      <c r="AI90">
        <f t="shared" si="39"/>
        <v>694.44444444444446</v>
      </c>
      <c r="AJ90">
        <f t="shared" si="39"/>
        <v>694.44444444444446</v>
      </c>
      <c r="AK90">
        <f t="shared" si="39"/>
        <v>694.44444444444446</v>
      </c>
      <c r="AL90">
        <f t="shared" si="39"/>
        <v>694.44444444444446</v>
      </c>
      <c r="AM90">
        <f t="shared" si="39"/>
        <v>694.44444444444446</v>
      </c>
      <c r="AN90">
        <f t="shared" si="39"/>
        <v>694.44444444444446</v>
      </c>
      <c r="AO90">
        <f t="shared" si="39"/>
        <v>694.44444444444446</v>
      </c>
      <c r="AP90">
        <f t="shared" si="39"/>
        <v>694.44444444444446</v>
      </c>
      <c r="AQ90">
        <f t="shared" si="39"/>
        <v>694.44444444444446</v>
      </c>
      <c r="AR90">
        <f t="shared" si="39"/>
        <v>694.44444444444446</v>
      </c>
      <c r="AS90">
        <f t="shared" si="39"/>
        <v>694.44444444444446</v>
      </c>
      <c r="AT90">
        <f t="shared" si="39"/>
        <v>694.44444444444446</v>
      </c>
      <c r="AU90">
        <f t="shared" si="39"/>
        <v>694.44444444444446</v>
      </c>
      <c r="AV90">
        <f t="shared" si="39"/>
        <v>694.44444444444446</v>
      </c>
      <c r="AW90">
        <f t="shared" si="39"/>
        <v>694.44444444444446</v>
      </c>
      <c r="AX90">
        <f t="shared" si="39"/>
        <v>694.44444444444446</v>
      </c>
      <c r="AY90">
        <f>$C$41*0.5/36</f>
        <v>347.22222222222223</v>
      </c>
      <c r="BL90">
        <f t="shared" ref="BL90:BL101" si="40">SUM(B90:BK90)</f>
        <v>25000.000000000018</v>
      </c>
    </row>
    <row r="91" spans="1:66">
      <c r="A91" t="s">
        <v>360</v>
      </c>
      <c r="P91">
        <f>$D$41*0.5/36</f>
        <v>347.22222222222223</v>
      </c>
      <c r="Q91">
        <f>$D$41/36</f>
        <v>694.44444444444446</v>
      </c>
      <c r="R91">
        <f t="shared" ref="R91:AY91" si="41">$D$41/36</f>
        <v>694.44444444444446</v>
      </c>
      <c r="S91">
        <f t="shared" si="41"/>
        <v>694.44444444444446</v>
      </c>
      <c r="T91">
        <f t="shared" si="41"/>
        <v>694.44444444444446</v>
      </c>
      <c r="U91">
        <f t="shared" si="41"/>
        <v>694.44444444444446</v>
      </c>
      <c r="V91">
        <f t="shared" si="41"/>
        <v>694.44444444444446</v>
      </c>
      <c r="W91">
        <f t="shared" si="41"/>
        <v>694.44444444444446</v>
      </c>
      <c r="X91">
        <f t="shared" si="41"/>
        <v>694.44444444444446</v>
      </c>
      <c r="Y91">
        <f t="shared" si="41"/>
        <v>694.44444444444446</v>
      </c>
      <c r="Z91">
        <f t="shared" si="41"/>
        <v>694.44444444444446</v>
      </c>
      <c r="AA91">
        <f t="shared" si="41"/>
        <v>694.44444444444446</v>
      </c>
      <c r="AB91">
        <f t="shared" si="41"/>
        <v>694.44444444444446</v>
      </c>
      <c r="AC91">
        <f t="shared" si="41"/>
        <v>694.44444444444446</v>
      </c>
      <c r="AD91">
        <f t="shared" si="41"/>
        <v>694.44444444444446</v>
      </c>
      <c r="AE91">
        <f t="shared" si="41"/>
        <v>694.44444444444446</v>
      </c>
      <c r="AF91">
        <f t="shared" si="41"/>
        <v>694.44444444444446</v>
      </c>
      <c r="AG91">
        <f t="shared" si="41"/>
        <v>694.44444444444446</v>
      </c>
      <c r="AH91">
        <f t="shared" si="41"/>
        <v>694.44444444444446</v>
      </c>
      <c r="AI91">
        <f t="shared" si="41"/>
        <v>694.44444444444446</v>
      </c>
      <c r="AJ91">
        <f t="shared" si="41"/>
        <v>694.44444444444446</v>
      </c>
      <c r="AK91">
        <f t="shared" si="41"/>
        <v>694.44444444444446</v>
      </c>
      <c r="AL91">
        <f t="shared" si="41"/>
        <v>694.44444444444446</v>
      </c>
      <c r="AM91">
        <f t="shared" si="41"/>
        <v>694.44444444444446</v>
      </c>
      <c r="AN91">
        <f t="shared" si="41"/>
        <v>694.44444444444446</v>
      </c>
      <c r="AO91">
        <f t="shared" si="41"/>
        <v>694.44444444444446</v>
      </c>
      <c r="AP91">
        <f t="shared" si="41"/>
        <v>694.44444444444446</v>
      </c>
      <c r="AQ91">
        <f t="shared" si="41"/>
        <v>694.44444444444446</v>
      </c>
      <c r="AR91">
        <f t="shared" si="41"/>
        <v>694.44444444444446</v>
      </c>
      <c r="AS91">
        <f t="shared" si="41"/>
        <v>694.44444444444446</v>
      </c>
      <c r="AT91">
        <f t="shared" si="41"/>
        <v>694.44444444444446</v>
      </c>
      <c r="AU91">
        <f t="shared" si="41"/>
        <v>694.44444444444446</v>
      </c>
      <c r="AV91">
        <f t="shared" si="41"/>
        <v>694.44444444444446</v>
      </c>
      <c r="AW91">
        <f t="shared" si="41"/>
        <v>694.44444444444446</v>
      </c>
      <c r="AX91">
        <f t="shared" si="41"/>
        <v>694.44444444444446</v>
      </c>
      <c r="AY91">
        <f t="shared" si="41"/>
        <v>694.44444444444446</v>
      </c>
      <c r="AZ91">
        <f>$D$41*0.5/36</f>
        <v>347.22222222222223</v>
      </c>
      <c r="BL91">
        <f t="shared" si="40"/>
        <v>25000.000000000018</v>
      </c>
    </row>
    <row r="92" spans="1:66">
      <c r="A92" t="s">
        <v>361</v>
      </c>
      <c r="Q92">
        <f>$E$41*0.5/36</f>
        <v>347.22222222222223</v>
      </c>
      <c r="R92">
        <f>$E$41/36</f>
        <v>694.44444444444446</v>
      </c>
      <c r="S92">
        <f t="shared" ref="S92:AZ92" si="42">$E$41/36</f>
        <v>694.44444444444446</v>
      </c>
      <c r="T92">
        <f t="shared" si="42"/>
        <v>694.44444444444446</v>
      </c>
      <c r="U92">
        <f t="shared" si="42"/>
        <v>694.44444444444446</v>
      </c>
      <c r="V92">
        <f t="shared" si="42"/>
        <v>694.44444444444446</v>
      </c>
      <c r="W92">
        <f t="shared" si="42"/>
        <v>694.44444444444446</v>
      </c>
      <c r="X92">
        <f t="shared" si="42"/>
        <v>694.44444444444446</v>
      </c>
      <c r="Y92">
        <f t="shared" si="42"/>
        <v>694.44444444444446</v>
      </c>
      <c r="Z92">
        <f t="shared" si="42"/>
        <v>694.44444444444446</v>
      </c>
      <c r="AA92">
        <f t="shared" si="42"/>
        <v>694.44444444444446</v>
      </c>
      <c r="AB92">
        <f t="shared" si="42"/>
        <v>694.44444444444446</v>
      </c>
      <c r="AC92">
        <f t="shared" si="42"/>
        <v>694.44444444444446</v>
      </c>
      <c r="AD92">
        <f t="shared" si="42"/>
        <v>694.44444444444446</v>
      </c>
      <c r="AE92">
        <f t="shared" si="42"/>
        <v>694.44444444444446</v>
      </c>
      <c r="AF92">
        <f t="shared" si="42"/>
        <v>694.44444444444446</v>
      </c>
      <c r="AG92">
        <f t="shared" si="42"/>
        <v>694.44444444444446</v>
      </c>
      <c r="AH92">
        <f t="shared" si="42"/>
        <v>694.44444444444446</v>
      </c>
      <c r="AI92">
        <f t="shared" si="42"/>
        <v>694.44444444444446</v>
      </c>
      <c r="AJ92">
        <f t="shared" si="42"/>
        <v>694.44444444444446</v>
      </c>
      <c r="AK92">
        <f t="shared" si="42"/>
        <v>694.44444444444446</v>
      </c>
      <c r="AL92">
        <f t="shared" si="42"/>
        <v>694.44444444444446</v>
      </c>
      <c r="AM92">
        <f t="shared" si="42"/>
        <v>694.44444444444446</v>
      </c>
      <c r="AN92">
        <f t="shared" si="42"/>
        <v>694.44444444444446</v>
      </c>
      <c r="AO92">
        <f t="shared" si="42"/>
        <v>694.44444444444446</v>
      </c>
      <c r="AP92">
        <f t="shared" si="42"/>
        <v>694.44444444444446</v>
      </c>
      <c r="AQ92">
        <f t="shared" si="42"/>
        <v>694.44444444444446</v>
      </c>
      <c r="AR92">
        <f t="shared" si="42"/>
        <v>694.44444444444446</v>
      </c>
      <c r="AS92">
        <f t="shared" si="42"/>
        <v>694.44444444444446</v>
      </c>
      <c r="AT92">
        <f t="shared" si="42"/>
        <v>694.44444444444446</v>
      </c>
      <c r="AU92">
        <f t="shared" si="42"/>
        <v>694.44444444444446</v>
      </c>
      <c r="AV92">
        <f t="shared" si="42"/>
        <v>694.44444444444446</v>
      </c>
      <c r="AW92">
        <f t="shared" si="42"/>
        <v>694.44444444444446</v>
      </c>
      <c r="AX92">
        <f t="shared" si="42"/>
        <v>694.44444444444446</v>
      </c>
      <c r="AY92">
        <f t="shared" si="42"/>
        <v>694.44444444444446</v>
      </c>
      <c r="AZ92">
        <f t="shared" si="42"/>
        <v>694.44444444444446</v>
      </c>
      <c r="BA92">
        <f>$E$41*0.5/36</f>
        <v>347.22222222222223</v>
      </c>
      <c r="BL92">
        <f t="shared" si="40"/>
        <v>25000.000000000018</v>
      </c>
    </row>
    <row r="93" spans="1:66">
      <c r="A93" t="s">
        <v>362</v>
      </c>
      <c r="R93">
        <f>$F$41*0.5/36</f>
        <v>347.22222222222223</v>
      </c>
      <c r="S93">
        <f>$F$41/36</f>
        <v>694.44444444444446</v>
      </c>
      <c r="T93">
        <f t="shared" ref="T93:BA93" si="43">$F$41/36</f>
        <v>694.44444444444446</v>
      </c>
      <c r="U93">
        <f t="shared" si="43"/>
        <v>694.44444444444446</v>
      </c>
      <c r="V93">
        <f t="shared" si="43"/>
        <v>694.44444444444446</v>
      </c>
      <c r="W93">
        <f t="shared" si="43"/>
        <v>694.44444444444446</v>
      </c>
      <c r="X93">
        <f t="shared" si="43"/>
        <v>694.44444444444446</v>
      </c>
      <c r="Y93">
        <f t="shared" si="43"/>
        <v>694.44444444444446</v>
      </c>
      <c r="Z93">
        <f t="shared" si="43"/>
        <v>694.44444444444446</v>
      </c>
      <c r="AA93">
        <f t="shared" si="43"/>
        <v>694.44444444444446</v>
      </c>
      <c r="AB93">
        <f t="shared" si="43"/>
        <v>694.44444444444446</v>
      </c>
      <c r="AC93">
        <f t="shared" si="43"/>
        <v>694.44444444444446</v>
      </c>
      <c r="AD93">
        <f t="shared" si="43"/>
        <v>694.44444444444446</v>
      </c>
      <c r="AE93">
        <f t="shared" si="43"/>
        <v>694.44444444444446</v>
      </c>
      <c r="AF93">
        <f t="shared" si="43"/>
        <v>694.44444444444446</v>
      </c>
      <c r="AG93">
        <f t="shared" si="43"/>
        <v>694.44444444444446</v>
      </c>
      <c r="AH93">
        <f t="shared" si="43"/>
        <v>694.44444444444446</v>
      </c>
      <c r="AI93">
        <f t="shared" si="43"/>
        <v>694.44444444444446</v>
      </c>
      <c r="AJ93">
        <f t="shared" si="43"/>
        <v>694.44444444444446</v>
      </c>
      <c r="AK93">
        <f t="shared" si="43"/>
        <v>694.44444444444446</v>
      </c>
      <c r="AL93">
        <f t="shared" si="43"/>
        <v>694.44444444444446</v>
      </c>
      <c r="AM93">
        <f t="shared" si="43"/>
        <v>694.44444444444446</v>
      </c>
      <c r="AN93">
        <f t="shared" si="43"/>
        <v>694.44444444444446</v>
      </c>
      <c r="AO93">
        <f t="shared" si="43"/>
        <v>694.44444444444446</v>
      </c>
      <c r="AP93">
        <f t="shared" si="43"/>
        <v>694.44444444444446</v>
      </c>
      <c r="AQ93">
        <f t="shared" si="43"/>
        <v>694.44444444444446</v>
      </c>
      <c r="AR93">
        <f t="shared" si="43"/>
        <v>694.44444444444446</v>
      </c>
      <c r="AS93">
        <f t="shared" si="43"/>
        <v>694.44444444444446</v>
      </c>
      <c r="AT93">
        <f t="shared" si="43"/>
        <v>694.44444444444446</v>
      </c>
      <c r="AU93">
        <f t="shared" si="43"/>
        <v>694.44444444444446</v>
      </c>
      <c r="AV93">
        <f t="shared" si="43"/>
        <v>694.44444444444446</v>
      </c>
      <c r="AW93">
        <f t="shared" si="43"/>
        <v>694.44444444444446</v>
      </c>
      <c r="AX93">
        <f t="shared" si="43"/>
        <v>694.44444444444446</v>
      </c>
      <c r="AY93">
        <f t="shared" si="43"/>
        <v>694.44444444444446</v>
      </c>
      <c r="AZ93">
        <f t="shared" si="43"/>
        <v>694.44444444444446</v>
      </c>
      <c r="BA93">
        <f t="shared" si="43"/>
        <v>694.44444444444446</v>
      </c>
      <c r="BB93">
        <f>$F$41*0.5/36</f>
        <v>347.22222222222223</v>
      </c>
      <c r="BL93">
        <f t="shared" si="40"/>
        <v>25000.000000000018</v>
      </c>
    </row>
    <row r="94" spans="1:66">
      <c r="A94" t="s">
        <v>363</v>
      </c>
      <c r="S94">
        <f>$G$41*0.5/36</f>
        <v>347.22222222222223</v>
      </c>
      <c r="T94">
        <f>$G$41/36</f>
        <v>694.44444444444446</v>
      </c>
      <c r="U94">
        <f t="shared" ref="U94:BB94" si="44">$G$41/36</f>
        <v>694.44444444444446</v>
      </c>
      <c r="V94">
        <f t="shared" si="44"/>
        <v>694.44444444444446</v>
      </c>
      <c r="W94">
        <f t="shared" si="44"/>
        <v>694.44444444444446</v>
      </c>
      <c r="X94">
        <f t="shared" si="44"/>
        <v>694.44444444444446</v>
      </c>
      <c r="Y94">
        <f t="shared" si="44"/>
        <v>694.44444444444446</v>
      </c>
      <c r="Z94">
        <f t="shared" si="44"/>
        <v>694.44444444444446</v>
      </c>
      <c r="AA94">
        <f t="shared" si="44"/>
        <v>694.44444444444446</v>
      </c>
      <c r="AB94">
        <f t="shared" si="44"/>
        <v>694.44444444444446</v>
      </c>
      <c r="AC94">
        <f t="shared" si="44"/>
        <v>694.44444444444446</v>
      </c>
      <c r="AD94">
        <f t="shared" si="44"/>
        <v>694.44444444444446</v>
      </c>
      <c r="AE94">
        <f t="shared" si="44"/>
        <v>694.44444444444446</v>
      </c>
      <c r="AF94">
        <f t="shared" si="44"/>
        <v>694.44444444444446</v>
      </c>
      <c r="AG94">
        <f t="shared" si="44"/>
        <v>694.44444444444446</v>
      </c>
      <c r="AH94">
        <f t="shared" si="44"/>
        <v>694.44444444444446</v>
      </c>
      <c r="AI94">
        <f t="shared" si="44"/>
        <v>694.44444444444446</v>
      </c>
      <c r="AJ94">
        <f t="shared" si="44"/>
        <v>694.44444444444446</v>
      </c>
      <c r="AK94">
        <f t="shared" si="44"/>
        <v>694.44444444444446</v>
      </c>
      <c r="AL94">
        <f t="shared" si="44"/>
        <v>694.44444444444446</v>
      </c>
      <c r="AM94">
        <f t="shared" si="44"/>
        <v>694.44444444444446</v>
      </c>
      <c r="AN94">
        <f t="shared" si="44"/>
        <v>694.44444444444446</v>
      </c>
      <c r="AO94">
        <f t="shared" si="44"/>
        <v>694.44444444444446</v>
      </c>
      <c r="AP94">
        <f t="shared" si="44"/>
        <v>694.44444444444446</v>
      </c>
      <c r="AQ94">
        <f t="shared" si="44"/>
        <v>694.44444444444446</v>
      </c>
      <c r="AR94">
        <f t="shared" si="44"/>
        <v>694.44444444444446</v>
      </c>
      <c r="AS94">
        <f t="shared" si="44"/>
        <v>694.44444444444446</v>
      </c>
      <c r="AT94">
        <f t="shared" si="44"/>
        <v>694.44444444444446</v>
      </c>
      <c r="AU94">
        <f t="shared" si="44"/>
        <v>694.44444444444446</v>
      </c>
      <c r="AV94">
        <f t="shared" si="44"/>
        <v>694.44444444444446</v>
      </c>
      <c r="AW94">
        <f t="shared" si="44"/>
        <v>694.44444444444446</v>
      </c>
      <c r="AX94">
        <f t="shared" si="44"/>
        <v>694.44444444444446</v>
      </c>
      <c r="AY94">
        <f t="shared" si="44"/>
        <v>694.44444444444446</v>
      </c>
      <c r="AZ94">
        <f t="shared" si="44"/>
        <v>694.44444444444446</v>
      </c>
      <c r="BA94">
        <f t="shared" si="44"/>
        <v>694.44444444444446</v>
      </c>
      <c r="BB94">
        <f t="shared" si="44"/>
        <v>694.44444444444446</v>
      </c>
      <c r="BC94">
        <f>$G$41*0.5/36</f>
        <v>347.22222222222223</v>
      </c>
      <c r="BL94">
        <f t="shared" si="40"/>
        <v>25000.000000000018</v>
      </c>
    </row>
    <row r="95" spans="1:66">
      <c r="A95" t="s">
        <v>364</v>
      </c>
      <c r="T95">
        <f>$H$41*0.5/36</f>
        <v>347.22222222222223</v>
      </c>
      <c r="U95">
        <f>$H$41/36</f>
        <v>694.44444444444446</v>
      </c>
      <c r="V95">
        <f t="shared" ref="V95:BC95" si="45">$H$41/36</f>
        <v>694.44444444444446</v>
      </c>
      <c r="W95">
        <f t="shared" si="45"/>
        <v>694.44444444444446</v>
      </c>
      <c r="X95">
        <f t="shared" si="45"/>
        <v>694.44444444444446</v>
      </c>
      <c r="Y95">
        <f t="shared" si="45"/>
        <v>694.44444444444446</v>
      </c>
      <c r="Z95">
        <f t="shared" si="45"/>
        <v>694.44444444444446</v>
      </c>
      <c r="AA95">
        <f t="shared" si="45"/>
        <v>694.44444444444446</v>
      </c>
      <c r="AB95">
        <f t="shared" si="45"/>
        <v>694.44444444444446</v>
      </c>
      <c r="AC95">
        <f t="shared" si="45"/>
        <v>694.44444444444446</v>
      </c>
      <c r="AD95">
        <f t="shared" si="45"/>
        <v>694.44444444444446</v>
      </c>
      <c r="AE95">
        <f t="shared" si="45"/>
        <v>694.44444444444446</v>
      </c>
      <c r="AF95">
        <f t="shared" si="45"/>
        <v>694.44444444444446</v>
      </c>
      <c r="AG95">
        <f t="shared" si="45"/>
        <v>694.44444444444446</v>
      </c>
      <c r="AH95">
        <f t="shared" si="45"/>
        <v>694.44444444444446</v>
      </c>
      <c r="AI95">
        <f t="shared" si="45"/>
        <v>694.44444444444446</v>
      </c>
      <c r="AJ95">
        <f t="shared" si="45"/>
        <v>694.44444444444446</v>
      </c>
      <c r="AK95">
        <f t="shared" si="45"/>
        <v>694.44444444444446</v>
      </c>
      <c r="AL95">
        <f t="shared" si="45"/>
        <v>694.44444444444446</v>
      </c>
      <c r="AM95">
        <f t="shared" si="45"/>
        <v>694.44444444444446</v>
      </c>
      <c r="AN95">
        <f t="shared" si="45"/>
        <v>694.44444444444446</v>
      </c>
      <c r="AO95">
        <f t="shared" si="45"/>
        <v>694.44444444444446</v>
      </c>
      <c r="AP95">
        <f t="shared" si="45"/>
        <v>694.44444444444446</v>
      </c>
      <c r="AQ95">
        <f t="shared" si="45"/>
        <v>694.44444444444446</v>
      </c>
      <c r="AR95">
        <f t="shared" si="45"/>
        <v>694.44444444444446</v>
      </c>
      <c r="AS95">
        <f t="shared" si="45"/>
        <v>694.44444444444446</v>
      </c>
      <c r="AT95">
        <f t="shared" si="45"/>
        <v>694.44444444444446</v>
      </c>
      <c r="AU95">
        <f t="shared" si="45"/>
        <v>694.44444444444446</v>
      </c>
      <c r="AV95">
        <f t="shared" si="45"/>
        <v>694.44444444444446</v>
      </c>
      <c r="AW95">
        <f t="shared" si="45"/>
        <v>694.44444444444446</v>
      </c>
      <c r="AX95">
        <f t="shared" si="45"/>
        <v>694.44444444444446</v>
      </c>
      <c r="AY95">
        <f t="shared" si="45"/>
        <v>694.44444444444446</v>
      </c>
      <c r="AZ95">
        <f t="shared" si="45"/>
        <v>694.44444444444446</v>
      </c>
      <c r="BA95">
        <f t="shared" si="45"/>
        <v>694.44444444444446</v>
      </c>
      <c r="BB95">
        <f t="shared" si="45"/>
        <v>694.44444444444446</v>
      </c>
      <c r="BC95">
        <f t="shared" si="45"/>
        <v>694.44444444444446</v>
      </c>
      <c r="BD95">
        <f>$H$41*0.5/36</f>
        <v>347.22222222222223</v>
      </c>
      <c r="BL95">
        <f t="shared" si="40"/>
        <v>25000.000000000018</v>
      </c>
    </row>
    <row r="96" spans="1:66">
      <c r="A96" t="s">
        <v>365</v>
      </c>
      <c r="U96">
        <f>$I$41*0.5/36</f>
        <v>347.22222222222223</v>
      </c>
      <c r="V96">
        <f>$I$41/36</f>
        <v>694.44444444444446</v>
      </c>
      <c r="W96">
        <f t="shared" ref="W96:BD96" si="46">$I$41/36</f>
        <v>694.44444444444446</v>
      </c>
      <c r="X96">
        <f t="shared" si="46"/>
        <v>694.44444444444446</v>
      </c>
      <c r="Y96">
        <f t="shared" si="46"/>
        <v>694.44444444444446</v>
      </c>
      <c r="Z96">
        <f t="shared" si="46"/>
        <v>694.44444444444446</v>
      </c>
      <c r="AA96">
        <f t="shared" si="46"/>
        <v>694.44444444444446</v>
      </c>
      <c r="AB96">
        <f t="shared" si="46"/>
        <v>694.44444444444446</v>
      </c>
      <c r="AC96">
        <f t="shared" si="46"/>
        <v>694.44444444444446</v>
      </c>
      <c r="AD96">
        <f t="shared" si="46"/>
        <v>694.44444444444446</v>
      </c>
      <c r="AE96">
        <f t="shared" si="46"/>
        <v>694.44444444444446</v>
      </c>
      <c r="AF96">
        <f t="shared" si="46"/>
        <v>694.44444444444446</v>
      </c>
      <c r="AG96">
        <f t="shared" si="46"/>
        <v>694.44444444444446</v>
      </c>
      <c r="AH96">
        <f t="shared" si="46"/>
        <v>694.44444444444446</v>
      </c>
      <c r="AI96">
        <f t="shared" si="46"/>
        <v>694.44444444444446</v>
      </c>
      <c r="AJ96">
        <f t="shared" si="46"/>
        <v>694.44444444444446</v>
      </c>
      <c r="AK96">
        <f t="shared" si="46"/>
        <v>694.44444444444446</v>
      </c>
      <c r="AL96">
        <f t="shared" si="46"/>
        <v>694.44444444444446</v>
      </c>
      <c r="AM96">
        <f t="shared" si="46"/>
        <v>694.44444444444446</v>
      </c>
      <c r="AN96">
        <f t="shared" si="46"/>
        <v>694.44444444444446</v>
      </c>
      <c r="AO96">
        <f t="shared" si="46"/>
        <v>694.44444444444446</v>
      </c>
      <c r="AP96">
        <f t="shared" si="46"/>
        <v>694.44444444444446</v>
      </c>
      <c r="AQ96">
        <f t="shared" si="46"/>
        <v>694.44444444444446</v>
      </c>
      <c r="AR96">
        <f t="shared" si="46"/>
        <v>694.44444444444446</v>
      </c>
      <c r="AS96">
        <f t="shared" si="46"/>
        <v>694.44444444444446</v>
      </c>
      <c r="AT96">
        <f t="shared" si="46"/>
        <v>694.44444444444446</v>
      </c>
      <c r="AU96">
        <f t="shared" si="46"/>
        <v>694.44444444444446</v>
      </c>
      <c r="AV96">
        <f t="shared" si="46"/>
        <v>694.44444444444446</v>
      </c>
      <c r="AW96">
        <f t="shared" si="46"/>
        <v>694.44444444444446</v>
      </c>
      <c r="AX96">
        <f t="shared" si="46"/>
        <v>694.44444444444446</v>
      </c>
      <c r="AY96">
        <f t="shared" si="46"/>
        <v>694.44444444444446</v>
      </c>
      <c r="AZ96">
        <f t="shared" si="46"/>
        <v>694.44444444444446</v>
      </c>
      <c r="BA96">
        <f t="shared" si="46"/>
        <v>694.44444444444446</v>
      </c>
      <c r="BB96">
        <f t="shared" si="46"/>
        <v>694.44444444444446</v>
      </c>
      <c r="BC96">
        <f t="shared" si="46"/>
        <v>694.44444444444446</v>
      </c>
      <c r="BD96">
        <f t="shared" si="46"/>
        <v>694.44444444444446</v>
      </c>
      <c r="BE96">
        <f>$I$41*0.5/36</f>
        <v>347.22222222222223</v>
      </c>
      <c r="BL96">
        <f t="shared" si="40"/>
        <v>25000.000000000018</v>
      </c>
    </row>
    <row r="97" spans="1:66">
      <c r="A97" t="s">
        <v>366</v>
      </c>
      <c r="V97">
        <f>$J$41*0.5/36</f>
        <v>347.22222222222223</v>
      </c>
      <c r="W97">
        <f>$J$41/36</f>
        <v>694.44444444444446</v>
      </c>
      <c r="X97">
        <f t="shared" ref="X97:BE97" si="47">$J$41/36</f>
        <v>694.44444444444446</v>
      </c>
      <c r="Y97">
        <f t="shared" si="47"/>
        <v>694.44444444444446</v>
      </c>
      <c r="Z97">
        <f t="shared" si="47"/>
        <v>694.44444444444446</v>
      </c>
      <c r="AA97">
        <f t="shared" si="47"/>
        <v>694.44444444444446</v>
      </c>
      <c r="AB97">
        <f t="shared" si="47"/>
        <v>694.44444444444446</v>
      </c>
      <c r="AC97">
        <f t="shared" si="47"/>
        <v>694.44444444444446</v>
      </c>
      <c r="AD97">
        <f t="shared" si="47"/>
        <v>694.44444444444446</v>
      </c>
      <c r="AE97">
        <f t="shared" si="47"/>
        <v>694.44444444444446</v>
      </c>
      <c r="AF97">
        <f t="shared" si="47"/>
        <v>694.44444444444446</v>
      </c>
      <c r="AG97">
        <f t="shared" si="47"/>
        <v>694.44444444444446</v>
      </c>
      <c r="AH97">
        <f t="shared" si="47"/>
        <v>694.44444444444446</v>
      </c>
      <c r="AI97">
        <f t="shared" si="47"/>
        <v>694.44444444444446</v>
      </c>
      <c r="AJ97">
        <f t="shared" si="47"/>
        <v>694.44444444444446</v>
      </c>
      <c r="AK97">
        <f t="shared" si="47"/>
        <v>694.44444444444446</v>
      </c>
      <c r="AL97">
        <f t="shared" si="47"/>
        <v>694.44444444444446</v>
      </c>
      <c r="AM97">
        <f t="shared" si="47"/>
        <v>694.44444444444446</v>
      </c>
      <c r="AN97">
        <f t="shared" si="47"/>
        <v>694.44444444444446</v>
      </c>
      <c r="AO97">
        <f t="shared" si="47"/>
        <v>694.44444444444446</v>
      </c>
      <c r="AP97">
        <f t="shared" si="47"/>
        <v>694.44444444444446</v>
      </c>
      <c r="AQ97">
        <f t="shared" si="47"/>
        <v>694.44444444444446</v>
      </c>
      <c r="AR97">
        <f t="shared" si="47"/>
        <v>694.44444444444446</v>
      </c>
      <c r="AS97">
        <f t="shared" si="47"/>
        <v>694.44444444444446</v>
      </c>
      <c r="AT97">
        <f t="shared" si="47"/>
        <v>694.44444444444446</v>
      </c>
      <c r="AU97">
        <f t="shared" si="47"/>
        <v>694.44444444444446</v>
      </c>
      <c r="AV97">
        <f t="shared" si="47"/>
        <v>694.44444444444446</v>
      </c>
      <c r="AW97">
        <f t="shared" si="47"/>
        <v>694.44444444444446</v>
      </c>
      <c r="AX97">
        <f t="shared" si="47"/>
        <v>694.44444444444446</v>
      </c>
      <c r="AY97">
        <f t="shared" si="47"/>
        <v>694.44444444444446</v>
      </c>
      <c r="AZ97">
        <f t="shared" si="47"/>
        <v>694.44444444444446</v>
      </c>
      <c r="BA97">
        <f t="shared" si="47"/>
        <v>694.44444444444446</v>
      </c>
      <c r="BB97">
        <f t="shared" si="47"/>
        <v>694.44444444444446</v>
      </c>
      <c r="BC97">
        <f t="shared" si="47"/>
        <v>694.44444444444446</v>
      </c>
      <c r="BD97">
        <f t="shared" si="47"/>
        <v>694.44444444444446</v>
      </c>
      <c r="BE97">
        <f t="shared" si="47"/>
        <v>694.44444444444446</v>
      </c>
      <c r="BF97">
        <f>$J$41*0.5/36</f>
        <v>347.22222222222223</v>
      </c>
      <c r="BL97">
        <f t="shared" si="40"/>
        <v>25000.000000000018</v>
      </c>
    </row>
    <row r="98" spans="1:66">
      <c r="A98" t="s">
        <v>367</v>
      </c>
      <c r="W98">
        <f>$K$41*0.5/36</f>
        <v>347.22222222222223</v>
      </c>
      <c r="X98">
        <f>$K$41/36</f>
        <v>694.44444444444446</v>
      </c>
      <c r="Y98">
        <f t="shared" ref="Y98:BF98" si="48">$K$41/36</f>
        <v>694.44444444444446</v>
      </c>
      <c r="Z98">
        <f t="shared" si="48"/>
        <v>694.44444444444446</v>
      </c>
      <c r="AA98">
        <f t="shared" si="48"/>
        <v>694.44444444444446</v>
      </c>
      <c r="AB98">
        <f t="shared" si="48"/>
        <v>694.44444444444446</v>
      </c>
      <c r="AC98">
        <f t="shared" si="48"/>
        <v>694.44444444444446</v>
      </c>
      <c r="AD98">
        <f t="shared" si="48"/>
        <v>694.44444444444446</v>
      </c>
      <c r="AE98">
        <f t="shared" si="48"/>
        <v>694.44444444444446</v>
      </c>
      <c r="AF98">
        <f t="shared" si="48"/>
        <v>694.44444444444446</v>
      </c>
      <c r="AG98">
        <f t="shared" si="48"/>
        <v>694.44444444444446</v>
      </c>
      <c r="AH98">
        <f t="shared" si="48"/>
        <v>694.44444444444446</v>
      </c>
      <c r="AI98">
        <f t="shared" si="48"/>
        <v>694.44444444444446</v>
      </c>
      <c r="AJ98">
        <f t="shared" si="48"/>
        <v>694.44444444444446</v>
      </c>
      <c r="AK98">
        <f t="shared" si="48"/>
        <v>694.44444444444446</v>
      </c>
      <c r="AL98">
        <f t="shared" si="48"/>
        <v>694.44444444444446</v>
      </c>
      <c r="AM98">
        <f t="shared" si="48"/>
        <v>694.44444444444446</v>
      </c>
      <c r="AN98">
        <f t="shared" si="48"/>
        <v>694.44444444444446</v>
      </c>
      <c r="AO98">
        <f t="shared" si="48"/>
        <v>694.44444444444446</v>
      </c>
      <c r="AP98">
        <f t="shared" si="48"/>
        <v>694.44444444444446</v>
      </c>
      <c r="AQ98">
        <f t="shared" si="48"/>
        <v>694.44444444444446</v>
      </c>
      <c r="AR98">
        <f t="shared" si="48"/>
        <v>694.44444444444446</v>
      </c>
      <c r="AS98">
        <f t="shared" si="48"/>
        <v>694.44444444444446</v>
      </c>
      <c r="AT98">
        <f t="shared" si="48"/>
        <v>694.44444444444446</v>
      </c>
      <c r="AU98">
        <f t="shared" si="48"/>
        <v>694.44444444444446</v>
      </c>
      <c r="AV98">
        <f t="shared" si="48"/>
        <v>694.44444444444446</v>
      </c>
      <c r="AW98">
        <f t="shared" si="48"/>
        <v>694.44444444444446</v>
      </c>
      <c r="AX98">
        <f t="shared" si="48"/>
        <v>694.44444444444446</v>
      </c>
      <c r="AY98">
        <f t="shared" si="48"/>
        <v>694.44444444444446</v>
      </c>
      <c r="AZ98">
        <f t="shared" si="48"/>
        <v>694.44444444444446</v>
      </c>
      <c r="BA98">
        <f t="shared" si="48"/>
        <v>694.44444444444446</v>
      </c>
      <c r="BB98">
        <f t="shared" si="48"/>
        <v>694.44444444444446</v>
      </c>
      <c r="BC98">
        <f t="shared" si="48"/>
        <v>694.44444444444446</v>
      </c>
      <c r="BD98">
        <f t="shared" si="48"/>
        <v>694.44444444444446</v>
      </c>
      <c r="BE98">
        <f t="shared" si="48"/>
        <v>694.44444444444446</v>
      </c>
      <c r="BF98">
        <f t="shared" si="48"/>
        <v>694.44444444444446</v>
      </c>
      <c r="BG98">
        <f>$K$41*0.5/36</f>
        <v>347.22222222222223</v>
      </c>
      <c r="BL98">
        <f t="shared" si="40"/>
        <v>25000.000000000018</v>
      </c>
    </row>
    <row r="99" spans="1:66">
      <c r="A99" t="s">
        <v>368</v>
      </c>
      <c r="X99">
        <f>$L$41*0.5/36</f>
        <v>347.22222222222223</v>
      </c>
      <c r="Y99">
        <f>$L$41/36</f>
        <v>694.44444444444446</v>
      </c>
      <c r="Z99">
        <f t="shared" ref="Z99:BG99" si="49">$L$41/36</f>
        <v>694.44444444444446</v>
      </c>
      <c r="AA99">
        <f t="shared" si="49"/>
        <v>694.44444444444446</v>
      </c>
      <c r="AB99">
        <f t="shared" si="49"/>
        <v>694.44444444444446</v>
      </c>
      <c r="AC99">
        <f t="shared" si="49"/>
        <v>694.44444444444446</v>
      </c>
      <c r="AD99">
        <f t="shared" si="49"/>
        <v>694.44444444444446</v>
      </c>
      <c r="AE99">
        <f t="shared" si="49"/>
        <v>694.44444444444446</v>
      </c>
      <c r="AF99">
        <f t="shared" si="49"/>
        <v>694.44444444444446</v>
      </c>
      <c r="AG99">
        <f t="shared" si="49"/>
        <v>694.44444444444446</v>
      </c>
      <c r="AH99">
        <f t="shared" si="49"/>
        <v>694.44444444444446</v>
      </c>
      <c r="AI99">
        <f t="shared" si="49"/>
        <v>694.44444444444446</v>
      </c>
      <c r="AJ99">
        <f t="shared" si="49"/>
        <v>694.44444444444446</v>
      </c>
      <c r="AK99">
        <f t="shared" si="49"/>
        <v>694.44444444444446</v>
      </c>
      <c r="AL99">
        <f t="shared" si="49"/>
        <v>694.44444444444446</v>
      </c>
      <c r="AM99">
        <f t="shared" si="49"/>
        <v>694.44444444444446</v>
      </c>
      <c r="AN99">
        <f t="shared" si="49"/>
        <v>694.44444444444446</v>
      </c>
      <c r="AO99">
        <f t="shared" si="49"/>
        <v>694.44444444444446</v>
      </c>
      <c r="AP99">
        <f t="shared" si="49"/>
        <v>694.44444444444446</v>
      </c>
      <c r="AQ99">
        <f t="shared" si="49"/>
        <v>694.44444444444446</v>
      </c>
      <c r="AR99">
        <f t="shared" si="49"/>
        <v>694.44444444444446</v>
      </c>
      <c r="AS99">
        <f t="shared" si="49"/>
        <v>694.44444444444446</v>
      </c>
      <c r="AT99">
        <f t="shared" si="49"/>
        <v>694.44444444444446</v>
      </c>
      <c r="AU99">
        <f t="shared" si="49"/>
        <v>694.44444444444446</v>
      </c>
      <c r="AV99">
        <f t="shared" si="49"/>
        <v>694.44444444444446</v>
      </c>
      <c r="AW99">
        <f t="shared" si="49"/>
        <v>694.44444444444446</v>
      </c>
      <c r="AX99">
        <f t="shared" si="49"/>
        <v>694.44444444444446</v>
      </c>
      <c r="AY99">
        <f t="shared" si="49"/>
        <v>694.44444444444446</v>
      </c>
      <c r="AZ99">
        <f t="shared" si="49"/>
        <v>694.44444444444446</v>
      </c>
      <c r="BA99">
        <f t="shared" si="49"/>
        <v>694.44444444444446</v>
      </c>
      <c r="BB99">
        <f t="shared" si="49"/>
        <v>694.44444444444446</v>
      </c>
      <c r="BC99">
        <f t="shared" si="49"/>
        <v>694.44444444444446</v>
      </c>
      <c r="BD99">
        <f t="shared" si="49"/>
        <v>694.44444444444446</v>
      </c>
      <c r="BE99">
        <f t="shared" si="49"/>
        <v>694.44444444444446</v>
      </c>
      <c r="BF99">
        <f t="shared" si="49"/>
        <v>694.44444444444446</v>
      </c>
      <c r="BG99">
        <f t="shared" si="49"/>
        <v>694.44444444444446</v>
      </c>
      <c r="BH99">
        <f>$L$41*0.5/36</f>
        <v>347.22222222222223</v>
      </c>
      <c r="BL99">
        <f t="shared" si="40"/>
        <v>25000.000000000018</v>
      </c>
    </row>
    <row r="100" spans="1:66">
      <c r="A100" t="s">
        <v>369</v>
      </c>
      <c r="Y100">
        <f>$M$41*0.5/36</f>
        <v>347.22222222222223</v>
      </c>
      <c r="Z100">
        <f>$M$41/36</f>
        <v>694.44444444444446</v>
      </c>
      <c r="AA100">
        <f t="shared" ref="AA100:BH100" si="50">$M$41/36</f>
        <v>694.44444444444446</v>
      </c>
      <c r="AB100">
        <f t="shared" si="50"/>
        <v>694.44444444444446</v>
      </c>
      <c r="AC100">
        <f t="shared" si="50"/>
        <v>694.44444444444446</v>
      </c>
      <c r="AD100">
        <f t="shared" si="50"/>
        <v>694.44444444444446</v>
      </c>
      <c r="AE100">
        <f t="shared" si="50"/>
        <v>694.44444444444446</v>
      </c>
      <c r="AF100">
        <f t="shared" si="50"/>
        <v>694.44444444444446</v>
      </c>
      <c r="AG100">
        <f t="shared" si="50"/>
        <v>694.44444444444446</v>
      </c>
      <c r="AH100">
        <f t="shared" si="50"/>
        <v>694.44444444444446</v>
      </c>
      <c r="AI100">
        <f t="shared" si="50"/>
        <v>694.44444444444446</v>
      </c>
      <c r="AJ100">
        <f t="shared" si="50"/>
        <v>694.44444444444446</v>
      </c>
      <c r="AK100">
        <f t="shared" si="50"/>
        <v>694.44444444444446</v>
      </c>
      <c r="AL100">
        <f t="shared" si="50"/>
        <v>694.44444444444446</v>
      </c>
      <c r="AM100">
        <f t="shared" si="50"/>
        <v>694.44444444444446</v>
      </c>
      <c r="AN100">
        <f t="shared" si="50"/>
        <v>694.44444444444446</v>
      </c>
      <c r="AO100">
        <f t="shared" si="50"/>
        <v>694.44444444444446</v>
      </c>
      <c r="AP100">
        <f t="shared" si="50"/>
        <v>694.44444444444446</v>
      </c>
      <c r="AQ100">
        <f t="shared" si="50"/>
        <v>694.44444444444446</v>
      </c>
      <c r="AR100">
        <f t="shared" si="50"/>
        <v>694.44444444444446</v>
      </c>
      <c r="AS100">
        <f t="shared" si="50"/>
        <v>694.44444444444446</v>
      </c>
      <c r="AT100">
        <f t="shared" si="50"/>
        <v>694.44444444444446</v>
      </c>
      <c r="AU100">
        <f t="shared" si="50"/>
        <v>694.44444444444446</v>
      </c>
      <c r="AV100">
        <f t="shared" si="50"/>
        <v>694.44444444444446</v>
      </c>
      <c r="AW100">
        <f t="shared" si="50"/>
        <v>694.44444444444446</v>
      </c>
      <c r="AX100">
        <f t="shared" si="50"/>
        <v>694.44444444444446</v>
      </c>
      <c r="AY100">
        <f t="shared" si="50"/>
        <v>694.44444444444446</v>
      </c>
      <c r="AZ100">
        <f t="shared" si="50"/>
        <v>694.44444444444446</v>
      </c>
      <c r="BA100">
        <f t="shared" si="50"/>
        <v>694.44444444444446</v>
      </c>
      <c r="BB100">
        <f t="shared" si="50"/>
        <v>694.44444444444446</v>
      </c>
      <c r="BC100">
        <f t="shared" si="50"/>
        <v>694.44444444444446</v>
      </c>
      <c r="BD100">
        <f t="shared" si="50"/>
        <v>694.44444444444446</v>
      </c>
      <c r="BE100">
        <f t="shared" si="50"/>
        <v>694.44444444444446</v>
      </c>
      <c r="BF100">
        <f t="shared" si="50"/>
        <v>694.44444444444446</v>
      </c>
      <c r="BG100">
        <f t="shared" si="50"/>
        <v>694.44444444444446</v>
      </c>
      <c r="BH100">
        <f t="shared" si="50"/>
        <v>694.44444444444446</v>
      </c>
      <c r="BI100">
        <f>$M$41*0.5/36</f>
        <v>347.22222222222223</v>
      </c>
      <c r="BL100">
        <f t="shared" si="40"/>
        <v>25000.000000000018</v>
      </c>
    </row>
    <row r="101" spans="1:66">
      <c r="A101" t="s">
        <v>370</v>
      </c>
      <c r="Z101">
        <f>$N$41*0.5/36</f>
        <v>347.22222222222223</v>
      </c>
      <c r="AA101">
        <f>$N$41/36</f>
        <v>694.44444444444446</v>
      </c>
      <c r="AB101">
        <f t="shared" ref="AB101:BI101" si="51">$N$41/36</f>
        <v>694.44444444444446</v>
      </c>
      <c r="AC101">
        <f t="shared" si="51"/>
        <v>694.44444444444446</v>
      </c>
      <c r="AD101">
        <f t="shared" si="51"/>
        <v>694.44444444444446</v>
      </c>
      <c r="AE101">
        <f t="shared" si="51"/>
        <v>694.44444444444446</v>
      </c>
      <c r="AF101">
        <f t="shared" si="51"/>
        <v>694.44444444444446</v>
      </c>
      <c r="AG101">
        <f t="shared" si="51"/>
        <v>694.44444444444446</v>
      </c>
      <c r="AH101">
        <f t="shared" si="51"/>
        <v>694.44444444444446</v>
      </c>
      <c r="AI101">
        <f t="shared" si="51"/>
        <v>694.44444444444446</v>
      </c>
      <c r="AJ101">
        <f t="shared" si="51"/>
        <v>694.44444444444446</v>
      </c>
      <c r="AK101">
        <f t="shared" si="51"/>
        <v>694.44444444444446</v>
      </c>
      <c r="AL101">
        <f t="shared" si="51"/>
        <v>694.44444444444446</v>
      </c>
      <c r="AM101">
        <f t="shared" si="51"/>
        <v>694.44444444444446</v>
      </c>
      <c r="AN101">
        <f t="shared" si="51"/>
        <v>694.44444444444446</v>
      </c>
      <c r="AO101">
        <f t="shared" si="51"/>
        <v>694.44444444444446</v>
      </c>
      <c r="AP101">
        <f t="shared" si="51"/>
        <v>694.44444444444446</v>
      </c>
      <c r="AQ101">
        <f t="shared" si="51"/>
        <v>694.44444444444446</v>
      </c>
      <c r="AR101">
        <f t="shared" si="51"/>
        <v>694.44444444444446</v>
      </c>
      <c r="AS101">
        <f t="shared" si="51"/>
        <v>694.44444444444446</v>
      </c>
      <c r="AT101">
        <f t="shared" si="51"/>
        <v>694.44444444444446</v>
      </c>
      <c r="AU101">
        <f t="shared" si="51"/>
        <v>694.44444444444446</v>
      </c>
      <c r="AV101">
        <f t="shared" si="51"/>
        <v>694.44444444444446</v>
      </c>
      <c r="AW101">
        <f t="shared" si="51"/>
        <v>694.44444444444446</v>
      </c>
      <c r="AX101">
        <f t="shared" si="51"/>
        <v>694.44444444444446</v>
      </c>
      <c r="AY101">
        <f t="shared" si="51"/>
        <v>694.44444444444446</v>
      </c>
      <c r="AZ101">
        <f t="shared" si="51"/>
        <v>694.44444444444446</v>
      </c>
      <c r="BA101">
        <f t="shared" si="51"/>
        <v>694.44444444444446</v>
      </c>
      <c r="BB101">
        <f t="shared" si="51"/>
        <v>694.44444444444446</v>
      </c>
      <c r="BC101">
        <f t="shared" si="51"/>
        <v>694.44444444444446</v>
      </c>
      <c r="BD101">
        <f t="shared" si="51"/>
        <v>694.44444444444446</v>
      </c>
      <c r="BE101">
        <f t="shared" si="51"/>
        <v>694.44444444444446</v>
      </c>
      <c r="BF101">
        <f t="shared" si="51"/>
        <v>694.44444444444446</v>
      </c>
      <c r="BG101">
        <f t="shared" si="51"/>
        <v>694.44444444444446</v>
      </c>
      <c r="BH101">
        <f t="shared" si="51"/>
        <v>694.44444444444446</v>
      </c>
      <c r="BI101">
        <f t="shared" si="51"/>
        <v>694.44444444444446</v>
      </c>
      <c r="BJ101">
        <f>$N$41*0.5/36</f>
        <v>347.22222222222223</v>
      </c>
      <c r="BL101">
        <f t="shared" si="40"/>
        <v>25000.000000000018</v>
      </c>
      <c r="BM101">
        <f>SUM(BL90:BL101)</f>
        <v>300000.00000000023</v>
      </c>
      <c r="BN101" t="s">
        <v>371</v>
      </c>
    </row>
    <row r="102" spans="1:66" ht="7.5" customHeight="1"/>
    <row r="103" spans="1:66">
      <c r="A103" t="s">
        <v>372</v>
      </c>
      <c r="O103">
        <f t="shared" ref="O103:Z103" si="52">(SUM(O90:O102))+(SUM(O63:O70))</f>
        <v>5402.7777777777783</v>
      </c>
      <c r="P103">
        <f t="shared" si="52"/>
        <v>6097.2222222222226</v>
      </c>
      <c r="Q103">
        <f t="shared" si="52"/>
        <v>6791.666666666667</v>
      </c>
      <c r="R103">
        <f t="shared" si="52"/>
        <v>7486.1111111111113</v>
      </c>
      <c r="S103">
        <f t="shared" si="52"/>
        <v>8180.5555555555557</v>
      </c>
      <c r="T103">
        <f t="shared" si="52"/>
        <v>8875</v>
      </c>
      <c r="U103">
        <f t="shared" si="52"/>
        <v>9569.4444444444453</v>
      </c>
      <c r="V103">
        <f t="shared" si="52"/>
        <v>10263.888888888891</v>
      </c>
      <c r="W103">
        <f t="shared" si="52"/>
        <v>10958.333333333334</v>
      </c>
      <c r="X103">
        <f t="shared" si="52"/>
        <v>11652.777777777777</v>
      </c>
      <c r="Y103">
        <f t="shared" si="52"/>
        <v>12347.222222222223</v>
      </c>
      <c r="Z103">
        <f t="shared" si="52"/>
        <v>13041.666666666668</v>
      </c>
    </row>
    <row r="104" spans="1:66" ht="7.5" customHeight="1"/>
    <row r="105" spans="1:66">
      <c r="A105" t="s">
        <v>373</v>
      </c>
      <c r="O105">
        <f t="shared" ref="O105:Z105" si="53">SUM(O75:O84)</f>
        <v>644.66666666666663</v>
      </c>
      <c r="P105">
        <f t="shared" si="53"/>
        <v>644.66666666666663</v>
      </c>
      <c r="Q105">
        <f t="shared" si="53"/>
        <v>644.66666666666663</v>
      </c>
      <c r="R105">
        <f t="shared" si="53"/>
        <v>644.66666666666663</v>
      </c>
      <c r="S105">
        <f t="shared" si="53"/>
        <v>644.66666666666663</v>
      </c>
      <c r="T105">
        <f t="shared" si="53"/>
        <v>644.66666666666663</v>
      </c>
      <c r="U105">
        <f t="shared" si="53"/>
        <v>644.66666666666663</v>
      </c>
      <c r="V105">
        <f t="shared" si="53"/>
        <v>644.66666666666663</v>
      </c>
      <c r="W105">
        <f t="shared" si="53"/>
        <v>644.66666666666663</v>
      </c>
      <c r="X105">
        <f t="shared" si="53"/>
        <v>644.66666666666663</v>
      </c>
      <c r="Y105">
        <f t="shared" si="53"/>
        <v>644.66666666666663</v>
      </c>
      <c r="Z105">
        <f t="shared" si="53"/>
        <v>644.66666666666663</v>
      </c>
    </row>
    <row r="106" spans="1:66" ht="7.5" customHeight="1"/>
    <row r="107" spans="1:66" ht="13.5" thickBot="1">
      <c r="A107" t="s">
        <v>374</v>
      </c>
      <c r="O107">
        <f>O103+O105</f>
        <v>6047.4444444444453</v>
      </c>
      <c r="P107">
        <f t="shared" ref="P107:Z107" si="54">P103+P105</f>
        <v>6741.8888888888896</v>
      </c>
      <c r="Q107">
        <f t="shared" si="54"/>
        <v>7436.3333333333339</v>
      </c>
      <c r="R107">
        <f t="shared" si="54"/>
        <v>8130.7777777777783</v>
      </c>
      <c r="S107">
        <f t="shared" si="54"/>
        <v>8825.2222222222226</v>
      </c>
      <c r="T107">
        <f t="shared" si="54"/>
        <v>9519.6666666666661</v>
      </c>
      <c r="U107">
        <f t="shared" si="54"/>
        <v>10214.111111111111</v>
      </c>
      <c r="V107">
        <f t="shared" si="54"/>
        <v>10908.555555555557</v>
      </c>
      <c r="W107">
        <f t="shared" si="54"/>
        <v>11603</v>
      </c>
      <c r="X107">
        <f t="shared" si="54"/>
        <v>12297.444444444443</v>
      </c>
      <c r="Y107">
        <f t="shared" si="54"/>
        <v>12991.888888888889</v>
      </c>
      <c r="Z107">
        <f t="shared" si="54"/>
        <v>13686.333333333334</v>
      </c>
    </row>
  </sheetData>
  <mergeCells count="8">
    <mergeCell ref="Q24:U24"/>
    <mergeCell ref="Q45:U45"/>
    <mergeCell ref="E10:G10"/>
    <mergeCell ref="H10:L10"/>
    <mergeCell ref="E11:G11"/>
    <mergeCell ref="H11:L11"/>
    <mergeCell ref="E12:G12"/>
    <mergeCell ref="H12:L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-0.249977111117893"/>
    <pageSetUpPr fitToPage="1"/>
  </sheetPr>
  <dimension ref="A2:AK166"/>
  <sheetViews>
    <sheetView view="pageBreakPreview" topLeftCell="A19" zoomScale="80" zoomScaleNormal="80" zoomScaleSheetLayoutView="80" workbookViewId="0">
      <selection activeCell="N38" sqref="N38:N42"/>
    </sheetView>
  </sheetViews>
  <sheetFormatPr baseColWidth="10" defaultRowHeight="12.75"/>
  <cols>
    <col min="1" max="1" width="6.140625" customWidth="1"/>
    <col min="2" max="2" width="10" customWidth="1"/>
    <col min="3" max="3" width="13.7109375" customWidth="1"/>
    <col min="4" max="7" width="13.42578125" customWidth="1"/>
    <col min="8" max="8" width="13.7109375" customWidth="1"/>
    <col min="9" max="9" width="14.5703125" customWidth="1"/>
    <col min="10" max="10" width="13.85546875" customWidth="1"/>
    <col min="11" max="11" width="14.42578125" customWidth="1"/>
    <col min="12" max="15" width="14.5703125" customWidth="1"/>
    <col min="16" max="16" width="16.85546875" customWidth="1"/>
    <col min="17" max="18" width="14.42578125" customWidth="1"/>
    <col min="19" max="20" width="15.5703125" customWidth="1"/>
    <col min="21" max="21" width="14.140625" customWidth="1"/>
    <col min="22" max="22" width="7.7109375" customWidth="1"/>
    <col min="23" max="24" width="9.140625" customWidth="1"/>
    <col min="25" max="25" width="15.140625" customWidth="1"/>
    <col min="26" max="26" width="9.140625" customWidth="1"/>
    <col min="27" max="27" width="11.7109375" customWidth="1"/>
    <col min="28" max="28" width="12.85546875" customWidth="1"/>
    <col min="29" max="29" width="12" customWidth="1"/>
    <col min="30" max="30" width="11.5703125" customWidth="1"/>
    <col min="31" max="31" width="12.7109375" customWidth="1"/>
    <col min="32" max="32" width="13.28515625" customWidth="1"/>
    <col min="33" max="34" width="11.85546875" customWidth="1"/>
    <col min="35" max="35" width="12.140625" customWidth="1"/>
    <col min="36" max="36" width="11.28515625" customWidth="1"/>
    <col min="37" max="37" width="11.42578125" customWidth="1"/>
    <col min="38" max="38" width="12" customWidth="1"/>
  </cols>
  <sheetData>
    <row r="2" spans="1:19">
      <c r="A2" s="28" t="s">
        <v>226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9">
      <c r="A3" s="28" t="s">
        <v>227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9">
      <c r="B4" s="28" t="s">
        <v>205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9" ht="15.75" customHeight="1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9" ht="15" customHeight="1"/>
    <row r="8" spans="1:19">
      <c r="O8" t="s">
        <v>1</v>
      </c>
    </row>
    <row r="9" spans="1:19">
      <c r="O9" t="s">
        <v>2</v>
      </c>
      <c r="R9">
        <v>2.2200000000000001E-2</v>
      </c>
      <c r="S9" t="s">
        <v>3</v>
      </c>
    </row>
    <row r="10" spans="1:19">
      <c r="B10" t="s">
        <v>4</v>
      </c>
      <c r="G10">
        <f>+L57</f>
        <v>8.0600000000000005E-2</v>
      </c>
      <c r="H10" t="s">
        <v>5</v>
      </c>
      <c r="O10" t="s">
        <v>57</v>
      </c>
      <c r="R10">
        <v>4.5199999999999997E-2</v>
      </c>
      <c r="S10" t="s">
        <v>3</v>
      </c>
    </row>
    <row r="11" spans="1:19">
      <c r="B11" t="s">
        <v>6</v>
      </c>
      <c r="G11">
        <v>0</v>
      </c>
      <c r="O11" t="s">
        <v>81</v>
      </c>
      <c r="R11">
        <v>0.25</v>
      </c>
      <c r="S11" t="s">
        <v>3</v>
      </c>
    </row>
    <row r="12" spans="1:19">
      <c r="O12" t="s">
        <v>101</v>
      </c>
      <c r="R12">
        <f>1/3</f>
        <v>0.33333333333333331</v>
      </c>
      <c r="S12" t="s">
        <v>3</v>
      </c>
    </row>
    <row r="13" spans="1:19">
      <c r="G13">
        <f>SUM(G10:G11)</f>
        <v>8.0600000000000005E-2</v>
      </c>
    </row>
    <row r="14" spans="1:19">
      <c r="O14" t="s">
        <v>7</v>
      </c>
    </row>
    <row r="15" spans="1:19">
      <c r="O15" t="s">
        <v>2</v>
      </c>
      <c r="R15">
        <f>I117</f>
        <v>96162.000000000015</v>
      </c>
    </row>
    <row r="16" spans="1:19">
      <c r="O16" t="s">
        <v>57</v>
      </c>
      <c r="R16">
        <f>I118</f>
        <v>108438.00000000001</v>
      </c>
    </row>
    <row r="17" spans="2:37">
      <c r="F17" t="s">
        <v>113</v>
      </c>
      <c r="O17" t="s">
        <v>81</v>
      </c>
      <c r="R17">
        <f>I119</f>
        <v>237072</v>
      </c>
    </row>
    <row r="18" spans="2:37">
      <c r="O18" t="s">
        <v>101</v>
      </c>
      <c r="R18">
        <f>I120</f>
        <v>623310</v>
      </c>
    </row>
    <row r="19" spans="2:37" ht="13.5" thickBot="1">
      <c r="R19">
        <f>SUM(R15:R18)</f>
        <v>1064982</v>
      </c>
    </row>
    <row r="24" spans="2:37">
      <c r="O24" t="s">
        <v>80</v>
      </c>
      <c r="R24">
        <v>7.4999999999999997E-3</v>
      </c>
      <c r="S24" t="s">
        <v>117</v>
      </c>
    </row>
    <row r="25" spans="2:37">
      <c r="X25" t="s">
        <v>8</v>
      </c>
    </row>
    <row r="27" spans="2:37">
      <c r="AA27">
        <v>2014</v>
      </c>
      <c r="AB27">
        <f t="shared" ref="AB27:AK27" si="0">+AA27+1</f>
        <v>2015</v>
      </c>
      <c r="AC27">
        <f t="shared" si="0"/>
        <v>2016</v>
      </c>
      <c r="AD27">
        <f t="shared" si="0"/>
        <v>2017</v>
      </c>
      <c r="AE27">
        <f t="shared" si="0"/>
        <v>2018</v>
      </c>
      <c r="AF27">
        <f t="shared" si="0"/>
        <v>2019</v>
      </c>
      <c r="AG27">
        <f t="shared" si="0"/>
        <v>2020</v>
      </c>
      <c r="AH27">
        <f t="shared" si="0"/>
        <v>2021</v>
      </c>
      <c r="AI27">
        <f t="shared" si="0"/>
        <v>2022</v>
      </c>
      <c r="AJ27">
        <f t="shared" si="0"/>
        <v>2023</v>
      </c>
      <c r="AK27">
        <f t="shared" si="0"/>
        <v>2024</v>
      </c>
    </row>
    <row r="29" spans="2:37">
      <c r="B29" t="s">
        <v>9</v>
      </c>
      <c r="X29" t="s">
        <v>10</v>
      </c>
      <c r="Z29">
        <v>0.06</v>
      </c>
      <c r="AB29">
        <f t="shared" ref="AB29:AK29" si="1">+AA32</f>
        <v>32054</v>
      </c>
      <c r="AC29">
        <f t="shared" si="1"/>
        <v>62184.76</v>
      </c>
      <c r="AD29">
        <f t="shared" si="1"/>
        <v>89546.054400000008</v>
      </c>
      <c r="AE29">
        <f t="shared" si="1"/>
        <v>84173.291136000014</v>
      </c>
      <c r="AF29">
        <f t="shared" si="1"/>
        <v>79122.89366784002</v>
      </c>
      <c r="AG29">
        <f t="shared" si="1"/>
        <v>74375.52004776962</v>
      </c>
      <c r="AH29">
        <f t="shared" si="1"/>
        <v>69912.988844903448</v>
      </c>
      <c r="AI29">
        <f t="shared" si="1"/>
        <v>65718.209514209244</v>
      </c>
      <c r="AJ29">
        <f t="shared" si="1"/>
        <v>61775.11694335669</v>
      </c>
      <c r="AK29">
        <f t="shared" si="1"/>
        <v>58068.609926755293</v>
      </c>
    </row>
    <row r="30" spans="2:37">
      <c r="P30" t="s">
        <v>103</v>
      </c>
      <c r="X30" t="s">
        <v>11</v>
      </c>
      <c r="AA30">
        <f>C37</f>
        <v>32054</v>
      </c>
      <c r="AB30">
        <f>C38</f>
        <v>32054</v>
      </c>
      <c r="AC30">
        <f>C39</f>
        <v>32054</v>
      </c>
      <c r="AD30">
        <f>C40</f>
        <v>0</v>
      </c>
      <c r="AE30">
        <f>C41</f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</row>
    <row r="31" spans="2:37">
      <c r="O31" t="s">
        <v>85</v>
      </c>
      <c r="P31" t="s">
        <v>207</v>
      </c>
      <c r="Q31" t="s">
        <v>114</v>
      </c>
      <c r="T31" t="s">
        <v>213</v>
      </c>
      <c r="X31" t="s">
        <v>12</v>
      </c>
      <c r="AB31">
        <f>((AB29+AB30)/2)*$Z$29</f>
        <v>1923.24</v>
      </c>
      <c r="AC31">
        <f t="shared" ref="AC31:AK31" si="2">(AC29+(AC30/2))*$Z$29</f>
        <v>4692.7056000000002</v>
      </c>
      <c r="AD31">
        <f t="shared" si="2"/>
        <v>5372.7632640000002</v>
      </c>
      <c r="AE31">
        <f t="shared" si="2"/>
        <v>5050.3974681600002</v>
      </c>
      <c r="AF31">
        <f t="shared" si="2"/>
        <v>4747.3736200704006</v>
      </c>
      <c r="AG31">
        <f t="shared" si="2"/>
        <v>4462.5312028661774</v>
      </c>
      <c r="AH31">
        <f t="shared" si="2"/>
        <v>4194.7793306942067</v>
      </c>
      <c r="AI31">
        <f t="shared" si="2"/>
        <v>3943.0925708525547</v>
      </c>
      <c r="AJ31">
        <f t="shared" si="2"/>
        <v>3706.5070166014011</v>
      </c>
      <c r="AK31">
        <f t="shared" si="2"/>
        <v>3484.1165956053173</v>
      </c>
    </row>
    <row r="32" spans="2:37">
      <c r="B32" t="s">
        <v>13</v>
      </c>
      <c r="C32" t="s">
        <v>14</v>
      </c>
      <c r="D32" t="s">
        <v>65</v>
      </c>
      <c r="E32" t="s">
        <v>77</v>
      </c>
      <c r="F32" t="s">
        <v>101</v>
      </c>
      <c r="G32" t="s">
        <v>15</v>
      </c>
      <c r="H32" t="s">
        <v>16</v>
      </c>
      <c r="I32" t="s">
        <v>16</v>
      </c>
      <c r="J32" t="s">
        <v>16</v>
      </c>
      <c r="K32" t="s">
        <v>17</v>
      </c>
      <c r="L32" t="s">
        <v>17</v>
      </c>
      <c r="M32" t="s">
        <v>17</v>
      </c>
      <c r="N32" t="s">
        <v>17</v>
      </c>
      <c r="O32" t="s">
        <v>87</v>
      </c>
      <c r="P32" t="s">
        <v>208</v>
      </c>
      <c r="Q32" t="s">
        <v>115</v>
      </c>
      <c r="R32" t="s">
        <v>18</v>
      </c>
      <c r="S32" t="s">
        <v>126</v>
      </c>
      <c r="T32" t="s">
        <v>214</v>
      </c>
      <c r="U32" t="s">
        <v>54</v>
      </c>
      <c r="X32" t="s">
        <v>19</v>
      </c>
      <c r="AA32">
        <f>+AA30-AA31</f>
        <v>32054</v>
      </c>
      <c r="AB32">
        <f t="shared" ref="AB32:AK32" si="3">+AB29+AB30-AB31</f>
        <v>62184.76</v>
      </c>
      <c r="AC32">
        <f t="shared" si="3"/>
        <v>89546.054400000008</v>
      </c>
      <c r="AD32">
        <f t="shared" si="3"/>
        <v>84173.291136000014</v>
      </c>
      <c r="AE32">
        <f t="shared" si="3"/>
        <v>79122.89366784002</v>
      </c>
      <c r="AF32">
        <f t="shared" si="3"/>
        <v>74375.52004776962</v>
      </c>
      <c r="AG32">
        <f t="shared" si="3"/>
        <v>69912.988844903448</v>
      </c>
      <c r="AH32">
        <f t="shared" si="3"/>
        <v>65718.209514209244</v>
      </c>
      <c r="AI32">
        <f t="shared" si="3"/>
        <v>61775.11694335669</v>
      </c>
      <c r="AJ32">
        <f t="shared" si="3"/>
        <v>58068.609926755293</v>
      </c>
      <c r="AK32">
        <f t="shared" si="3"/>
        <v>54584.493331149977</v>
      </c>
    </row>
    <row r="33" spans="2:37">
      <c r="C33" t="s">
        <v>20</v>
      </c>
      <c r="D33" t="s">
        <v>66</v>
      </c>
      <c r="E33" t="s">
        <v>78</v>
      </c>
      <c r="G33" t="s">
        <v>21</v>
      </c>
      <c r="H33" t="s">
        <v>22</v>
      </c>
      <c r="I33" t="s">
        <v>22</v>
      </c>
      <c r="J33" t="s">
        <v>22</v>
      </c>
      <c r="K33" t="s">
        <v>0</v>
      </c>
      <c r="L33" t="s">
        <v>109</v>
      </c>
      <c r="M33" t="s">
        <v>84</v>
      </c>
      <c r="N33" t="s">
        <v>101</v>
      </c>
      <c r="O33" t="s">
        <v>86</v>
      </c>
      <c r="P33" t="s">
        <v>210</v>
      </c>
      <c r="Q33" t="s">
        <v>116</v>
      </c>
      <c r="R33" t="s">
        <v>23</v>
      </c>
      <c r="S33" t="s">
        <v>127</v>
      </c>
      <c r="T33" t="s">
        <v>217</v>
      </c>
      <c r="U33" t="s">
        <v>28</v>
      </c>
    </row>
    <row r="34" spans="2:37">
      <c r="H34" t="s">
        <v>24</v>
      </c>
      <c r="I34" t="s">
        <v>25</v>
      </c>
      <c r="J34" t="s">
        <v>26</v>
      </c>
      <c r="P34" t="s">
        <v>209</v>
      </c>
      <c r="Q34" t="s">
        <v>30</v>
      </c>
      <c r="R34" t="s">
        <v>27</v>
      </c>
      <c r="T34" t="s">
        <v>216</v>
      </c>
      <c r="U34" t="s">
        <v>55</v>
      </c>
    </row>
    <row r="35" spans="2:37">
      <c r="B35" t="s">
        <v>5</v>
      </c>
      <c r="C35" t="s">
        <v>29</v>
      </c>
      <c r="D35" t="s">
        <v>30</v>
      </c>
      <c r="E35" t="s">
        <v>31</v>
      </c>
      <c r="F35" t="s">
        <v>32</v>
      </c>
      <c r="G35" t="s">
        <v>33</v>
      </c>
      <c r="H35" t="s">
        <v>34</v>
      </c>
      <c r="I35" t="s">
        <v>35</v>
      </c>
      <c r="J35" t="s">
        <v>36</v>
      </c>
      <c r="K35" t="s">
        <v>120</v>
      </c>
      <c r="L35" t="s">
        <v>37</v>
      </c>
      <c r="M35" t="s">
        <v>38</v>
      </c>
      <c r="N35" t="s">
        <v>39</v>
      </c>
      <c r="O35" t="s">
        <v>40</v>
      </c>
      <c r="P35" t="s">
        <v>41</v>
      </c>
      <c r="Q35" t="s">
        <v>42</v>
      </c>
      <c r="R35" t="s">
        <v>121</v>
      </c>
      <c r="S35" t="s">
        <v>122</v>
      </c>
      <c r="T35" t="s">
        <v>123</v>
      </c>
      <c r="U35" t="s">
        <v>124</v>
      </c>
    </row>
    <row r="37" spans="2:37">
      <c r="B37">
        <v>2014</v>
      </c>
      <c r="C37">
        <f>J126</f>
        <v>32054</v>
      </c>
      <c r="D37">
        <f>J127</f>
        <v>36146</v>
      </c>
      <c r="E37">
        <f>J128</f>
        <v>237072</v>
      </c>
      <c r="F37">
        <f>J129</f>
        <v>224437</v>
      </c>
      <c r="G37">
        <f t="shared" ref="G37:G45" si="4">+C37+D37+E37+F37</f>
        <v>529709</v>
      </c>
      <c r="H37">
        <v>0</v>
      </c>
      <c r="I37">
        <f t="shared" ref="I37:I45" si="5">H37+G37-K37-L37-M37-N37</f>
        <v>529709</v>
      </c>
      <c r="R37">
        <f>+G13</f>
        <v>8.0600000000000005E-2</v>
      </c>
      <c r="S37" t="s">
        <v>5</v>
      </c>
      <c r="X37" t="s">
        <v>56</v>
      </c>
      <c r="Z37">
        <v>0.06</v>
      </c>
      <c r="AB37">
        <f t="shared" ref="AB37:AK37" si="6">+AA40</f>
        <v>36146</v>
      </c>
      <c r="AC37">
        <f t="shared" si="6"/>
        <v>70123.240000000005</v>
      </c>
      <c r="AD37">
        <f t="shared" si="6"/>
        <v>100977.46560000001</v>
      </c>
      <c r="AE37">
        <f t="shared" si="6"/>
        <v>94918.817664000017</v>
      </c>
      <c r="AF37">
        <f t="shared" si="6"/>
        <v>89223.688604160008</v>
      </c>
      <c r="AG37">
        <f t="shared" si="6"/>
        <v>83870.267287910407</v>
      </c>
      <c r="AH37">
        <f t="shared" si="6"/>
        <v>78838.051250635777</v>
      </c>
      <c r="AI37">
        <f t="shared" si="6"/>
        <v>74107.768175597637</v>
      </c>
      <c r="AJ37">
        <f t="shared" si="6"/>
        <v>69661.302085061776</v>
      </c>
      <c r="AK37">
        <f t="shared" si="6"/>
        <v>65481.623959958073</v>
      </c>
    </row>
    <row r="38" spans="2:37">
      <c r="B38">
        <v>2015</v>
      </c>
      <c r="C38">
        <f>J132</f>
        <v>32054</v>
      </c>
      <c r="D38">
        <f>J133</f>
        <v>36146</v>
      </c>
      <c r="E38">
        <f>J134</f>
        <v>0</v>
      </c>
      <c r="F38">
        <f>J135</f>
        <v>224437</v>
      </c>
      <c r="G38">
        <f t="shared" si="4"/>
        <v>292637</v>
      </c>
      <c r="H38">
        <f>I37</f>
        <v>529709</v>
      </c>
      <c r="I38">
        <f>H38+G38-K38-L38-M38-N38</f>
        <v>647341.40299999993</v>
      </c>
      <c r="J38">
        <f t="shared" ref="J38:J45" si="7">+(H38+I38)/2</f>
        <v>588525.20149999997</v>
      </c>
      <c r="K38">
        <f>(C37+(C38*0.5))*R9</f>
        <v>1067.3982000000001</v>
      </c>
      <c r="L38">
        <f>(D37+(D38*0.5))*R10</f>
        <v>2450.6987999999997</v>
      </c>
      <c r="M38">
        <f>(E37+(E38*0.5))*R11</f>
        <v>59268</v>
      </c>
      <c r="N38">
        <f>(F37+(F38*0.5))*R12</f>
        <v>112218.5</v>
      </c>
      <c r="O38">
        <f>(C37+D37+C38+D38-K38-L38)*R24</f>
        <v>996.61427249999986</v>
      </c>
      <c r="P38">
        <f>+((-AB31-AB39-AB46-AB53)+(K38+L38+M38+N38))*0.269/(1-0.269)</f>
        <v>-145906.70507113545</v>
      </c>
      <c r="Q38" t="e">
        <f>K155</f>
        <v>#REF!</v>
      </c>
      <c r="R38">
        <f>+J38*$R$37</f>
        <v>47435.131240900002</v>
      </c>
      <c r="S38" t="e">
        <f>SUM(K38:R38)</f>
        <v>#REF!</v>
      </c>
      <c r="T38" t="e">
        <f t="shared" ref="T38:T45" si="8">+S38-S37</f>
        <v>#REF!</v>
      </c>
      <c r="U38">
        <f t="shared" ref="U38:U45" si="9">+J38*$I$56*$H$56</f>
        <v>21422.3173346</v>
      </c>
      <c r="X38" t="s">
        <v>11</v>
      </c>
      <c r="AA38">
        <f>D37</f>
        <v>36146</v>
      </c>
      <c r="AB38">
        <f>D38</f>
        <v>36146</v>
      </c>
      <c r="AC38">
        <f>D39</f>
        <v>36146</v>
      </c>
      <c r="AD38">
        <f>D40</f>
        <v>0</v>
      </c>
      <c r="AE38">
        <f>D41</f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</row>
    <row r="39" spans="2:37">
      <c r="B39">
        <f>+B38+1</f>
        <v>2016</v>
      </c>
      <c r="C39">
        <f>O126</f>
        <v>32054</v>
      </c>
      <c r="D39">
        <f>O127</f>
        <v>36146</v>
      </c>
      <c r="E39">
        <f>O128</f>
        <v>0</v>
      </c>
      <c r="F39">
        <f>O129</f>
        <v>174436</v>
      </c>
      <c r="G39">
        <f t="shared" si="4"/>
        <v>242636</v>
      </c>
      <c r="H39">
        <f>+I38</f>
        <v>647341.40299999993</v>
      </c>
      <c r="I39">
        <f t="shared" si="5"/>
        <v>646148.57466666657</v>
      </c>
      <c r="J39">
        <f t="shared" si="7"/>
        <v>646744.98883333325</v>
      </c>
      <c r="K39">
        <f>(C37+C38+(C39*0.5))*R9</f>
        <v>1778.9970000000001</v>
      </c>
      <c r="L39">
        <f>(D37+D38+(D39*0.5))*R10</f>
        <v>4084.4979999999996</v>
      </c>
      <c r="M39">
        <f>(E37+E38+(E39*0.5))*R11</f>
        <v>59268</v>
      </c>
      <c r="N39">
        <f>(F37*R12)+(F38*R12)+(F39*0.5*R12)</f>
        <v>178697.33333333331</v>
      </c>
      <c r="O39">
        <f>(C37+D37+C38+D38+C39+D39-K38-L38-K39-L39)*R24</f>
        <v>1464.13806</v>
      </c>
      <c r="P39">
        <f>+((-AC31-AC39-AC46-AC53)+(K39+L39+M39+N39))*0.269/(1-0.269)</f>
        <v>-21758.328725490199</v>
      </c>
      <c r="Q39" t="e">
        <f>L155</f>
        <v>#REF!</v>
      </c>
      <c r="R39">
        <f t="shared" ref="R39:R45" si="10">+J39*$R$37</f>
        <v>52127.64609996666</v>
      </c>
      <c r="S39" t="e">
        <f t="shared" ref="S39:S45" si="11">SUM(K39:R39)</f>
        <v>#REF!</v>
      </c>
      <c r="T39" t="e">
        <f t="shared" si="8"/>
        <v>#REF!</v>
      </c>
      <c r="U39">
        <f t="shared" si="9"/>
        <v>23541.517593533332</v>
      </c>
      <c r="X39" t="s">
        <v>12</v>
      </c>
      <c r="AB39">
        <f>((AB37+AB38)/2)*$Z$37</f>
        <v>2168.7599999999998</v>
      </c>
      <c r="AC39">
        <f t="shared" ref="AC39:AK39" si="12">(AC37+(AC38/2))*$Z$37</f>
        <v>5291.7744000000002</v>
      </c>
      <c r="AD39">
        <f t="shared" si="12"/>
        <v>6058.6479360000003</v>
      </c>
      <c r="AE39">
        <f t="shared" si="12"/>
        <v>5695.129059840001</v>
      </c>
      <c r="AF39">
        <f t="shared" si="12"/>
        <v>5353.4213162496007</v>
      </c>
      <c r="AG39">
        <f t="shared" si="12"/>
        <v>5032.2160372746239</v>
      </c>
      <c r="AH39">
        <f t="shared" si="12"/>
        <v>4730.2830750381463</v>
      </c>
      <c r="AI39">
        <f t="shared" si="12"/>
        <v>4446.4660905358578</v>
      </c>
      <c r="AJ39">
        <f t="shared" si="12"/>
        <v>4179.6781251037064</v>
      </c>
      <c r="AK39">
        <f t="shared" si="12"/>
        <v>3928.8974375974844</v>
      </c>
    </row>
    <row r="40" spans="2:37">
      <c r="B40">
        <f>+B39+1</f>
        <v>2017</v>
      </c>
      <c r="C40">
        <f>O132</f>
        <v>0</v>
      </c>
      <c r="D40">
        <f>O133</f>
        <v>0</v>
      </c>
      <c r="E40">
        <f>O134</f>
        <v>0</v>
      </c>
      <c r="F40">
        <f>O135</f>
        <v>0</v>
      </c>
      <c r="G40">
        <f t="shared" si="4"/>
        <v>0</v>
      </c>
      <c r="H40">
        <f>I39</f>
        <v>646148.57466666657</v>
      </c>
      <c r="I40">
        <f t="shared" si="5"/>
        <v>372074.38066666655</v>
      </c>
      <c r="J40">
        <f t="shared" si="7"/>
        <v>509111.47766666656</v>
      </c>
      <c r="K40">
        <f>(C37+C38++C39+(C40*0.5))*R9</f>
        <v>2134.7964000000002</v>
      </c>
      <c r="L40">
        <f>(D37+D38++D39+(D40*0.5))*R10</f>
        <v>4901.3975999999993</v>
      </c>
      <c r="M40">
        <f>(E37+E38+E39+(E40*0.5))*R11</f>
        <v>59268</v>
      </c>
      <c r="N40">
        <f>(F37*R12)+(F38*R12)+(F39*R12)+(F40*0.5*R12)</f>
        <v>207770</v>
      </c>
      <c r="O40">
        <f>(C37+D37+C38+D38+C39+D39+C40+D40-K38-L38-K39-L39-K40-L40)*R24</f>
        <v>1411.3666049999999</v>
      </c>
      <c r="P40">
        <f>+((-AD31-AD39-AD46-AD53)+(K40+L40+M40+N40))*0.269/(1-0.269)</f>
        <v>96649.669730779773</v>
      </c>
      <c r="Q40" t="e">
        <f>M155</f>
        <v>#REF!</v>
      </c>
      <c r="R40">
        <f t="shared" si="10"/>
        <v>41034.38509993333</v>
      </c>
      <c r="S40" t="e">
        <f t="shared" si="11"/>
        <v>#REF!</v>
      </c>
      <c r="T40" t="e">
        <f t="shared" si="8"/>
        <v>#REF!</v>
      </c>
      <c r="U40">
        <f t="shared" si="9"/>
        <v>18531.657787066662</v>
      </c>
      <c r="X40" t="s">
        <v>19</v>
      </c>
      <c r="AA40">
        <f>+AA38-AA39</f>
        <v>36146</v>
      </c>
      <c r="AB40">
        <f t="shared" ref="AB40:AK40" si="13">+AB37+AB38-AB39</f>
        <v>70123.240000000005</v>
      </c>
      <c r="AC40">
        <f t="shared" si="13"/>
        <v>100977.46560000001</v>
      </c>
      <c r="AD40">
        <f t="shared" si="13"/>
        <v>94918.817664000017</v>
      </c>
      <c r="AE40">
        <f t="shared" si="13"/>
        <v>89223.688604160008</v>
      </c>
      <c r="AF40">
        <f t="shared" si="13"/>
        <v>83870.267287910407</v>
      </c>
      <c r="AG40">
        <f t="shared" si="13"/>
        <v>78838.051250635777</v>
      </c>
      <c r="AH40">
        <f t="shared" si="13"/>
        <v>74107.768175597637</v>
      </c>
      <c r="AI40">
        <f t="shared" si="13"/>
        <v>69661.302085061776</v>
      </c>
      <c r="AJ40">
        <f t="shared" si="13"/>
        <v>65481.623959958073</v>
      </c>
      <c r="AK40">
        <f t="shared" si="13"/>
        <v>61552.726522360586</v>
      </c>
    </row>
    <row r="41" spans="2:37">
      <c r="B41">
        <f>+B40+1</f>
        <v>2018</v>
      </c>
      <c r="C41">
        <v>0</v>
      </c>
      <c r="D41">
        <v>0</v>
      </c>
      <c r="E41">
        <v>0</v>
      </c>
      <c r="F41">
        <v>0</v>
      </c>
      <c r="G41">
        <f t="shared" si="4"/>
        <v>0</v>
      </c>
      <c r="H41">
        <f>+I40</f>
        <v>372074.38066666655</v>
      </c>
      <c r="I41">
        <f t="shared" si="5"/>
        <v>210218.68666666653</v>
      </c>
      <c r="J41">
        <f t="shared" si="7"/>
        <v>291146.53366666654</v>
      </c>
      <c r="K41">
        <f>(C37+C38++C39+C40+(C41*0.5))*R9</f>
        <v>2134.7964000000002</v>
      </c>
      <c r="L41">
        <f>(D37+D38++D39++D40+(D41*0.5))*R10</f>
        <v>4901.3975999999993</v>
      </c>
      <c r="M41">
        <f>(E37+E38+E39+E40+(E41*0.5))*R11</f>
        <v>59268</v>
      </c>
      <c r="N41">
        <f>(F38*0.5*R12)+(F39*R12)+(F40*R12)+(F41*0.5*R12)</f>
        <v>95551.5</v>
      </c>
      <c r="O41">
        <f>(C37+D37+C38+D38+C39+D39+C40+D40+C41+D41-K38-L38-K39-L39-K40-L40-K41-L41)*R24</f>
        <v>1358.5951500000001</v>
      </c>
      <c r="P41">
        <f>+((-AE31-AE39-AE46-AE53)+(K41+L41+M41+N41))*0.269/(1-0.269)</f>
        <v>55606.887893253086</v>
      </c>
      <c r="Q41" t="e">
        <f>N155</f>
        <v>#REF!</v>
      </c>
      <c r="R41">
        <f t="shared" si="10"/>
        <v>23466.410613533324</v>
      </c>
      <c r="S41" t="e">
        <f t="shared" si="11"/>
        <v>#REF!</v>
      </c>
      <c r="T41" t="e">
        <f t="shared" si="8"/>
        <v>#REF!</v>
      </c>
      <c r="U41">
        <f t="shared" si="9"/>
        <v>10597.733825466661</v>
      </c>
    </row>
    <row r="42" spans="2:37">
      <c r="B42">
        <f>+B41+1</f>
        <v>2019</v>
      </c>
      <c r="C42">
        <v>0</v>
      </c>
      <c r="D42">
        <v>0</v>
      </c>
      <c r="E42">
        <v>0</v>
      </c>
      <c r="F42">
        <v>0</v>
      </c>
      <c r="G42">
        <f t="shared" si="4"/>
        <v>0</v>
      </c>
      <c r="H42">
        <f>+I41</f>
        <v>210218.68666666653</v>
      </c>
      <c r="I42">
        <f t="shared" si="5"/>
        <v>174109.82599999988</v>
      </c>
      <c r="J42">
        <f t="shared" si="7"/>
        <v>192164.25633333321</v>
      </c>
      <c r="K42">
        <f>(C37+C38++C39+C40++C41+(C42*0.5))*R9</f>
        <v>2134.7964000000002</v>
      </c>
      <c r="L42">
        <f>(D37+D38++D39++D40+D41+(D42*0.5))*R10</f>
        <v>4901.3975999999993</v>
      </c>
      <c r="M42">
        <f>IF((E37+E38+E39+E40+E41+E42)-M38-M39-M40-M41-((E37+E38+E39+E40+E41+(E42*0.5))*R11)&gt;0,(E37+E38+E39+E40+E41+(E42*0.5))*R11,E37+E38+E39+E40+E41+E42-M38-M39-M40-M41)</f>
        <v>0</v>
      </c>
      <c r="N42">
        <f>(F39*0.5*R12)+(F40*R12)+(F41*R12)+(F42*0.5*R12)</f>
        <v>29072.666666666664</v>
      </c>
      <c r="O42">
        <f>(C37+D37+C38+D38+C39+D39+C40+D40+C41+D41+C42+D42-K38-L38-K39-L39-K40-L40-K41-L41-K42-L42)*R24</f>
        <v>1305.8236950000003</v>
      </c>
      <c r="P42">
        <f>+((-AF31-AF39-AF46-AF53)+(K42+L42+M42+N42))*0.269/(1-0.269)</f>
        <v>9570.6835587732585</v>
      </c>
      <c r="Q42" t="e">
        <f>O155</f>
        <v>#REF!</v>
      </c>
      <c r="R42">
        <f t="shared" si="10"/>
        <v>15488.439060466657</v>
      </c>
      <c r="S42" t="e">
        <f t="shared" si="11"/>
        <v>#REF!</v>
      </c>
      <c r="T42" t="e">
        <f t="shared" si="8"/>
        <v>#REF!</v>
      </c>
      <c r="U42">
        <f t="shared" si="9"/>
        <v>6994.7789305333281</v>
      </c>
    </row>
    <row r="43" spans="2:37">
      <c r="B43">
        <v>2020</v>
      </c>
      <c r="C43">
        <v>0</v>
      </c>
      <c r="D43">
        <v>0</v>
      </c>
      <c r="E43">
        <v>0</v>
      </c>
      <c r="F43">
        <v>0</v>
      </c>
      <c r="G43">
        <f t="shared" si="4"/>
        <v>0</v>
      </c>
      <c r="H43">
        <f>+I42</f>
        <v>174109.82599999988</v>
      </c>
      <c r="I43">
        <f t="shared" si="5"/>
        <v>167073.63199999987</v>
      </c>
      <c r="J43">
        <f t="shared" si="7"/>
        <v>170591.72899999988</v>
      </c>
      <c r="K43">
        <f>(C37+C38++C39+C40+C41+C42+(C43*0.5))*R9</f>
        <v>2134.7964000000002</v>
      </c>
      <c r="L43">
        <f>(D37+D38++D39+D40+D41+D42+(D43*0.5))*R10</f>
        <v>4901.3975999999993</v>
      </c>
      <c r="M43">
        <f>IF((E37+E38+E39+E40+E41+E42+E43)-M38-M39-M40-M41-M42-((E37+E38+E39+E40+E41+E42+(E43*0.5))*R11)&gt;0,(E37+E38+E39+E40+E41+E42+(E43*0.5))*R11,E37+E38+E39+E40+E41+E42+E43-M38-M39-M40-M41-M42)</f>
        <v>0</v>
      </c>
      <c r="N43">
        <f>IF((F37+F38+F39+F40+F41+F42+F43)-N38-N39-N40-N41-N42-((F37+F38++F39+F40+F41+F42+(F43*0.5))*R12)&gt;0,(F37+F38++F39+F40+F41+F42+(F43*0.5))*R12,F37+F38+F39+F40+F41+F42+F43-N38-N39-N40-N41-N42)</f>
        <v>2.1827872842550278E-11</v>
      </c>
      <c r="O43">
        <f>(C37+D37+C38+D38+C39+D39+C40+D40+C41+D41+C42+D42+C43+D43-K38-L38-K39-L39-K40-L40-K41-L41-K42-L42-K43-L43)*R24</f>
        <v>1253.0522400000002</v>
      </c>
      <c r="P43">
        <f>+((-AG31-AG39-AG46-AG53)+(K43+L43+M43+N43))*0.269/(1-0.269)</f>
        <v>-904.72068618039657</v>
      </c>
      <c r="Q43" t="e">
        <f>P155</f>
        <v>#REF!</v>
      </c>
      <c r="R43">
        <f t="shared" si="10"/>
        <v>13749.69335739999</v>
      </c>
      <c r="S43" t="e">
        <f t="shared" si="11"/>
        <v>#REF!</v>
      </c>
      <c r="T43" t="e">
        <f t="shared" si="8"/>
        <v>#REF!</v>
      </c>
      <c r="U43">
        <f t="shared" si="9"/>
        <v>6209.538935599996</v>
      </c>
    </row>
    <row r="44" spans="2:37">
      <c r="B44">
        <v>2021</v>
      </c>
      <c r="C44">
        <v>0</v>
      </c>
      <c r="D44">
        <v>0</v>
      </c>
      <c r="E44">
        <v>0</v>
      </c>
      <c r="F44">
        <v>0</v>
      </c>
      <c r="G44">
        <f t="shared" si="4"/>
        <v>0</v>
      </c>
      <c r="H44">
        <f>+I43</f>
        <v>167073.63199999987</v>
      </c>
      <c r="I44">
        <f t="shared" si="5"/>
        <v>160037.43799999988</v>
      </c>
      <c r="J44">
        <f t="shared" si="7"/>
        <v>163555.53499999986</v>
      </c>
      <c r="K44">
        <f>(C37+C38++C39+C40+C41+C42+C43+(C44*0.5))*R9</f>
        <v>2134.7964000000002</v>
      </c>
      <c r="L44">
        <f>(D37+D38++D39+D40+D41+D42+D43+(D44*0.5))*R10</f>
        <v>4901.3975999999993</v>
      </c>
      <c r="M44">
        <f>IF((E37+E38+E39+E40+E41+E42+E43+E44)-M38-M39-M40-M41-M42--M43-((E37+E38+E39+E40+E41+E42+E43+(E44*0.5))*R11)&gt;0,(E37+E38+E39+E40+E41+E42+E43+(E44*0.5))*R11,E37+E38+E39+E40+E41+E42+E43+E44-M38-M39-M40-M41-M42-M43)</f>
        <v>0</v>
      </c>
      <c r="N44">
        <f>IF((F37+F38+F39+F40+F41+F42+F43+F44)-N38-N39-N40-N41-N42-N43-((F37+F38++F39+F40+F41+F42+F43+(F44*0.5))*R12)&gt;0,(F37+F38++F39+F40+F41+F42+F43+(F44*0.5))*R12,F37+F38+F39+F40+F41+F42+F43+F44-N38-N39-N40-N41-N42-N43)</f>
        <v>0</v>
      </c>
      <c r="O44">
        <f>(C37+D37+C38+D38+C39+D39+C40+D40+C41+D41+C42+D42+C43+D43+C44+D44-K38-L38-K39-L39-K40-L40-K41-L41-K42-L42-K43-L43-K44-L44)*R24</f>
        <v>1200.2807850000004</v>
      </c>
      <c r="P44">
        <f>+((-AH31-AH39-AH46-AH53)+(K44+L44+M44+N44))*0.269/(1-0.269)</f>
        <v>-695.08290169904672</v>
      </c>
      <c r="Q44" t="e">
        <f>Q155</f>
        <v>#REF!</v>
      </c>
      <c r="R44">
        <f t="shared" si="10"/>
        <v>13182.576120999989</v>
      </c>
      <c r="S44" t="e">
        <f t="shared" si="11"/>
        <v>#REF!</v>
      </c>
      <c r="T44" t="e">
        <f t="shared" si="8"/>
        <v>#REF!</v>
      </c>
      <c r="U44">
        <f t="shared" si="9"/>
        <v>5953.4214739999952</v>
      </c>
      <c r="X44" t="s">
        <v>88</v>
      </c>
      <c r="Z44">
        <v>1</v>
      </c>
      <c r="AB44">
        <f t="shared" ref="AB44:AJ44" si="14">+AA47</f>
        <v>237072</v>
      </c>
      <c r="AC44">
        <f t="shared" si="14"/>
        <v>118536</v>
      </c>
      <c r="AD44">
        <f t="shared" si="14"/>
        <v>0</v>
      </c>
      <c r="AE44">
        <f t="shared" si="14"/>
        <v>0</v>
      </c>
      <c r="AF44">
        <f t="shared" si="14"/>
        <v>0</v>
      </c>
      <c r="AG44">
        <f t="shared" si="14"/>
        <v>0</v>
      </c>
      <c r="AH44">
        <f t="shared" si="14"/>
        <v>0</v>
      </c>
      <c r="AI44">
        <f t="shared" si="14"/>
        <v>0</v>
      </c>
      <c r="AJ44">
        <f t="shared" si="14"/>
        <v>0</v>
      </c>
    </row>
    <row r="45" spans="2:37">
      <c r="B45">
        <v>2022</v>
      </c>
      <c r="C45">
        <v>0</v>
      </c>
      <c r="D45">
        <v>0</v>
      </c>
      <c r="E45">
        <v>0</v>
      </c>
      <c r="F45">
        <v>0</v>
      </c>
      <c r="G45">
        <f t="shared" si="4"/>
        <v>0</v>
      </c>
      <c r="H45">
        <f>+I44</f>
        <v>160037.43799999988</v>
      </c>
      <c r="I45">
        <f t="shared" si="5"/>
        <v>153001.24399999989</v>
      </c>
      <c r="J45">
        <f t="shared" si="7"/>
        <v>156519.3409999999</v>
      </c>
      <c r="K45">
        <f>(C37+C38++C39+C40+C41+C42+C43+C44+(C45*0.5))*R9</f>
        <v>2134.7964000000002</v>
      </c>
      <c r="L45">
        <f>(D37+D38++D39+D40+D41+D42+D43+D44+(D45*0.5))*R10</f>
        <v>4901.3975999999993</v>
      </c>
      <c r="M45">
        <f>IF((E37+E38+E39+E40+E41+E42+E43+E44+E45)-M38-M39-M40-M41-M42--M43-M44-((E37+E38+E39+E40+E41+E42+E43+E44+(E45*0.5))*R11)&gt;0,(E37+E38+E39+E40+E41+E42+E43+E44+(E45*0.5))*R11,E37+E38+E39+E40+E41+E42+E43+E44+E45-M38-M39-M40-M41-M42-M43-M44)</f>
        <v>0</v>
      </c>
      <c r="N45">
        <f>IF((F37+F38+F39+F40+F41+F42+F43+F44+F45)-N38-N39-N40-N41-N42-N43-N44-((F37+F38++F39+F40+F41+F42+F43+F44+(F45*0.5))*R12)&gt;0,(F37+F38++F39+F40+F41+F42+F43+F44+(F45*0.5))*R12,F37+F38+F39+F40+F41+F42+F43+F44+F45-N38-N39-N40-N41-N42-N43-N44)</f>
        <v>0</v>
      </c>
      <c r="O45">
        <f>(C37+D37+C38+D38+C39+D39+C40+D40+C41+D41+C42+D42+C43+D43+C44+D44+C45+D45-K38-L38-K39-L39-K40-L40-K41-L41-K42-L42-K43-L43-K44-L44-K45-L45)*R24</f>
        <v>1147.5093300000005</v>
      </c>
      <c r="P45">
        <f>+((-AI31-AI39-AI46-AI53)+(K45+L45+M45+N45))*0.269/(1-0.269)</f>
        <v>-498.02338428657032</v>
      </c>
      <c r="Q45" t="e">
        <f>R155</f>
        <v>#REF!</v>
      </c>
      <c r="R45">
        <f t="shared" si="10"/>
        <v>12615.458884599993</v>
      </c>
      <c r="S45" t="e">
        <f t="shared" si="11"/>
        <v>#REF!</v>
      </c>
      <c r="T45" t="e">
        <f t="shared" si="8"/>
        <v>#REF!</v>
      </c>
      <c r="U45">
        <f t="shared" si="9"/>
        <v>5697.3040123999963</v>
      </c>
      <c r="X45" t="s">
        <v>11</v>
      </c>
      <c r="AA45">
        <f>E37</f>
        <v>237072</v>
      </c>
      <c r="AB45">
        <f>E38</f>
        <v>0</v>
      </c>
      <c r="AC45">
        <f>E39</f>
        <v>0</v>
      </c>
      <c r="AD45">
        <f>E40</f>
        <v>0</v>
      </c>
      <c r="AE45">
        <f>E41</f>
        <v>0</v>
      </c>
      <c r="AF45">
        <f>F41</f>
        <v>0</v>
      </c>
      <c r="AG45">
        <f>G41</f>
        <v>0</v>
      </c>
      <c r="AH45">
        <v>0</v>
      </c>
      <c r="AI45">
        <v>0</v>
      </c>
      <c r="AJ45">
        <v>0</v>
      </c>
    </row>
    <row r="46" spans="2:37">
      <c r="X46" t="s">
        <v>12</v>
      </c>
      <c r="AB46">
        <f>((AB44+AB45)/2)*$Z$44</f>
        <v>118536</v>
      </c>
      <c r="AC46">
        <f t="shared" ref="AC46:AJ46" si="15">(AC44+(AC45/2))*$Z$44</f>
        <v>118536</v>
      </c>
      <c r="AD46">
        <f t="shared" si="15"/>
        <v>0</v>
      </c>
      <c r="AE46">
        <f t="shared" si="15"/>
        <v>0</v>
      </c>
      <c r="AF46">
        <f t="shared" si="15"/>
        <v>0</v>
      </c>
      <c r="AG46">
        <f t="shared" si="15"/>
        <v>0</v>
      </c>
      <c r="AH46">
        <f t="shared" si="15"/>
        <v>0</v>
      </c>
      <c r="AI46">
        <f t="shared" si="15"/>
        <v>0</v>
      </c>
      <c r="AJ46">
        <f t="shared" si="15"/>
        <v>0</v>
      </c>
    </row>
    <row r="47" spans="2:37">
      <c r="X47" t="s">
        <v>19</v>
      </c>
      <c r="AA47">
        <f>+AA45-AA46</f>
        <v>237072</v>
      </c>
      <c r="AB47">
        <f t="shared" ref="AB47:AJ47" si="16">+AB44+AB45-AB46</f>
        <v>118536</v>
      </c>
      <c r="AC47">
        <f t="shared" si="16"/>
        <v>0</v>
      </c>
      <c r="AD47">
        <f t="shared" si="16"/>
        <v>0</v>
      </c>
      <c r="AE47">
        <f t="shared" si="16"/>
        <v>0</v>
      </c>
      <c r="AF47">
        <f t="shared" si="16"/>
        <v>0</v>
      </c>
      <c r="AG47">
        <f t="shared" si="16"/>
        <v>0</v>
      </c>
      <c r="AH47">
        <f t="shared" si="16"/>
        <v>0</v>
      </c>
      <c r="AI47">
        <f t="shared" si="16"/>
        <v>0</v>
      </c>
      <c r="AJ47">
        <f t="shared" si="16"/>
        <v>0</v>
      </c>
    </row>
    <row r="50" spans="4:36">
      <c r="D50" t="s">
        <v>43</v>
      </c>
      <c r="E50" t="s">
        <v>5</v>
      </c>
      <c r="F50" t="s">
        <v>125</v>
      </c>
      <c r="L50" t="s">
        <v>44</v>
      </c>
    </row>
    <row r="51" spans="4:36">
      <c r="I51" t="s">
        <v>45</v>
      </c>
      <c r="K51" t="s">
        <v>44</v>
      </c>
      <c r="L51" t="s">
        <v>46</v>
      </c>
      <c r="X51" t="s">
        <v>195</v>
      </c>
      <c r="Z51">
        <v>1</v>
      </c>
      <c r="AB51">
        <f t="shared" ref="AB51:AJ51" si="17">+AA54</f>
        <v>224437</v>
      </c>
      <c r="AC51">
        <f t="shared" si="17"/>
        <v>0</v>
      </c>
      <c r="AD51">
        <f t="shared" si="17"/>
        <v>0</v>
      </c>
      <c r="AE51">
        <f t="shared" si="17"/>
        <v>0</v>
      </c>
      <c r="AF51">
        <f t="shared" si="17"/>
        <v>0</v>
      </c>
      <c r="AG51">
        <f t="shared" si="17"/>
        <v>0</v>
      </c>
      <c r="AH51">
        <f t="shared" si="17"/>
        <v>0</v>
      </c>
      <c r="AI51">
        <f t="shared" si="17"/>
        <v>0</v>
      </c>
      <c r="AJ51">
        <f t="shared" si="17"/>
        <v>0</v>
      </c>
    </row>
    <row r="52" spans="4:36">
      <c r="H52" t="s">
        <v>47</v>
      </c>
      <c r="I52" t="s">
        <v>225</v>
      </c>
      <c r="J52" t="s">
        <v>48</v>
      </c>
      <c r="K52" t="s">
        <v>49</v>
      </c>
      <c r="L52" t="s">
        <v>49</v>
      </c>
      <c r="X52" t="s">
        <v>11</v>
      </c>
      <c r="AA52">
        <f>F37</f>
        <v>224437</v>
      </c>
      <c r="AB52">
        <f>F38</f>
        <v>224437</v>
      </c>
      <c r="AC52">
        <f>F39</f>
        <v>174436</v>
      </c>
      <c r="AD52">
        <f>F40</f>
        <v>0</v>
      </c>
      <c r="AE52">
        <f>F41</f>
        <v>0</v>
      </c>
      <c r="AF52">
        <f>G41</f>
        <v>0</v>
      </c>
      <c r="AG52">
        <v>0</v>
      </c>
      <c r="AH52">
        <v>0</v>
      </c>
      <c r="AI52">
        <v>0</v>
      </c>
      <c r="AJ52">
        <v>0</v>
      </c>
    </row>
    <row r="53" spans="4:36">
      <c r="H53" t="s">
        <v>5</v>
      </c>
      <c r="I53" t="s">
        <v>29</v>
      </c>
      <c r="J53" t="s">
        <v>30</v>
      </c>
      <c r="K53" t="s">
        <v>31</v>
      </c>
      <c r="L53" t="s">
        <v>50</v>
      </c>
      <c r="X53" t="s">
        <v>102</v>
      </c>
      <c r="AB53">
        <f>+AB51+AB52</f>
        <v>448874</v>
      </c>
      <c r="AC53">
        <f>+AC52</f>
        <v>174436</v>
      </c>
      <c r="AD53">
        <f t="shared" ref="AD53:AJ53" si="18">+AD52</f>
        <v>0</v>
      </c>
      <c r="AE53">
        <f t="shared" si="18"/>
        <v>0</v>
      </c>
      <c r="AF53">
        <f t="shared" si="18"/>
        <v>0</v>
      </c>
      <c r="AG53">
        <f t="shared" si="18"/>
        <v>0</v>
      </c>
      <c r="AH53">
        <f t="shared" si="18"/>
        <v>0</v>
      </c>
      <c r="AI53">
        <f t="shared" si="18"/>
        <v>0</v>
      </c>
      <c r="AJ53">
        <f t="shared" si="18"/>
        <v>0</v>
      </c>
    </row>
    <row r="54" spans="4:36">
      <c r="F54" t="s">
        <v>51</v>
      </c>
      <c r="H54">
        <v>0.55000000000000004</v>
      </c>
      <c r="I54">
        <v>5.3199999999999997E-2</v>
      </c>
      <c r="K54">
        <f>+I54</f>
        <v>5.3199999999999997E-2</v>
      </c>
      <c r="L54">
        <f>+K54*H54</f>
        <v>2.9260000000000001E-2</v>
      </c>
      <c r="X54" t="s">
        <v>19</v>
      </c>
      <c r="AA54">
        <f>+AA52-AA53</f>
        <v>224437</v>
      </c>
      <c r="AB54">
        <f t="shared" ref="AB54:AJ54" si="19">+AB51+AB52-AB53</f>
        <v>0</v>
      </c>
      <c r="AC54">
        <f t="shared" si="19"/>
        <v>0</v>
      </c>
      <c r="AD54">
        <f t="shared" si="19"/>
        <v>0</v>
      </c>
      <c r="AE54">
        <f t="shared" si="19"/>
        <v>0</v>
      </c>
      <c r="AF54">
        <f t="shared" si="19"/>
        <v>0</v>
      </c>
      <c r="AG54">
        <f t="shared" si="19"/>
        <v>0</v>
      </c>
      <c r="AH54">
        <f t="shared" si="19"/>
        <v>0</v>
      </c>
      <c r="AI54">
        <f t="shared" si="19"/>
        <v>0</v>
      </c>
      <c r="AJ54">
        <f t="shared" si="19"/>
        <v>0</v>
      </c>
    </row>
    <row r="55" spans="4:36">
      <c r="F55" t="s">
        <v>52</v>
      </c>
      <c r="H55">
        <v>0.05</v>
      </c>
      <c r="I55">
        <v>3.1600000000000003E-2</v>
      </c>
      <c r="K55">
        <f>+I55</f>
        <v>3.1600000000000003E-2</v>
      </c>
      <c r="L55">
        <f>+K55*H55</f>
        <v>1.5800000000000002E-3</v>
      </c>
    </row>
    <row r="56" spans="4:36">
      <c r="F56" t="s">
        <v>53</v>
      </c>
      <c r="H56">
        <v>0.4</v>
      </c>
      <c r="I56">
        <v>9.0999999999999998E-2</v>
      </c>
      <c r="J56">
        <v>0.26900000000000002</v>
      </c>
      <c r="K56">
        <f>+I56/(1-J56)</f>
        <v>0.12448700410396717</v>
      </c>
      <c r="L56">
        <f>+K56*H56</f>
        <v>4.9794801641586867E-2</v>
      </c>
      <c r="X56" t="s">
        <v>196</v>
      </c>
    </row>
    <row r="57" spans="4:36" ht="13.5" thickBot="1">
      <c r="L57">
        <f>ROUND(SUM(L54:L56),4)</f>
        <v>8.0600000000000005E-2</v>
      </c>
    </row>
    <row r="58" spans="4:36" ht="13.5" thickTop="1">
      <c r="X58" t="s">
        <v>202</v>
      </c>
      <c r="AB58">
        <f t="shared" ref="AB58:AJ58" si="20">+AB31+AB39+AB46+AB53</f>
        <v>571502</v>
      </c>
      <c r="AC58">
        <f t="shared" si="20"/>
        <v>302956.48</v>
      </c>
      <c r="AD58">
        <f t="shared" si="20"/>
        <v>11431.4112</v>
      </c>
      <c r="AE58">
        <f t="shared" si="20"/>
        <v>10745.526528000002</v>
      </c>
      <c r="AF58">
        <f t="shared" si="20"/>
        <v>10100.794936320002</v>
      </c>
      <c r="AG58">
        <f t="shared" si="20"/>
        <v>9494.7472401408013</v>
      </c>
      <c r="AH58">
        <f t="shared" si="20"/>
        <v>8925.062405732353</v>
      </c>
      <c r="AI58">
        <f t="shared" si="20"/>
        <v>8389.5586613884116</v>
      </c>
      <c r="AJ58">
        <f t="shared" si="20"/>
        <v>7886.1851417051075</v>
      </c>
    </row>
    <row r="60" spans="4:36">
      <c r="E60" t="s">
        <v>29</v>
      </c>
      <c r="F60" t="s">
        <v>211</v>
      </c>
    </row>
    <row r="61" spans="4:36">
      <c r="J61">
        <f>K159</f>
        <v>2015</v>
      </c>
      <c r="K61">
        <f t="shared" ref="K61:Q61" si="21">L159</f>
        <v>2016</v>
      </c>
      <c r="L61">
        <f t="shared" si="21"/>
        <v>2017</v>
      </c>
      <c r="M61">
        <f t="shared" si="21"/>
        <v>2018</v>
      </c>
      <c r="N61">
        <f t="shared" si="21"/>
        <v>2019</v>
      </c>
      <c r="O61">
        <f t="shared" si="21"/>
        <v>2020</v>
      </c>
      <c r="P61">
        <f t="shared" si="21"/>
        <v>2021</v>
      </c>
      <c r="Q61">
        <f t="shared" si="21"/>
        <v>2022</v>
      </c>
    </row>
    <row r="63" spans="4:36">
      <c r="F63" t="str">
        <f>G161</f>
        <v>Amortissement (actif et CFR)</v>
      </c>
      <c r="J63">
        <f>K161</f>
        <v>175004.59700000001</v>
      </c>
      <c r="K63">
        <f t="shared" ref="K63:Q64" si="22">L161</f>
        <v>243828.82833333331</v>
      </c>
      <c r="L63">
        <f t="shared" si="22"/>
        <v>274074.19400000002</v>
      </c>
      <c r="M63">
        <f t="shared" si="22"/>
        <v>161855.69400000002</v>
      </c>
      <c r="N63">
        <f t="shared" si="22"/>
        <v>36108.86066666666</v>
      </c>
      <c r="O63">
        <f t="shared" si="22"/>
        <v>7036.1940000000213</v>
      </c>
      <c r="P63">
        <f t="shared" si="22"/>
        <v>7036.1939999999995</v>
      </c>
      <c r="Q63">
        <f t="shared" si="22"/>
        <v>7036.1939999999995</v>
      </c>
    </row>
    <row r="64" spans="4:36">
      <c r="F64" t="str">
        <f>G162</f>
        <v>Moins: ACC et déduction fiscale</v>
      </c>
      <c r="J64">
        <f>K162</f>
        <v>571502</v>
      </c>
      <c r="K64">
        <f t="shared" si="22"/>
        <v>302956.48</v>
      </c>
      <c r="L64">
        <f t="shared" si="22"/>
        <v>11431.4112</v>
      </c>
      <c r="M64">
        <f t="shared" si="22"/>
        <v>10745.526528000002</v>
      </c>
      <c r="N64">
        <f t="shared" si="22"/>
        <v>10100.794936320002</v>
      </c>
      <c r="O64">
        <f t="shared" si="22"/>
        <v>9494.7472401408013</v>
      </c>
      <c r="P64">
        <f t="shared" si="22"/>
        <v>8925.062405732353</v>
      </c>
      <c r="Q64">
        <f t="shared" si="22"/>
        <v>8389.5586613884116</v>
      </c>
    </row>
    <row r="65" spans="5:17">
      <c r="F65" t="str">
        <f>G163</f>
        <v>Écart temporaire</v>
      </c>
      <c r="J65">
        <f>+J63-J64</f>
        <v>-396497.40299999999</v>
      </c>
      <c r="K65">
        <f>+K63-K64</f>
        <v>-59127.651666666672</v>
      </c>
      <c r="L65">
        <f t="shared" ref="L65:Q65" si="23">+L63-L64</f>
        <v>262642.78280000004</v>
      </c>
      <c r="M65">
        <f t="shared" si="23"/>
        <v>151110.167472</v>
      </c>
      <c r="N65">
        <f t="shared" si="23"/>
        <v>26008.065730346658</v>
      </c>
      <c r="O65">
        <f t="shared" si="23"/>
        <v>-2458.55324014078</v>
      </c>
      <c r="P65">
        <f t="shared" si="23"/>
        <v>-1888.8684057323535</v>
      </c>
      <c r="Q65">
        <f t="shared" si="23"/>
        <v>-1353.3646613884121</v>
      </c>
    </row>
    <row r="66" spans="5:17">
      <c r="F66" t="str">
        <f>G164</f>
        <v>Multiplié par taux d'imposition</v>
      </c>
      <c r="I66">
        <v>0.26900000000000002</v>
      </c>
      <c r="J66">
        <f>+J65*$J$164</f>
        <v>-106657.80140700001</v>
      </c>
      <c r="K66">
        <f>+K65*$J$164</f>
        <v>-15905.338298333336</v>
      </c>
      <c r="L66">
        <f t="shared" ref="L66:Q66" si="24">+L65*$J$164</f>
        <v>70650.908573200009</v>
      </c>
      <c r="M66">
        <f t="shared" si="24"/>
        <v>40648.635049968005</v>
      </c>
      <c r="N66">
        <f t="shared" si="24"/>
        <v>6996.1696814632514</v>
      </c>
      <c r="O66">
        <f t="shared" si="24"/>
        <v>-661.35082159786987</v>
      </c>
      <c r="P66">
        <f t="shared" si="24"/>
        <v>-508.10560114200314</v>
      </c>
      <c r="Q66">
        <f t="shared" si="24"/>
        <v>-364.05509391348289</v>
      </c>
    </row>
    <row r="67" spans="5:17" ht="13.5" thickBot="1">
      <c r="F67" t="str">
        <f>G165</f>
        <v>Majoré pour déterminer l'impact sur le coût de service</v>
      </c>
      <c r="J67">
        <f>+J66/(1-$J$164)</f>
        <v>-145906.70507113545</v>
      </c>
      <c r="K67">
        <f>+K66/(1-$J$164)</f>
        <v>-21758.328725490199</v>
      </c>
      <c r="L67">
        <f t="shared" ref="L67:Q67" si="25">+L66/(1-$J$164)</f>
        <v>96649.669730779773</v>
      </c>
      <c r="M67">
        <f t="shared" si="25"/>
        <v>55606.887893253086</v>
      </c>
      <c r="N67">
        <f t="shared" si="25"/>
        <v>9570.6835587732585</v>
      </c>
      <c r="O67">
        <f t="shared" si="25"/>
        <v>-904.72068618039657</v>
      </c>
      <c r="P67">
        <f t="shared" si="25"/>
        <v>-695.08290169904672</v>
      </c>
      <c r="Q67">
        <f t="shared" si="25"/>
        <v>-498.02338428657032</v>
      </c>
    </row>
    <row r="68" spans="5:17" ht="13.5" thickTop="1"/>
    <row r="70" spans="5:17">
      <c r="E70" t="s">
        <v>30</v>
      </c>
      <c r="F70" t="s">
        <v>212</v>
      </c>
    </row>
    <row r="71" spans="5:17">
      <c r="H71" t="str">
        <f>I144</f>
        <v>année</v>
      </c>
      <c r="J71">
        <f>K144</f>
        <v>2015</v>
      </c>
      <c r="K71">
        <f t="shared" ref="K71:Q71" si="26">L144</f>
        <v>2016</v>
      </c>
      <c r="L71">
        <f t="shared" si="26"/>
        <v>2017</v>
      </c>
      <c r="M71">
        <f t="shared" si="26"/>
        <v>2018</v>
      </c>
      <c r="N71">
        <f t="shared" si="26"/>
        <v>2019</v>
      </c>
      <c r="O71">
        <f t="shared" si="26"/>
        <v>2020</v>
      </c>
      <c r="P71">
        <f t="shared" si="26"/>
        <v>2021</v>
      </c>
      <c r="Q71">
        <f t="shared" si="26"/>
        <v>2022</v>
      </c>
    </row>
    <row r="72" spans="5:17">
      <c r="F72" t="str">
        <f>G145</f>
        <v>nature de la charge</v>
      </c>
    </row>
    <row r="74" spans="5:17">
      <c r="F74" t="str">
        <f>G147</f>
        <v>Ress humaines - documents</v>
      </c>
      <c r="J74" t="e">
        <f>K147</f>
        <v>#REF!</v>
      </c>
      <c r="K74" t="e">
        <f t="shared" ref="K74:Q76" si="27">L147</f>
        <v>#REF!</v>
      </c>
      <c r="L74" t="e">
        <f t="shared" si="27"/>
        <v>#REF!</v>
      </c>
      <c r="M74" t="e">
        <f t="shared" si="27"/>
        <v>#REF!</v>
      </c>
      <c r="N74" t="e">
        <f t="shared" si="27"/>
        <v>#REF!</v>
      </c>
      <c r="O74" t="e">
        <f t="shared" si="27"/>
        <v>#REF!</v>
      </c>
      <c r="P74" t="e">
        <f t="shared" si="27"/>
        <v>#REF!</v>
      </c>
      <c r="Q74" t="e">
        <f t="shared" si="27"/>
        <v>#REF!</v>
      </c>
    </row>
    <row r="75" spans="5:17">
      <c r="F75" t="str">
        <f>G148</f>
        <v>Ress humaines - formations</v>
      </c>
      <c r="J75" t="e">
        <f>K148</f>
        <v>#REF!</v>
      </c>
      <c r="K75" t="e">
        <f t="shared" si="27"/>
        <v>#REF!</v>
      </c>
      <c r="L75" t="e">
        <f t="shared" si="27"/>
        <v>#REF!</v>
      </c>
      <c r="M75" t="e">
        <f t="shared" si="27"/>
        <v>#REF!</v>
      </c>
      <c r="N75" t="e">
        <f t="shared" si="27"/>
        <v>#REF!</v>
      </c>
      <c r="O75" t="e">
        <f t="shared" si="27"/>
        <v>#REF!</v>
      </c>
      <c r="P75" t="e">
        <f t="shared" si="27"/>
        <v>#REF!</v>
      </c>
      <c r="Q75" t="e">
        <f t="shared" si="27"/>
        <v>#REF!</v>
      </c>
    </row>
    <row r="76" spans="5:17">
      <c r="F76" t="str">
        <f>G149</f>
        <v>Technologies de l'information</v>
      </c>
      <c r="J76" t="e">
        <f>K149</f>
        <v>#REF!</v>
      </c>
      <c r="K76" t="e">
        <f t="shared" si="27"/>
        <v>#REF!</v>
      </c>
      <c r="L76" t="e">
        <f t="shared" si="27"/>
        <v>#REF!</v>
      </c>
      <c r="M76" t="e">
        <f t="shared" si="27"/>
        <v>#REF!</v>
      </c>
      <c r="N76" t="e">
        <f t="shared" si="27"/>
        <v>#REF!</v>
      </c>
      <c r="O76" t="e">
        <f t="shared" si="27"/>
        <v>#REF!</v>
      </c>
      <c r="P76" t="e">
        <f t="shared" si="27"/>
        <v>#REF!</v>
      </c>
      <c r="Q76" t="e">
        <f t="shared" si="27"/>
        <v>#REF!</v>
      </c>
    </row>
    <row r="77" spans="5:17">
      <c r="F77" t="s">
        <v>191</v>
      </c>
      <c r="J77" t="e">
        <f>SUM(J74:J76)</f>
        <v>#REF!</v>
      </c>
      <c r="K77" t="e">
        <f t="shared" ref="K77:Q77" si="28">SUM(K74:K76)</f>
        <v>#REF!</v>
      </c>
      <c r="L77" t="e">
        <f t="shared" si="28"/>
        <v>#REF!</v>
      </c>
      <c r="M77" t="e">
        <f t="shared" si="28"/>
        <v>#REF!</v>
      </c>
      <c r="N77" t="e">
        <f t="shared" si="28"/>
        <v>#REF!</v>
      </c>
      <c r="O77" t="e">
        <f t="shared" si="28"/>
        <v>#REF!</v>
      </c>
      <c r="P77" t="e">
        <f t="shared" si="28"/>
        <v>#REF!</v>
      </c>
      <c r="Q77" t="e">
        <f t="shared" si="28"/>
        <v>#REF!</v>
      </c>
    </row>
    <row r="78" spans="5:17">
      <c r="F78" t="s">
        <v>229</v>
      </c>
      <c r="J78" t="e">
        <f>-J77*0.102</f>
        <v>#REF!</v>
      </c>
      <c r="K78" t="e">
        <f t="shared" ref="K78:Q78" si="29">-K77*0.102</f>
        <v>#REF!</v>
      </c>
      <c r="L78" t="e">
        <f t="shared" si="29"/>
        <v>#REF!</v>
      </c>
      <c r="M78" t="e">
        <f t="shared" si="29"/>
        <v>#REF!</v>
      </c>
      <c r="N78" t="e">
        <f t="shared" si="29"/>
        <v>#REF!</v>
      </c>
      <c r="O78" t="e">
        <f t="shared" si="29"/>
        <v>#REF!</v>
      </c>
      <c r="P78" t="e">
        <f t="shared" si="29"/>
        <v>#REF!</v>
      </c>
      <c r="Q78" t="e">
        <f t="shared" si="29"/>
        <v>#REF!</v>
      </c>
    </row>
    <row r="79" spans="5:17" ht="13.5" thickBot="1">
      <c r="F79" t="s">
        <v>230</v>
      </c>
      <c r="J79" t="e">
        <f>J77*(1-0.102)</f>
        <v>#REF!</v>
      </c>
      <c r="K79" t="e">
        <f t="shared" ref="K79:Q79" si="30">K77*(1-0.102)</f>
        <v>#REF!</v>
      </c>
      <c r="L79" t="e">
        <f t="shared" si="30"/>
        <v>#REF!</v>
      </c>
      <c r="M79" t="e">
        <f t="shared" si="30"/>
        <v>#REF!</v>
      </c>
      <c r="N79" t="e">
        <f t="shared" si="30"/>
        <v>#REF!</v>
      </c>
      <c r="O79" t="e">
        <f t="shared" si="30"/>
        <v>#REF!</v>
      </c>
      <c r="P79" t="e">
        <f t="shared" si="30"/>
        <v>#REF!</v>
      </c>
      <c r="Q79" t="e">
        <f t="shared" si="30"/>
        <v>#REF!</v>
      </c>
    </row>
    <row r="80" spans="5:17">
      <c r="F80" t="str">
        <f>G152</f>
        <v>Formations techniques - formateur</v>
      </c>
      <c r="J80" t="e">
        <f>K152</f>
        <v>#REF!</v>
      </c>
      <c r="K80" t="e">
        <f t="shared" ref="K80:Q82" si="31">L152</f>
        <v>#REF!</v>
      </c>
      <c r="L80" t="e">
        <f t="shared" si="31"/>
        <v>#REF!</v>
      </c>
      <c r="M80" t="e">
        <f t="shared" si="31"/>
        <v>#REF!</v>
      </c>
      <c r="N80" t="e">
        <f t="shared" si="31"/>
        <v>#REF!</v>
      </c>
      <c r="O80" t="e">
        <f t="shared" si="31"/>
        <v>#REF!</v>
      </c>
      <c r="P80" t="e">
        <f t="shared" si="31"/>
        <v>#REF!</v>
      </c>
      <c r="Q80" t="e">
        <f t="shared" si="31"/>
        <v>#REF!</v>
      </c>
    </row>
    <row r="81" spans="5:17">
      <c r="F81" t="str">
        <f>G153</f>
        <v>Formations techniques - traductions du matériel</v>
      </c>
      <c r="J81" t="e">
        <f>K153</f>
        <v>#REF!</v>
      </c>
      <c r="K81" t="e">
        <f t="shared" si="31"/>
        <v>#REF!</v>
      </c>
      <c r="L81" t="e">
        <f t="shared" si="31"/>
        <v>#REF!</v>
      </c>
      <c r="M81" t="e">
        <f t="shared" si="31"/>
        <v>#REF!</v>
      </c>
      <c r="N81" t="e">
        <f t="shared" si="31"/>
        <v>#REF!</v>
      </c>
      <c r="O81" t="e">
        <f t="shared" si="31"/>
        <v>#REF!</v>
      </c>
      <c r="P81" t="e">
        <f t="shared" si="31"/>
        <v>#REF!</v>
      </c>
      <c r="Q81" t="e">
        <f t="shared" si="31"/>
        <v>#REF!</v>
      </c>
    </row>
    <row r="82" spans="5:17">
      <c r="F82" t="str">
        <f>G154</f>
        <v>Manuels techniques</v>
      </c>
      <c r="J82" t="e">
        <f>K154</f>
        <v>#REF!</v>
      </c>
      <c r="K82" t="e">
        <f t="shared" si="31"/>
        <v>#REF!</v>
      </c>
      <c r="L82" t="e">
        <f t="shared" si="31"/>
        <v>#REF!</v>
      </c>
      <c r="M82" t="e">
        <f t="shared" si="31"/>
        <v>#REF!</v>
      </c>
      <c r="N82" t="e">
        <f t="shared" si="31"/>
        <v>#REF!</v>
      </c>
      <c r="O82" t="e">
        <f t="shared" si="31"/>
        <v>#REF!</v>
      </c>
      <c r="P82" t="e">
        <f t="shared" si="31"/>
        <v>#REF!</v>
      </c>
      <c r="Q82" t="e">
        <f t="shared" si="31"/>
        <v>#REF!</v>
      </c>
    </row>
    <row r="83" spans="5:17" ht="13.5" thickBot="1">
      <c r="F83" t="s">
        <v>231</v>
      </c>
      <c r="J83" t="e">
        <f>SUM(J79:J82)</f>
        <v>#REF!</v>
      </c>
      <c r="K83" t="e">
        <f t="shared" ref="K83:Q83" si="32">SUM(K79:K82)</f>
        <v>#REF!</v>
      </c>
      <c r="L83" t="e">
        <f t="shared" si="32"/>
        <v>#REF!</v>
      </c>
      <c r="M83" t="e">
        <f t="shared" si="32"/>
        <v>#REF!</v>
      </c>
      <c r="N83" t="e">
        <f t="shared" si="32"/>
        <v>#REF!</v>
      </c>
      <c r="O83" t="e">
        <f t="shared" si="32"/>
        <v>#REF!</v>
      </c>
      <c r="P83" t="e">
        <f t="shared" si="32"/>
        <v>#REF!</v>
      </c>
      <c r="Q83" t="e">
        <f t="shared" si="32"/>
        <v>#REF!</v>
      </c>
    </row>
    <row r="87" spans="5:17">
      <c r="E87" t="s">
        <v>29</v>
      </c>
      <c r="F87" t="s">
        <v>95</v>
      </c>
    </row>
    <row r="88" spans="5:17">
      <c r="G88" t="s">
        <v>68</v>
      </c>
    </row>
    <row r="89" spans="5:17">
      <c r="G89" t="s">
        <v>96</v>
      </c>
    </row>
    <row r="90" spans="5:17">
      <c r="G90" t="s">
        <v>97</v>
      </c>
    </row>
    <row r="91" spans="5:17">
      <c r="G91" t="s">
        <v>98</v>
      </c>
    </row>
    <row r="92" spans="5:17">
      <c r="F92" t="s">
        <v>61</v>
      </c>
    </row>
    <row r="93" spans="5:17">
      <c r="G93" t="s">
        <v>79</v>
      </c>
    </row>
    <row r="94" spans="5:17">
      <c r="G94" t="s">
        <v>62</v>
      </c>
    </row>
    <row r="95" spans="5:17">
      <c r="I95" t="s">
        <v>59</v>
      </c>
      <c r="J95" t="s">
        <v>60</v>
      </c>
      <c r="M95" t="s">
        <v>60</v>
      </c>
    </row>
    <row r="96" spans="5:17">
      <c r="G96" t="s">
        <v>56</v>
      </c>
      <c r="I96">
        <v>2369.1999999999998</v>
      </c>
      <c r="J96">
        <f>ROUND(M96,0)</f>
        <v>47</v>
      </c>
      <c r="M96">
        <f>I96/$I$98*100</f>
        <v>46.607518737827789</v>
      </c>
    </row>
    <row r="97" spans="7:17">
      <c r="G97" t="s">
        <v>58</v>
      </c>
      <c r="I97">
        <v>2714.1</v>
      </c>
      <c r="J97">
        <f>ROUND(M97,0)</f>
        <v>53</v>
      </c>
      <c r="M97">
        <f>I97/$I$98*100</f>
        <v>53.392481262172218</v>
      </c>
    </row>
    <row r="98" spans="7:17">
      <c r="G98" t="s">
        <v>63</v>
      </c>
      <c r="I98">
        <f>SUM(I96:I97)</f>
        <v>5083.2999999999993</v>
      </c>
      <c r="J98">
        <f>(J96+J97)/100</f>
        <v>1</v>
      </c>
      <c r="M98">
        <f>I98/$I$98</f>
        <v>1</v>
      </c>
    </row>
    <row r="100" spans="7:17">
      <c r="G100" t="s">
        <v>89</v>
      </c>
    </row>
    <row r="101" spans="7:17">
      <c r="G101" t="s">
        <v>91</v>
      </c>
    </row>
    <row r="102" spans="7:17">
      <c r="G102" t="s">
        <v>90</v>
      </c>
    </row>
    <row r="103" spans="7:17" ht="12.75" customHeight="1">
      <c r="G103" t="s">
        <v>108</v>
      </c>
    </row>
    <row r="104" spans="7:17" ht="12.75" customHeight="1"/>
    <row r="105" spans="7:17">
      <c r="G105" t="s">
        <v>69</v>
      </c>
      <c r="I105" t="s">
        <v>70</v>
      </c>
      <c r="J105" t="s">
        <v>60</v>
      </c>
      <c r="N105" t="s">
        <v>72</v>
      </c>
      <c r="O105" t="s">
        <v>73</v>
      </c>
      <c r="Q105" t="s">
        <v>74</v>
      </c>
    </row>
    <row r="108" spans="7:17">
      <c r="G108" t="s">
        <v>71</v>
      </c>
      <c r="I108">
        <f>'GI-34 doc 3 page 1 de 2'!I105*1.1</f>
        <v>264000</v>
      </c>
      <c r="J108">
        <f>ROUND(M108,0)</f>
        <v>23</v>
      </c>
      <c r="M108">
        <f>I108/I111*100</f>
        <v>23.119160003853192</v>
      </c>
      <c r="O108">
        <f>I108*0.102</f>
        <v>26928</v>
      </c>
      <c r="Q108">
        <f>I108-N108-O108</f>
        <v>237072</v>
      </c>
    </row>
    <row r="109" spans="7:17">
      <c r="G109" t="s">
        <v>99</v>
      </c>
      <c r="I109">
        <f>'GI-34 doc 3 page 1 de 2'!I106*1.1</f>
        <v>204600.00000000003</v>
      </c>
      <c r="J109">
        <f>ROUND(M109,0)</f>
        <v>18</v>
      </c>
      <c r="M109">
        <f>I109/I111*100</f>
        <v>17.917349002986228</v>
      </c>
      <c r="Q109">
        <f>I109-N109-O109</f>
        <v>204600.00000000003</v>
      </c>
    </row>
    <row r="110" spans="7:17">
      <c r="G110" t="s">
        <v>100</v>
      </c>
      <c r="I110">
        <f>'GI-34 doc 3 page 1 de 2'!I107*1.1</f>
        <v>673310</v>
      </c>
      <c r="J110">
        <f>ROUND(M110,0)</f>
        <v>59</v>
      </c>
      <c r="M110">
        <f>I110/I111*100</f>
        <v>58.963490993160583</v>
      </c>
      <c r="N110">
        <v>50000</v>
      </c>
      <c r="Q110">
        <f>I110-N110-O110</f>
        <v>623310</v>
      </c>
    </row>
    <row r="111" spans="7:17">
      <c r="I111">
        <f>SUM(I108:I110)</f>
        <v>1141910</v>
      </c>
      <c r="J111">
        <f>M111</f>
        <v>1</v>
      </c>
      <c r="M111">
        <f>SUM(M108:M110)/100</f>
        <v>1</v>
      </c>
      <c r="N111">
        <f>SUM(N108:N110)</f>
        <v>50000</v>
      </c>
      <c r="O111">
        <f>SUM(O108:O110)</f>
        <v>26928</v>
      </c>
      <c r="Q111">
        <f>SUM(Q108:Q110)</f>
        <v>1064982</v>
      </c>
    </row>
    <row r="113" spans="7:18">
      <c r="N113" t="s">
        <v>110</v>
      </c>
      <c r="Q113">
        <f>(I108*(1-0.102))-50000+I109+I110</f>
        <v>1064982</v>
      </c>
      <c r="R113" t="s">
        <v>75</v>
      </c>
    </row>
    <row r="115" spans="7:18">
      <c r="G115" t="s">
        <v>76</v>
      </c>
    </row>
    <row r="116" spans="7:18">
      <c r="H116" t="s">
        <v>93</v>
      </c>
      <c r="M116" t="s">
        <v>94</v>
      </c>
    </row>
    <row r="117" spans="7:18">
      <c r="H117" t="s">
        <v>2</v>
      </c>
      <c r="I117">
        <f>Q109*J96/100</f>
        <v>96162.000000000015</v>
      </c>
      <c r="M117" t="s">
        <v>2</v>
      </c>
      <c r="N117">
        <f>(Q109+0)*J96/100</f>
        <v>96162.000000000015</v>
      </c>
    </row>
    <row r="118" spans="7:18">
      <c r="H118" t="s">
        <v>64</v>
      </c>
      <c r="I118">
        <f>Q109*J97/100</f>
        <v>108438.00000000001</v>
      </c>
      <c r="M118" t="s">
        <v>64</v>
      </c>
      <c r="N118">
        <f>(Q109+0)*J97/100</f>
        <v>108438.00000000001</v>
      </c>
    </row>
    <row r="119" spans="7:18">
      <c r="H119" t="s">
        <v>67</v>
      </c>
      <c r="I119">
        <f>Q108</f>
        <v>237072</v>
      </c>
      <c r="M119" t="s">
        <v>67</v>
      </c>
      <c r="N119">
        <f>Q108</f>
        <v>237072</v>
      </c>
    </row>
    <row r="120" spans="7:18">
      <c r="H120" t="s">
        <v>101</v>
      </c>
      <c r="I120">
        <f>Q110</f>
        <v>623310</v>
      </c>
      <c r="M120" t="s">
        <v>101</v>
      </c>
      <c r="N120">
        <f>Q110+50000</f>
        <v>673310</v>
      </c>
    </row>
    <row r="121" spans="7:18">
      <c r="I121">
        <f>SUM(I117:I120)</f>
        <v>1064982</v>
      </c>
      <c r="N121">
        <f>SUM(N117:N120)</f>
        <v>1114982</v>
      </c>
      <c r="O121" t="s">
        <v>204</v>
      </c>
      <c r="P121">
        <f>Q111+N111</f>
        <v>1114982</v>
      </c>
      <c r="Q121" t="s">
        <v>75</v>
      </c>
    </row>
    <row r="123" spans="7:18">
      <c r="G123" t="s">
        <v>224</v>
      </c>
    </row>
    <row r="124" spans="7:18">
      <c r="G124" t="s">
        <v>128</v>
      </c>
    </row>
    <row r="125" spans="7:18">
      <c r="G125" t="s">
        <v>82</v>
      </c>
    </row>
    <row r="126" spans="7:18">
      <c r="G126">
        <v>2014</v>
      </c>
      <c r="I126" t="s">
        <v>2</v>
      </c>
      <c r="J126">
        <f>ROUND(($N$117/3),0)</f>
        <v>32054</v>
      </c>
      <c r="L126">
        <v>2016</v>
      </c>
      <c r="N126" t="s">
        <v>2</v>
      </c>
      <c r="O126">
        <f>ROUND(($N$117/3),0)</f>
        <v>32054</v>
      </c>
    </row>
    <row r="127" spans="7:18">
      <c r="I127" t="s">
        <v>64</v>
      </c>
      <c r="J127">
        <f>ROUND(($N$118/3),0)</f>
        <v>36146</v>
      </c>
      <c r="N127" t="s">
        <v>64</v>
      </c>
      <c r="O127">
        <f>ROUND(($N$118/3),0)</f>
        <v>36146</v>
      </c>
    </row>
    <row r="128" spans="7:18">
      <c r="I128" t="s">
        <v>67</v>
      </c>
      <c r="J128">
        <f>I119</f>
        <v>237072</v>
      </c>
      <c r="N128" t="s">
        <v>67</v>
      </c>
      <c r="O128">
        <v>0</v>
      </c>
    </row>
    <row r="129" spans="7:18">
      <c r="H129" t="s">
        <v>101</v>
      </c>
      <c r="J129">
        <f>ROUND(($N$120/3),0)</f>
        <v>224437</v>
      </c>
      <c r="M129" t="s">
        <v>101</v>
      </c>
      <c r="O129">
        <f>I120-J135-J129</f>
        <v>174436</v>
      </c>
    </row>
    <row r="130" spans="7:18">
      <c r="J130">
        <f>SUM(J126:J129)</f>
        <v>529709</v>
      </c>
      <c r="O130">
        <f>SUM(O126:O129)</f>
        <v>242636</v>
      </c>
    </row>
    <row r="132" spans="7:18">
      <c r="G132">
        <v>2015</v>
      </c>
      <c r="I132" t="s">
        <v>2</v>
      </c>
      <c r="J132">
        <f>ROUND(($N$117/3),0)</f>
        <v>32054</v>
      </c>
      <c r="L132">
        <v>2017</v>
      </c>
      <c r="N132" t="s">
        <v>2</v>
      </c>
      <c r="O132">
        <f>I117-J126-J132-O126</f>
        <v>0</v>
      </c>
    </row>
    <row r="133" spans="7:18">
      <c r="I133" t="s">
        <v>64</v>
      </c>
      <c r="J133">
        <f>ROUND(($N$118/3),0)</f>
        <v>36146</v>
      </c>
      <c r="N133" t="s">
        <v>64</v>
      </c>
      <c r="O133">
        <f>I118-J127-J133-O127</f>
        <v>0</v>
      </c>
    </row>
    <row r="134" spans="7:18">
      <c r="I134" t="s">
        <v>67</v>
      </c>
      <c r="J134">
        <v>0</v>
      </c>
      <c r="N134" t="s">
        <v>67</v>
      </c>
      <c r="O134">
        <v>0</v>
      </c>
    </row>
    <row r="135" spans="7:18">
      <c r="H135" t="s">
        <v>101</v>
      </c>
      <c r="J135">
        <f>ROUND(($N$120/3),0)</f>
        <v>224437</v>
      </c>
      <c r="M135" t="s">
        <v>101</v>
      </c>
      <c r="O135">
        <f>I120-J135-O129-J129</f>
        <v>0</v>
      </c>
    </row>
    <row r="136" spans="7:18">
      <c r="J136">
        <f>SUM(J132:J135)</f>
        <v>292637</v>
      </c>
      <c r="O136">
        <f>SUM(O132:O135)</f>
        <v>0</v>
      </c>
    </row>
    <row r="138" spans="7:18">
      <c r="M138" t="s">
        <v>83</v>
      </c>
      <c r="O138">
        <f>J130+J136+O130+O136</f>
        <v>1064982</v>
      </c>
      <c r="P138" t="s">
        <v>119</v>
      </c>
      <c r="R138" t="s">
        <v>75</v>
      </c>
    </row>
    <row r="140" spans="7:18">
      <c r="G140" t="s">
        <v>223</v>
      </c>
    </row>
    <row r="141" spans="7:18">
      <c r="G141" t="s">
        <v>182</v>
      </c>
    </row>
    <row r="142" spans="7:18">
      <c r="G142" t="s">
        <v>183</v>
      </c>
    </row>
    <row r="144" spans="7:18">
      <c r="I144" t="s">
        <v>184</v>
      </c>
      <c r="K144">
        <v>2015</v>
      </c>
      <c r="L144">
        <v>2016</v>
      </c>
      <c r="M144">
        <v>2017</v>
      </c>
      <c r="N144">
        <v>2018</v>
      </c>
      <c r="O144">
        <v>2019</v>
      </c>
      <c r="P144">
        <v>2020</v>
      </c>
      <c r="Q144">
        <v>2021</v>
      </c>
      <c r="R144">
        <v>2022</v>
      </c>
    </row>
    <row r="145" spans="5:18">
      <c r="G145" t="s">
        <v>185</v>
      </c>
    </row>
    <row r="147" spans="5:18">
      <c r="G147" t="s">
        <v>186</v>
      </c>
      <c r="K147" t="e">
        <f>'GI-34 doc 3 page 1 de 2'!#REF!*1.1</f>
        <v>#REF!</v>
      </c>
      <c r="L147" t="e">
        <f>'GI-34 doc 3 page 1 de 2'!#REF!*1.1</f>
        <v>#REF!</v>
      </c>
      <c r="M147" t="e">
        <f>'GI-34 doc 3 page 1 de 2'!#REF!*1.1</f>
        <v>#REF!</v>
      </c>
      <c r="N147" t="e">
        <f>'GI-34 doc 3 page 1 de 2'!#REF!*1.1</f>
        <v>#REF!</v>
      </c>
      <c r="O147" t="e">
        <f>'GI-34 doc 3 page 1 de 2'!#REF!*1.1</f>
        <v>#REF!</v>
      </c>
      <c r="P147" t="e">
        <f>'GI-34 doc 3 page 1 de 2'!#REF!*1.1</f>
        <v>#REF!</v>
      </c>
      <c r="Q147" t="e">
        <f>'GI-34 doc 3 page 1 de 2'!#REF!*1.1</f>
        <v>#REF!</v>
      </c>
      <c r="R147" t="e">
        <f>'GI-34 doc 3 page 1 de 2'!#REF!*1.1</f>
        <v>#REF!</v>
      </c>
    </row>
    <row r="148" spans="5:18">
      <c r="G148" t="s">
        <v>187</v>
      </c>
      <c r="K148" t="e">
        <f>'GI-34 doc 3 page 1 de 2'!#REF!*1.1</f>
        <v>#REF!</v>
      </c>
      <c r="L148" t="e">
        <f>'GI-34 doc 3 page 1 de 2'!#REF!*1.1</f>
        <v>#REF!</v>
      </c>
      <c r="M148" t="e">
        <f>'GI-34 doc 3 page 1 de 2'!#REF!*1.1</f>
        <v>#REF!</v>
      </c>
      <c r="N148" t="e">
        <f>'GI-34 doc 3 page 1 de 2'!#REF!*1.1</f>
        <v>#REF!</v>
      </c>
      <c r="O148" t="e">
        <f>'GI-34 doc 3 page 1 de 2'!#REF!*1.1</f>
        <v>#REF!</v>
      </c>
      <c r="P148" t="e">
        <f>'GI-34 doc 3 page 1 de 2'!#REF!*1.1</f>
        <v>#REF!</v>
      </c>
      <c r="Q148" t="e">
        <f>'GI-34 doc 3 page 1 de 2'!#REF!*1.1</f>
        <v>#REF!</v>
      </c>
      <c r="R148" t="e">
        <f>'GI-34 doc 3 page 1 de 2'!#REF!*1.1</f>
        <v>#REF!</v>
      </c>
    </row>
    <row r="149" spans="5:18">
      <c r="G149" t="s">
        <v>190</v>
      </c>
      <c r="K149" t="e">
        <f>'GI-34 doc 3 page 1 de 2'!#REF!*1.1</f>
        <v>#REF!</v>
      </c>
      <c r="L149" t="e">
        <f>'GI-34 doc 3 page 1 de 2'!#REF!*1.1</f>
        <v>#REF!</v>
      </c>
      <c r="M149" t="e">
        <f>'GI-34 doc 3 page 1 de 2'!#REF!*1.1</f>
        <v>#REF!</v>
      </c>
      <c r="N149" t="e">
        <f>'GI-34 doc 3 page 1 de 2'!#REF!*1.1</f>
        <v>#REF!</v>
      </c>
      <c r="O149" t="e">
        <f>'GI-34 doc 3 page 1 de 2'!#REF!*1.1</f>
        <v>#REF!</v>
      </c>
      <c r="P149" t="e">
        <f>'GI-34 doc 3 page 1 de 2'!#REF!*1.1</f>
        <v>#REF!</v>
      </c>
      <c r="Q149" t="e">
        <f>'GI-34 doc 3 page 1 de 2'!#REF!*1.1</f>
        <v>#REF!</v>
      </c>
      <c r="R149" t="e">
        <f>'GI-34 doc 3 page 1 de 2'!#REF!*1.1</f>
        <v>#REF!</v>
      </c>
    </row>
    <row r="150" spans="5:18">
      <c r="G150" t="s">
        <v>191</v>
      </c>
      <c r="K150" t="e">
        <f>SUM(K147:K149)</f>
        <v>#REF!</v>
      </c>
      <c r="L150" t="e">
        <f t="shared" ref="L150:R150" si="33">SUM(L147:L149)</f>
        <v>#REF!</v>
      </c>
      <c r="M150" t="e">
        <f t="shared" si="33"/>
        <v>#REF!</v>
      </c>
      <c r="N150" t="e">
        <f t="shared" si="33"/>
        <v>#REF!</v>
      </c>
      <c r="O150" t="e">
        <f t="shared" si="33"/>
        <v>#REF!</v>
      </c>
      <c r="P150" t="e">
        <f t="shared" si="33"/>
        <v>#REF!</v>
      </c>
      <c r="Q150" t="e">
        <f t="shared" si="33"/>
        <v>#REF!</v>
      </c>
      <c r="R150" t="e">
        <f t="shared" si="33"/>
        <v>#REF!</v>
      </c>
    </row>
    <row r="151" spans="5:18" ht="13.5" thickBot="1">
      <c r="G151" t="s">
        <v>192</v>
      </c>
      <c r="K151" t="e">
        <f>K150*(1-0.102)</f>
        <v>#REF!</v>
      </c>
      <c r="L151" t="e">
        <f t="shared" ref="L151:R151" si="34">L150*(1-0.102)</f>
        <v>#REF!</v>
      </c>
      <c r="M151" t="e">
        <f t="shared" si="34"/>
        <v>#REF!</v>
      </c>
      <c r="N151" t="e">
        <f t="shared" si="34"/>
        <v>#REF!</v>
      </c>
      <c r="O151" t="e">
        <f t="shared" si="34"/>
        <v>#REF!</v>
      </c>
      <c r="P151" t="e">
        <f t="shared" si="34"/>
        <v>#REF!</v>
      </c>
      <c r="Q151" t="e">
        <f t="shared" si="34"/>
        <v>#REF!</v>
      </c>
      <c r="R151" t="e">
        <f t="shared" si="34"/>
        <v>#REF!</v>
      </c>
    </row>
    <row r="152" spans="5:18">
      <c r="G152" t="s">
        <v>232</v>
      </c>
      <c r="K152" t="e">
        <f>'GI-34 doc 3 page 1 de 2'!#REF!*1.1</f>
        <v>#REF!</v>
      </c>
      <c r="L152" t="e">
        <f>'GI-34 doc 3 page 1 de 2'!#REF!*1.1</f>
        <v>#REF!</v>
      </c>
      <c r="M152" t="e">
        <f>'GI-34 doc 3 page 1 de 2'!#REF!*1.1</f>
        <v>#REF!</v>
      </c>
      <c r="N152" t="e">
        <f>'GI-34 doc 3 page 1 de 2'!#REF!*1.1</f>
        <v>#REF!</v>
      </c>
      <c r="O152" t="e">
        <f>'GI-34 doc 3 page 1 de 2'!#REF!*1.1</f>
        <v>#REF!</v>
      </c>
      <c r="P152" t="e">
        <f>'GI-34 doc 3 page 1 de 2'!#REF!*1.1</f>
        <v>#REF!</v>
      </c>
      <c r="Q152" t="e">
        <f>'GI-34 doc 3 page 1 de 2'!#REF!*1.1</f>
        <v>#REF!</v>
      </c>
      <c r="R152" t="e">
        <f>'GI-34 doc 3 page 1 de 2'!#REF!*1.1</f>
        <v>#REF!</v>
      </c>
    </row>
    <row r="153" spans="5:18">
      <c r="G153" t="s">
        <v>233</v>
      </c>
      <c r="K153" t="e">
        <f>'GI-34 doc 3 page 1 de 2'!#REF!*1.1</f>
        <v>#REF!</v>
      </c>
      <c r="L153" t="e">
        <f>'GI-34 doc 3 page 1 de 2'!#REF!*1.1</f>
        <v>#REF!</v>
      </c>
      <c r="M153" t="e">
        <f>'GI-34 doc 3 page 1 de 2'!#REF!*1.1</f>
        <v>#REF!</v>
      </c>
      <c r="N153" t="e">
        <f>'GI-34 doc 3 page 1 de 2'!#REF!*1.1</f>
        <v>#REF!</v>
      </c>
      <c r="O153" t="e">
        <f>'GI-34 doc 3 page 1 de 2'!#REF!*1.1</f>
        <v>#REF!</v>
      </c>
      <c r="P153" t="e">
        <f>'GI-34 doc 3 page 1 de 2'!#REF!*1.1</f>
        <v>#REF!</v>
      </c>
      <c r="Q153" t="e">
        <f>'GI-34 doc 3 page 1 de 2'!#REF!*1.1</f>
        <v>#REF!</v>
      </c>
      <c r="R153" t="e">
        <f>'GI-34 doc 3 page 1 de 2'!#REF!*1.1</f>
        <v>#REF!</v>
      </c>
    </row>
    <row r="154" spans="5:18">
      <c r="G154" t="s">
        <v>194</v>
      </c>
      <c r="K154" t="e">
        <f>'GI-34 doc 3 page 1 de 2'!#REF!*1.1</f>
        <v>#REF!</v>
      </c>
      <c r="L154" t="e">
        <f>'GI-34 doc 3 page 1 de 2'!#REF!*1.1</f>
        <v>#REF!</v>
      </c>
      <c r="M154" t="e">
        <f>'GI-34 doc 3 page 1 de 2'!#REF!*1.1</f>
        <v>#REF!</v>
      </c>
      <c r="N154" t="e">
        <f>'GI-34 doc 3 page 1 de 2'!#REF!*1.1</f>
        <v>#REF!</v>
      </c>
      <c r="O154" t="e">
        <f>'GI-34 doc 3 page 1 de 2'!#REF!*1.1</f>
        <v>#REF!</v>
      </c>
      <c r="P154" t="e">
        <f>'GI-34 doc 3 page 1 de 2'!#REF!*1.1</f>
        <v>#REF!</v>
      </c>
      <c r="Q154" t="e">
        <f>'GI-34 doc 3 page 1 de 2'!#REF!*1.1</f>
        <v>#REF!</v>
      </c>
      <c r="R154" t="e">
        <f>'GI-34 doc 3 page 1 de 2'!#REF!*1.1</f>
        <v>#REF!</v>
      </c>
    </row>
    <row r="155" spans="5:18" ht="13.5" thickBot="1">
      <c r="G155" t="s">
        <v>193</v>
      </c>
      <c r="K155" t="e">
        <f>SUM(K151:K154)</f>
        <v>#REF!</v>
      </c>
      <c r="L155" t="e">
        <f t="shared" ref="L155:R155" si="35">SUM(L151:L154)</f>
        <v>#REF!</v>
      </c>
      <c r="M155" t="e">
        <f t="shared" si="35"/>
        <v>#REF!</v>
      </c>
      <c r="N155" t="e">
        <f t="shared" si="35"/>
        <v>#REF!</v>
      </c>
      <c r="O155" t="e">
        <f t="shared" si="35"/>
        <v>#REF!</v>
      </c>
      <c r="P155" t="e">
        <f t="shared" si="35"/>
        <v>#REF!</v>
      </c>
      <c r="Q155" t="e">
        <f t="shared" si="35"/>
        <v>#REF!</v>
      </c>
      <c r="R155" t="e">
        <f t="shared" si="35"/>
        <v>#REF!</v>
      </c>
    </row>
    <row r="159" spans="5:18">
      <c r="E159" t="s">
        <v>30</v>
      </c>
      <c r="F159" t="s">
        <v>197</v>
      </c>
      <c r="K159">
        <v>2015</v>
      </c>
      <c r="L159">
        <v>2016</v>
      </c>
      <c r="M159">
        <v>2017</v>
      </c>
      <c r="N159">
        <v>2018</v>
      </c>
      <c r="O159">
        <v>2019</v>
      </c>
      <c r="P159">
        <v>2020</v>
      </c>
      <c r="Q159">
        <v>2021</v>
      </c>
      <c r="R159">
        <v>2022</v>
      </c>
    </row>
    <row r="161" spans="7:18">
      <c r="G161" t="s">
        <v>203</v>
      </c>
      <c r="K161">
        <f>+K38+L38+M38+N38</f>
        <v>175004.59700000001</v>
      </c>
      <c r="L161">
        <f>+K39+L39+M39+N39</f>
        <v>243828.82833333331</v>
      </c>
      <c r="M161">
        <f>+K40+L40+M40+N40</f>
        <v>274074.19400000002</v>
      </c>
      <c r="N161">
        <f>+K41+L41+M41+N41</f>
        <v>161855.69400000002</v>
      </c>
      <c r="O161">
        <f>+K42+L42+M42+N42</f>
        <v>36108.86066666666</v>
      </c>
      <c r="P161">
        <f>+K43+L43+M43+N43</f>
        <v>7036.1940000000213</v>
      </c>
      <c r="Q161">
        <f>+K44+L44+M44+N44</f>
        <v>7036.1939999999995</v>
      </c>
      <c r="R161">
        <f>+K45+L45+M45+N45</f>
        <v>7036.1939999999995</v>
      </c>
    </row>
    <row r="162" spans="7:18">
      <c r="G162" t="s">
        <v>198</v>
      </c>
      <c r="K162">
        <f t="shared" ref="K162:R162" si="36">+AB31+AB39+AB46+AB53</f>
        <v>571502</v>
      </c>
      <c r="L162">
        <f t="shared" si="36"/>
        <v>302956.48</v>
      </c>
      <c r="M162">
        <f t="shared" si="36"/>
        <v>11431.4112</v>
      </c>
      <c r="N162">
        <f t="shared" si="36"/>
        <v>10745.526528000002</v>
      </c>
      <c r="O162">
        <f t="shared" si="36"/>
        <v>10100.794936320002</v>
      </c>
      <c r="P162">
        <f t="shared" si="36"/>
        <v>9494.7472401408013</v>
      </c>
      <c r="Q162">
        <f t="shared" si="36"/>
        <v>8925.062405732353</v>
      </c>
      <c r="R162">
        <f t="shared" si="36"/>
        <v>8389.5586613884116</v>
      </c>
    </row>
    <row r="163" spans="7:18">
      <c r="G163" t="s">
        <v>199</v>
      </c>
      <c r="K163">
        <f>+K161-K162</f>
        <v>-396497.40299999999</v>
      </c>
      <c r="L163">
        <f>+L161-L162</f>
        <v>-59127.651666666672</v>
      </c>
      <c r="M163">
        <f t="shared" ref="M163:R163" si="37">+M161-M162</f>
        <v>262642.78280000004</v>
      </c>
      <c r="N163">
        <f t="shared" si="37"/>
        <v>151110.167472</v>
      </c>
      <c r="O163">
        <f t="shared" si="37"/>
        <v>26008.065730346658</v>
      </c>
      <c r="P163">
        <f t="shared" si="37"/>
        <v>-2458.55324014078</v>
      </c>
      <c r="Q163">
        <f t="shared" si="37"/>
        <v>-1888.8684057323535</v>
      </c>
      <c r="R163">
        <f t="shared" si="37"/>
        <v>-1353.3646613884121</v>
      </c>
    </row>
    <row r="164" spans="7:18">
      <c r="G164" t="s">
        <v>200</v>
      </c>
      <c r="J164">
        <v>0.26900000000000002</v>
      </c>
      <c r="K164">
        <f>+K163*$J$164</f>
        <v>-106657.80140700001</v>
      </c>
      <c r="L164">
        <f>+L163*$J$164</f>
        <v>-15905.338298333336</v>
      </c>
      <c r="M164">
        <f t="shared" ref="M164:R164" si="38">+M163*$J$164</f>
        <v>70650.908573200009</v>
      </c>
      <c r="N164">
        <f t="shared" si="38"/>
        <v>40648.635049968005</v>
      </c>
      <c r="O164">
        <f t="shared" si="38"/>
        <v>6996.1696814632514</v>
      </c>
      <c r="P164">
        <f t="shared" si="38"/>
        <v>-661.35082159786987</v>
      </c>
      <c r="Q164">
        <f t="shared" si="38"/>
        <v>-508.10560114200314</v>
      </c>
      <c r="R164">
        <f t="shared" si="38"/>
        <v>-364.05509391348289</v>
      </c>
    </row>
    <row r="165" spans="7:18" ht="13.5" thickBot="1">
      <c r="G165" t="s">
        <v>201</v>
      </c>
      <c r="K165">
        <f>+K164/(1-$J$164)</f>
        <v>-145906.70507113545</v>
      </c>
      <c r="L165">
        <f>+L164/(1-$J$164)</f>
        <v>-21758.328725490199</v>
      </c>
      <c r="M165">
        <f t="shared" ref="M165:R165" si="39">+M164/(1-$J$164)</f>
        <v>96649.669730779773</v>
      </c>
      <c r="N165">
        <f t="shared" si="39"/>
        <v>55606.887893253086</v>
      </c>
      <c r="O165">
        <f t="shared" si="39"/>
        <v>9570.6835587732585</v>
      </c>
      <c r="P165">
        <f t="shared" si="39"/>
        <v>-904.72068618039657</v>
      </c>
      <c r="Q165">
        <f t="shared" si="39"/>
        <v>-695.08290169904672</v>
      </c>
      <c r="R165">
        <f t="shared" si="39"/>
        <v>-498.02338428657032</v>
      </c>
    </row>
    <row r="166" spans="7:18" ht="13.5" thickTop="1"/>
  </sheetData>
  <mergeCells count="4">
    <mergeCell ref="B4:R4"/>
    <mergeCell ref="B5:R5"/>
    <mergeCell ref="A2:R2"/>
    <mergeCell ref="A3:R3"/>
  </mergeCells>
  <printOptions horizontalCentered="1"/>
  <pageMargins left="0.25" right="0.25" top="0.75" bottom="0.75" header="0.3" footer="0.3"/>
  <pageSetup scale="24" orientation="landscape" cellComments="asDisplayed" r:id="rId1"/>
  <headerFooter alignWithMargins="0">
    <oddFooter>&amp;L
Original: 2013-11-03
Révisé: 2013-11-21&amp;RGI-1
Document 1.2
Page 1 de 2
Requête 3862-2013</oddFooter>
  </headerFooter>
  <rowBreaks count="1" manualBreakCount="1">
    <brk id="86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39997558519241921"/>
  </sheetPr>
  <dimension ref="B2:AK138"/>
  <sheetViews>
    <sheetView view="pageBreakPreview" topLeftCell="N1" zoomScaleNormal="80" zoomScaleSheetLayoutView="100" workbookViewId="0">
      <selection activeCell="N36" sqref="N36:N40"/>
    </sheetView>
  </sheetViews>
  <sheetFormatPr baseColWidth="10" defaultRowHeight="12.75"/>
  <cols>
    <col min="1" max="1" width="6.140625" customWidth="1"/>
    <col min="2" max="2" width="10" customWidth="1"/>
    <col min="3" max="3" width="13.7109375" customWidth="1"/>
    <col min="4" max="7" width="13.42578125" customWidth="1"/>
    <col min="8" max="8" width="13.7109375" customWidth="1"/>
    <col min="9" max="10" width="13.85546875" customWidth="1"/>
    <col min="11" max="11" width="14.42578125" customWidth="1"/>
    <col min="12" max="15" width="14.5703125" customWidth="1"/>
    <col min="16" max="16" width="15.28515625" customWidth="1"/>
    <col min="17" max="18" width="14.42578125" customWidth="1"/>
    <col min="19" max="20" width="15.5703125" customWidth="1"/>
    <col min="21" max="21" width="14.140625" customWidth="1"/>
    <col min="22" max="22" width="7.7109375" customWidth="1"/>
    <col min="23" max="24" width="9.140625" customWidth="1"/>
    <col min="25" max="25" width="15.140625" customWidth="1"/>
    <col min="26" max="26" width="9.140625" customWidth="1"/>
    <col min="27" max="27" width="11.7109375" customWidth="1"/>
    <col min="28" max="28" width="12.85546875" customWidth="1"/>
    <col min="29" max="29" width="12" customWidth="1"/>
    <col min="30" max="30" width="11.5703125" customWidth="1"/>
    <col min="31" max="31" width="12.7109375" customWidth="1"/>
    <col min="32" max="32" width="13.28515625" customWidth="1"/>
    <col min="33" max="34" width="11.85546875" customWidth="1"/>
    <col min="35" max="35" width="12.140625" customWidth="1"/>
    <col min="36" max="36" width="11.28515625" customWidth="1"/>
    <col min="37" max="37" width="11.42578125" customWidth="1"/>
    <col min="38" max="38" width="12" customWidth="1"/>
  </cols>
  <sheetData>
    <row r="2" spans="2:19">
      <c r="B2" s="28" t="s">
        <v>205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2:19" ht="15.75" customHeight="1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2:19" ht="15" customHeight="1"/>
    <row r="6" spans="2:19">
      <c r="O6" t="s">
        <v>1</v>
      </c>
    </row>
    <row r="7" spans="2:19">
      <c r="O7" t="s">
        <v>2</v>
      </c>
      <c r="R7">
        <v>2.2200000000000001E-2</v>
      </c>
      <c r="S7" t="s">
        <v>3</v>
      </c>
    </row>
    <row r="8" spans="2:19">
      <c r="B8" t="s">
        <v>4</v>
      </c>
      <c r="G8">
        <f>+L55</f>
        <v>8.0600000000000005E-2</v>
      </c>
      <c r="H8" t="s">
        <v>5</v>
      </c>
      <c r="O8" t="s">
        <v>57</v>
      </c>
      <c r="R8">
        <v>4.5199999999999997E-2</v>
      </c>
      <c r="S8" t="s">
        <v>3</v>
      </c>
    </row>
    <row r="9" spans="2:19">
      <c r="B9" t="s">
        <v>6</v>
      </c>
      <c r="G9">
        <v>0</v>
      </c>
      <c r="O9" t="s">
        <v>81</v>
      </c>
      <c r="R9">
        <v>0.25</v>
      </c>
      <c r="S9" t="s">
        <v>3</v>
      </c>
    </row>
    <row r="10" spans="2:19">
      <c r="O10" t="s">
        <v>101</v>
      </c>
      <c r="R10">
        <f>1/3</f>
        <v>0.33333333333333331</v>
      </c>
      <c r="S10" t="s">
        <v>3</v>
      </c>
    </row>
    <row r="11" spans="2:19">
      <c r="G11">
        <f>SUM(G8:G9)</f>
        <v>8.0600000000000005E-2</v>
      </c>
    </row>
    <row r="12" spans="2:19">
      <c r="O12" t="s">
        <v>7</v>
      </c>
    </row>
    <row r="13" spans="2:19">
      <c r="O13" t="s">
        <v>2</v>
      </c>
      <c r="R13">
        <f>I89</f>
        <v>96162.000000000015</v>
      </c>
    </row>
    <row r="14" spans="2:19">
      <c r="O14" t="s">
        <v>57</v>
      </c>
      <c r="R14">
        <f>I90</f>
        <v>108438.00000000001</v>
      </c>
    </row>
    <row r="15" spans="2:19">
      <c r="F15" t="s">
        <v>113</v>
      </c>
      <c r="O15" t="s">
        <v>81</v>
      </c>
      <c r="R15">
        <f>I91</f>
        <v>237072</v>
      </c>
    </row>
    <row r="16" spans="2:19">
      <c r="O16" t="s">
        <v>101</v>
      </c>
      <c r="R16">
        <f>I92</f>
        <v>623310</v>
      </c>
    </row>
    <row r="17" spans="2:37" ht="13.5" thickBot="1">
      <c r="R17">
        <f>SUM(R13:R16)</f>
        <v>1064982</v>
      </c>
    </row>
    <row r="22" spans="2:37">
      <c r="O22" t="s">
        <v>80</v>
      </c>
      <c r="R22">
        <v>7.4999999999999997E-3</v>
      </c>
      <c r="S22" t="s">
        <v>117</v>
      </c>
    </row>
    <row r="23" spans="2:37">
      <c r="X23" t="s">
        <v>8</v>
      </c>
    </row>
    <row r="25" spans="2:37">
      <c r="AA25">
        <v>2014</v>
      </c>
      <c r="AB25">
        <f t="shared" ref="AB25:AK25" si="0">+AA25+1</f>
        <v>2015</v>
      </c>
      <c r="AC25">
        <f t="shared" si="0"/>
        <v>2016</v>
      </c>
      <c r="AD25">
        <f t="shared" si="0"/>
        <v>2017</v>
      </c>
      <c r="AE25">
        <f t="shared" si="0"/>
        <v>2018</v>
      </c>
      <c r="AF25">
        <f t="shared" si="0"/>
        <v>2019</v>
      </c>
      <c r="AG25">
        <f t="shared" si="0"/>
        <v>2020</v>
      </c>
      <c r="AH25">
        <f t="shared" si="0"/>
        <v>2021</v>
      </c>
      <c r="AI25">
        <f t="shared" si="0"/>
        <v>2022</v>
      </c>
      <c r="AJ25">
        <f t="shared" si="0"/>
        <v>2023</v>
      </c>
      <c r="AK25">
        <f t="shared" si="0"/>
        <v>2024</v>
      </c>
    </row>
    <row r="27" spans="2:37">
      <c r="B27" t="s">
        <v>9</v>
      </c>
      <c r="X27" t="s">
        <v>10</v>
      </c>
      <c r="Z27">
        <v>0.06</v>
      </c>
      <c r="AB27">
        <f t="shared" ref="AB27:AK27" si="1">+AA30</f>
        <v>32054</v>
      </c>
      <c r="AC27">
        <f t="shared" si="1"/>
        <v>62184.76</v>
      </c>
      <c r="AD27">
        <f t="shared" si="1"/>
        <v>89546.054400000008</v>
      </c>
      <c r="AE27">
        <f t="shared" si="1"/>
        <v>84173.291136000014</v>
      </c>
      <c r="AF27">
        <f t="shared" si="1"/>
        <v>79122.89366784002</v>
      </c>
      <c r="AG27">
        <f t="shared" si="1"/>
        <v>74375.52004776962</v>
      </c>
      <c r="AH27">
        <f t="shared" si="1"/>
        <v>69912.988844903448</v>
      </c>
      <c r="AI27">
        <f t="shared" si="1"/>
        <v>65718.209514209244</v>
      </c>
      <c r="AJ27">
        <f t="shared" si="1"/>
        <v>61775.11694335669</v>
      </c>
      <c r="AK27">
        <f t="shared" si="1"/>
        <v>58068.609926755293</v>
      </c>
    </row>
    <row r="28" spans="2:37">
      <c r="P28" t="s">
        <v>103</v>
      </c>
      <c r="X28" t="s">
        <v>11</v>
      </c>
      <c r="AA28">
        <f>C35</f>
        <v>32054</v>
      </c>
      <c r="AB28">
        <f>C36</f>
        <v>32054</v>
      </c>
      <c r="AC28">
        <f>C37</f>
        <v>32054</v>
      </c>
      <c r="AD28">
        <f>C38</f>
        <v>0</v>
      </c>
      <c r="AE28">
        <f>C39</f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</row>
    <row r="29" spans="2:37">
      <c r="O29" t="s">
        <v>85</v>
      </c>
      <c r="P29" t="s">
        <v>104</v>
      </c>
      <c r="Q29" t="s">
        <v>114</v>
      </c>
      <c r="T29" t="s">
        <v>213</v>
      </c>
      <c r="X29" t="s">
        <v>12</v>
      </c>
      <c r="AB29">
        <f>((AB27+AB28)/2)*$Z$27</f>
        <v>1923.24</v>
      </c>
      <c r="AC29">
        <f t="shared" ref="AC29:AK29" si="2">(AC27+(AC28/2))*$Z$27</f>
        <v>4692.7056000000002</v>
      </c>
      <c r="AD29">
        <f t="shared" si="2"/>
        <v>5372.7632640000002</v>
      </c>
      <c r="AE29">
        <f t="shared" si="2"/>
        <v>5050.3974681600002</v>
      </c>
      <c r="AF29">
        <f t="shared" si="2"/>
        <v>4747.3736200704006</v>
      </c>
      <c r="AG29">
        <f t="shared" si="2"/>
        <v>4462.5312028661774</v>
      </c>
      <c r="AH29">
        <f t="shared" si="2"/>
        <v>4194.7793306942067</v>
      </c>
      <c r="AI29">
        <f t="shared" si="2"/>
        <v>3943.0925708525547</v>
      </c>
      <c r="AJ29">
        <f t="shared" si="2"/>
        <v>3706.5070166014011</v>
      </c>
      <c r="AK29">
        <f t="shared" si="2"/>
        <v>3484.1165956053173</v>
      </c>
    </row>
    <row r="30" spans="2:37">
      <c r="B30" t="s">
        <v>13</v>
      </c>
      <c r="C30" t="s">
        <v>14</v>
      </c>
      <c r="D30" t="s">
        <v>65</v>
      </c>
      <c r="E30" t="s">
        <v>77</v>
      </c>
      <c r="F30" t="s">
        <v>101</v>
      </c>
      <c r="G30" t="s">
        <v>15</v>
      </c>
      <c r="H30" t="s">
        <v>16</v>
      </c>
      <c r="I30" t="s">
        <v>16</v>
      </c>
      <c r="J30" t="s">
        <v>16</v>
      </c>
      <c r="K30" t="s">
        <v>17</v>
      </c>
      <c r="L30" t="s">
        <v>17</v>
      </c>
      <c r="M30" t="s">
        <v>17</v>
      </c>
      <c r="N30" t="s">
        <v>17</v>
      </c>
      <c r="O30" t="s">
        <v>87</v>
      </c>
      <c r="P30" t="s">
        <v>105</v>
      </c>
      <c r="Q30" t="s">
        <v>115</v>
      </c>
      <c r="R30" t="s">
        <v>18</v>
      </c>
      <c r="S30" t="s">
        <v>126</v>
      </c>
      <c r="T30" t="s">
        <v>214</v>
      </c>
      <c r="U30" t="s">
        <v>54</v>
      </c>
      <c r="X30" t="s">
        <v>19</v>
      </c>
      <c r="AA30">
        <f>+AA28-AA29</f>
        <v>32054</v>
      </c>
      <c r="AB30">
        <f t="shared" ref="AB30:AK30" si="3">+AB27+AB28-AB29</f>
        <v>62184.76</v>
      </c>
      <c r="AC30">
        <f t="shared" si="3"/>
        <v>89546.054400000008</v>
      </c>
      <c r="AD30">
        <f t="shared" si="3"/>
        <v>84173.291136000014</v>
      </c>
      <c r="AE30">
        <f t="shared" si="3"/>
        <v>79122.89366784002</v>
      </c>
      <c r="AF30">
        <f t="shared" si="3"/>
        <v>74375.52004776962</v>
      </c>
      <c r="AG30">
        <f t="shared" si="3"/>
        <v>69912.988844903448</v>
      </c>
      <c r="AH30">
        <f t="shared" si="3"/>
        <v>65718.209514209244</v>
      </c>
      <c r="AI30">
        <f t="shared" si="3"/>
        <v>61775.11694335669</v>
      </c>
      <c r="AJ30">
        <f t="shared" si="3"/>
        <v>58068.609926755293</v>
      </c>
      <c r="AK30">
        <f t="shared" si="3"/>
        <v>54584.493331149977</v>
      </c>
    </row>
    <row r="31" spans="2:37">
      <c r="C31" t="s">
        <v>20</v>
      </c>
      <c r="D31" t="s">
        <v>66</v>
      </c>
      <c r="E31" t="s">
        <v>78</v>
      </c>
      <c r="G31" t="s">
        <v>21</v>
      </c>
      <c r="H31" t="s">
        <v>22</v>
      </c>
      <c r="I31" t="s">
        <v>22</v>
      </c>
      <c r="J31" t="s">
        <v>22</v>
      </c>
      <c r="K31" t="s">
        <v>0</v>
      </c>
      <c r="L31" t="s">
        <v>109</v>
      </c>
      <c r="M31" t="s">
        <v>84</v>
      </c>
      <c r="N31" t="s">
        <v>101</v>
      </c>
      <c r="O31" t="s">
        <v>86</v>
      </c>
      <c r="P31" t="s">
        <v>106</v>
      </c>
      <c r="Q31" t="s">
        <v>116</v>
      </c>
      <c r="R31" t="s">
        <v>23</v>
      </c>
      <c r="S31" t="s">
        <v>127</v>
      </c>
      <c r="T31" t="s">
        <v>215</v>
      </c>
      <c r="U31" t="s">
        <v>28</v>
      </c>
    </row>
    <row r="32" spans="2:37">
      <c r="H32" t="s">
        <v>24</v>
      </c>
      <c r="I32" t="s">
        <v>25</v>
      </c>
      <c r="J32" t="s">
        <v>26</v>
      </c>
      <c r="P32" t="s">
        <v>107</v>
      </c>
      <c r="R32" t="s">
        <v>27</v>
      </c>
      <c r="T32" t="s">
        <v>216</v>
      </c>
      <c r="U32" t="s">
        <v>55</v>
      </c>
    </row>
    <row r="33" spans="2:37">
      <c r="B33" t="s">
        <v>5</v>
      </c>
      <c r="C33" t="s">
        <v>29</v>
      </c>
      <c r="D33" t="s">
        <v>30</v>
      </c>
      <c r="E33" t="s">
        <v>31</v>
      </c>
      <c r="F33" t="s">
        <v>32</v>
      </c>
      <c r="G33" t="s">
        <v>33</v>
      </c>
      <c r="H33" t="s">
        <v>34</v>
      </c>
      <c r="I33" t="s">
        <v>35</v>
      </c>
      <c r="J33" t="s">
        <v>36</v>
      </c>
      <c r="K33" t="s">
        <v>120</v>
      </c>
      <c r="L33" t="s">
        <v>37</v>
      </c>
      <c r="M33" t="s">
        <v>38</v>
      </c>
      <c r="N33" t="s">
        <v>39</v>
      </c>
      <c r="O33" t="s">
        <v>40</v>
      </c>
      <c r="P33" t="s">
        <v>41</v>
      </c>
      <c r="Q33" t="s">
        <v>42</v>
      </c>
      <c r="R33" t="s">
        <v>121</v>
      </c>
      <c r="S33" t="s">
        <v>122</v>
      </c>
      <c r="T33" t="s">
        <v>123</v>
      </c>
      <c r="U33" t="s">
        <v>124</v>
      </c>
    </row>
    <row r="35" spans="2:37">
      <c r="B35">
        <v>2014</v>
      </c>
      <c r="C35">
        <f>J98</f>
        <v>32054</v>
      </c>
      <c r="D35">
        <f>J99</f>
        <v>36146</v>
      </c>
      <c r="E35">
        <f>J100</f>
        <v>237072</v>
      </c>
      <c r="F35">
        <f>J101</f>
        <v>224437</v>
      </c>
      <c r="G35">
        <f t="shared" ref="G35:G43" si="4">+C35+D35+E35+F35</f>
        <v>529709</v>
      </c>
      <c r="H35">
        <v>0</v>
      </c>
      <c r="I35">
        <f t="shared" ref="I35:I43" si="5">H35+G35-K35-L35-M35-N35</f>
        <v>529709</v>
      </c>
      <c r="R35">
        <f>+G11</f>
        <v>8.0600000000000005E-2</v>
      </c>
      <c r="X35" t="s">
        <v>56</v>
      </c>
      <c r="Z35">
        <v>0.06</v>
      </c>
      <c r="AB35">
        <f t="shared" ref="AB35:AK35" si="6">+AA38</f>
        <v>36146</v>
      </c>
      <c r="AC35">
        <f t="shared" si="6"/>
        <v>70123.240000000005</v>
      </c>
      <c r="AD35">
        <f t="shared" si="6"/>
        <v>100977.46560000001</v>
      </c>
      <c r="AE35">
        <f t="shared" si="6"/>
        <v>94918.817664000017</v>
      </c>
      <c r="AF35">
        <f t="shared" si="6"/>
        <v>89223.688604160008</v>
      </c>
      <c r="AG35">
        <f t="shared" si="6"/>
        <v>83870.267287910407</v>
      </c>
      <c r="AH35">
        <f t="shared" si="6"/>
        <v>78838.051250635777</v>
      </c>
      <c r="AI35">
        <f t="shared" si="6"/>
        <v>74107.768175597637</v>
      </c>
      <c r="AJ35">
        <f t="shared" si="6"/>
        <v>69661.302085061776</v>
      </c>
      <c r="AK35">
        <f t="shared" si="6"/>
        <v>65481.623959958073</v>
      </c>
    </row>
    <row r="36" spans="2:37">
      <c r="B36">
        <v>2015</v>
      </c>
      <c r="C36">
        <f>J104</f>
        <v>32054</v>
      </c>
      <c r="D36">
        <f>J105</f>
        <v>36146</v>
      </c>
      <c r="E36">
        <f>J106</f>
        <v>0</v>
      </c>
      <c r="F36">
        <f>J107</f>
        <v>224437</v>
      </c>
      <c r="G36">
        <f t="shared" si="4"/>
        <v>292637</v>
      </c>
      <c r="H36">
        <f>I35</f>
        <v>529709</v>
      </c>
      <c r="I36">
        <f>H36+G36-K36-L36-M36-N36</f>
        <v>647341.40299999993</v>
      </c>
      <c r="J36">
        <f t="shared" ref="J36:J43" si="7">+(H36+I36)/2</f>
        <v>588525.20149999997</v>
      </c>
      <c r="K36">
        <f>(C35+(C36*0.5))*R7</f>
        <v>1067.3982000000001</v>
      </c>
      <c r="L36">
        <f>(D35+(D36*0.5))*R8</f>
        <v>2450.6987999999997</v>
      </c>
      <c r="M36">
        <f>(E35+(E36*0.5))*R9</f>
        <v>59268</v>
      </c>
      <c r="N36">
        <f>(F35+(F36*0.5))*R10</f>
        <v>112218.5</v>
      </c>
      <c r="O36">
        <f>(C35+D35+C36+D36-K36-L36)*R22</f>
        <v>996.61427249999986</v>
      </c>
      <c r="P36">
        <f>+((-AB29-AB37-AB44-AB51)+(K36+L36+M36+N36))*0.269/(1-0.269)</f>
        <v>-145906.70507113545</v>
      </c>
      <c r="Q36" t="e">
        <f>K127</f>
        <v>#REF!</v>
      </c>
      <c r="R36">
        <f>+J36*$R$35</f>
        <v>47435.131240900002</v>
      </c>
      <c r="S36" t="e">
        <f>SUM(K36:R36)</f>
        <v>#REF!</v>
      </c>
      <c r="T36" t="e">
        <f t="shared" ref="T36:T43" si="8">+S36-S35</f>
        <v>#REF!</v>
      </c>
      <c r="U36">
        <f t="shared" ref="U36:U43" si="9">+J36*$I$54*$H$54</f>
        <v>21422.3173346</v>
      </c>
      <c r="X36" t="s">
        <v>11</v>
      </c>
      <c r="AA36">
        <f>D35</f>
        <v>36146</v>
      </c>
      <c r="AB36">
        <f>D36</f>
        <v>36146</v>
      </c>
      <c r="AC36">
        <f>D37</f>
        <v>36146</v>
      </c>
      <c r="AD36">
        <f>D38</f>
        <v>0</v>
      </c>
      <c r="AE36">
        <f>D39</f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</row>
    <row r="37" spans="2:37">
      <c r="B37">
        <f>+B36+1</f>
        <v>2016</v>
      </c>
      <c r="C37">
        <f>O98</f>
        <v>32054</v>
      </c>
      <c r="D37">
        <f>O99</f>
        <v>36146</v>
      </c>
      <c r="E37">
        <f>O100</f>
        <v>0</v>
      </c>
      <c r="F37">
        <f>O101</f>
        <v>174436</v>
      </c>
      <c r="G37">
        <f t="shared" si="4"/>
        <v>242636</v>
      </c>
      <c r="H37">
        <f>+I36</f>
        <v>647341.40299999993</v>
      </c>
      <c r="I37">
        <f t="shared" si="5"/>
        <v>646148.57466666657</v>
      </c>
      <c r="J37">
        <f t="shared" si="7"/>
        <v>646744.98883333325</v>
      </c>
      <c r="K37">
        <f>(C35+C36+(C37*0.5))*R7</f>
        <v>1778.9970000000001</v>
      </c>
      <c r="L37">
        <f>(D35+D36+(D37*0.5))*R8</f>
        <v>4084.4979999999996</v>
      </c>
      <c r="M37">
        <f>(E35+E36+(E37*0.5))*R9</f>
        <v>59268</v>
      </c>
      <c r="N37">
        <f>(F35*R10)+(F36*R10)+(F37*0.5*R10)</f>
        <v>178697.33333333331</v>
      </c>
      <c r="O37">
        <f>(C35+D35+C36+D36+C37+D37-K36-L36-K37-L37)*R22</f>
        <v>1464.13806</v>
      </c>
      <c r="P37">
        <f>+((-AC29-AC37-AC44-AC51)+(K37+L37+M37+N37))*0.269/(1-0.269)</f>
        <v>-21758.328725490199</v>
      </c>
      <c r="Q37" t="e">
        <f>L127</f>
        <v>#REF!</v>
      </c>
      <c r="R37">
        <f t="shared" ref="R37:R43" si="10">+J37*$R$35</f>
        <v>52127.64609996666</v>
      </c>
      <c r="S37" t="e">
        <f t="shared" ref="S37:S43" si="11">SUM(K37:R37)</f>
        <v>#REF!</v>
      </c>
      <c r="T37" t="e">
        <f t="shared" si="8"/>
        <v>#REF!</v>
      </c>
      <c r="U37">
        <f t="shared" si="9"/>
        <v>23541.517593533332</v>
      </c>
      <c r="X37" t="s">
        <v>12</v>
      </c>
      <c r="AB37">
        <f>((AB35+AB36)/2)*$Z$35</f>
        <v>2168.7599999999998</v>
      </c>
      <c r="AC37">
        <f t="shared" ref="AC37:AK37" si="12">(AC35+(AC36/2))*$Z$35</f>
        <v>5291.7744000000002</v>
      </c>
      <c r="AD37">
        <f t="shared" si="12"/>
        <v>6058.6479360000003</v>
      </c>
      <c r="AE37">
        <f t="shared" si="12"/>
        <v>5695.129059840001</v>
      </c>
      <c r="AF37">
        <f t="shared" si="12"/>
        <v>5353.4213162496007</v>
      </c>
      <c r="AG37">
        <f t="shared" si="12"/>
        <v>5032.2160372746239</v>
      </c>
      <c r="AH37">
        <f t="shared" si="12"/>
        <v>4730.2830750381463</v>
      </c>
      <c r="AI37">
        <f t="shared" si="12"/>
        <v>4446.4660905358578</v>
      </c>
      <c r="AJ37">
        <f t="shared" si="12"/>
        <v>4179.6781251037064</v>
      </c>
      <c r="AK37">
        <f t="shared" si="12"/>
        <v>3928.8974375974844</v>
      </c>
    </row>
    <row r="38" spans="2:37">
      <c r="B38">
        <f>+B37+1</f>
        <v>2017</v>
      </c>
      <c r="C38">
        <f>O104</f>
        <v>0</v>
      </c>
      <c r="D38">
        <f>O105</f>
        <v>0</v>
      </c>
      <c r="E38">
        <f>O106</f>
        <v>0</v>
      </c>
      <c r="F38">
        <f>O107</f>
        <v>0</v>
      </c>
      <c r="G38">
        <f t="shared" si="4"/>
        <v>0</v>
      </c>
      <c r="H38">
        <f>I37</f>
        <v>646148.57466666657</v>
      </c>
      <c r="I38">
        <f t="shared" si="5"/>
        <v>372074.38066666655</v>
      </c>
      <c r="J38">
        <f t="shared" si="7"/>
        <v>509111.47766666656</v>
      </c>
      <c r="K38">
        <f>(C35+C36++C37+(C38*0.5))*R7</f>
        <v>2134.7964000000002</v>
      </c>
      <c r="L38">
        <f>(D35+D36++D37+(D38*0.5))*R8</f>
        <v>4901.3975999999993</v>
      </c>
      <c r="M38">
        <f>(E35+E36+E37+(E38*0.5))*R9</f>
        <v>59268</v>
      </c>
      <c r="N38">
        <f>(F35*R10)+(F36*R10)+(F37*R10)+(F38*0.5*R10)</f>
        <v>207770</v>
      </c>
      <c r="O38">
        <f>(C35+D35+C36+D36+C37+D37+C38+D38-K36-L36-K37-L37-K38-L38)*R22</f>
        <v>1411.3666049999999</v>
      </c>
      <c r="P38">
        <f>+((-AD29-AD37-AD44-AD51)+(K38+L38+M38+N38))*0.269/(1-0.269)</f>
        <v>96649.669730779773</v>
      </c>
      <c r="Q38" t="e">
        <f>M127</f>
        <v>#REF!</v>
      </c>
      <c r="R38">
        <f t="shared" si="10"/>
        <v>41034.38509993333</v>
      </c>
      <c r="S38" t="e">
        <f t="shared" si="11"/>
        <v>#REF!</v>
      </c>
      <c r="T38" t="e">
        <f t="shared" si="8"/>
        <v>#REF!</v>
      </c>
      <c r="U38">
        <f t="shared" si="9"/>
        <v>18531.657787066662</v>
      </c>
      <c r="X38" t="s">
        <v>19</v>
      </c>
      <c r="AA38">
        <f>+AA36-AA37</f>
        <v>36146</v>
      </c>
      <c r="AB38">
        <f t="shared" ref="AB38:AK38" si="13">+AB35+AB36-AB37</f>
        <v>70123.240000000005</v>
      </c>
      <c r="AC38">
        <f t="shared" si="13"/>
        <v>100977.46560000001</v>
      </c>
      <c r="AD38">
        <f t="shared" si="13"/>
        <v>94918.817664000017</v>
      </c>
      <c r="AE38">
        <f t="shared" si="13"/>
        <v>89223.688604160008</v>
      </c>
      <c r="AF38">
        <f t="shared" si="13"/>
        <v>83870.267287910407</v>
      </c>
      <c r="AG38">
        <f t="shared" si="13"/>
        <v>78838.051250635777</v>
      </c>
      <c r="AH38">
        <f t="shared" si="13"/>
        <v>74107.768175597637</v>
      </c>
      <c r="AI38">
        <f t="shared" si="13"/>
        <v>69661.302085061776</v>
      </c>
      <c r="AJ38">
        <f t="shared" si="13"/>
        <v>65481.623959958073</v>
      </c>
      <c r="AK38">
        <f t="shared" si="13"/>
        <v>61552.726522360586</v>
      </c>
    </row>
    <row r="39" spans="2:37">
      <c r="B39">
        <f>+B38+1</f>
        <v>2018</v>
      </c>
      <c r="C39">
        <v>0</v>
      </c>
      <c r="D39">
        <v>0</v>
      </c>
      <c r="E39">
        <v>0</v>
      </c>
      <c r="F39">
        <v>0</v>
      </c>
      <c r="G39">
        <f t="shared" si="4"/>
        <v>0</v>
      </c>
      <c r="H39">
        <f>+I38</f>
        <v>372074.38066666655</v>
      </c>
      <c r="I39">
        <f t="shared" si="5"/>
        <v>210218.68666666653</v>
      </c>
      <c r="J39">
        <f t="shared" si="7"/>
        <v>291146.53366666654</v>
      </c>
      <c r="K39">
        <f>(C35+C36++C37+C38+(C39*0.5))*R7</f>
        <v>2134.7964000000002</v>
      </c>
      <c r="L39">
        <f>(D35+D36++D37++D38+(D39*0.5))*R8</f>
        <v>4901.3975999999993</v>
      </c>
      <c r="M39">
        <f>(E35+E36+E37+E38+(E39*0.5))*R9</f>
        <v>59268</v>
      </c>
      <c r="N39">
        <f>(F36*0.5*R10)+(F37*R10)+(F38*R10)+(F39*0.5*R10)</f>
        <v>95551.5</v>
      </c>
      <c r="O39">
        <f>(C35+D35+C36+D36+C37+D37+C38+D38+C39+D39-K36-L36-K37-L37-K38-L38-K39-L39)*R22</f>
        <v>1358.5951500000001</v>
      </c>
      <c r="P39">
        <f>+((-AE29-AE37-AE44-AE51)+(K39+L39+M39+N39))*0.269/(1-0.269)</f>
        <v>55606.887893253086</v>
      </c>
      <c r="Q39" t="e">
        <f>N127</f>
        <v>#REF!</v>
      </c>
      <c r="R39">
        <f t="shared" si="10"/>
        <v>23466.410613533324</v>
      </c>
      <c r="S39" t="e">
        <f t="shared" si="11"/>
        <v>#REF!</v>
      </c>
      <c r="T39" t="e">
        <f t="shared" si="8"/>
        <v>#REF!</v>
      </c>
      <c r="U39">
        <f t="shared" si="9"/>
        <v>10597.733825466661</v>
      </c>
    </row>
    <row r="40" spans="2:37">
      <c r="B40">
        <f>+B39+1</f>
        <v>2019</v>
      </c>
      <c r="C40">
        <v>0</v>
      </c>
      <c r="D40">
        <v>0</v>
      </c>
      <c r="E40">
        <v>0</v>
      </c>
      <c r="F40">
        <v>0</v>
      </c>
      <c r="G40">
        <f t="shared" si="4"/>
        <v>0</v>
      </c>
      <c r="H40">
        <f>+I39</f>
        <v>210218.68666666653</v>
      </c>
      <c r="I40">
        <f t="shared" si="5"/>
        <v>174109.82599999988</v>
      </c>
      <c r="J40">
        <f t="shared" si="7"/>
        <v>192164.25633333321</v>
      </c>
      <c r="K40">
        <f>(C35+C36++C37+C38++C39+(C40*0.5))*R7</f>
        <v>2134.7964000000002</v>
      </c>
      <c r="L40">
        <f>(D35+D36++D37++D38+D39+(D40*0.5))*R8</f>
        <v>4901.3975999999993</v>
      </c>
      <c r="M40">
        <f>IF((E35+E36+E37+E38+E39+E40)-M36-M37-M38-M39-((E35+E36+E37+E38+E39+(E40*0.5))*R9)&gt;0,(E35+E36+E37+E38+E39+(E40*0.5))*R9,E35+E36+E37+E38+E39+E40-M36-M37-M38-M39)</f>
        <v>0</v>
      </c>
      <c r="N40">
        <f>(F37*0.5*R10)+(F38*R10)+(F39*R10)+(F40*0.5*R10)</f>
        <v>29072.666666666664</v>
      </c>
      <c r="O40">
        <f>(C35+D35+C36+D36+C37+D37+C38+D38+C39+D39+C40+D40-K36-L36-K37-L37-K38-L38-K39-L39-K40-L40)*R22</f>
        <v>1305.8236950000003</v>
      </c>
      <c r="P40">
        <f>+((-AF29-AF37-AF44-AF51)+(K40+L40+M40+N40))*0.269/(1-0.269)</f>
        <v>9570.6835587732585</v>
      </c>
      <c r="Q40" t="e">
        <f>O127</f>
        <v>#REF!</v>
      </c>
      <c r="R40">
        <f t="shared" si="10"/>
        <v>15488.439060466657</v>
      </c>
      <c r="S40" t="e">
        <f t="shared" si="11"/>
        <v>#REF!</v>
      </c>
      <c r="T40" t="e">
        <f t="shared" si="8"/>
        <v>#REF!</v>
      </c>
      <c r="U40">
        <f t="shared" si="9"/>
        <v>6994.7789305333281</v>
      </c>
    </row>
    <row r="41" spans="2:37">
      <c r="B41">
        <v>2020</v>
      </c>
      <c r="C41">
        <v>0</v>
      </c>
      <c r="D41">
        <v>0</v>
      </c>
      <c r="E41">
        <v>0</v>
      </c>
      <c r="F41">
        <v>0</v>
      </c>
      <c r="G41">
        <f t="shared" si="4"/>
        <v>0</v>
      </c>
      <c r="H41">
        <f>+I40</f>
        <v>174109.82599999988</v>
      </c>
      <c r="I41">
        <f t="shared" si="5"/>
        <v>167073.63199999987</v>
      </c>
      <c r="J41">
        <f t="shared" si="7"/>
        <v>170591.72899999988</v>
      </c>
      <c r="K41">
        <f>(C35+C36++C37+C38+C39+C40+(C41*0.5))*R7</f>
        <v>2134.7964000000002</v>
      </c>
      <c r="L41">
        <f>(D35+D36++D37+D38+D39+D40+(D41*0.5))*R8</f>
        <v>4901.3975999999993</v>
      </c>
      <c r="M41">
        <f>IF((E35+E36+E37+E38+E39+E40+E41)-M36-M37-M38-M39-M40-((E35+E36+E37+E38+E39+E40+(E41*0.5))*R9)&gt;0,(E35+E36+E37+E38+E39+E40+(E41*0.5))*R9,E35+E36+E37+E38+E39+E40+E41-M36-M37-M38-M39-M40)</f>
        <v>0</v>
      </c>
      <c r="N41">
        <f>IF((F35+F36+F37+F38+F39+F40+F41)-N36-N37-N38-N39-N40-((F35+F36++F37+F38+F39+F40+(F41*0.5))*R10)&gt;0,(F35+F36++F37+F38+F39+F40+(F41*0.5))*R10,F35+F36+F37+F38+F39+F40+F41-N36-N37-N38-N39-N40)</f>
        <v>2.1827872842550278E-11</v>
      </c>
      <c r="O41">
        <f>(C35+D35+C36+D36+C37+D37+C38+D38+C39+D39+C40+D40+C41+D41-K36-L36-K37-L37-K38-L38-K39-L39-K40-L40-K41-L41)*R22</f>
        <v>1253.0522400000002</v>
      </c>
      <c r="P41">
        <f>+((-AG29-AG37-AG44-AG51)+(K41+L41+M41+N41))*0.269/(1-0.269)</f>
        <v>-904.72068618039657</v>
      </c>
      <c r="Q41" t="e">
        <f>P127</f>
        <v>#REF!</v>
      </c>
      <c r="R41">
        <f t="shared" si="10"/>
        <v>13749.69335739999</v>
      </c>
      <c r="S41" t="e">
        <f t="shared" si="11"/>
        <v>#REF!</v>
      </c>
      <c r="T41" t="e">
        <f t="shared" si="8"/>
        <v>#REF!</v>
      </c>
      <c r="U41">
        <f t="shared" si="9"/>
        <v>6209.538935599996</v>
      </c>
    </row>
    <row r="42" spans="2:37">
      <c r="B42">
        <v>2021</v>
      </c>
      <c r="C42">
        <v>0</v>
      </c>
      <c r="D42">
        <v>0</v>
      </c>
      <c r="E42">
        <v>0</v>
      </c>
      <c r="F42">
        <v>0</v>
      </c>
      <c r="G42">
        <f t="shared" si="4"/>
        <v>0</v>
      </c>
      <c r="H42">
        <f>+I41</f>
        <v>167073.63199999987</v>
      </c>
      <c r="I42">
        <f t="shared" si="5"/>
        <v>160037.43799999988</v>
      </c>
      <c r="J42">
        <f t="shared" si="7"/>
        <v>163555.53499999986</v>
      </c>
      <c r="K42">
        <f>(C35+C36++C37+C38+C39+C40+C41+(C42*0.5))*R7</f>
        <v>2134.7964000000002</v>
      </c>
      <c r="L42">
        <f>(D35+D36++D37+D38+D39+D40+D41+(D42*0.5))*R8</f>
        <v>4901.3975999999993</v>
      </c>
      <c r="M42">
        <f>IF((E35+E36+E37+E38+E39+E40+E41+E42)-M36-M37-M38-M39-M40--M41-((E35+E36+E37+E38+E39+E40+E41+(E42*0.5))*R9)&gt;0,(E35+E36+E37+E38+E39+E40+E41+(E42*0.5))*R9,E35+E36+E37+E38+E39+E40+E41+E42-M36-M37-M38-M39-M40-M41)</f>
        <v>0</v>
      </c>
      <c r="N42">
        <f>IF((F35+F36+F37+F38+F39+F40+F41+F42)-N36-N37-N38-N39-N40-N41-((F35+F36++F37+F38+F39+F40+F41+(F42*0.5))*R10)&gt;0,(F35+F36++F37+F38+F39+F40+F41+(F42*0.5))*R10,F35+F36+F37+F38+F39+F40+F41+F42-N36-N37-N38-N39-N40-N41)</f>
        <v>0</v>
      </c>
      <c r="O42">
        <f>(C35+D35+C36+D36+C37+D37+C38+D38+C39+D39+C40+D40+C41+D41+C42+D42-K36-L36-K37-L37-K38-L38-K39-L39-K40-L40-K41-L41-K42-L42)*R22</f>
        <v>1200.2807850000004</v>
      </c>
      <c r="P42">
        <f>+((-AH29-AH37-AH44-AH51)+(K42+L42+M42+N42))*0.269/(1-0.269)</f>
        <v>-695.08290169904672</v>
      </c>
      <c r="Q42" t="e">
        <f>Q127</f>
        <v>#REF!</v>
      </c>
      <c r="R42">
        <f t="shared" si="10"/>
        <v>13182.576120999989</v>
      </c>
      <c r="S42" t="e">
        <f t="shared" si="11"/>
        <v>#REF!</v>
      </c>
      <c r="T42" t="e">
        <f t="shared" si="8"/>
        <v>#REF!</v>
      </c>
      <c r="U42">
        <f t="shared" si="9"/>
        <v>5953.4214739999952</v>
      </c>
      <c r="X42" t="s">
        <v>88</v>
      </c>
      <c r="Z42">
        <v>1</v>
      </c>
      <c r="AB42">
        <f t="shared" ref="AB42:AJ42" si="14">+AA45</f>
        <v>237072</v>
      </c>
      <c r="AC42">
        <f t="shared" si="14"/>
        <v>118536</v>
      </c>
      <c r="AD42">
        <f t="shared" si="14"/>
        <v>0</v>
      </c>
      <c r="AE42">
        <f t="shared" si="14"/>
        <v>0</v>
      </c>
      <c r="AF42">
        <f t="shared" si="14"/>
        <v>0</v>
      </c>
      <c r="AG42">
        <f t="shared" si="14"/>
        <v>0</v>
      </c>
      <c r="AH42">
        <f t="shared" si="14"/>
        <v>0</v>
      </c>
      <c r="AI42">
        <f t="shared" si="14"/>
        <v>0</v>
      </c>
      <c r="AJ42">
        <f t="shared" si="14"/>
        <v>0</v>
      </c>
    </row>
    <row r="43" spans="2:37">
      <c r="B43">
        <v>2022</v>
      </c>
      <c r="C43">
        <v>0</v>
      </c>
      <c r="D43">
        <v>0</v>
      </c>
      <c r="E43">
        <v>0</v>
      </c>
      <c r="F43">
        <v>0</v>
      </c>
      <c r="G43">
        <f t="shared" si="4"/>
        <v>0</v>
      </c>
      <c r="H43">
        <f>+I42</f>
        <v>160037.43799999988</v>
      </c>
      <c r="I43">
        <f t="shared" si="5"/>
        <v>153001.24399999989</v>
      </c>
      <c r="J43">
        <f t="shared" si="7"/>
        <v>156519.3409999999</v>
      </c>
      <c r="K43">
        <f>(C35+C36++C37+C38+C39+C40+C41+C42+(C43*0.5))*R7</f>
        <v>2134.7964000000002</v>
      </c>
      <c r="L43">
        <f>(D35+D36++D37+D38+D39+D40+D41+D42+(D43*0.5))*R8</f>
        <v>4901.3975999999993</v>
      </c>
      <c r="M43">
        <f>IF((E35+E36+E37+E38+E39+E40+E41+E42+E43)-M36-M37-M38-M39-M40--M41-M42-((E35+E36+E37+E38+E39+E40+E41+E42+(E43*0.5))*R9)&gt;0,(E35+E36+E37+E38+E39+E40+E41+E42+(E43*0.5))*R9,E35+E36+E37+E38+E39+E40+E41+E42+E43-M36-M37-M38-M39-M40-M41-M42)</f>
        <v>0</v>
      </c>
      <c r="N43">
        <f>IF((F35+F36+F37+F38+F39+F40+F41+F42+F43)-N36-N37-N38-N39-N40-N41-N42-((F35+F36++F37+F38+F39+F40+F41+F42+(F43*0.5))*R10)&gt;0,(F35+F36++F37+F38+F39+F40+F41+F42+(F43*0.5))*R10,F35+F36+F37+F38+F39+F40+F41+F42+F43-N36-N37-N38-N39-N40-N41-N42)</f>
        <v>0</v>
      </c>
      <c r="O43">
        <f>(C35+D35+C36+D36+C37+D37+C38+D38+C39+D39+C40+D40+C41+D41+C42+D42+C43+D43-K36-L36-K37-L37-K38-L38-K39-L39-K40-L40-K41-L41-K42-L42-K43-L43)*R22</f>
        <v>1147.5093300000005</v>
      </c>
      <c r="P43">
        <f>+((-AI29-AI37-AI44-AI51)+(K43+L43+M43+N43))*0.269/(1-0.269)</f>
        <v>-498.02338428657032</v>
      </c>
      <c r="Q43" t="e">
        <f>R127</f>
        <v>#REF!</v>
      </c>
      <c r="R43">
        <f t="shared" si="10"/>
        <v>12615.458884599993</v>
      </c>
      <c r="S43" t="e">
        <f t="shared" si="11"/>
        <v>#REF!</v>
      </c>
      <c r="T43" t="e">
        <f t="shared" si="8"/>
        <v>#REF!</v>
      </c>
      <c r="U43">
        <f t="shared" si="9"/>
        <v>5697.3040123999963</v>
      </c>
      <c r="X43" t="s">
        <v>11</v>
      </c>
      <c r="AA43">
        <f>E35</f>
        <v>237072</v>
      </c>
      <c r="AB43">
        <f>E36</f>
        <v>0</v>
      </c>
      <c r="AC43">
        <f>E37</f>
        <v>0</v>
      </c>
      <c r="AD43">
        <f>E38</f>
        <v>0</v>
      </c>
      <c r="AE43">
        <f>E39</f>
        <v>0</v>
      </c>
      <c r="AF43">
        <f>F39</f>
        <v>0</v>
      </c>
      <c r="AG43">
        <f>G39</f>
        <v>0</v>
      </c>
      <c r="AH43">
        <v>0</v>
      </c>
      <c r="AI43">
        <v>0</v>
      </c>
      <c r="AJ43">
        <v>0</v>
      </c>
    </row>
    <row r="44" spans="2:37">
      <c r="X44" t="s">
        <v>12</v>
      </c>
      <c r="AB44">
        <f>((AB42+AB43)/2)*$Z$42</f>
        <v>118536</v>
      </c>
      <c r="AC44">
        <f t="shared" ref="AC44:AJ44" si="15">(AC42+(AC43/2))*$Z$42</f>
        <v>118536</v>
      </c>
      <c r="AD44">
        <f t="shared" si="15"/>
        <v>0</v>
      </c>
      <c r="AE44">
        <f t="shared" si="15"/>
        <v>0</v>
      </c>
      <c r="AF44">
        <f t="shared" si="15"/>
        <v>0</v>
      </c>
      <c r="AG44">
        <f t="shared" si="15"/>
        <v>0</v>
      </c>
      <c r="AH44">
        <f t="shared" si="15"/>
        <v>0</v>
      </c>
      <c r="AI44">
        <f t="shared" si="15"/>
        <v>0</v>
      </c>
      <c r="AJ44">
        <f t="shared" si="15"/>
        <v>0</v>
      </c>
    </row>
    <row r="45" spans="2:37">
      <c r="X45" t="s">
        <v>19</v>
      </c>
      <c r="AA45">
        <f>+AA43-AA44</f>
        <v>237072</v>
      </c>
      <c r="AB45">
        <f t="shared" ref="AB45:AJ45" si="16">+AB42+AB43-AB44</f>
        <v>118536</v>
      </c>
      <c r="AC45">
        <f t="shared" si="16"/>
        <v>0</v>
      </c>
      <c r="AD45">
        <f t="shared" si="16"/>
        <v>0</v>
      </c>
      <c r="AE45">
        <f t="shared" si="16"/>
        <v>0</v>
      </c>
      <c r="AF45">
        <f t="shared" si="16"/>
        <v>0</v>
      </c>
      <c r="AG45">
        <f t="shared" si="16"/>
        <v>0</v>
      </c>
      <c r="AH45">
        <f t="shared" si="16"/>
        <v>0</v>
      </c>
      <c r="AI45">
        <f t="shared" si="16"/>
        <v>0</v>
      </c>
      <c r="AJ45">
        <f t="shared" si="16"/>
        <v>0</v>
      </c>
    </row>
    <row r="48" spans="2:37">
      <c r="D48" t="s">
        <v>43</v>
      </c>
      <c r="E48" t="s">
        <v>5</v>
      </c>
      <c r="F48" t="s">
        <v>125</v>
      </c>
      <c r="L48" t="s">
        <v>44</v>
      </c>
    </row>
    <row r="49" spans="5:36">
      <c r="I49" t="s">
        <v>45</v>
      </c>
      <c r="K49" t="s">
        <v>44</v>
      </c>
      <c r="L49" t="s">
        <v>46</v>
      </c>
      <c r="X49" t="s">
        <v>195</v>
      </c>
      <c r="Z49">
        <v>1</v>
      </c>
      <c r="AB49">
        <f t="shared" ref="AB49:AJ49" si="17">+AA52</f>
        <v>224437</v>
      </c>
      <c r="AC49">
        <f t="shared" si="17"/>
        <v>0</v>
      </c>
      <c r="AD49">
        <f t="shared" si="17"/>
        <v>0</v>
      </c>
      <c r="AE49">
        <f t="shared" si="17"/>
        <v>0</v>
      </c>
      <c r="AF49">
        <f t="shared" si="17"/>
        <v>0</v>
      </c>
      <c r="AG49">
        <f t="shared" si="17"/>
        <v>0</v>
      </c>
      <c r="AH49">
        <f t="shared" si="17"/>
        <v>0</v>
      </c>
      <c r="AI49">
        <f t="shared" si="17"/>
        <v>0</v>
      </c>
      <c r="AJ49">
        <f t="shared" si="17"/>
        <v>0</v>
      </c>
    </row>
    <row r="50" spans="5:36">
      <c r="H50" t="s">
        <v>47</v>
      </c>
      <c r="I50" t="s">
        <v>225</v>
      </c>
      <c r="J50" t="s">
        <v>48</v>
      </c>
      <c r="K50" t="s">
        <v>49</v>
      </c>
      <c r="L50" t="s">
        <v>49</v>
      </c>
      <c r="X50" t="s">
        <v>11</v>
      </c>
      <c r="AA50">
        <f>F35</f>
        <v>224437</v>
      </c>
      <c r="AB50">
        <f>F36</f>
        <v>224437</v>
      </c>
      <c r="AC50">
        <f>F37</f>
        <v>174436</v>
      </c>
      <c r="AD50">
        <f>F38</f>
        <v>0</v>
      </c>
      <c r="AE50">
        <f>F39</f>
        <v>0</v>
      </c>
      <c r="AF50">
        <f>G39</f>
        <v>0</v>
      </c>
      <c r="AG50">
        <v>0</v>
      </c>
      <c r="AH50">
        <v>0</v>
      </c>
      <c r="AI50">
        <v>0</v>
      </c>
      <c r="AJ50">
        <v>0</v>
      </c>
    </row>
    <row r="51" spans="5:36">
      <c r="H51" t="s">
        <v>5</v>
      </c>
      <c r="I51" t="s">
        <v>29</v>
      </c>
      <c r="J51" t="s">
        <v>30</v>
      </c>
      <c r="K51" t="s">
        <v>31</v>
      </c>
      <c r="L51" t="s">
        <v>50</v>
      </c>
      <c r="X51" t="s">
        <v>102</v>
      </c>
      <c r="AB51">
        <f>+AB49+AB50</f>
        <v>448874</v>
      </c>
      <c r="AC51">
        <f>+AC50</f>
        <v>174436</v>
      </c>
      <c r="AD51">
        <f t="shared" ref="AD51:AJ51" si="18">+AD50</f>
        <v>0</v>
      </c>
      <c r="AE51">
        <f t="shared" si="18"/>
        <v>0</v>
      </c>
      <c r="AF51">
        <f t="shared" si="18"/>
        <v>0</v>
      </c>
      <c r="AG51">
        <f t="shared" si="18"/>
        <v>0</v>
      </c>
      <c r="AH51">
        <f t="shared" si="18"/>
        <v>0</v>
      </c>
      <c r="AI51">
        <f t="shared" si="18"/>
        <v>0</v>
      </c>
      <c r="AJ51">
        <f t="shared" si="18"/>
        <v>0</v>
      </c>
    </row>
    <row r="52" spans="5:36">
      <c r="F52" t="s">
        <v>51</v>
      </c>
      <c r="H52">
        <v>0.55000000000000004</v>
      </c>
      <c r="I52">
        <v>5.3199999999999997E-2</v>
      </c>
      <c r="K52">
        <f>+I52</f>
        <v>5.3199999999999997E-2</v>
      </c>
      <c r="L52">
        <f>+K52*H52</f>
        <v>2.9260000000000001E-2</v>
      </c>
      <c r="X52" t="s">
        <v>19</v>
      </c>
      <c r="AA52">
        <f>+AA50-AA51</f>
        <v>224437</v>
      </c>
      <c r="AB52">
        <f t="shared" ref="AB52:AJ52" si="19">+AB49+AB50-AB51</f>
        <v>0</v>
      </c>
      <c r="AC52">
        <f t="shared" si="19"/>
        <v>0</v>
      </c>
      <c r="AD52">
        <f t="shared" si="19"/>
        <v>0</v>
      </c>
      <c r="AE52">
        <f t="shared" si="19"/>
        <v>0</v>
      </c>
      <c r="AF52">
        <f t="shared" si="19"/>
        <v>0</v>
      </c>
      <c r="AG52">
        <f t="shared" si="19"/>
        <v>0</v>
      </c>
      <c r="AH52">
        <f t="shared" si="19"/>
        <v>0</v>
      </c>
      <c r="AI52">
        <f t="shared" si="19"/>
        <v>0</v>
      </c>
      <c r="AJ52">
        <f t="shared" si="19"/>
        <v>0</v>
      </c>
    </row>
    <row r="53" spans="5:36">
      <c r="F53" t="s">
        <v>52</v>
      </c>
      <c r="H53">
        <v>0.05</v>
      </c>
      <c r="I53">
        <v>3.1600000000000003E-2</v>
      </c>
      <c r="K53">
        <f>+I53</f>
        <v>3.1600000000000003E-2</v>
      </c>
      <c r="L53">
        <f>+K53*H53</f>
        <v>1.5800000000000002E-3</v>
      </c>
    </row>
    <row r="54" spans="5:36">
      <c r="F54" t="s">
        <v>53</v>
      </c>
      <c r="H54">
        <v>0.4</v>
      </c>
      <c r="I54">
        <v>9.0999999999999998E-2</v>
      </c>
      <c r="J54">
        <v>0.26900000000000002</v>
      </c>
      <c r="K54">
        <f>+I54/(1-J54)</f>
        <v>0.12448700410396717</v>
      </c>
      <c r="L54">
        <f>+K54*H54</f>
        <v>4.9794801641586867E-2</v>
      </c>
      <c r="X54" t="s">
        <v>196</v>
      </c>
    </row>
    <row r="55" spans="5:36" ht="13.5" thickBot="1">
      <c r="L55">
        <f>ROUND(SUM(L52:L54),4)</f>
        <v>8.0600000000000005E-2</v>
      </c>
    </row>
    <row r="56" spans="5:36" ht="13.5" thickTop="1"/>
    <row r="57" spans="5:36">
      <c r="X57" t="s">
        <v>202</v>
      </c>
      <c r="AB57">
        <f>+AB29+AB37+AB44+AB51</f>
        <v>571502</v>
      </c>
      <c r="AC57">
        <f t="shared" ref="AC57:AJ57" si="20">+AC29+AC37+AC44+AC51</f>
        <v>302956.48</v>
      </c>
      <c r="AD57">
        <f t="shared" si="20"/>
        <v>11431.4112</v>
      </c>
      <c r="AE57">
        <f t="shared" si="20"/>
        <v>10745.526528000002</v>
      </c>
      <c r="AF57">
        <f t="shared" si="20"/>
        <v>10100.794936320002</v>
      </c>
      <c r="AG57">
        <f t="shared" si="20"/>
        <v>9494.7472401408013</v>
      </c>
      <c r="AH57">
        <f t="shared" si="20"/>
        <v>8925.062405732353</v>
      </c>
      <c r="AI57">
        <f t="shared" si="20"/>
        <v>8389.5586613884116</v>
      </c>
      <c r="AJ57">
        <f t="shared" si="20"/>
        <v>7886.1851417051075</v>
      </c>
    </row>
    <row r="59" spans="5:36">
      <c r="E59" t="s">
        <v>29</v>
      </c>
      <c r="F59" t="s">
        <v>95</v>
      </c>
    </row>
    <row r="60" spans="5:36">
      <c r="G60" t="s">
        <v>68</v>
      </c>
    </row>
    <row r="61" spans="5:36">
      <c r="G61" t="s">
        <v>96</v>
      </c>
    </row>
    <row r="62" spans="5:36">
      <c r="G62" t="s">
        <v>97</v>
      </c>
    </row>
    <row r="63" spans="5:36">
      <c r="G63" t="s">
        <v>98</v>
      </c>
    </row>
    <row r="64" spans="5:36">
      <c r="F64" t="s">
        <v>61</v>
      </c>
    </row>
    <row r="65" spans="7:17">
      <c r="G65" t="s">
        <v>79</v>
      </c>
    </row>
    <row r="66" spans="7:17">
      <c r="G66" t="s">
        <v>62</v>
      </c>
    </row>
    <row r="67" spans="7:17">
      <c r="I67" t="s">
        <v>59</v>
      </c>
      <c r="J67" t="s">
        <v>60</v>
      </c>
      <c r="M67" t="s">
        <v>60</v>
      </c>
    </row>
    <row r="68" spans="7:17">
      <c r="G68" t="s">
        <v>56</v>
      </c>
      <c r="I68">
        <v>2369.1999999999998</v>
      </c>
      <c r="J68">
        <f>ROUND(M68,0)</f>
        <v>47</v>
      </c>
      <c r="M68">
        <f>I68/$I$70*100</f>
        <v>46.607518737827789</v>
      </c>
    </row>
    <row r="69" spans="7:17">
      <c r="G69" t="s">
        <v>58</v>
      </c>
      <c r="I69">
        <v>2714.1</v>
      </c>
      <c r="J69">
        <f>ROUND(M69,0)</f>
        <v>53</v>
      </c>
      <c r="M69">
        <f>I69/$I$70*100</f>
        <v>53.392481262172218</v>
      </c>
    </row>
    <row r="70" spans="7:17">
      <c r="G70" t="s">
        <v>63</v>
      </c>
      <c r="I70">
        <f>SUM(I68:I69)</f>
        <v>5083.2999999999993</v>
      </c>
      <c r="J70">
        <f>(J68+J69)/100</f>
        <v>1</v>
      </c>
      <c r="M70">
        <f>I70/$I$70</f>
        <v>1</v>
      </c>
    </row>
    <row r="72" spans="7:17">
      <c r="G72" t="s">
        <v>89</v>
      </c>
    </row>
    <row r="73" spans="7:17">
      <c r="G73" t="s">
        <v>91</v>
      </c>
    </row>
    <row r="74" spans="7:17">
      <c r="G74" t="s">
        <v>90</v>
      </c>
    </row>
    <row r="75" spans="7:17" ht="12.75" customHeight="1">
      <c r="G75" t="s">
        <v>108</v>
      </c>
    </row>
    <row r="76" spans="7:17" ht="12.75" customHeight="1"/>
    <row r="77" spans="7:17">
      <c r="G77" t="s">
        <v>69</v>
      </c>
      <c r="I77" t="s">
        <v>70</v>
      </c>
      <c r="J77" t="s">
        <v>60</v>
      </c>
      <c r="N77" t="s">
        <v>72</v>
      </c>
      <c r="O77" t="s">
        <v>73</v>
      </c>
      <c r="Q77" t="s">
        <v>74</v>
      </c>
    </row>
    <row r="80" spans="7:17">
      <c r="G80" t="s">
        <v>71</v>
      </c>
      <c r="I80">
        <f>'GI-34 doc 3 page 1 de 2'!I105*1.1</f>
        <v>264000</v>
      </c>
      <c r="J80">
        <f>ROUND(M80,0)</f>
        <v>23</v>
      </c>
      <c r="M80">
        <f>I80/I83*100</f>
        <v>23.119160003853192</v>
      </c>
      <c r="O80">
        <f>I80*0.102</f>
        <v>26928</v>
      </c>
      <c r="Q80">
        <f>I80-N80-O80</f>
        <v>237072</v>
      </c>
    </row>
    <row r="81" spans="7:18">
      <c r="G81" t="s">
        <v>99</v>
      </c>
      <c r="I81">
        <f>'GI-34 doc 3 page 1 de 2'!I106*1.1</f>
        <v>204600.00000000003</v>
      </c>
      <c r="J81">
        <f>ROUND(M81,0)</f>
        <v>18</v>
      </c>
      <c r="M81">
        <f>I81/I83*100</f>
        <v>17.917349002986228</v>
      </c>
      <c r="Q81">
        <f>I81-N81-O81</f>
        <v>204600.00000000003</v>
      </c>
    </row>
    <row r="82" spans="7:18">
      <c r="G82" t="s">
        <v>100</v>
      </c>
      <c r="I82">
        <f>'GI-34 doc 3 page 1 de 2'!I107*1.1</f>
        <v>673310</v>
      </c>
      <c r="J82">
        <f>ROUND(M82,0)</f>
        <v>59</v>
      </c>
      <c r="M82">
        <f>I82/I83*100</f>
        <v>58.963490993160583</v>
      </c>
      <c r="N82">
        <v>50000</v>
      </c>
      <c r="Q82">
        <f>I82-N82-O82</f>
        <v>623310</v>
      </c>
    </row>
    <row r="83" spans="7:18">
      <c r="I83">
        <f>SUM(I80:I82)</f>
        <v>1141910</v>
      </c>
      <c r="J83">
        <f>M83</f>
        <v>1</v>
      </c>
      <c r="M83">
        <f>SUM(M80:M82)/100</f>
        <v>1</v>
      </c>
      <c r="N83">
        <f>SUM(N80:N82)</f>
        <v>50000</v>
      </c>
      <c r="O83">
        <f>SUM(O80:O82)</f>
        <v>26928</v>
      </c>
      <c r="Q83">
        <f>SUM(Q80:Q82)</f>
        <v>1064982</v>
      </c>
    </row>
    <row r="85" spans="7:18">
      <c r="N85" t="s">
        <v>221</v>
      </c>
      <c r="Q85">
        <f>(I80*(1-0.102))-50000+I81+I82</f>
        <v>1064982</v>
      </c>
      <c r="R85" t="s">
        <v>75</v>
      </c>
    </row>
    <row r="87" spans="7:18">
      <c r="G87" t="s">
        <v>76</v>
      </c>
    </row>
    <row r="88" spans="7:18">
      <c r="H88" t="s">
        <v>93</v>
      </c>
      <c r="M88" t="s">
        <v>94</v>
      </c>
    </row>
    <row r="89" spans="7:18">
      <c r="H89" t="s">
        <v>2</v>
      </c>
      <c r="I89">
        <f>Q81*J68/100</f>
        <v>96162.000000000015</v>
      </c>
      <c r="M89" t="s">
        <v>2</v>
      </c>
      <c r="N89">
        <f>(Q81+0)*J68/100</f>
        <v>96162.000000000015</v>
      </c>
    </row>
    <row r="90" spans="7:18">
      <c r="H90" t="s">
        <v>64</v>
      </c>
      <c r="I90">
        <f>Q81*J69/100</f>
        <v>108438.00000000001</v>
      </c>
      <c r="M90" t="s">
        <v>64</v>
      </c>
      <c r="N90">
        <f>(Q81+0)*J69/100</f>
        <v>108438.00000000001</v>
      </c>
    </row>
    <row r="91" spans="7:18">
      <c r="H91" t="s">
        <v>67</v>
      </c>
      <c r="I91">
        <f>Q80</f>
        <v>237072</v>
      </c>
      <c r="M91" t="s">
        <v>67</v>
      </c>
      <c r="N91">
        <f>Q80</f>
        <v>237072</v>
      </c>
    </row>
    <row r="92" spans="7:18">
      <c r="H92" t="s">
        <v>101</v>
      </c>
      <c r="I92">
        <f>Q82</f>
        <v>623310</v>
      </c>
      <c r="M92" t="s">
        <v>101</v>
      </c>
      <c r="N92">
        <f>Q82+50000</f>
        <v>673310</v>
      </c>
    </row>
    <row r="93" spans="7:18">
      <c r="I93">
        <f>SUM(I89:I92)</f>
        <v>1064982</v>
      </c>
      <c r="N93">
        <f>SUM(N89:N92)</f>
        <v>1114982</v>
      </c>
      <c r="O93" t="s">
        <v>222</v>
      </c>
      <c r="P93">
        <f>Q83+N83</f>
        <v>1114982</v>
      </c>
      <c r="Q93" t="s">
        <v>75</v>
      </c>
    </row>
    <row r="95" spans="7:18">
      <c r="G95" t="s">
        <v>92</v>
      </c>
    </row>
    <row r="96" spans="7:18">
      <c r="G96" t="s">
        <v>128</v>
      </c>
    </row>
    <row r="97" spans="7:18">
      <c r="G97" t="s">
        <v>82</v>
      </c>
    </row>
    <row r="98" spans="7:18">
      <c r="G98">
        <v>2014</v>
      </c>
      <c r="I98" t="s">
        <v>2</v>
      </c>
      <c r="J98">
        <f>ROUND(($N$89/3),0)</f>
        <v>32054</v>
      </c>
      <c r="L98">
        <v>2016</v>
      </c>
      <c r="N98" t="s">
        <v>2</v>
      </c>
      <c r="O98">
        <f>ROUND(($N$89/3),0)</f>
        <v>32054</v>
      </c>
    </row>
    <row r="99" spans="7:18">
      <c r="I99" t="s">
        <v>64</v>
      </c>
      <c r="J99">
        <f>ROUND(($N$90/3),0)</f>
        <v>36146</v>
      </c>
      <c r="N99" t="s">
        <v>64</v>
      </c>
      <c r="O99">
        <f>ROUND(($N$90/3),0)</f>
        <v>36146</v>
      </c>
    </row>
    <row r="100" spans="7:18">
      <c r="I100" t="s">
        <v>67</v>
      </c>
      <c r="J100">
        <f>I91</f>
        <v>237072</v>
      </c>
      <c r="N100" t="s">
        <v>67</v>
      </c>
      <c r="O100">
        <v>0</v>
      </c>
    </row>
    <row r="101" spans="7:18">
      <c r="H101" t="s">
        <v>101</v>
      </c>
      <c r="J101">
        <f>ROUND(($N$92/3),0)</f>
        <v>224437</v>
      </c>
      <c r="M101" t="s">
        <v>101</v>
      </c>
      <c r="O101">
        <f>I92-J107-J101</f>
        <v>174436</v>
      </c>
    </row>
    <row r="102" spans="7:18">
      <c r="J102">
        <f>SUM(J98:J101)</f>
        <v>529709</v>
      </c>
      <c r="O102">
        <f>SUM(O98:O101)</f>
        <v>242636</v>
      </c>
    </row>
    <row r="104" spans="7:18">
      <c r="G104">
        <v>2015</v>
      </c>
      <c r="I104" t="s">
        <v>2</v>
      </c>
      <c r="J104">
        <f>ROUND(($N$89/3),0)</f>
        <v>32054</v>
      </c>
      <c r="L104">
        <v>2017</v>
      </c>
      <c r="N104" t="s">
        <v>2</v>
      </c>
      <c r="O104">
        <f>I89-J98-J104-O98</f>
        <v>0</v>
      </c>
    </row>
    <row r="105" spans="7:18">
      <c r="I105" t="s">
        <v>64</v>
      </c>
      <c r="J105">
        <f>ROUND(($N$90/3),0)</f>
        <v>36146</v>
      </c>
      <c r="N105" t="s">
        <v>64</v>
      </c>
      <c r="O105">
        <f>I90-J99-J105-O99</f>
        <v>0</v>
      </c>
    </row>
    <row r="106" spans="7:18">
      <c r="I106" t="s">
        <v>67</v>
      </c>
      <c r="J106">
        <v>0</v>
      </c>
      <c r="N106" t="s">
        <v>67</v>
      </c>
      <c r="O106">
        <v>0</v>
      </c>
    </row>
    <row r="107" spans="7:18">
      <c r="H107" t="s">
        <v>101</v>
      </c>
      <c r="J107">
        <f>ROUND(($N$92/3),0)</f>
        <v>224437</v>
      </c>
      <c r="M107" t="s">
        <v>101</v>
      </c>
      <c r="O107">
        <f>I92-J107-O101-J101</f>
        <v>0</v>
      </c>
    </row>
    <row r="108" spans="7:18">
      <c r="J108">
        <f>SUM(J104:J107)</f>
        <v>292637</v>
      </c>
      <c r="O108">
        <f>SUM(O104:O107)</f>
        <v>0</v>
      </c>
    </row>
    <row r="110" spans="7:18">
      <c r="M110" t="s">
        <v>83</v>
      </c>
      <c r="O110">
        <f>J102+J108+O102+O108</f>
        <v>1064982</v>
      </c>
      <c r="P110" t="s">
        <v>119</v>
      </c>
      <c r="R110" t="s">
        <v>75</v>
      </c>
    </row>
    <row r="112" spans="7:18">
      <c r="G112" t="s">
        <v>181</v>
      </c>
    </row>
    <row r="113" spans="7:18">
      <c r="G113" t="s">
        <v>182</v>
      </c>
    </row>
    <row r="114" spans="7:18">
      <c r="G114" t="s">
        <v>183</v>
      </c>
    </row>
    <row r="116" spans="7:18">
      <c r="I116" t="s">
        <v>184</v>
      </c>
      <c r="K116">
        <v>2015</v>
      </c>
      <c r="L116">
        <v>2016</v>
      </c>
      <c r="M116">
        <v>2017</v>
      </c>
      <c r="N116">
        <v>2018</v>
      </c>
      <c r="O116">
        <v>2019</v>
      </c>
      <c r="P116">
        <v>2020</v>
      </c>
      <c r="Q116">
        <v>2021</v>
      </c>
      <c r="R116">
        <v>2022</v>
      </c>
    </row>
    <row r="117" spans="7:18">
      <c r="G117" t="s">
        <v>185</v>
      </c>
    </row>
    <row r="119" spans="7:18">
      <c r="G119" t="s">
        <v>186</v>
      </c>
      <c r="K119" t="e">
        <f>'GI-34 doc 3 page 1 de 2'!#REF!*1.1</f>
        <v>#REF!</v>
      </c>
      <c r="L119" t="e">
        <f>'GI-34 doc 3 page 1 de 2'!#REF!*1.1</f>
        <v>#REF!</v>
      </c>
      <c r="M119" t="e">
        <f>'GI-34 doc 3 page 1 de 2'!#REF!*1.1</f>
        <v>#REF!</v>
      </c>
      <c r="N119" t="e">
        <f>'GI-34 doc 3 page 1 de 2'!#REF!*1.1</f>
        <v>#REF!</v>
      </c>
      <c r="O119" t="e">
        <f>'GI-34 doc 3 page 1 de 2'!#REF!*1.1</f>
        <v>#REF!</v>
      </c>
      <c r="P119" t="e">
        <f>'GI-34 doc 3 page 1 de 2'!#REF!*1.1</f>
        <v>#REF!</v>
      </c>
      <c r="Q119" t="e">
        <f>'GI-34 doc 3 page 1 de 2'!#REF!*1.1</f>
        <v>#REF!</v>
      </c>
      <c r="R119" t="e">
        <f>'GI-34 doc 3 page 1 de 2'!#REF!*1.1</f>
        <v>#REF!</v>
      </c>
    </row>
    <row r="120" spans="7:18">
      <c r="G120" t="s">
        <v>187</v>
      </c>
      <c r="K120" t="e">
        <f>'GI-34 doc 3 page 1 de 2'!#REF!*1.1</f>
        <v>#REF!</v>
      </c>
      <c r="L120" t="e">
        <f>'GI-34 doc 3 page 1 de 2'!#REF!*1.1</f>
        <v>#REF!</v>
      </c>
      <c r="M120" t="e">
        <f>'GI-34 doc 3 page 1 de 2'!#REF!*1.1</f>
        <v>#REF!</v>
      </c>
      <c r="N120" t="e">
        <f>'GI-34 doc 3 page 1 de 2'!#REF!*1.1</f>
        <v>#REF!</v>
      </c>
      <c r="O120" t="e">
        <f>'GI-34 doc 3 page 1 de 2'!#REF!*1.1</f>
        <v>#REF!</v>
      </c>
      <c r="P120" t="e">
        <f>'GI-34 doc 3 page 1 de 2'!#REF!*1.1</f>
        <v>#REF!</v>
      </c>
      <c r="Q120" t="e">
        <f>'GI-34 doc 3 page 1 de 2'!#REF!*1.1</f>
        <v>#REF!</v>
      </c>
      <c r="R120" t="e">
        <f>'GI-34 doc 3 page 1 de 2'!#REF!*1.1</f>
        <v>#REF!</v>
      </c>
    </row>
    <row r="121" spans="7:18">
      <c r="G121" t="s">
        <v>190</v>
      </c>
      <c r="K121" t="e">
        <f>'GI-34 doc 3 page 1 de 2'!#REF!*1.1</f>
        <v>#REF!</v>
      </c>
      <c r="L121" t="e">
        <f>'GI-34 doc 3 page 1 de 2'!#REF!*1.1</f>
        <v>#REF!</v>
      </c>
      <c r="M121" t="e">
        <f>'GI-34 doc 3 page 1 de 2'!#REF!*1.1</f>
        <v>#REF!</v>
      </c>
      <c r="N121" t="e">
        <f>'GI-34 doc 3 page 1 de 2'!#REF!*1.1</f>
        <v>#REF!</v>
      </c>
      <c r="O121" t="e">
        <f>'GI-34 doc 3 page 1 de 2'!#REF!*1.1</f>
        <v>#REF!</v>
      </c>
      <c r="P121" t="e">
        <f>'GI-34 doc 3 page 1 de 2'!#REF!*1.1</f>
        <v>#REF!</v>
      </c>
      <c r="Q121" t="e">
        <f>'GI-34 doc 3 page 1 de 2'!#REF!*1.1</f>
        <v>#REF!</v>
      </c>
      <c r="R121" t="e">
        <f>'GI-34 doc 3 page 1 de 2'!#REF!*1.1</f>
        <v>#REF!</v>
      </c>
    </row>
    <row r="122" spans="7:18">
      <c r="G122" t="s">
        <v>191</v>
      </c>
      <c r="K122" t="e">
        <f>SUM(K119:K121)</f>
        <v>#REF!</v>
      </c>
      <c r="L122" t="e">
        <f t="shared" ref="L122:R122" si="21">SUM(L119:L121)</f>
        <v>#REF!</v>
      </c>
      <c r="M122" t="e">
        <f t="shared" si="21"/>
        <v>#REF!</v>
      </c>
      <c r="N122" t="e">
        <f t="shared" si="21"/>
        <v>#REF!</v>
      </c>
      <c r="O122" t="e">
        <f t="shared" si="21"/>
        <v>#REF!</v>
      </c>
      <c r="P122" t="e">
        <f t="shared" si="21"/>
        <v>#REF!</v>
      </c>
      <c r="Q122" t="e">
        <f t="shared" si="21"/>
        <v>#REF!</v>
      </c>
      <c r="R122" t="e">
        <f t="shared" si="21"/>
        <v>#REF!</v>
      </c>
    </row>
    <row r="123" spans="7:18" ht="13.5" thickBot="1">
      <c r="G123" t="s">
        <v>192</v>
      </c>
      <c r="K123" t="e">
        <f>K122*(1-0.102)</f>
        <v>#REF!</v>
      </c>
      <c r="L123" t="e">
        <f t="shared" ref="L123:R123" si="22">L122*(1-0.102)</f>
        <v>#REF!</v>
      </c>
      <c r="M123" t="e">
        <f t="shared" si="22"/>
        <v>#REF!</v>
      </c>
      <c r="N123" t="e">
        <f t="shared" si="22"/>
        <v>#REF!</v>
      </c>
      <c r="O123" t="e">
        <f t="shared" si="22"/>
        <v>#REF!</v>
      </c>
      <c r="P123" t="e">
        <f t="shared" si="22"/>
        <v>#REF!</v>
      </c>
      <c r="Q123" t="e">
        <f t="shared" si="22"/>
        <v>#REF!</v>
      </c>
      <c r="R123" t="e">
        <f t="shared" si="22"/>
        <v>#REF!</v>
      </c>
    </row>
    <row r="124" spans="7:18">
      <c r="G124" t="s">
        <v>188</v>
      </c>
      <c r="K124" t="e">
        <f>'GI-34 doc 3 page 1 de 2'!#REF!*1.1</f>
        <v>#REF!</v>
      </c>
      <c r="L124" t="e">
        <f>'GI-34 doc 3 page 1 de 2'!#REF!*1.1</f>
        <v>#REF!</v>
      </c>
      <c r="M124" t="e">
        <f>'GI-34 doc 3 page 1 de 2'!#REF!*1.1</f>
        <v>#REF!</v>
      </c>
      <c r="N124" t="e">
        <f>'GI-34 doc 3 page 1 de 2'!#REF!*1.1</f>
        <v>#REF!</v>
      </c>
      <c r="O124" t="e">
        <f>'GI-34 doc 3 page 1 de 2'!#REF!*1.1</f>
        <v>#REF!</v>
      </c>
      <c r="P124" t="e">
        <f>'GI-34 doc 3 page 1 de 2'!#REF!*1.1</f>
        <v>#REF!</v>
      </c>
      <c r="Q124" t="e">
        <f>'GI-34 doc 3 page 1 de 2'!#REF!*1.1</f>
        <v>#REF!</v>
      </c>
      <c r="R124" t="e">
        <f>'GI-34 doc 3 page 1 de 2'!#REF!*1.1</f>
        <v>#REF!</v>
      </c>
    </row>
    <row r="125" spans="7:18">
      <c r="G125" t="s">
        <v>189</v>
      </c>
      <c r="K125" t="e">
        <f>'GI-34 doc 3 page 1 de 2'!#REF!*1.1</f>
        <v>#REF!</v>
      </c>
      <c r="L125" t="e">
        <f>'GI-34 doc 3 page 1 de 2'!#REF!*1.1</f>
        <v>#REF!</v>
      </c>
      <c r="M125" t="e">
        <f>'GI-34 doc 3 page 1 de 2'!#REF!*1.1</f>
        <v>#REF!</v>
      </c>
      <c r="N125" t="e">
        <f>'GI-34 doc 3 page 1 de 2'!#REF!*1.1</f>
        <v>#REF!</v>
      </c>
      <c r="O125" t="e">
        <f>'GI-34 doc 3 page 1 de 2'!#REF!*1.1</f>
        <v>#REF!</v>
      </c>
      <c r="P125" t="e">
        <f>'GI-34 doc 3 page 1 de 2'!#REF!*1.1</f>
        <v>#REF!</v>
      </c>
      <c r="Q125" t="e">
        <f>'GI-34 doc 3 page 1 de 2'!#REF!*1.1</f>
        <v>#REF!</v>
      </c>
      <c r="R125" t="e">
        <f>'GI-34 doc 3 page 1 de 2'!#REF!*1.1</f>
        <v>#REF!</v>
      </c>
    </row>
    <row r="126" spans="7:18">
      <c r="G126" t="s">
        <v>194</v>
      </c>
      <c r="K126" t="e">
        <f>'GI-34 doc 3 page 1 de 2'!#REF!*1.1</f>
        <v>#REF!</v>
      </c>
      <c r="L126" t="e">
        <f>'GI-34 doc 3 page 1 de 2'!#REF!*1.1</f>
        <v>#REF!</v>
      </c>
      <c r="M126" t="e">
        <f>'GI-34 doc 3 page 1 de 2'!#REF!*1.1</f>
        <v>#REF!</v>
      </c>
      <c r="N126" t="e">
        <f>'GI-34 doc 3 page 1 de 2'!#REF!*1.1</f>
        <v>#REF!</v>
      </c>
      <c r="O126" t="e">
        <f>'GI-34 doc 3 page 1 de 2'!#REF!*1.1</f>
        <v>#REF!</v>
      </c>
      <c r="P126" t="e">
        <f>'GI-34 doc 3 page 1 de 2'!#REF!*1.1</f>
        <v>#REF!</v>
      </c>
      <c r="Q126" t="e">
        <f>'GI-34 doc 3 page 1 de 2'!#REF!*1.1</f>
        <v>#REF!</v>
      </c>
      <c r="R126" t="e">
        <f>'GI-34 doc 3 page 1 de 2'!#REF!*1.1</f>
        <v>#REF!</v>
      </c>
    </row>
    <row r="127" spans="7:18" ht="13.5" thickBot="1">
      <c r="G127" t="s">
        <v>193</v>
      </c>
      <c r="K127" t="e">
        <f>SUM(K123:K126)</f>
        <v>#REF!</v>
      </c>
      <c r="L127" t="e">
        <f t="shared" ref="L127:R127" si="23">SUM(L123:L126)</f>
        <v>#REF!</v>
      </c>
      <c r="M127" t="e">
        <f t="shared" si="23"/>
        <v>#REF!</v>
      </c>
      <c r="N127" t="e">
        <f t="shared" si="23"/>
        <v>#REF!</v>
      </c>
      <c r="O127" t="e">
        <f t="shared" si="23"/>
        <v>#REF!</v>
      </c>
      <c r="P127" t="e">
        <f t="shared" si="23"/>
        <v>#REF!</v>
      </c>
      <c r="Q127" t="e">
        <f t="shared" si="23"/>
        <v>#REF!</v>
      </c>
      <c r="R127" t="e">
        <f t="shared" si="23"/>
        <v>#REF!</v>
      </c>
    </row>
    <row r="131" spans="5:18">
      <c r="E131" t="s">
        <v>30</v>
      </c>
      <c r="F131" t="s">
        <v>197</v>
      </c>
      <c r="K131">
        <v>2015</v>
      </c>
      <c r="L131">
        <v>2016</v>
      </c>
      <c r="M131">
        <v>2017</v>
      </c>
      <c r="N131">
        <v>2018</v>
      </c>
      <c r="O131">
        <v>2019</v>
      </c>
      <c r="P131">
        <v>2020</v>
      </c>
      <c r="Q131">
        <v>2021</v>
      </c>
      <c r="R131">
        <v>2022</v>
      </c>
    </row>
    <row r="133" spans="5:18">
      <c r="G133" t="s">
        <v>203</v>
      </c>
      <c r="K133">
        <f>+K36+L36+M36+N36</f>
        <v>175004.59700000001</v>
      </c>
      <c r="L133">
        <f>+K37+L37+M37+N37</f>
        <v>243828.82833333331</v>
      </c>
      <c r="M133">
        <f>+K38+L38+M38+N38</f>
        <v>274074.19400000002</v>
      </c>
      <c r="N133">
        <f>+K39+L39+M39+N39</f>
        <v>161855.69400000002</v>
      </c>
      <c r="O133">
        <f>+K40+L40+M40+N40</f>
        <v>36108.86066666666</v>
      </c>
      <c r="P133">
        <f>+K41+L41+M41+N41</f>
        <v>7036.1940000000213</v>
      </c>
      <c r="Q133">
        <f>+K42+L42+M42+N42</f>
        <v>7036.1939999999995</v>
      </c>
      <c r="R133">
        <f>+K43+L43+M43+N43</f>
        <v>7036.1939999999995</v>
      </c>
    </row>
    <row r="134" spans="5:18">
      <c r="G134" t="s">
        <v>198</v>
      </c>
      <c r="K134">
        <f>+AB29+AB37+AB44+AB51</f>
        <v>571502</v>
      </c>
      <c r="L134">
        <f>+AC29+AC37+AC44+AC51</f>
        <v>302956.48</v>
      </c>
      <c r="M134">
        <f t="shared" ref="M134:R134" si="24">+AD29+AD37+AD44+AD51</f>
        <v>11431.4112</v>
      </c>
      <c r="N134">
        <f t="shared" si="24"/>
        <v>10745.526528000002</v>
      </c>
      <c r="O134">
        <f t="shared" si="24"/>
        <v>10100.794936320002</v>
      </c>
      <c r="P134">
        <f t="shared" si="24"/>
        <v>9494.7472401408013</v>
      </c>
      <c r="Q134">
        <f t="shared" si="24"/>
        <v>8925.062405732353</v>
      </c>
      <c r="R134">
        <f t="shared" si="24"/>
        <v>8389.5586613884116</v>
      </c>
    </row>
    <row r="135" spans="5:18">
      <c r="G135" t="s">
        <v>199</v>
      </c>
      <c r="K135">
        <f>+K133-K134</f>
        <v>-396497.40299999999</v>
      </c>
      <c r="L135">
        <f>+L133-L134</f>
        <v>-59127.651666666672</v>
      </c>
      <c r="M135">
        <f t="shared" ref="M135:R135" si="25">+M133-M134</f>
        <v>262642.78280000004</v>
      </c>
      <c r="N135">
        <f t="shared" si="25"/>
        <v>151110.167472</v>
      </c>
      <c r="O135">
        <f t="shared" si="25"/>
        <v>26008.065730346658</v>
      </c>
      <c r="P135">
        <f t="shared" si="25"/>
        <v>-2458.55324014078</v>
      </c>
      <c r="Q135">
        <f t="shared" si="25"/>
        <v>-1888.8684057323535</v>
      </c>
      <c r="R135">
        <f t="shared" si="25"/>
        <v>-1353.3646613884121</v>
      </c>
    </row>
    <row r="136" spans="5:18">
      <c r="G136" t="s">
        <v>200</v>
      </c>
      <c r="J136">
        <v>0.26900000000000002</v>
      </c>
      <c r="K136">
        <f>+K135*$J$136</f>
        <v>-106657.80140700001</v>
      </c>
      <c r="L136">
        <f>+L135*$J$136</f>
        <v>-15905.338298333336</v>
      </c>
      <c r="M136">
        <f t="shared" ref="M136:R136" si="26">+M135*$J$136</f>
        <v>70650.908573200009</v>
      </c>
      <c r="N136">
        <f t="shared" si="26"/>
        <v>40648.635049968005</v>
      </c>
      <c r="O136">
        <f t="shared" si="26"/>
        <v>6996.1696814632514</v>
      </c>
      <c r="P136">
        <f t="shared" si="26"/>
        <v>-661.35082159786987</v>
      </c>
      <c r="Q136">
        <f t="shared" si="26"/>
        <v>-508.10560114200314</v>
      </c>
      <c r="R136">
        <f t="shared" si="26"/>
        <v>-364.05509391348289</v>
      </c>
    </row>
    <row r="137" spans="5:18" ht="13.5" thickBot="1">
      <c r="G137" t="s">
        <v>201</v>
      </c>
      <c r="K137">
        <f>+K136/(1-$J$136)</f>
        <v>-145906.70507113545</v>
      </c>
      <c r="L137">
        <f>+L136/(1-$J$136)</f>
        <v>-21758.328725490199</v>
      </c>
      <c r="M137">
        <f t="shared" ref="M137:R137" si="27">+M136/(1-$J$136)</f>
        <v>96649.669730779773</v>
      </c>
      <c r="N137">
        <f t="shared" si="27"/>
        <v>55606.887893253086</v>
      </c>
      <c r="O137">
        <f t="shared" si="27"/>
        <v>9570.6835587732585</v>
      </c>
      <c r="P137">
        <f t="shared" si="27"/>
        <v>-904.72068618039657</v>
      </c>
      <c r="Q137">
        <f t="shared" si="27"/>
        <v>-695.08290169904672</v>
      </c>
      <c r="R137">
        <f t="shared" si="27"/>
        <v>-498.02338428657032</v>
      </c>
    </row>
    <row r="138" spans="5:18" ht="13.5" thickTop="1"/>
  </sheetData>
  <mergeCells count="2">
    <mergeCell ref="B2:R2"/>
    <mergeCell ref="B3:R3"/>
  </mergeCells>
  <printOptions horizontalCentered="1"/>
  <pageMargins left="0.25" right="0.25" top="0.75" bottom="0.75" header="0.3" footer="0.3"/>
  <pageSetup paperSize="5" scale="41" fitToHeight="2" orientation="landscape" cellComments="asDisplayed" r:id="rId1"/>
  <headerFooter alignWithMargins="0">
    <oddFooter>&amp;R&amp;8&amp;Z&amp;F&amp;F&amp;A</oddFooter>
  </headerFooter>
  <rowBreaks count="1" manualBreakCount="1">
    <brk id="58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66"/>
  </sheetPr>
  <dimension ref="B2:AK138"/>
  <sheetViews>
    <sheetView view="pageBreakPreview" topLeftCell="G17" zoomScale="90" zoomScaleNormal="80" zoomScaleSheetLayoutView="90" workbookViewId="0">
      <selection activeCell="N36" sqref="N36:N40"/>
    </sheetView>
  </sheetViews>
  <sheetFormatPr baseColWidth="10" defaultRowHeight="12.75"/>
  <cols>
    <col min="1" max="1" width="6.140625" customWidth="1"/>
    <col min="2" max="2" width="10" customWidth="1"/>
    <col min="3" max="3" width="13.7109375" customWidth="1"/>
    <col min="4" max="7" width="13.42578125" customWidth="1"/>
    <col min="8" max="8" width="13.7109375" customWidth="1"/>
    <col min="9" max="10" width="13.85546875" customWidth="1"/>
    <col min="11" max="11" width="14.42578125" customWidth="1"/>
    <col min="12" max="15" width="14.5703125" customWidth="1"/>
    <col min="16" max="16" width="15.28515625" customWidth="1"/>
    <col min="17" max="18" width="14.42578125" customWidth="1"/>
    <col min="19" max="20" width="15.5703125" customWidth="1"/>
    <col min="21" max="21" width="14.140625" customWidth="1"/>
    <col min="22" max="22" width="7.7109375" customWidth="1"/>
    <col min="23" max="24" width="9.140625" customWidth="1"/>
    <col min="25" max="25" width="15.140625" customWidth="1"/>
    <col min="26" max="26" width="9.140625" customWidth="1"/>
    <col min="27" max="27" width="11.7109375" customWidth="1"/>
    <col min="28" max="28" width="12.85546875" customWidth="1"/>
    <col min="29" max="29" width="12" customWidth="1"/>
    <col min="30" max="30" width="11.5703125" customWidth="1"/>
    <col min="31" max="31" width="12.7109375" customWidth="1"/>
    <col min="32" max="32" width="13.28515625" customWidth="1"/>
    <col min="33" max="34" width="11.85546875" customWidth="1"/>
    <col min="35" max="35" width="12.140625" customWidth="1"/>
    <col min="36" max="36" width="11.28515625" customWidth="1"/>
    <col min="37" max="37" width="11.42578125" customWidth="1"/>
    <col min="38" max="38" width="12" customWidth="1"/>
  </cols>
  <sheetData>
    <row r="2" spans="2:19">
      <c r="B2" s="28" t="s">
        <v>206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2:19" ht="15.75" customHeight="1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2:19" ht="15" customHeight="1"/>
    <row r="6" spans="2:19">
      <c r="O6" t="s">
        <v>1</v>
      </c>
    </row>
    <row r="7" spans="2:19">
      <c r="O7" t="s">
        <v>2</v>
      </c>
      <c r="R7">
        <v>2.2200000000000001E-2</v>
      </c>
      <c r="S7" t="s">
        <v>3</v>
      </c>
    </row>
    <row r="8" spans="2:19">
      <c r="B8" t="s">
        <v>4</v>
      </c>
      <c r="G8">
        <f>+L55</f>
        <v>8.0600000000000005E-2</v>
      </c>
      <c r="H8" t="s">
        <v>5</v>
      </c>
      <c r="O8" t="s">
        <v>57</v>
      </c>
      <c r="R8">
        <v>4.5199999999999997E-2</v>
      </c>
      <c r="S8" t="s">
        <v>3</v>
      </c>
    </row>
    <row r="9" spans="2:19">
      <c r="B9" t="s">
        <v>6</v>
      </c>
      <c r="G9">
        <v>0</v>
      </c>
      <c r="O9" t="s">
        <v>81</v>
      </c>
      <c r="R9">
        <v>0.25</v>
      </c>
      <c r="S9" t="s">
        <v>3</v>
      </c>
    </row>
    <row r="10" spans="2:19">
      <c r="O10" t="s">
        <v>101</v>
      </c>
      <c r="R10">
        <f>1/3</f>
        <v>0.33333333333333331</v>
      </c>
      <c r="S10" t="s">
        <v>3</v>
      </c>
    </row>
    <row r="11" spans="2:19">
      <c r="G11">
        <f>SUM(G8:G9)</f>
        <v>8.0600000000000005E-2</v>
      </c>
    </row>
    <row r="12" spans="2:19">
      <c r="O12" t="s">
        <v>7</v>
      </c>
    </row>
    <row r="13" spans="2:19">
      <c r="O13" t="s">
        <v>2</v>
      </c>
      <c r="R13">
        <f>I89</f>
        <v>78678</v>
      </c>
    </row>
    <row r="14" spans="2:19">
      <c r="O14" t="s">
        <v>57</v>
      </c>
      <c r="R14">
        <f>I90</f>
        <v>88722</v>
      </c>
    </row>
    <row r="15" spans="2:19">
      <c r="F15" t="s">
        <v>113</v>
      </c>
      <c r="O15" t="s">
        <v>81</v>
      </c>
      <c r="R15">
        <f>I91</f>
        <v>193968</v>
      </c>
    </row>
    <row r="16" spans="2:19">
      <c r="O16" t="s">
        <v>101</v>
      </c>
      <c r="R16">
        <f>I92</f>
        <v>500890</v>
      </c>
    </row>
    <row r="17" spans="2:37" ht="13.5" thickBot="1">
      <c r="R17">
        <f>SUM(R13:R16)</f>
        <v>862258</v>
      </c>
    </row>
    <row r="22" spans="2:37">
      <c r="O22" t="s">
        <v>80</v>
      </c>
      <c r="R22">
        <v>7.4999999999999997E-3</v>
      </c>
      <c r="S22" t="s">
        <v>117</v>
      </c>
    </row>
    <row r="23" spans="2:37">
      <c r="X23" t="s">
        <v>8</v>
      </c>
    </row>
    <row r="25" spans="2:37">
      <c r="AA25">
        <v>2014</v>
      </c>
      <c r="AB25">
        <f t="shared" ref="AB25:AK25" si="0">+AA25+1</f>
        <v>2015</v>
      </c>
      <c r="AC25">
        <f t="shared" si="0"/>
        <v>2016</v>
      </c>
      <c r="AD25">
        <f t="shared" si="0"/>
        <v>2017</v>
      </c>
      <c r="AE25">
        <f t="shared" si="0"/>
        <v>2018</v>
      </c>
      <c r="AF25">
        <f t="shared" si="0"/>
        <v>2019</v>
      </c>
      <c r="AG25">
        <f t="shared" si="0"/>
        <v>2020</v>
      </c>
      <c r="AH25">
        <f t="shared" si="0"/>
        <v>2021</v>
      </c>
      <c r="AI25">
        <f t="shared" si="0"/>
        <v>2022</v>
      </c>
      <c r="AJ25">
        <f t="shared" si="0"/>
        <v>2023</v>
      </c>
      <c r="AK25">
        <f t="shared" si="0"/>
        <v>2024</v>
      </c>
    </row>
    <row r="27" spans="2:37">
      <c r="B27" t="s">
        <v>9</v>
      </c>
      <c r="X27" t="s">
        <v>10</v>
      </c>
      <c r="Z27">
        <v>0.06</v>
      </c>
      <c r="AB27">
        <f t="shared" ref="AB27:AK27" si="1">+AA30</f>
        <v>26226</v>
      </c>
      <c r="AC27">
        <f t="shared" si="1"/>
        <v>50878.44</v>
      </c>
      <c r="AD27">
        <f t="shared" si="1"/>
        <v>73264.953600000008</v>
      </c>
      <c r="AE27">
        <f t="shared" si="1"/>
        <v>68869.05638400001</v>
      </c>
      <c r="AF27">
        <f t="shared" si="1"/>
        <v>64736.913000960012</v>
      </c>
      <c r="AG27">
        <f t="shared" si="1"/>
        <v>60852.698220902414</v>
      </c>
      <c r="AH27">
        <f t="shared" si="1"/>
        <v>57201.536327648268</v>
      </c>
      <c r="AI27">
        <f t="shared" si="1"/>
        <v>53769.444147989372</v>
      </c>
      <c r="AJ27">
        <f t="shared" si="1"/>
        <v>50543.277499110009</v>
      </c>
      <c r="AK27">
        <f t="shared" si="1"/>
        <v>47510.680849163407</v>
      </c>
    </row>
    <row r="28" spans="2:37">
      <c r="P28" t="s">
        <v>103</v>
      </c>
      <c r="X28" t="s">
        <v>11</v>
      </c>
      <c r="AA28">
        <f>C35</f>
        <v>26226</v>
      </c>
      <c r="AB28">
        <f>C36</f>
        <v>26226</v>
      </c>
      <c r="AC28">
        <f>C37</f>
        <v>26226</v>
      </c>
      <c r="AD28">
        <f>C38</f>
        <v>0</v>
      </c>
      <c r="AE28">
        <f>C39</f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</row>
    <row r="29" spans="2:37">
      <c r="O29" t="s">
        <v>85</v>
      </c>
      <c r="P29" t="s">
        <v>104</v>
      </c>
      <c r="Q29" t="s">
        <v>114</v>
      </c>
      <c r="T29" t="s">
        <v>213</v>
      </c>
      <c r="X29" t="s">
        <v>12</v>
      </c>
      <c r="AB29">
        <f>((AB27+AB28)/2)*$Z$27</f>
        <v>1573.56</v>
      </c>
      <c r="AC29">
        <f t="shared" ref="AC29:AK29" si="2">(AC27+(AC28/2))*$Z$27</f>
        <v>3839.4863999999998</v>
      </c>
      <c r="AD29">
        <f t="shared" si="2"/>
        <v>4395.8972160000003</v>
      </c>
      <c r="AE29">
        <f t="shared" si="2"/>
        <v>4132.1433830400001</v>
      </c>
      <c r="AF29">
        <f t="shared" si="2"/>
        <v>3884.2147800576004</v>
      </c>
      <c r="AG29">
        <f t="shared" si="2"/>
        <v>3651.1618932541446</v>
      </c>
      <c r="AH29">
        <f t="shared" si="2"/>
        <v>3432.0921796588959</v>
      </c>
      <c r="AI29">
        <f t="shared" si="2"/>
        <v>3226.1666488793621</v>
      </c>
      <c r="AJ29">
        <f t="shared" si="2"/>
        <v>3032.5966499466003</v>
      </c>
      <c r="AK29">
        <f t="shared" si="2"/>
        <v>2850.6408509498042</v>
      </c>
    </row>
    <row r="30" spans="2:37">
      <c r="B30" t="s">
        <v>13</v>
      </c>
      <c r="C30" t="s">
        <v>14</v>
      </c>
      <c r="D30" t="s">
        <v>65</v>
      </c>
      <c r="E30" t="s">
        <v>77</v>
      </c>
      <c r="F30" t="s">
        <v>101</v>
      </c>
      <c r="G30" t="s">
        <v>15</v>
      </c>
      <c r="H30" t="s">
        <v>16</v>
      </c>
      <c r="I30" t="s">
        <v>16</v>
      </c>
      <c r="J30" t="s">
        <v>16</v>
      </c>
      <c r="K30" t="s">
        <v>17</v>
      </c>
      <c r="L30" t="s">
        <v>17</v>
      </c>
      <c r="M30" t="s">
        <v>17</v>
      </c>
      <c r="N30" t="s">
        <v>17</v>
      </c>
      <c r="O30" t="s">
        <v>87</v>
      </c>
      <c r="P30" t="s">
        <v>105</v>
      </c>
      <c r="Q30" t="s">
        <v>115</v>
      </c>
      <c r="R30" t="s">
        <v>18</v>
      </c>
      <c r="S30" t="s">
        <v>126</v>
      </c>
      <c r="T30" t="s">
        <v>214</v>
      </c>
      <c r="U30" t="s">
        <v>54</v>
      </c>
      <c r="X30" t="s">
        <v>19</v>
      </c>
      <c r="AA30">
        <f>+AA28-AA29</f>
        <v>26226</v>
      </c>
      <c r="AB30">
        <f t="shared" ref="AB30:AK30" si="3">+AB27+AB28-AB29</f>
        <v>50878.44</v>
      </c>
      <c r="AC30">
        <f t="shared" si="3"/>
        <v>73264.953600000008</v>
      </c>
      <c r="AD30">
        <f t="shared" si="3"/>
        <v>68869.05638400001</v>
      </c>
      <c r="AE30">
        <f t="shared" si="3"/>
        <v>64736.913000960012</v>
      </c>
      <c r="AF30">
        <f t="shared" si="3"/>
        <v>60852.698220902414</v>
      </c>
      <c r="AG30">
        <f t="shared" si="3"/>
        <v>57201.536327648268</v>
      </c>
      <c r="AH30">
        <f t="shared" si="3"/>
        <v>53769.444147989372</v>
      </c>
      <c r="AI30">
        <f t="shared" si="3"/>
        <v>50543.277499110009</v>
      </c>
      <c r="AJ30">
        <f t="shared" si="3"/>
        <v>47510.680849163407</v>
      </c>
      <c r="AK30">
        <f t="shared" si="3"/>
        <v>44660.0399982136</v>
      </c>
    </row>
    <row r="31" spans="2:37">
      <c r="C31" t="s">
        <v>20</v>
      </c>
      <c r="D31" t="s">
        <v>66</v>
      </c>
      <c r="E31" t="s">
        <v>78</v>
      </c>
      <c r="G31" t="s">
        <v>21</v>
      </c>
      <c r="H31" t="s">
        <v>22</v>
      </c>
      <c r="I31" t="s">
        <v>22</v>
      </c>
      <c r="J31" t="s">
        <v>22</v>
      </c>
      <c r="K31" t="s">
        <v>0</v>
      </c>
      <c r="L31" t="s">
        <v>109</v>
      </c>
      <c r="M31" t="s">
        <v>84</v>
      </c>
      <c r="N31" t="s">
        <v>101</v>
      </c>
      <c r="O31" t="s">
        <v>86</v>
      </c>
      <c r="P31" t="s">
        <v>106</v>
      </c>
      <c r="Q31" t="s">
        <v>116</v>
      </c>
      <c r="R31" t="s">
        <v>23</v>
      </c>
      <c r="S31" t="s">
        <v>127</v>
      </c>
      <c r="T31" t="s">
        <v>215</v>
      </c>
      <c r="U31" t="s">
        <v>28</v>
      </c>
    </row>
    <row r="32" spans="2:37">
      <c r="H32" t="s">
        <v>24</v>
      </c>
      <c r="I32" t="s">
        <v>25</v>
      </c>
      <c r="J32" t="s">
        <v>26</v>
      </c>
      <c r="P32" t="s">
        <v>107</v>
      </c>
      <c r="R32" t="s">
        <v>27</v>
      </c>
      <c r="T32" t="s">
        <v>216</v>
      </c>
      <c r="U32" t="s">
        <v>55</v>
      </c>
    </row>
    <row r="33" spans="2:37">
      <c r="B33" t="s">
        <v>5</v>
      </c>
      <c r="C33" t="s">
        <v>29</v>
      </c>
      <c r="D33" t="s">
        <v>30</v>
      </c>
      <c r="E33" t="s">
        <v>31</v>
      </c>
      <c r="F33" t="s">
        <v>32</v>
      </c>
      <c r="G33" t="s">
        <v>33</v>
      </c>
      <c r="H33" t="s">
        <v>34</v>
      </c>
      <c r="I33" t="s">
        <v>35</v>
      </c>
      <c r="J33" t="s">
        <v>36</v>
      </c>
      <c r="K33" t="s">
        <v>120</v>
      </c>
      <c r="L33" t="s">
        <v>37</v>
      </c>
      <c r="M33" t="s">
        <v>38</v>
      </c>
      <c r="N33" t="s">
        <v>39</v>
      </c>
      <c r="O33" t="s">
        <v>40</v>
      </c>
      <c r="P33" t="s">
        <v>41</v>
      </c>
      <c r="Q33" t="s">
        <v>42</v>
      </c>
      <c r="R33" t="s">
        <v>121</v>
      </c>
      <c r="S33" t="s">
        <v>122</v>
      </c>
      <c r="T33" t="s">
        <v>123</v>
      </c>
      <c r="U33" t="s">
        <v>124</v>
      </c>
    </row>
    <row r="35" spans="2:37">
      <c r="B35">
        <v>2014</v>
      </c>
      <c r="C35">
        <f>J98</f>
        <v>26226</v>
      </c>
      <c r="D35">
        <f>J99</f>
        <v>29574</v>
      </c>
      <c r="E35">
        <f>J100</f>
        <v>193968</v>
      </c>
      <c r="F35">
        <f>J101</f>
        <v>183630</v>
      </c>
      <c r="G35">
        <f t="shared" ref="G35:G43" si="4">+C35+D35+E35+F35</f>
        <v>433398</v>
      </c>
      <c r="H35">
        <v>0</v>
      </c>
      <c r="I35">
        <f t="shared" ref="I35:I43" si="5">H35+G35-K35-L35-M35-N35</f>
        <v>433398</v>
      </c>
      <c r="R35">
        <f>+G11</f>
        <v>8.0600000000000005E-2</v>
      </c>
      <c r="X35" t="s">
        <v>56</v>
      </c>
      <c r="Z35">
        <v>0.06</v>
      </c>
      <c r="AB35">
        <f t="shared" ref="AB35:AK35" si="6">+AA38</f>
        <v>29574</v>
      </c>
      <c r="AC35">
        <f t="shared" si="6"/>
        <v>57373.56</v>
      </c>
      <c r="AD35">
        <f t="shared" si="6"/>
        <v>82617.926399999997</v>
      </c>
      <c r="AE35">
        <f t="shared" si="6"/>
        <v>77660.850815999991</v>
      </c>
      <c r="AF35">
        <f t="shared" si="6"/>
        <v>73001.199767039987</v>
      </c>
      <c r="AG35">
        <f t="shared" si="6"/>
        <v>68621.127781017582</v>
      </c>
      <c r="AH35">
        <f t="shared" si="6"/>
        <v>64503.86011415653</v>
      </c>
      <c r="AI35">
        <f t="shared" si="6"/>
        <v>60633.628507307141</v>
      </c>
      <c r="AJ35">
        <f t="shared" si="6"/>
        <v>56995.610796868714</v>
      </c>
      <c r="AK35">
        <f t="shared" si="6"/>
        <v>53575.874149056588</v>
      </c>
    </row>
    <row r="36" spans="2:37">
      <c r="B36">
        <v>2015</v>
      </c>
      <c r="C36">
        <f>J104</f>
        <v>26226</v>
      </c>
      <c r="D36">
        <f>J105</f>
        <v>29574</v>
      </c>
      <c r="E36">
        <f>J106</f>
        <v>0</v>
      </c>
      <c r="F36">
        <f>J107</f>
        <v>183630</v>
      </c>
      <c r="G36">
        <f t="shared" si="4"/>
        <v>239430</v>
      </c>
      <c r="H36">
        <f>I35</f>
        <v>433398</v>
      </c>
      <c r="I36">
        <f t="shared" si="5"/>
        <v>529642.55700000003</v>
      </c>
      <c r="J36">
        <f t="shared" ref="J36:J43" si="7">+(H36+I36)/2</f>
        <v>481520.27850000001</v>
      </c>
      <c r="K36">
        <f>(C35+(C36*0.5))*R7</f>
        <v>873.32580000000007</v>
      </c>
      <c r="L36">
        <f>(D35+(D36*0.5))*R8</f>
        <v>2005.1171999999999</v>
      </c>
      <c r="M36">
        <f>(E35+(E36*0.5))*R9</f>
        <v>48492</v>
      </c>
      <c r="N36">
        <f>(F35+(F36*0.5))*R10</f>
        <v>91815</v>
      </c>
      <c r="O36">
        <f>(C35+D35+C36+D36-K36-L36)*R22</f>
        <v>815.4116775</v>
      </c>
      <c r="P36">
        <f>+((-AB29-AB37-AB44-AB51)+(K36+L36+M36+N36))*0.269/(1-0.269)</f>
        <v>-119378.06269904242</v>
      </c>
      <c r="Q36" t="e">
        <f>K127</f>
        <v>#REF!</v>
      </c>
      <c r="R36">
        <f>+J36*$R$35</f>
        <v>38810.534447100006</v>
      </c>
      <c r="S36" t="e">
        <f>SUM(K36:R36)</f>
        <v>#REF!</v>
      </c>
      <c r="T36" t="e">
        <f t="shared" ref="T36:T43" si="8">+S36-S35</f>
        <v>#REF!</v>
      </c>
      <c r="U36">
        <f t="shared" ref="U36:U43" si="9">+J36*$I$54*$H$54</f>
        <v>17527.338137399998</v>
      </c>
      <c r="X36" t="s">
        <v>11</v>
      </c>
      <c r="AA36">
        <f>D35</f>
        <v>29574</v>
      </c>
      <c r="AB36">
        <f>D36</f>
        <v>29574</v>
      </c>
      <c r="AC36">
        <f>D37</f>
        <v>29574</v>
      </c>
      <c r="AD36">
        <f>D38</f>
        <v>0</v>
      </c>
      <c r="AE36">
        <f>D39</f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</row>
    <row r="37" spans="2:37">
      <c r="B37">
        <f>+B36+1</f>
        <v>2016</v>
      </c>
      <c r="C37">
        <f>O98</f>
        <v>26226</v>
      </c>
      <c r="D37">
        <f>O99</f>
        <v>29574</v>
      </c>
      <c r="E37">
        <f>O100</f>
        <v>0</v>
      </c>
      <c r="F37">
        <f>O101</f>
        <v>133630</v>
      </c>
      <c r="G37">
        <f t="shared" si="4"/>
        <v>189430</v>
      </c>
      <c r="H37">
        <f>+I36</f>
        <v>529642.55700000003</v>
      </c>
      <c r="I37">
        <f t="shared" si="5"/>
        <v>521091.48533333349</v>
      </c>
      <c r="J37">
        <f t="shared" si="7"/>
        <v>525367.02116666676</v>
      </c>
      <c r="K37">
        <f>(C35+C36+(C37*0.5))*R7</f>
        <v>1455.5430000000001</v>
      </c>
      <c r="L37">
        <f>(D35+D36+(D37*0.5))*R8</f>
        <v>3341.8619999999996</v>
      </c>
      <c r="M37">
        <f>(E35+E36+(E37*0.5))*R9</f>
        <v>48492</v>
      </c>
      <c r="N37">
        <f>(F35*R10)+(F36*R10)+(F37*0.5*R10)</f>
        <v>144691.66666666666</v>
      </c>
      <c r="O37">
        <f>(C35+D35+C36+D36+C37+D37-K36-L36-K37-L37)*R22</f>
        <v>1197.9311399999999</v>
      </c>
      <c r="P37">
        <f>+((-AC29-AC37-AC44-AC51)+(K37+L37+M37+N37))*0.269/(1-0.269)</f>
        <v>-15014.707252621984</v>
      </c>
      <c r="Q37" t="e">
        <f>L127</f>
        <v>#REF!</v>
      </c>
      <c r="R37">
        <f t="shared" ref="R37:R43" si="10">+J37*$R$35</f>
        <v>42344.581906033345</v>
      </c>
      <c r="S37" t="e">
        <f t="shared" ref="S37:S43" si="11">SUM(K37:R37)</f>
        <v>#REF!</v>
      </c>
      <c r="T37" t="e">
        <f t="shared" si="8"/>
        <v>#REF!</v>
      </c>
      <c r="U37">
        <f t="shared" si="9"/>
        <v>19123.35957046667</v>
      </c>
      <c r="X37" t="s">
        <v>12</v>
      </c>
      <c r="AB37">
        <f>((AB35+AB36)/2)*$Z$35</f>
        <v>1774.4399999999998</v>
      </c>
      <c r="AC37">
        <f t="shared" ref="AC37:AK37" si="12">(AC35+(AC36/2))*$Z$35</f>
        <v>4329.6336000000001</v>
      </c>
      <c r="AD37">
        <f t="shared" si="12"/>
        <v>4957.0755839999993</v>
      </c>
      <c r="AE37">
        <f t="shared" si="12"/>
        <v>4659.6510489599996</v>
      </c>
      <c r="AF37">
        <f t="shared" si="12"/>
        <v>4380.071986022399</v>
      </c>
      <c r="AG37">
        <f t="shared" si="12"/>
        <v>4117.2676668610547</v>
      </c>
      <c r="AH37">
        <f t="shared" si="12"/>
        <v>3870.2316068493915</v>
      </c>
      <c r="AI37">
        <f t="shared" si="12"/>
        <v>3638.0177104384284</v>
      </c>
      <c r="AJ37">
        <f t="shared" si="12"/>
        <v>3419.7366478121226</v>
      </c>
      <c r="AK37">
        <f t="shared" si="12"/>
        <v>3214.5524489433951</v>
      </c>
    </row>
    <row r="38" spans="2:37">
      <c r="B38">
        <f>+B37+1</f>
        <v>2017</v>
      </c>
      <c r="C38">
        <f>O104</f>
        <v>0</v>
      </c>
      <c r="D38">
        <f>O105</f>
        <v>0</v>
      </c>
      <c r="E38">
        <f>O106</f>
        <v>0</v>
      </c>
      <c r="F38">
        <f>O107</f>
        <v>0</v>
      </c>
      <c r="G38">
        <f t="shared" si="4"/>
        <v>0</v>
      </c>
      <c r="H38">
        <f>I37</f>
        <v>521091.48533333349</v>
      </c>
      <c r="I38">
        <f t="shared" si="5"/>
        <v>299879.26600000018</v>
      </c>
      <c r="J38">
        <f t="shared" si="7"/>
        <v>410485.37566666683</v>
      </c>
      <c r="K38">
        <f>(C35+C36++C37+(C38*0.5))*R7</f>
        <v>1746.6516000000001</v>
      </c>
      <c r="L38">
        <f>(D35+D36++D37+(D38*0.5))*R8</f>
        <v>4010.2343999999998</v>
      </c>
      <c r="M38">
        <f>(E35+E36+E37+(E38*0.5))*R9</f>
        <v>48492</v>
      </c>
      <c r="N38">
        <f>(F35*R10)+(F36*R10)+(F37*R10)+(F38*0.5*R10)</f>
        <v>166963.33333333331</v>
      </c>
      <c r="O38">
        <f>(C35+D35+C36+D36+C37+D37+C38+D38-K36-L36-K37-L37-K38-L38)*R22</f>
        <v>1154.7544949999999</v>
      </c>
      <c r="P38">
        <f>+((-AD29-AD37-AD44-AD51)+(K38+L38+M38+N38))*0.269/(1-0.269)</f>
        <v>77961.884155221152</v>
      </c>
      <c r="Q38" t="e">
        <f>M127</f>
        <v>#REF!</v>
      </c>
      <c r="R38">
        <f t="shared" si="10"/>
        <v>33085.12127873335</v>
      </c>
      <c r="S38" t="e">
        <f t="shared" si="11"/>
        <v>#REF!</v>
      </c>
      <c r="T38" t="e">
        <f t="shared" si="8"/>
        <v>#REF!</v>
      </c>
      <c r="U38">
        <f t="shared" si="9"/>
        <v>14941.667674266673</v>
      </c>
      <c r="X38" t="s">
        <v>19</v>
      </c>
      <c r="AA38">
        <f>+AA36-AA37</f>
        <v>29574</v>
      </c>
      <c r="AB38">
        <f t="shared" ref="AB38:AK38" si="13">+AB35+AB36-AB37</f>
        <v>57373.56</v>
      </c>
      <c r="AC38">
        <f t="shared" si="13"/>
        <v>82617.926399999997</v>
      </c>
      <c r="AD38">
        <f t="shared" si="13"/>
        <v>77660.850815999991</v>
      </c>
      <c r="AE38">
        <f t="shared" si="13"/>
        <v>73001.199767039987</v>
      </c>
      <c r="AF38">
        <f t="shared" si="13"/>
        <v>68621.127781017582</v>
      </c>
      <c r="AG38">
        <f t="shared" si="13"/>
        <v>64503.86011415653</v>
      </c>
      <c r="AH38">
        <f t="shared" si="13"/>
        <v>60633.628507307141</v>
      </c>
      <c r="AI38">
        <f t="shared" si="13"/>
        <v>56995.610796868714</v>
      </c>
      <c r="AJ38">
        <f t="shared" si="13"/>
        <v>53575.874149056588</v>
      </c>
      <c r="AK38">
        <f t="shared" si="13"/>
        <v>50361.321700113192</v>
      </c>
    </row>
    <row r="39" spans="2:37">
      <c r="B39">
        <f>+B38+1</f>
        <v>2018</v>
      </c>
      <c r="C39">
        <v>0</v>
      </c>
      <c r="D39">
        <v>0</v>
      </c>
      <c r="E39">
        <v>0</v>
      </c>
      <c r="F39">
        <v>0</v>
      </c>
      <c r="G39">
        <f t="shared" si="4"/>
        <v>0</v>
      </c>
      <c r="H39">
        <f>+I38</f>
        <v>299879.26600000018</v>
      </c>
      <c r="I39">
        <f t="shared" si="5"/>
        <v>170482.04666666687</v>
      </c>
      <c r="J39">
        <f t="shared" si="7"/>
        <v>235180.65633333352</v>
      </c>
      <c r="K39">
        <f>(C35+C36++C37+C38+(C39*0.5))*R7</f>
        <v>1746.6516000000001</v>
      </c>
      <c r="L39">
        <f>(D35+D36++D37++D38+(D39*0.5))*R8</f>
        <v>4010.2343999999998</v>
      </c>
      <c r="M39">
        <f>(E35+E36+E37+E38+(E39*0.5))*R9</f>
        <v>48492</v>
      </c>
      <c r="N39">
        <f>(F36*0.5*R10)+(F37*R10)+(F38*R10)+(F39*0.5*R10)</f>
        <v>75148.333333333328</v>
      </c>
      <c r="O39">
        <f>(C35+D35+C36+D36+C37+D37+C38+D38+C39+D39-K36-L36-K37-L37-K38-L38-K39-L39)*R22</f>
        <v>1111.5778499999999</v>
      </c>
      <c r="P39">
        <f>+((-AE29-AE37-AE44-AE51)+(K39+L39+M39+N39))*0.269/(1-0.269)</f>
        <v>44381.476468479712</v>
      </c>
      <c r="Q39" t="e">
        <f>N127</f>
        <v>#REF!</v>
      </c>
      <c r="R39">
        <f t="shared" si="10"/>
        <v>18955.560900466684</v>
      </c>
      <c r="S39" t="e">
        <f t="shared" si="11"/>
        <v>#REF!</v>
      </c>
      <c r="T39" t="e">
        <f t="shared" si="8"/>
        <v>#REF!</v>
      </c>
      <c r="U39">
        <f t="shared" si="9"/>
        <v>8560.5758905333405</v>
      </c>
    </row>
    <row r="40" spans="2:37">
      <c r="B40">
        <f>+B39+1</f>
        <v>2019</v>
      </c>
      <c r="C40">
        <v>0</v>
      </c>
      <c r="D40">
        <v>0</v>
      </c>
      <c r="E40">
        <v>0</v>
      </c>
      <c r="F40">
        <v>0</v>
      </c>
      <c r="G40">
        <f t="shared" si="4"/>
        <v>0</v>
      </c>
      <c r="H40">
        <f>+I39</f>
        <v>170482.04666666687</v>
      </c>
      <c r="I40">
        <f t="shared" si="5"/>
        <v>142453.49400000021</v>
      </c>
      <c r="J40">
        <f t="shared" si="7"/>
        <v>156467.77033333352</v>
      </c>
      <c r="K40">
        <f>(C35+C36++C37+C38++C39+(C40*0.5))*R7</f>
        <v>1746.6516000000001</v>
      </c>
      <c r="L40">
        <f>(D35+D36++D37++D38+D39+(D40*0.5))*R8</f>
        <v>4010.2343999999998</v>
      </c>
      <c r="M40">
        <f>IF((E35+E36+E37+E38+E39+E40)-M36-M37-M38-M39-((E35+E36+E37+E38+E39+(E40*0.5))*R9)&gt;0,(E35+E36+E37+E38+E39+(E40*0.5))*R9,E35+E36+E37+E38+E39+E40-M36-M37-M38-M39)</f>
        <v>0</v>
      </c>
      <c r="N40">
        <f>(F37*0.5*R10)+(F38*R10)+(F39*R10)+(F40*0.5*R10)</f>
        <v>22271.666666666664</v>
      </c>
      <c r="O40">
        <f>(C35+D35+C36+D36+C37+D37+C38+D38+C39+D39+C40+D40-K36-L36-K37-L37-K38-L38-K39-L39-K40-L40)*R22</f>
        <v>1068.4012050000001</v>
      </c>
      <c r="P40">
        <f>+((-AF29-AF37-AF44-AF51)+(K40+L40+M40+N40))*0.269/(1-0.269)</f>
        <v>7273.0335530202628</v>
      </c>
      <c r="Q40" t="e">
        <f>O127</f>
        <v>#REF!</v>
      </c>
      <c r="R40">
        <f t="shared" si="10"/>
        <v>12611.302288866682</v>
      </c>
      <c r="S40" t="e">
        <f t="shared" si="11"/>
        <v>#REF!</v>
      </c>
      <c r="T40" t="e">
        <f t="shared" si="8"/>
        <v>#REF!</v>
      </c>
      <c r="U40">
        <f t="shared" si="9"/>
        <v>5695.4268401333402</v>
      </c>
    </row>
    <row r="41" spans="2:37">
      <c r="B41">
        <v>2020</v>
      </c>
      <c r="C41">
        <v>0</v>
      </c>
      <c r="D41">
        <v>0</v>
      </c>
      <c r="E41">
        <v>0</v>
      </c>
      <c r="F41">
        <v>0</v>
      </c>
      <c r="G41">
        <f t="shared" si="4"/>
        <v>0</v>
      </c>
      <c r="H41">
        <f>+I40</f>
        <v>142453.49400000021</v>
      </c>
      <c r="I41">
        <f t="shared" si="5"/>
        <v>136696.60800000015</v>
      </c>
      <c r="J41">
        <f t="shared" si="7"/>
        <v>139575.05100000018</v>
      </c>
      <c r="K41">
        <f>(C35+C36++C37+C38+C39+C40+(C41*0.5))*R7</f>
        <v>1746.6516000000001</v>
      </c>
      <c r="L41">
        <f>(D35+D36++D37+D38+D39+D40+(D41*0.5))*R8</f>
        <v>4010.2343999999998</v>
      </c>
      <c r="M41">
        <f>IF((E35+E36+E37+E38+E39+E40+E41)-M36-M37-M38-M39-M40-((E35+E36+E37+E38+E39+E40+(E41*0.5))*R9)&gt;0,(E35+E36+E37+E38+E39+E40+(E41*0.5))*R9,E35+E36+E37+E38+E39+E40+E41-M36-M37-M38-M39-M40)</f>
        <v>0</v>
      </c>
      <c r="N41">
        <f>IF((F35+F36+F37+F38+F39+F40+F41)-N36-N37-N38-N39-N40-((F35+F36++F37+F38+F39+F40+(F41*0.5))*R10)&gt;0,(F35+F36++F37+F38+F39+F40+(F41*0.5))*R10,F35+F36+F37+F38+F39+F40+F41-N36-N37-N38-N39-N40)</f>
        <v>6.5483618527650833E-11</v>
      </c>
      <c r="O41">
        <f>(C35+D35+C36+D36+C37+D37+C38+D38+C39+D39+C40+D40+C41+D41-K36-L36-K37-L37-K38-L38-K39-L39-K40-L40-K41-L41)*R22</f>
        <v>1025.2245600000001</v>
      </c>
      <c r="P41">
        <f>+((-AG29-AG37-AG44-AG51)+(K41+L41+M41+N41))*0.269/(1-0.269)</f>
        <v>-740.22601596576033</v>
      </c>
      <c r="Q41" t="e">
        <f>P127</f>
        <v>#REF!</v>
      </c>
      <c r="R41">
        <f t="shared" si="10"/>
        <v>11249.749110600016</v>
      </c>
      <c r="S41" t="e">
        <f t="shared" si="11"/>
        <v>#REF!</v>
      </c>
      <c r="T41" t="e">
        <f t="shared" si="8"/>
        <v>#REF!</v>
      </c>
      <c r="U41">
        <f t="shared" si="9"/>
        <v>5080.5318564000072</v>
      </c>
    </row>
    <row r="42" spans="2:37">
      <c r="B42">
        <v>2021</v>
      </c>
      <c r="C42">
        <v>0</v>
      </c>
      <c r="D42">
        <v>0</v>
      </c>
      <c r="E42">
        <v>0</v>
      </c>
      <c r="F42">
        <v>0</v>
      </c>
      <c r="G42">
        <f t="shared" si="4"/>
        <v>0</v>
      </c>
      <c r="H42">
        <f>+I41</f>
        <v>136696.60800000015</v>
      </c>
      <c r="I42">
        <f t="shared" si="5"/>
        <v>130939.72200000014</v>
      </c>
      <c r="J42">
        <f t="shared" si="7"/>
        <v>133818.16500000015</v>
      </c>
      <c r="K42">
        <f>(C35+C36++C37+C38+C39+C40+C41+(C42*0.5))*R7</f>
        <v>1746.6516000000001</v>
      </c>
      <c r="L42">
        <f>(D35+D36++D37+D38+D39+D40+D41+(D42*0.5))*R8</f>
        <v>4010.2343999999998</v>
      </c>
      <c r="M42">
        <f>IF((E35+E36+E37+E38+E39+E40+E41+E42)-M36-M37-M38-M39-M40--M41-((E35+E36+E37+E38+E39+E40+E41+(E42*0.5))*R9)&gt;0,(E35+E36+E37+E38+E39+E40+E41+(E42*0.5))*R9,E35+E36+E37+E38+E39+E40+E41+E42-M36-M37-M38-M39-M40-M41)</f>
        <v>0</v>
      </c>
      <c r="N42">
        <f>IF((F35+F36+F37+F38+F39+F40+F41+F42)-N36-N37-N38-N39-N40-N41-((F35+F36++F37+F38+F39+F40+F41+(F42*0.5))*R10)&gt;0,(F35+F36++F37+F38+F39+F40+F41+(F42*0.5))*R10,F35+F36+F37+F38+F39+F40+F41+F42-N36-N37-N38-N39-N40-N41)</f>
        <v>0</v>
      </c>
      <c r="O42">
        <f>(C35+D35+C36+D36+C37+D37+C38+D38+C39+D39+C40+D40+C41+D41+C42+D42-K36-L36-K37-L37-K38-L38-K39-L39-K40-L40-K41-L41-K42-L42)*R22</f>
        <v>982.04791499999988</v>
      </c>
      <c r="P42">
        <f>+((-AH29-AH37-AH44-AH51)+(K42+L42+M42+N42))*0.269/(1-0.269)</f>
        <v>-568.70419229921924</v>
      </c>
      <c r="Q42" t="e">
        <f>Q127</f>
        <v>#REF!</v>
      </c>
      <c r="R42">
        <f t="shared" si="10"/>
        <v>10785.744099000012</v>
      </c>
      <c r="S42" t="e">
        <f t="shared" si="11"/>
        <v>#REF!</v>
      </c>
      <c r="T42" t="e">
        <f t="shared" si="8"/>
        <v>#REF!</v>
      </c>
      <c r="U42">
        <f t="shared" si="9"/>
        <v>4870.9812060000058</v>
      </c>
      <c r="X42" t="s">
        <v>88</v>
      </c>
      <c r="Z42">
        <v>1</v>
      </c>
      <c r="AB42">
        <f t="shared" ref="AB42:AJ42" si="14">+AA45</f>
        <v>193968</v>
      </c>
      <c r="AC42">
        <f t="shared" si="14"/>
        <v>96984</v>
      </c>
      <c r="AD42">
        <f t="shared" si="14"/>
        <v>0</v>
      </c>
      <c r="AE42">
        <f t="shared" si="14"/>
        <v>0</v>
      </c>
      <c r="AF42">
        <f t="shared" si="14"/>
        <v>0</v>
      </c>
      <c r="AG42">
        <f t="shared" si="14"/>
        <v>0</v>
      </c>
      <c r="AH42">
        <f t="shared" si="14"/>
        <v>0</v>
      </c>
      <c r="AI42">
        <f t="shared" si="14"/>
        <v>0</v>
      </c>
      <c r="AJ42">
        <f t="shared" si="14"/>
        <v>0</v>
      </c>
    </row>
    <row r="43" spans="2:37">
      <c r="B43">
        <v>2022</v>
      </c>
      <c r="C43">
        <v>0</v>
      </c>
      <c r="D43">
        <v>0</v>
      </c>
      <c r="E43">
        <v>0</v>
      </c>
      <c r="F43">
        <v>0</v>
      </c>
      <c r="G43">
        <f t="shared" si="4"/>
        <v>0</v>
      </c>
      <c r="H43">
        <f>+I42</f>
        <v>130939.72200000014</v>
      </c>
      <c r="I43">
        <f t="shared" si="5"/>
        <v>125182.83600000014</v>
      </c>
      <c r="J43">
        <f t="shared" si="7"/>
        <v>128061.27900000014</v>
      </c>
      <c r="K43">
        <f>(C35+C36++C37+C38+C39+C40+C41+C42+(C43*0.5))*R7</f>
        <v>1746.6516000000001</v>
      </c>
      <c r="L43">
        <f>(D35+D36++D37+D38+D39+D40+D41+D42+(D43*0.5))*R8</f>
        <v>4010.2343999999998</v>
      </c>
      <c r="M43">
        <f>IF((E35+E36+E37+E38+E39+E40+E41+E42+E43)-M36-M37-M38-M39-M40--M41-M42-((E35+E36+E37+E38+E39+E40+E41+E42+(E43*0.5))*R9)&gt;0,(E35+E36+E37+E38+E39+E40+E41+E42+(E43*0.5))*R9,E35+E36+E37+E38+E39+E40+E41+E42+E43-M36-M37-M38-M39-M40-M41-M42)</f>
        <v>0</v>
      </c>
      <c r="N43">
        <f>IF((F35+F36+F37+F38+F39+F40+F41+F42+F43)-N36-N37-N38-N39-N40-N41-N42-((F35+F36++F37+F38+F39+F40+F41+F42+(F43*0.5))*R10)&gt;0,(F35+F36++F37+F38+F39+F40+F41+F42+(F43*0.5))*R10,F35+F36+F37+F38+F39+F40+F41+F42+F43-N36-N37-N38-N39-N40-N41-N42)</f>
        <v>0</v>
      </c>
      <c r="O43">
        <f>(C35+D35+C36+D36+C37+D37+C38+D38+C39+D39+C40+D40+C41+D41+C42+D42+C43+D43-K36-L36-K37-L37-K38-L38-K39-L39-K40-L40-K41-L41-K42-L42-K43-L43)*R22</f>
        <v>938.87126999999998</v>
      </c>
      <c r="P43">
        <f>+((-AI29-AI37-AI44-AI51)+(K43+L43+M43+N43))*0.269/(1-0.269)</f>
        <v>-407.47367805264804</v>
      </c>
      <c r="Q43" t="e">
        <f>R127</f>
        <v>#REF!</v>
      </c>
      <c r="R43">
        <f t="shared" si="10"/>
        <v>10321.739087400012</v>
      </c>
      <c r="S43" t="e">
        <f t="shared" si="11"/>
        <v>#REF!</v>
      </c>
      <c r="T43" t="e">
        <f t="shared" si="8"/>
        <v>#REF!</v>
      </c>
      <c r="U43">
        <f t="shared" si="9"/>
        <v>4661.4305556000054</v>
      </c>
      <c r="X43" t="s">
        <v>11</v>
      </c>
      <c r="AA43">
        <f>E35</f>
        <v>193968</v>
      </c>
      <c r="AB43">
        <f>E36</f>
        <v>0</v>
      </c>
      <c r="AC43">
        <f>E37</f>
        <v>0</v>
      </c>
      <c r="AD43">
        <f>E38</f>
        <v>0</v>
      </c>
      <c r="AE43">
        <f>E39</f>
        <v>0</v>
      </c>
      <c r="AF43">
        <f>F39</f>
        <v>0</v>
      </c>
      <c r="AG43">
        <f>G39</f>
        <v>0</v>
      </c>
      <c r="AH43">
        <v>0</v>
      </c>
      <c r="AI43">
        <v>0</v>
      </c>
      <c r="AJ43">
        <v>0</v>
      </c>
    </row>
    <row r="44" spans="2:37">
      <c r="X44" t="s">
        <v>12</v>
      </c>
      <c r="AB44">
        <f>((AB42+AB43)/2)*$Z$42</f>
        <v>96984</v>
      </c>
      <c r="AC44">
        <f t="shared" ref="AC44:AJ44" si="15">(AC42+(AC43/2))*$Z$42</f>
        <v>96984</v>
      </c>
      <c r="AD44">
        <f t="shared" si="15"/>
        <v>0</v>
      </c>
      <c r="AE44">
        <f t="shared" si="15"/>
        <v>0</v>
      </c>
      <c r="AF44">
        <f t="shared" si="15"/>
        <v>0</v>
      </c>
      <c r="AG44">
        <f t="shared" si="15"/>
        <v>0</v>
      </c>
      <c r="AH44">
        <f t="shared" si="15"/>
        <v>0</v>
      </c>
      <c r="AI44">
        <f t="shared" si="15"/>
        <v>0</v>
      </c>
      <c r="AJ44">
        <f t="shared" si="15"/>
        <v>0</v>
      </c>
    </row>
    <row r="45" spans="2:37">
      <c r="X45" t="s">
        <v>19</v>
      </c>
      <c r="AA45">
        <f>+AA43-AA44</f>
        <v>193968</v>
      </c>
      <c r="AB45">
        <f t="shared" ref="AB45:AJ45" si="16">+AB42+AB43-AB44</f>
        <v>96984</v>
      </c>
      <c r="AC45">
        <f t="shared" si="16"/>
        <v>0</v>
      </c>
      <c r="AD45">
        <f t="shared" si="16"/>
        <v>0</v>
      </c>
      <c r="AE45">
        <f t="shared" si="16"/>
        <v>0</v>
      </c>
      <c r="AF45">
        <f t="shared" si="16"/>
        <v>0</v>
      </c>
      <c r="AG45">
        <f t="shared" si="16"/>
        <v>0</v>
      </c>
      <c r="AH45">
        <f t="shared" si="16"/>
        <v>0</v>
      </c>
      <c r="AI45">
        <f t="shared" si="16"/>
        <v>0</v>
      </c>
      <c r="AJ45">
        <f t="shared" si="16"/>
        <v>0</v>
      </c>
    </row>
    <row r="48" spans="2:37">
      <c r="D48" t="s">
        <v>43</v>
      </c>
      <c r="E48" t="s">
        <v>5</v>
      </c>
      <c r="F48" t="s">
        <v>125</v>
      </c>
      <c r="L48" t="s">
        <v>44</v>
      </c>
    </row>
    <row r="49" spans="5:36">
      <c r="I49" t="s">
        <v>45</v>
      </c>
      <c r="K49" t="s">
        <v>44</v>
      </c>
      <c r="L49" t="s">
        <v>46</v>
      </c>
      <c r="X49" t="s">
        <v>195</v>
      </c>
      <c r="Z49">
        <v>1</v>
      </c>
      <c r="AB49">
        <f t="shared" ref="AB49:AJ49" si="17">+AA52</f>
        <v>183630</v>
      </c>
      <c r="AC49">
        <f t="shared" si="17"/>
        <v>0</v>
      </c>
      <c r="AD49">
        <f t="shared" si="17"/>
        <v>0</v>
      </c>
      <c r="AE49">
        <f t="shared" si="17"/>
        <v>0</v>
      </c>
      <c r="AF49">
        <f t="shared" si="17"/>
        <v>0</v>
      </c>
      <c r="AG49">
        <f t="shared" si="17"/>
        <v>0</v>
      </c>
      <c r="AH49">
        <f t="shared" si="17"/>
        <v>0</v>
      </c>
      <c r="AI49">
        <f t="shared" si="17"/>
        <v>0</v>
      </c>
      <c r="AJ49">
        <f t="shared" si="17"/>
        <v>0</v>
      </c>
    </row>
    <row r="50" spans="5:36">
      <c r="H50" t="s">
        <v>47</v>
      </c>
      <c r="I50" t="s">
        <v>225</v>
      </c>
      <c r="J50" t="s">
        <v>48</v>
      </c>
      <c r="K50" t="s">
        <v>49</v>
      </c>
      <c r="L50" t="s">
        <v>49</v>
      </c>
      <c r="X50" t="s">
        <v>11</v>
      </c>
      <c r="AA50">
        <f>F35</f>
        <v>183630</v>
      </c>
      <c r="AB50">
        <f>F36</f>
        <v>183630</v>
      </c>
      <c r="AC50">
        <f>F37</f>
        <v>133630</v>
      </c>
      <c r="AD50">
        <f>F38</f>
        <v>0</v>
      </c>
      <c r="AE50">
        <f>F39</f>
        <v>0</v>
      </c>
      <c r="AF50">
        <f>G39</f>
        <v>0</v>
      </c>
      <c r="AG50">
        <v>0</v>
      </c>
      <c r="AH50">
        <v>0</v>
      </c>
      <c r="AI50">
        <v>0</v>
      </c>
      <c r="AJ50">
        <v>0</v>
      </c>
    </row>
    <row r="51" spans="5:36">
      <c r="H51" t="s">
        <v>5</v>
      </c>
      <c r="I51" t="s">
        <v>29</v>
      </c>
      <c r="J51" t="s">
        <v>30</v>
      </c>
      <c r="K51" t="s">
        <v>31</v>
      </c>
      <c r="L51" t="s">
        <v>50</v>
      </c>
      <c r="X51" t="s">
        <v>102</v>
      </c>
      <c r="AB51">
        <f>+AB49+AB50</f>
        <v>367260</v>
      </c>
      <c r="AC51">
        <f>+AC50</f>
        <v>133630</v>
      </c>
      <c r="AD51">
        <f t="shared" ref="AD51:AJ51" si="18">+AD50</f>
        <v>0</v>
      </c>
      <c r="AE51">
        <f t="shared" si="18"/>
        <v>0</v>
      </c>
      <c r="AF51">
        <f t="shared" si="18"/>
        <v>0</v>
      </c>
      <c r="AG51">
        <f t="shared" si="18"/>
        <v>0</v>
      </c>
      <c r="AH51">
        <f t="shared" si="18"/>
        <v>0</v>
      </c>
      <c r="AI51">
        <f t="shared" si="18"/>
        <v>0</v>
      </c>
      <c r="AJ51">
        <f t="shared" si="18"/>
        <v>0</v>
      </c>
    </row>
    <row r="52" spans="5:36">
      <c r="F52" t="s">
        <v>51</v>
      </c>
      <c r="H52">
        <v>0.55000000000000004</v>
      </c>
      <c r="I52">
        <v>5.3199999999999997E-2</v>
      </c>
      <c r="K52">
        <f>+I52</f>
        <v>5.3199999999999997E-2</v>
      </c>
      <c r="L52">
        <f>+K52*H52</f>
        <v>2.9260000000000001E-2</v>
      </c>
      <c r="X52" t="s">
        <v>19</v>
      </c>
      <c r="AA52">
        <f>+AA50-AA51</f>
        <v>183630</v>
      </c>
      <c r="AB52">
        <f t="shared" ref="AB52:AJ52" si="19">+AB49+AB50-AB51</f>
        <v>0</v>
      </c>
      <c r="AC52">
        <f t="shared" si="19"/>
        <v>0</v>
      </c>
      <c r="AD52">
        <f t="shared" si="19"/>
        <v>0</v>
      </c>
      <c r="AE52">
        <f t="shared" si="19"/>
        <v>0</v>
      </c>
      <c r="AF52">
        <f t="shared" si="19"/>
        <v>0</v>
      </c>
      <c r="AG52">
        <f t="shared" si="19"/>
        <v>0</v>
      </c>
      <c r="AH52">
        <f t="shared" si="19"/>
        <v>0</v>
      </c>
      <c r="AI52">
        <f t="shared" si="19"/>
        <v>0</v>
      </c>
      <c r="AJ52">
        <f t="shared" si="19"/>
        <v>0</v>
      </c>
    </row>
    <row r="53" spans="5:36">
      <c r="F53" t="s">
        <v>52</v>
      </c>
      <c r="H53">
        <v>0.05</v>
      </c>
      <c r="I53">
        <v>3.1600000000000003E-2</v>
      </c>
      <c r="K53">
        <f>+I53</f>
        <v>3.1600000000000003E-2</v>
      </c>
      <c r="L53">
        <f>+K53*H53</f>
        <v>1.5800000000000002E-3</v>
      </c>
    </row>
    <row r="54" spans="5:36">
      <c r="F54" t="s">
        <v>53</v>
      </c>
      <c r="H54">
        <v>0.4</v>
      </c>
      <c r="I54">
        <v>9.0999999999999998E-2</v>
      </c>
      <c r="J54">
        <v>0.26900000000000002</v>
      </c>
      <c r="K54">
        <f>+I54/(1-J54)</f>
        <v>0.12448700410396717</v>
      </c>
      <c r="L54">
        <f>+K54*H54</f>
        <v>4.9794801641586867E-2</v>
      </c>
      <c r="X54" t="s">
        <v>196</v>
      </c>
    </row>
    <row r="55" spans="5:36" ht="13.5" thickBot="1">
      <c r="L55">
        <f>ROUND(SUM(L52:L54),4)</f>
        <v>8.0600000000000005E-2</v>
      </c>
    </row>
    <row r="56" spans="5:36" ht="13.5" thickTop="1"/>
    <row r="57" spans="5:36">
      <c r="X57" t="s">
        <v>202</v>
      </c>
      <c r="AB57">
        <f>+AB29+AB37+AB44+AB51</f>
        <v>467592</v>
      </c>
      <c r="AC57">
        <f t="shared" ref="AC57:AJ57" si="20">+AC29+AC37+AC44+AC51</f>
        <v>238783.12</v>
      </c>
      <c r="AD57">
        <f t="shared" si="20"/>
        <v>9352.9727999999996</v>
      </c>
      <c r="AE57">
        <f t="shared" si="20"/>
        <v>8791.7944319999988</v>
      </c>
      <c r="AF57">
        <f t="shared" si="20"/>
        <v>8264.2867660800002</v>
      </c>
      <c r="AG57">
        <f t="shared" si="20"/>
        <v>7768.4295601151989</v>
      </c>
      <c r="AH57">
        <f t="shared" si="20"/>
        <v>7302.3237865082874</v>
      </c>
      <c r="AI57">
        <f t="shared" si="20"/>
        <v>6864.1843593177909</v>
      </c>
      <c r="AJ57">
        <f t="shared" si="20"/>
        <v>6452.3332977587233</v>
      </c>
    </row>
    <row r="59" spans="5:36">
      <c r="E59" t="s">
        <v>29</v>
      </c>
      <c r="F59" t="s">
        <v>95</v>
      </c>
    </row>
    <row r="60" spans="5:36">
      <c r="G60" t="s">
        <v>68</v>
      </c>
    </row>
    <row r="61" spans="5:36">
      <c r="G61" t="s">
        <v>96</v>
      </c>
    </row>
    <row r="62" spans="5:36">
      <c r="G62" t="s">
        <v>97</v>
      </c>
    </row>
    <row r="63" spans="5:36">
      <c r="G63" t="s">
        <v>98</v>
      </c>
    </row>
    <row r="64" spans="5:36">
      <c r="F64" t="s">
        <v>61</v>
      </c>
    </row>
    <row r="65" spans="7:17">
      <c r="G65" t="s">
        <v>79</v>
      </c>
    </row>
    <row r="66" spans="7:17">
      <c r="G66" t="s">
        <v>62</v>
      </c>
    </row>
    <row r="67" spans="7:17">
      <c r="I67" t="s">
        <v>59</v>
      </c>
      <c r="J67" t="s">
        <v>60</v>
      </c>
      <c r="M67" t="s">
        <v>60</v>
      </c>
    </row>
    <row r="68" spans="7:17">
      <c r="G68" t="s">
        <v>56</v>
      </c>
      <c r="I68">
        <v>2369.1999999999998</v>
      </c>
      <c r="J68">
        <f>ROUND(M68,0)</f>
        <v>47</v>
      </c>
      <c r="M68">
        <f>I68/$I$70*100</f>
        <v>46.607518737827789</v>
      </c>
    </row>
    <row r="69" spans="7:17">
      <c r="G69" t="s">
        <v>58</v>
      </c>
      <c r="I69">
        <v>2714.1</v>
      </c>
      <c r="J69">
        <f>ROUND(M69,0)</f>
        <v>53</v>
      </c>
      <c r="M69">
        <f>I69/$I$70*100</f>
        <v>53.392481262172218</v>
      </c>
    </row>
    <row r="70" spans="7:17">
      <c r="G70" t="s">
        <v>63</v>
      </c>
      <c r="I70">
        <f>SUM(I68:I69)</f>
        <v>5083.2999999999993</v>
      </c>
      <c r="J70">
        <f>(J68+J69)/100</f>
        <v>1</v>
      </c>
      <c r="M70">
        <f>I70/$I$70</f>
        <v>1</v>
      </c>
    </row>
    <row r="72" spans="7:17">
      <c r="G72" t="s">
        <v>89</v>
      </c>
    </row>
    <row r="73" spans="7:17">
      <c r="G73" t="s">
        <v>91</v>
      </c>
    </row>
    <row r="74" spans="7:17">
      <c r="G74" t="s">
        <v>90</v>
      </c>
    </row>
    <row r="75" spans="7:17" ht="12.75" customHeight="1">
      <c r="G75" t="s">
        <v>108</v>
      </c>
    </row>
    <row r="76" spans="7:17" ht="12.75" customHeight="1"/>
    <row r="77" spans="7:17">
      <c r="G77" t="s">
        <v>69</v>
      </c>
      <c r="I77" t="s">
        <v>70</v>
      </c>
      <c r="J77" t="s">
        <v>60</v>
      </c>
      <c r="N77" t="s">
        <v>72</v>
      </c>
      <c r="O77" t="s">
        <v>73</v>
      </c>
      <c r="Q77" t="s">
        <v>74</v>
      </c>
    </row>
    <row r="80" spans="7:17">
      <c r="G80" t="s">
        <v>71</v>
      </c>
      <c r="I80">
        <f>'GI-34 doc 3 page 1 de 2'!I105*0.9</f>
        <v>216000</v>
      </c>
      <c r="J80">
        <f>ROUND(M80,0)</f>
        <v>23</v>
      </c>
      <c r="M80">
        <f>I80/I83*100</f>
        <v>23.119160003853192</v>
      </c>
      <c r="O80">
        <f>I80*0.102</f>
        <v>22032</v>
      </c>
      <c r="Q80">
        <f>I80-N80-O80</f>
        <v>193968</v>
      </c>
    </row>
    <row r="81" spans="7:18">
      <c r="G81" t="s">
        <v>99</v>
      </c>
      <c r="I81">
        <f>'GI-34 doc 3 page 1 de 2'!I106*0.9</f>
        <v>167400</v>
      </c>
      <c r="J81">
        <f>ROUND(M81,0)</f>
        <v>18</v>
      </c>
      <c r="M81">
        <f>I81/I83*100</f>
        <v>17.917349002986224</v>
      </c>
      <c r="Q81">
        <f>I81-N81-O81</f>
        <v>167400</v>
      </c>
    </row>
    <row r="82" spans="7:18">
      <c r="G82" t="s">
        <v>100</v>
      </c>
      <c r="I82">
        <f>'GI-34 doc 3 page 1 de 2'!I107*0.9</f>
        <v>550890</v>
      </c>
      <c r="J82">
        <f>ROUND(M82,0)</f>
        <v>59</v>
      </c>
      <c r="M82">
        <f>I82/I83*100</f>
        <v>58.963490993160583</v>
      </c>
      <c r="N82">
        <v>50000</v>
      </c>
      <c r="Q82">
        <f>I82-N82-O82</f>
        <v>500890</v>
      </c>
    </row>
    <row r="83" spans="7:18">
      <c r="I83">
        <f>SUM(I80:I82)</f>
        <v>934290</v>
      </c>
      <c r="J83">
        <f>M83</f>
        <v>1</v>
      </c>
      <c r="M83">
        <f>SUM(M80:M82)/100</f>
        <v>1</v>
      </c>
      <c r="N83">
        <f>SUM(N80:N82)</f>
        <v>50000</v>
      </c>
      <c r="O83">
        <f>SUM(O80:O82)</f>
        <v>22032</v>
      </c>
      <c r="Q83">
        <f>SUM(Q80:Q82)</f>
        <v>862258</v>
      </c>
    </row>
    <row r="85" spans="7:18">
      <c r="N85" t="s">
        <v>220</v>
      </c>
      <c r="Q85">
        <f>(I80*(1-0.102))-50000+I81+I82</f>
        <v>862258</v>
      </c>
      <c r="R85" t="s">
        <v>75</v>
      </c>
    </row>
    <row r="87" spans="7:18">
      <c r="G87" t="s">
        <v>76</v>
      </c>
    </row>
    <row r="88" spans="7:18">
      <c r="H88" t="s">
        <v>93</v>
      </c>
      <c r="M88" t="s">
        <v>94</v>
      </c>
    </row>
    <row r="89" spans="7:18">
      <c r="H89" t="s">
        <v>2</v>
      </c>
      <c r="I89">
        <f>Q81*J68/100</f>
        <v>78678</v>
      </c>
      <c r="M89" t="s">
        <v>2</v>
      </c>
      <c r="N89">
        <f>(Q81+0)*J68/100</f>
        <v>78678</v>
      </c>
    </row>
    <row r="90" spans="7:18">
      <c r="H90" t="s">
        <v>64</v>
      </c>
      <c r="I90">
        <f>Q81*J69/100</f>
        <v>88722</v>
      </c>
      <c r="M90" t="s">
        <v>64</v>
      </c>
      <c r="N90">
        <f>(Q81+0)*J69/100</f>
        <v>88722</v>
      </c>
    </row>
    <row r="91" spans="7:18">
      <c r="H91" t="s">
        <v>67</v>
      </c>
      <c r="I91">
        <f>Q80</f>
        <v>193968</v>
      </c>
      <c r="M91" t="s">
        <v>67</v>
      </c>
      <c r="N91">
        <f>Q80</f>
        <v>193968</v>
      </c>
    </row>
    <row r="92" spans="7:18">
      <c r="H92" t="s">
        <v>101</v>
      </c>
      <c r="I92">
        <f>Q82</f>
        <v>500890</v>
      </c>
      <c r="M92" t="s">
        <v>101</v>
      </c>
      <c r="N92">
        <f>Q82+50000</f>
        <v>550890</v>
      </c>
    </row>
    <row r="93" spans="7:18">
      <c r="I93">
        <f>SUM(I89:I92)</f>
        <v>862258</v>
      </c>
      <c r="N93">
        <f>SUM(N89:N92)</f>
        <v>912258</v>
      </c>
      <c r="O93" t="s">
        <v>218</v>
      </c>
      <c r="P93">
        <f>Q83+N83</f>
        <v>912258</v>
      </c>
      <c r="Q93" t="s">
        <v>75</v>
      </c>
    </row>
    <row r="95" spans="7:18">
      <c r="G95" t="s">
        <v>92</v>
      </c>
    </row>
    <row r="96" spans="7:18">
      <c r="G96" t="s">
        <v>128</v>
      </c>
    </row>
    <row r="97" spans="7:18">
      <c r="G97" t="s">
        <v>82</v>
      </c>
    </row>
    <row r="98" spans="7:18">
      <c r="G98">
        <v>2014</v>
      </c>
      <c r="I98" t="s">
        <v>2</v>
      </c>
      <c r="J98">
        <f>ROUND(($N$89/3),0)</f>
        <v>26226</v>
      </c>
      <c r="L98">
        <v>2016</v>
      </c>
      <c r="N98" t="s">
        <v>2</v>
      </c>
      <c r="O98">
        <f>ROUND(($N$89/3),0)</f>
        <v>26226</v>
      </c>
    </row>
    <row r="99" spans="7:18">
      <c r="I99" t="s">
        <v>64</v>
      </c>
      <c r="J99">
        <f>ROUND(($N$90/3),0)</f>
        <v>29574</v>
      </c>
      <c r="N99" t="s">
        <v>64</v>
      </c>
      <c r="O99">
        <f>ROUND(($N$90/3),0)</f>
        <v>29574</v>
      </c>
    </row>
    <row r="100" spans="7:18">
      <c r="I100" t="s">
        <v>67</v>
      </c>
      <c r="J100">
        <f>I91</f>
        <v>193968</v>
      </c>
      <c r="N100" t="s">
        <v>67</v>
      </c>
      <c r="O100">
        <v>0</v>
      </c>
    </row>
    <row r="101" spans="7:18">
      <c r="H101" t="s">
        <v>101</v>
      </c>
      <c r="J101">
        <f>ROUND(($N$92/3),0)</f>
        <v>183630</v>
      </c>
      <c r="M101" t="s">
        <v>101</v>
      </c>
      <c r="O101">
        <f>I92-J107-J101</f>
        <v>133630</v>
      </c>
    </row>
    <row r="102" spans="7:18">
      <c r="J102">
        <f>SUM(J98:J101)</f>
        <v>433398</v>
      </c>
      <c r="O102">
        <f>SUM(O98:O101)</f>
        <v>189430</v>
      </c>
    </row>
    <row r="104" spans="7:18">
      <c r="G104">
        <v>2015</v>
      </c>
      <c r="I104" t="s">
        <v>2</v>
      </c>
      <c r="J104">
        <f>ROUND(($N$89/3),0)</f>
        <v>26226</v>
      </c>
      <c r="L104">
        <v>2017</v>
      </c>
      <c r="N104" t="s">
        <v>2</v>
      </c>
      <c r="O104">
        <f>I89-J98-J104-O98</f>
        <v>0</v>
      </c>
    </row>
    <row r="105" spans="7:18">
      <c r="I105" t="s">
        <v>64</v>
      </c>
      <c r="J105">
        <f>ROUND(($N$90/3),0)</f>
        <v>29574</v>
      </c>
      <c r="N105" t="s">
        <v>64</v>
      </c>
      <c r="O105">
        <f>I90-J99-J105-O99</f>
        <v>0</v>
      </c>
    </row>
    <row r="106" spans="7:18">
      <c r="I106" t="s">
        <v>67</v>
      </c>
      <c r="J106">
        <v>0</v>
      </c>
      <c r="N106" t="s">
        <v>67</v>
      </c>
      <c r="O106">
        <v>0</v>
      </c>
    </row>
    <row r="107" spans="7:18">
      <c r="H107" t="s">
        <v>101</v>
      </c>
      <c r="J107">
        <f>ROUND(($N$92/3),0)</f>
        <v>183630</v>
      </c>
      <c r="M107" t="s">
        <v>101</v>
      </c>
      <c r="O107">
        <f>I92-J107-O101-J101</f>
        <v>0</v>
      </c>
    </row>
    <row r="108" spans="7:18">
      <c r="J108">
        <f>SUM(J104:J107)</f>
        <v>239430</v>
      </c>
      <c r="O108">
        <f>SUM(O104:O107)</f>
        <v>0</v>
      </c>
    </row>
    <row r="110" spans="7:18">
      <c r="M110" t="s">
        <v>83</v>
      </c>
      <c r="O110">
        <f>J102+J108+O102+O108</f>
        <v>862258</v>
      </c>
      <c r="P110" t="s">
        <v>219</v>
      </c>
      <c r="R110" t="s">
        <v>75</v>
      </c>
    </row>
    <row r="112" spans="7:18">
      <c r="G112" t="s">
        <v>181</v>
      </c>
    </row>
    <row r="113" spans="7:18">
      <c r="G113" t="s">
        <v>182</v>
      </c>
    </row>
    <row r="114" spans="7:18">
      <c r="G114" t="s">
        <v>183</v>
      </c>
    </row>
    <row r="116" spans="7:18">
      <c r="I116" t="s">
        <v>184</v>
      </c>
      <c r="K116">
        <v>2015</v>
      </c>
      <c r="L116">
        <v>2016</v>
      </c>
      <c r="M116">
        <v>2017</v>
      </c>
      <c r="N116">
        <v>2018</v>
      </c>
      <c r="O116">
        <v>2019</v>
      </c>
      <c r="P116">
        <v>2020</v>
      </c>
      <c r="Q116">
        <v>2021</v>
      </c>
      <c r="R116">
        <v>2022</v>
      </c>
    </row>
    <row r="117" spans="7:18">
      <c r="G117" t="s">
        <v>185</v>
      </c>
    </row>
    <row r="119" spans="7:18">
      <c r="G119" t="s">
        <v>186</v>
      </c>
      <c r="K119" t="e">
        <f>'GI-34 doc 3 page 1 de 2'!#REF!*0.9</f>
        <v>#REF!</v>
      </c>
      <c r="L119" t="e">
        <f>'GI-34 doc 3 page 1 de 2'!#REF!*0.9</f>
        <v>#REF!</v>
      </c>
      <c r="M119" t="e">
        <f>'GI-34 doc 3 page 1 de 2'!#REF!*0.9</f>
        <v>#REF!</v>
      </c>
      <c r="N119" t="e">
        <f>'GI-34 doc 3 page 1 de 2'!#REF!*0.9</f>
        <v>#REF!</v>
      </c>
      <c r="O119" t="e">
        <f>'GI-34 doc 3 page 1 de 2'!#REF!*0.9</f>
        <v>#REF!</v>
      </c>
      <c r="P119" t="e">
        <f>'GI-34 doc 3 page 1 de 2'!#REF!*0.9</f>
        <v>#REF!</v>
      </c>
      <c r="Q119" t="e">
        <f>'GI-34 doc 3 page 1 de 2'!#REF!*0.9</f>
        <v>#REF!</v>
      </c>
      <c r="R119" t="e">
        <f>'GI-34 doc 3 page 1 de 2'!#REF!*0.9</f>
        <v>#REF!</v>
      </c>
    </row>
    <row r="120" spans="7:18">
      <c r="G120" t="s">
        <v>187</v>
      </c>
      <c r="K120" t="e">
        <f>'GI-34 doc 3 page 1 de 2'!#REF!*0.9</f>
        <v>#REF!</v>
      </c>
      <c r="L120" t="e">
        <f>'GI-34 doc 3 page 1 de 2'!#REF!*0.9</f>
        <v>#REF!</v>
      </c>
      <c r="M120" t="e">
        <f>'GI-34 doc 3 page 1 de 2'!#REF!*0.9</f>
        <v>#REF!</v>
      </c>
      <c r="N120" t="e">
        <f>'GI-34 doc 3 page 1 de 2'!#REF!*0.9</f>
        <v>#REF!</v>
      </c>
      <c r="O120" t="e">
        <f>'GI-34 doc 3 page 1 de 2'!#REF!*0.9</f>
        <v>#REF!</v>
      </c>
      <c r="P120" t="e">
        <f>'GI-34 doc 3 page 1 de 2'!#REF!*0.9</f>
        <v>#REF!</v>
      </c>
      <c r="Q120" t="e">
        <f>'GI-34 doc 3 page 1 de 2'!#REF!*0.9</f>
        <v>#REF!</v>
      </c>
      <c r="R120" t="e">
        <f>'GI-34 doc 3 page 1 de 2'!#REF!*0.9</f>
        <v>#REF!</v>
      </c>
    </row>
    <row r="121" spans="7:18">
      <c r="G121" t="s">
        <v>190</v>
      </c>
      <c r="K121" t="e">
        <f>'GI-34 doc 3 page 1 de 2'!#REF!*0.9</f>
        <v>#REF!</v>
      </c>
      <c r="L121" t="e">
        <f>'GI-34 doc 3 page 1 de 2'!#REF!*0.9</f>
        <v>#REF!</v>
      </c>
      <c r="M121" t="e">
        <f>'GI-34 doc 3 page 1 de 2'!#REF!*0.9</f>
        <v>#REF!</v>
      </c>
      <c r="N121" t="e">
        <f>'GI-34 doc 3 page 1 de 2'!#REF!*0.9</f>
        <v>#REF!</v>
      </c>
      <c r="O121" t="e">
        <f>'GI-34 doc 3 page 1 de 2'!#REF!*0.9</f>
        <v>#REF!</v>
      </c>
      <c r="P121" t="e">
        <f>'GI-34 doc 3 page 1 de 2'!#REF!*0.9</f>
        <v>#REF!</v>
      </c>
      <c r="Q121" t="e">
        <f>'GI-34 doc 3 page 1 de 2'!#REF!*0.9</f>
        <v>#REF!</v>
      </c>
      <c r="R121" t="e">
        <f>'GI-34 doc 3 page 1 de 2'!#REF!*0.9</f>
        <v>#REF!</v>
      </c>
    </row>
    <row r="122" spans="7:18">
      <c r="G122" t="s">
        <v>191</v>
      </c>
      <c r="K122" t="e">
        <f>SUM(K119:K121)</f>
        <v>#REF!</v>
      </c>
      <c r="L122" t="e">
        <f t="shared" ref="L122:R122" si="21">SUM(L119:L121)</f>
        <v>#REF!</v>
      </c>
      <c r="M122" t="e">
        <f t="shared" si="21"/>
        <v>#REF!</v>
      </c>
      <c r="N122" t="e">
        <f t="shared" si="21"/>
        <v>#REF!</v>
      </c>
      <c r="O122" t="e">
        <f t="shared" si="21"/>
        <v>#REF!</v>
      </c>
      <c r="P122" t="e">
        <f t="shared" si="21"/>
        <v>#REF!</v>
      </c>
      <c r="Q122" t="e">
        <f t="shared" si="21"/>
        <v>#REF!</v>
      </c>
      <c r="R122" t="e">
        <f t="shared" si="21"/>
        <v>#REF!</v>
      </c>
    </row>
    <row r="123" spans="7:18" ht="13.5" thickBot="1">
      <c r="G123" t="s">
        <v>192</v>
      </c>
      <c r="K123" t="e">
        <f>K122*(1-0.102)</f>
        <v>#REF!</v>
      </c>
      <c r="L123" t="e">
        <f t="shared" ref="L123:R123" si="22">L122*(1-0.102)</f>
        <v>#REF!</v>
      </c>
      <c r="M123" t="e">
        <f t="shared" si="22"/>
        <v>#REF!</v>
      </c>
      <c r="N123" t="e">
        <f t="shared" si="22"/>
        <v>#REF!</v>
      </c>
      <c r="O123" t="e">
        <f t="shared" si="22"/>
        <v>#REF!</v>
      </c>
      <c r="P123" t="e">
        <f t="shared" si="22"/>
        <v>#REF!</v>
      </c>
      <c r="Q123" t="e">
        <f t="shared" si="22"/>
        <v>#REF!</v>
      </c>
      <c r="R123" t="e">
        <f t="shared" si="22"/>
        <v>#REF!</v>
      </c>
    </row>
    <row r="124" spans="7:18">
      <c r="G124" t="s">
        <v>188</v>
      </c>
      <c r="K124" t="e">
        <f>'GI-34 doc 3 page 1 de 2'!#REF!*0.9</f>
        <v>#REF!</v>
      </c>
      <c r="L124" t="e">
        <f>'GI-34 doc 3 page 1 de 2'!#REF!*0.9</f>
        <v>#REF!</v>
      </c>
      <c r="M124" t="e">
        <f>'GI-34 doc 3 page 1 de 2'!#REF!*0.9</f>
        <v>#REF!</v>
      </c>
      <c r="N124" t="e">
        <f>'GI-34 doc 3 page 1 de 2'!#REF!*0.9</f>
        <v>#REF!</v>
      </c>
      <c r="O124" t="e">
        <f>'GI-34 doc 3 page 1 de 2'!#REF!*0.9</f>
        <v>#REF!</v>
      </c>
      <c r="P124" t="e">
        <f>'GI-34 doc 3 page 1 de 2'!#REF!*0.9</f>
        <v>#REF!</v>
      </c>
      <c r="Q124" t="e">
        <f>'GI-34 doc 3 page 1 de 2'!#REF!*0.9</f>
        <v>#REF!</v>
      </c>
      <c r="R124" t="e">
        <f>'GI-34 doc 3 page 1 de 2'!#REF!*0.9</f>
        <v>#REF!</v>
      </c>
    </row>
    <row r="125" spans="7:18">
      <c r="G125" t="s">
        <v>189</v>
      </c>
      <c r="K125" t="e">
        <f>'GI-34 doc 3 page 1 de 2'!#REF!*0.9</f>
        <v>#REF!</v>
      </c>
      <c r="L125" t="e">
        <f>'GI-34 doc 3 page 1 de 2'!#REF!*0.9</f>
        <v>#REF!</v>
      </c>
      <c r="M125" t="e">
        <f>'GI-34 doc 3 page 1 de 2'!#REF!*0.9</f>
        <v>#REF!</v>
      </c>
      <c r="N125" t="e">
        <f>'GI-34 doc 3 page 1 de 2'!#REF!*0.9</f>
        <v>#REF!</v>
      </c>
      <c r="O125" t="e">
        <f>'GI-34 doc 3 page 1 de 2'!#REF!*0.9</f>
        <v>#REF!</v>
      </c>
      <c r="P125" t="e">
        <f>'GI-34 doc 3 page 1 de 2'!#REF!*0.9</f>
        <v>#REF!</v>
      </c>
      <c r="Q125" t="e">
        <f>'GI-34 doc 3 page 1 de 2'!#REF!*0.9</f>
        <v>#REF!</v>
      </c>
      <c r="R125" t="e">
        <f>'GI-34 doc 3 page 1 de 2'!#REF!*0.9</f>
        <v>#REF!</v>
      </c>
    </row>
    <row r="126" spans="7:18">
      <c r="G126" t="s">
        <v>194</v>
      </c>
      <c r="K126" t="e">
        <f>'GI-34 doc 3 page 1 de 2'!#REF!*0.9</f>
        <v>#REF!</v>
      </c>
      <c r="L126" t="e">
        <f>'GI-34 doc 3 page 1 de 2'!#REF!*0.9</f>
        <v>#REF!</v>
      </c>
      <c r="M126" t="e">
        <f>'GI-34 doc 3 page 1 de 2'!#REF!*0.9</f>
        <v>#REF!</v>
      </c>
      <c r="N126" t="e">
        <f>'GI-34 doc 3 page 1 de 2'!#REF!*0.9</f>
        <v>#REF!</v>
      </c>
      <c r="O126" t="e">
        <f>'GI-34 doc 3 page 1 de 2'!#REF!*0.9</f>
        <v>#REF!</v>
      </c>
      <c r="P126" t="e">
        <f>'GI-34 doc 3 page 1 de 2'!#REF!*0.9</f>
        <v>#REF!</v>
      </c>
      <c r="Q126" t="e">
        <f>'GI-34 doc 3 page 1 de 2'!#REF!*0.9</f>
        <v>#REF!</v>
      </c>
      <c r="R126" t="e">
        <f>'GI-34 doc 3 page 1 de 2'!#REF!*0.9</f>
        <v>#REF!</v>
      </c>
    </row>
    <row r="127" spans="7:18" ht="13.5" thickBot="1">
      <c r="G127" t="s">
        <v>193</v>
      </c>
      <c r="K127" t="e">
        <f>SUM(K123:K126)</f>
        <v>#REF!</v>
      </c>
      <c r="L127" t="e">
        <f t="shared" ref="L127:R127" si="23">SUM(L123:L126)</f>
        <v>#REF!</v>
      </c>
      <c r="M127" t="e">
        <f t="shared" si="23"/>
        <v>#REF!</v>
      </c>
      <c r="N127" t="e">
        <f t="shared" si="23"/>
        <v>#REF!</v>
      </c>
      <c r="O127" t="e">
        <f t="shared" si="23"/>
        <v>#REF!</v>
      </c>
      <c r="P127" t="e">
        <f t="shared" si="23"/>
        <v>#REF!</v>
      </c>
      <c r="Q127" t="e">
        <f t="shared" si="23"/>
        <v>#REF!</v>
      </c>
      <c r="R127" t="e">
        <f t="shared" si="23"/>
        <v>#REF!</v>
      </c>
    </row>
    <row r="131" spans="5:18">
      <c r="E131" t="s">
        <v>30</v>
      </c>
      <c r="F131" t="s">
        <v>197</v>
      </c>
      <c r="K131">
        <v>2015</v>
      </c>
      <c r="L131">
        <v>2016</v>
      </c>
      <c r="M131">
        <v>2017</v>
      </c>
      <c r="N131">
        <v>2018</v>
      </c>
      <c r="O131">
        <v>2019</v>
      </c>
      <c r="P131">
        <v>2020</v>
      </c>
      <c r="Q131">
        <v>2021</v>
      </c>
      <c r="R131">
        <v>2022</v>
      </c>
    </row>
    <row r="133" spans="5:18">
      <c r="G133" t="s">
        <v>203</v>
      </c>
      <c r="K133">
        <f>+K36+L36+M36+N36</f>
        <v>143185.443</v>
      </c>
      <c r="L133">
        <f>+K37+L37+M37+N37</f>
        <v>197981.07166666666</v>
      </c>
      <c r="M133">
        <f>+K38+L38+M38+N38</f>
        <v>221212.21933333331</v>
      </c>
      <c r="N133">
        <f>+K39+L39+M39+N39</f>
        <v>129397.21933333333</v>
      </c>
      <c r="O133">
        <f>+K40+L40+M40+N40</f>
        <v>28028.552666666663</v>
      </c>
      <c r="P133">
        <f>+K41+L41+M41+N41</f>
        <v>5756.8860000000659</v>
      </c>
      <c r="Q133">
        <f>+K42+L42+M42+N42</f>
        <v>5756.8860000000004</v>
      </c>
      <c r="R133">
        <f>+K43+L43+M43+N43</f>
        <v>5756.8860000000004</v>
      </c>
    </row>
    <row r="134" spans="5:18">
      <c r="G134" t="s">
        <v>198</v>
      </c>
      <c r="K134">
        <f>+AB29+AB37+AB44+AB51</f>
        <v>467592</v>
      </c>
      <c r="L134">
        <f>+AC29+AC37+AC44+AC51</f>
        <v>238783.12</v>
      </c>
      <c r="M134">
        <f t="shared" ref="M134:R134" si="24">+AD29+AD37+AD44+AD51</f>
        <v>9352.9727999999996</v>
      </c>
      <c r="N134">
        <f t="shared" si="24"/>
        <v>8791.7944319999988</v>
      </c>
      <c r="O134">
        <f t="shared" si="24"/>
        <v>8264.2867660800002</v>
      </c>
      <c r="P134">
        <f t="shared" si="24"/>
        <v>7768.4295601151989</v>
      </c>
      <c r="Q134">
        <f t="shared" si="24"/>
        <v>7302.3237865082874</v>
      </c>
      <c r="R134">
        <f t="shared" si="24"/>
        <v>6864.1843593177909</v>
      </c>
    </row>
    <row r="135" spans="5:18">
      <c r="G135" t="s">
        <v>199</v>
      </c>
      <c r="K135">
        <f>+K133-K134</f>
        <v>-324406.55700000003</v>
      </c>
      <c r="L135">
        <f>+L133-L134</f>
        <v>-40802.04833333334</v>
      </c>
      <c r="M135">
        <f t="shared" ref="M135:R135" si="25">+M133-M134</f>
        <v>211859.24653333332</v>
      </c>
      <c r="N135">
        <f t="shared" si="25"/>
        <v>120605.42490133333</v>
      </c>
      <c r="O135">
        <f t="shared" si="25"/>
        <v>19764.265900586663</v>
      </c>
      <c r="P135">
        <f t="shared" si="25"/>
        <v>-2011.543560115133</v>
      </c>
      <c r="Q135">
        <f t="shared" si="25"/>
        <v>-1545.437786508287</v>
      </c>
      <c r="R135">
        <f t="shared" si="25"/>
        <v>-1107.2983593177905</v>
      </c>
    </row>
    <row r="136" spans="5:18">
      <c r="G136" t="s">
        <v>200</v>
      </c>
      <c r="J136">
        <v>0.26900000000000002</v>
      </c>
      <c r="K136">
        <f>+K135*$J$136</f>
        <v>-87265.36383300001</v>
      </c>
      <c r="L136">
        <f>+L135*$J$136</f>
        <v>-10975.751001666669</v>
      </c>
      <c r="M136">
        <f t="shared" ref="M136:R136" si="26">+M135*$J$136</f>
        <v>56990.137317466666</v>
      </c>
      <c r="N136">
        <f t="shared" si="26"/>
        <v>32442.859298458668</v>
      </c>
      <c r="O136">
        <f t="shared" si="26"/>
        <v>5316.5875272578123</v>
      </c>
      <c r="P136">
        <f t="shared" si="26"/>
        <v>-541.10521767097077</v>
      </c>
      <c r="Q136">
        <f t="shared" si="26"/>
        <v>-415.72276457072923</v>
      </c>
      <c r="R136">
        <f t="shared" si="26"/>
        <v>-297.8632586564857</v>
      </c>
    </row>
    <row r="137" spans="5:18" ht="13.5" thickBot="1">
      <c r="G137" t="s">
        <v>201</v>
      </c>
      <c r="K137">
        <f>+K136/(1-$J$136)</f>
        <v>-119378.06269904242</v>
      </c>
      <c r="L137">
        <f>+L136/(1-$J$136)</f>
        <v>-15014.707252621984</v>
      </c>
      <c r="M137">
        <f t="shared" ref="M137:R137" si="27">+M136/(1-$J$136)</f>
        <v>77961.884155221152</v>
      </c>
      <c r="N137">
        <f t="shared" si="27"/>
        <v>44381.476468479712</v>
      </c>
      <c r="O137">
        <f t="shared" si="27"/>
        <v>7273.0335530202628</v>
      </c>
      <c r="P137">
        <f t="shared" si="27"/>
        <v>-740.22601596576033</v>
      </c>
      <c r="Q137">
        <f t="shared" si="27"/>
        <v>-568.70419229921924</v>
      </c>
      <c r="R137">
        <f t="shared" si="27"/>
        <v>-407.47367805264804</v>
      </c>
    </row>
    <row r="138" spans="5:18" ht="13.5" thickTop="1"/>
  </sheetData>
  <mergeCells count="2">
    <mergeCell ref="B2:R2"/>
    <mergeCell ref="B3:R3"/>
  </mergeCells>
  <printOptions horizontalCentered="1"/>
  <pageMargins left="0.25" right="0.25" top="0.75" bottom="0.75" header="0.3" footer="0.3"/>
  <pageSetup paperSize="5" scale="41" fitToHeight="2" orientation="landscape" cellComments="asDisplayed" r:id="rId1"/>
  <headerFooter alignWithMargins="0">
    <oddFooter>&amp;R&amp;8&amp;Z&amp;F&amp;F&amp;A</oddFooter>
  </headerFooter>
  <rowBreaks count="1" manualBreakCount="1">
    <brk id="58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0.39997558519241921"/>
    <pageSetUpPr fitToPage="1"/>
  </sheetPr>
  <dimension ref="A1:AJ139"/>
  <sheetViews>
    <sheetView tabSelected="1" zoomScale="80" zoomScaleNormal="80" zoomScaleSheetLayoutView="90" workbookViewId="0">
      <selection activeCell="C5" sqref="C5"/>
    </sheetView>
  </sheetViews>
  <sheetFormatPr baseColWidth="10" defaultRowHeight="12.75" outlineLevelCol="1"/>
  <cols>
    <col min="1" max="1" width="6.140625" customWidth="1"/>
    <col min="2" max="2" width="10" customWidth="1"/>
    <col min="3" max="3" width="13.7109375" customWidth="1"/>
    <col min="4" max="7" width="13.42578125" customWidth="1"/>
    <col min="8" max="8" width="13.7109375" customWidth="1"/>
    <col min="9" max="9" width="15.5703125" customWidth="1"/>
    <col min="10" max="10" width="13.85546875" customWidth="1"/>
    <col min="11" max="11" width="14.42578125" customWidth="1"/>
    <col min="12" max="15" width="14.5703125" customWidth="1"/>
    <col min="16" max="16" width="15.28515625" customWidth="1"/>
    <col min="17" max="18" width="14.42578125" customWidth="1"/>
    <col min="19" max="19" width="15.5703125" customWidth="1"/>
    <col min="20" max="20" width="7.7109375" customWidth="1"/>
    <col min="21" max="21" width="9.140625" customWidth="1"/>
    <col min="22" max="22" width="9.140625" hidden="1" customWidth="1" outlineLevel="1"/>
    <col min="23" max="23" width="15.140625" hidden="1" customWidth="1" outlineLevel="1"/>
    <col min="24" max="24" width="9.140625" hidden="1" customWidth="1" outlineLevel="1"/>
    <col min="25" max="25" width="11.7109375" hidden="1" customWidth="1" outlineLevel="1"/>
    <col min="26" max="26" width="12.85546875" hidden="1" customWidth="1" outlineLevel="1"/>
    <col min="27" max="27" width="12" hidden="1" customWidth="1" outlineLevel="1"/>
    <col min="28" max="28" width="11.5703125" hidden="1" customWidth="1" outlineLevel="1"/>
    <col min="29" max="29" width="12.7109375" hidden="1" customWidth="1" outlineLevel="1"/>
    <col min="30" max="30" width="13.28515625" hidden="1" customWidth="1" outlineLevel="1"/>
    <col min="31" max="32" width="11.85546875" hidden="1" customWidth="1" outlineLevel="1"/>
    <col min="33" max="33" width="12.140625" hidden="1" customWidth="1" outlineLevel="1"/>
    <col min="34" max="34" width="11.28515625" hidden="1" customWidth="1" outlineLevel="1"/>
    <col min="35" max="35" width="11.42578125" hidden="1" customWidth="1" outlineLevel="1"/>
    <col min="36" max="36" width="12" customWidth="1" collapsed="1"/>
  </cols>
  <sheetData>
    <row r="1" spans="1:20" ht="15">
      <c r="A1" s="30" t="s">
        <v>385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15">
      <c r="A2" s="31" t="s">
        <v>386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5.75" customHeight="1">
      <c r="A3" s="32" t="s">
        <v>387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15" customHeight="1"/>
    <row r="6" spans="1:20">
      <c r="O6" t="s">
        <v>1</v>
      </c>
    </row>
    <row r="7" spans="1:20">
      <c r="B7" s="3"/>
      <c r="C7" s="3"/>
      <c r="D7" s="3"/>
      <c r="E7" s="3"/>
      <c r="F7" s="3"/>
      <c r="G7" s="3"/>
      <c r="H7" s="3"/>
      <c r="O7" t="s">
        <v>2</v>
      </c>
      <c r="R7" s="2">
        <v>2.2200000000000001E-2</v>
      </c>
      <c r="S7" t="s">
        <v>3</v>
      </c>
    </row>
    <row r="8" spans="1:20">
      <c r="B8" s="3" t="s">
        <v>4</v>
      </c>
      <c r="C8" s="3"/>
      <c r="D8" s="3"/>
      <c r="E8" s="3"/>
      <c r="F8" s="3"/>
      <c r="G8" s="3">
        <f>+L51</f>
        <v>8.0500000000000002E-2</v>
      </c>
      <c r="H8" s="3" t="s">
        <v>5</v>
      </c>
      <c r="O8" t="s">
        <v>57</v>
      </c>
      <c r="R8" s="2">
        <v>4.5199999999999997E-2</v>
      </c>
      <c r="S8" t="s">
        <v>3</v>
      </c>
    </row>
    <row r="9" spans="1:20">
      <c r="B9" s="3" t="s">
        <v>6</v>
      </c>
      <c r="C9" s="3"/>
      <c r="D9" s="3"/>
      <c r="E9" s="3"/>
      <c r="F9" s="3"/>
      <c r="G9" s="3">
        <v>0</v>
      </c>
      <c r="H9" s="3"/>
      <c r="O9" t="s">
        <v>81</v>
      </c>
      <c r="R9" s="2">
        <v>0.25</v>
      </c>
      <c r="S9" t="s">
        <v>3</v>
      </c>
    </row>
    <row r="10" spans="1:20">
      <c r="B10" s="3"/>
      <c r="C10" s="3"/>
      <c r="D10" s="3"/>
      <c r="E10" s="3"/>
      <c r="F10" s="3"/>
      <c r="G10" s="3"/>
      <c r="H10" s="3"/>
      <c r="O10" t="s">
        <v>101</v>
      </c>
      <c r="R10" s="2">
        <f>1/3</f>
        <v>0.33333333333333331</v>
      </c>
      <c r="S10" t="s">
        <v>3</v>
      </c>
    </row>
    <row r="11" spans="1:20">
      <c r="B11" s="3"/>
      <c r="C11" s="3"/>
      <c r="D11" s="3"/>
      <c r="E11" s="3"/>
      <c r="F11" s="3"/>
      <c r="G11" s="3">
        <f>SUM(G8:G9)</f>
        <v>8.0500000000000002E-2</v>
      </c>
      <c r="H11" s="3"/>
    </row>
    <row r="12" spans="1:20">
      <c r="O12" t="s">
        <v>7</v>
      </c>
    </row>
    <row r="13" spans="1:20">
      <c r="O13" t="s">
        <v>2</v>
      </c>
      <c r="R13" s="5">
        <f>I114</f>
        <v>0</v>
      </c>
    </row>
    <row r="14" spans="1:20">
      <c r="O14" t="s">
        <v>57</v>
      </c>
      <c r="R14" s="5">
        <f>I115</f>
        <v>0</v>
      </c>
    </row>
    <row r="15" spans="1:20">
      <c r="F15" t="s">
        <v>113</v>
      </c>
      <c r="O15" t="s">
        <v>81</v>
      </c>
      <c r="R15" s="5">
        <f>I116</f>
        <v>215520</v>
      </c>
    </row>
    <row r="16" spans="1:20">
      <c r="O16" t="s">
        <v>101</v>
      </c>
      <c r="R16" s="5">
        <f>I117</f>
        <v>562100</v>
      </c>
    </row>
    <row r="17" spans="1:36">
      <c r="R17" s="5">
        <f>SUM(R13:R16)</f>
        <v>777620</v>
      </c>
    </row>
    <row r="20" spans="1:36">
      <c r="O20" t="s">
        <v>80</v>
      </c>
      <c r="R20" s="2">
        <v>7.4999999999999997E-3</v>
      </c>
      <c r="S20" t="s">
        <v>117</v>
      </c>
    </row>
    <row r="21" spans="1:36">
      <c r="V21" t="s">
        <v>8</v>
      </c>
    </row>
    <row r="22" spans="1:36">
      <c r="Y22">
        <v>2014</v>
      </c>
      <c r="Z22">
        <f t="shared" ref="Z22:AI22" si="0">+Y22+1</f>
        <v>2015</v>
      </c>
      <c r="AA22">
        <f t="shared" si="0"/>
        <v>2016</v>
      </c>
      <c r="AB22">
        <f t="shared" si="0"/>
        <v>2017</v>
      </c>
      <c r="AC22">
        <f t="shared" si="0"/>
        <v>2018</v>
      </c>
      <c r="AD22">
        <f t="shared" si="0"/>
        <v>2019</v>
      </c>
      <c r="AE22">
        <f t="shared" si="0"/>
        <v>2020</v>
      </c>
      <c r="AF22">
        <f t="shared" si="0"/>
        <v>2021</v>
      </c>
      <c r="AG22">
        <f t="shared" si="0"/>
        <v>2022</v>
      </c>
      <c r="AH22">
        <f t="shared" si="0"/>
        <v>2023</v>
      </c>
      <c r="AI22">
        <f t="shared" si="0"/>
        <v>2024</v>
      </c>
    </row>
    <row r="24" spans="1:36">
      <c r="V24" t="s">
        <v>10</v>
      </c>
      <c r="X24">
        <v>0.06</v>
      </c>
      <c r="Y24" s="5"/>
      <c r="Z24" s="5">
        <f t="shared" ref="Z24:AI24" si="1">+Y27</f>
        <v>0</v>
      </c>
      <c r="AA24" s="5">
        <f t="shared" si="1"/>
        <v>0</v>
      </c>
      <c r="AB24" s="5">
        <f t="shared" si="1"/>
        <v>0</v>
      </c>
      <c r="AC24" s="5">
        <f t="shared" si="1"/>
        <v>0</v>
      </c>
      <c r="AD24" s="5">
        <f t="shared" si="1"/>
        <v>0</v>
      </c>
      <c r="AE24" s="5">
        <f t="shared" si="1"/>
        <v>0</v>
      </c>
      <c r="AF24" s="5">
        <f t="shared" si="1"/>
        <v>0</v>
      </c>
      <c r="AG24" s="5">
        <f t="shared" si="1"/>
        <v>0</v>
      </c>
      <c r="AH24" s="5">
        <f t="shared" si="1"/>
        <v>0</v>
      </c>
      <c r="AI24" s="5">
        <f t="shared" si="1"/>
        <v>0</v>
      </c>
      <c r="AJ24" s="5"/>
    </row>
    <row r="25" spans="1:36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 t="s">
        <v>103</v>
      </c>
      <c r="Q25" s="7"/>
      <c r="R25" s="7"/>
      <c r="S25" s="7"/>
      <c r="V25" t="s">
        <v>11</v>
      </c>
      <c r="Y25" s="5">
        <f>C32</f>
        <v>0</v>
      </c>
      <c r="Z25" s="5">
        <f>C33</f>
        <v>0</v>
      </c>
      <c r="AA25" s="5">
        <f>C34</f>
        <v>0</v>
      </c>
      <c r="AB25" s="5">
        <f>C35</f>
        <v>0</v>
      </c>
      <c r="AC25" s="5">
        <f>C36</f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/>
    </row>
    <row r="26" spans="1:36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85</v>
      </c>
      <c r="P26" s="7" t="s">
        <v>104</v>
      </c>
      <c r="Q26" s="7" t="s">
        <v>114</v>
      </c>
      <c r="R26" s="7"/>
      <c r="S26" s="7"/>
      <c r="V26" t="s">
        <v>12</v>
      </c>
      <c r="Y26" s="5"/>
      <c r="Z26" s="5">
        <f>((Z24+Z25)/2)*$X$24</f>
        <v>0</v>
      </c>
      <c r="AA26" s="5">
        <f t="shared" ref="AA26:AI26" si="2">(AA24+(AA25/2))*$X$24</f>
        <v>0</v>
      </c>
      <c r="AB26" s="5">
        <f t="shared" si="2"/>
        <v>0</v>
      </c>
      <c r="AC26" s="5">
        <f t="shared" si="2"/>
        <v>0</v>
      </c>
      <c r="AD26" s="5">
        <f t="shared" si="2"/>
        <v>0</v>
      </c>
      <c r="AE26" s="5">
        <f t="shared" si="2"/>
        <v>0</v>
      </c>
      <c r="AF26" s="5">
        <f t="shared" si="2"/>
        <v>0</v>
      </c>
      <c r="AG26" s="5">
        <f t="shared" si="2"/>
        <v>0</v>
      </c>
      <c r="AH26" s="5">
        <f t="shared" si="2"/>
        <v>0</v>
      </c>
      <c r="AI26" s="5">
        <f t="shared" si="2"/>
        <v>0</v>
      </c>
      <c r="AJ26" s="5"/>
    </row>
    <row r="27" spans="1:36" ht="13.5" thickBot="1">
      <c r="B27" s="7" t="s">
        <v>13</v>
      </c>
      <c r="C27" s="7" t="s">
        <v>14</v>
      </c>
      <c r="D27" s="7" t="s">
        <v>65</v>
      </c>
      <c r="E27" s="7" t="s">
        <v>77</v>
      </c>
      <c r="F27" s="7" t="s">
        <v>101</v>
      </c>
      <c r="G27" s="7" t="s">
        <v>15</v>
      </c>
      <c r="H27" s="7" t="s">
        <v>16</v>
      </c>
      <c r="I27" s="7" t="s">
        <v>16</v>
      </c>
      <c r="J27" s="7" t="s">
        <v>16</v>
      </c>
      <c r="K27" s="7" t="s">
        <v>17</v>
      </c>
      <c r="L27" s="7" t="s">
        <v>17</v>
      </c>
      <c r="M27" s="7" t="s">
        <v>17</v>
      </c>
      <c r="N27" s="7" t="s">
        <v>17</v>
      </c>
      <c r="O27" s="7" t="s">
        <v>87</v>
      </c>
      <c r="P27" s="7" t="s">
        <v>105</v>
      </c>
      <c r="Q27" s="7" t="s">
        <v>115</v>
      </c>
      <c r="R27" s="7" t="s">
        <v>18</v>
      </c>
      <c r="S27" s="7" t="s">
        <v>126</v>
      </c>
      <c r="V27" s="15" t="s">
        <v>19</v>
      </c>
      <c r="W27" s="15"/>
      <c r="X27" s="15"/>
      <c r="Y27" s="16">
        <f>+Y25-Y26</f>
        <v>0</v>
      </c>
      <c r="Z27" s="16">
        <f t="shared" ref="Z27:AI27" si="3">+Z24+Z25-Z26</f>
        <v>0</v>
      </c>
      <c r="AA27" s="16">
        <f t="shared" si="3"/>
        <v>0</v>
      </c>
      <c r="AB27" s="16">
        <f t="shared" si="3"/>
        <v>0</v>
      </c>
      <c r="AC27" s="16">
        <f t="shared" si="3"/>
        <v>0</v>
      </c>
      <c r="AD27" s="16">
        <f t="shared" si="3"/>
        <v>0</v>
      </c>
      <c r="AE27" s="16">
        <f t="shared" si="3"/>
        <v>0</v>
      </c>
      <c r="AF27" s="16">
        <f t="shared" si="3"/>
        <v>0</v>
      </c>
      <c r="AG27" s="16">
        <f t="shared" si="3"/>
        <v>0</v>
      </c>
      <c r="AH27" s="16">
        <f t="shared" si="3"/>
        <v>0</v>
      </c>
      <c r="AI27" s="16">
        <f t="shared" si="3"/>
        <v>0</v>
      </c>
      <c r="AJ27" s="5"/>
    </row>
    <row r="28" spans="1:36">
      <c r="A28" t="s">
        <v>388</v>
      </c>
      <c r="B28" s="7"/>
      <c r="C28" s="7" t="s">
        <v>20</v>
      </c>
      <c r="D28" s="7" t="s">
        <v>66</v>
      </c>
      <c r="E28" s="7" t="s">
        <v>78</v>
      </c>
      <c r="F28" s="7"/>
      <c r="G28" s="7" t="s">
        <v>21</v>
      </c>
      <c r="H28" s="7" t="s">
        <v>22</v>
      </c>
      <c r="I28" s="7" t="s">
        <v>22</v>
      </c>
      <c r="J28" s="7" t="s">
        <v>22</v>
      </c>
      <c r="K28" s="7" t="s">
        <v>0</v>
      </c>
      <c r="L28" s="7" t="s">
        <v>109</v>
      </c>
      <c r="M28" s="7" t="s">
        <v>84</v>
      </c>
      <c r="N28" s="7" t="s">
        <v>101</v>
      </c>
      <c r="O28" s="7" t="s">
        <v>86</v>
      </c>
      <c r="P28" s="7" t="s">
        <v>106</v>
      </c>
      <c r="Q28" s="7" t="s">
        <v>116</v>
      </c>
      <c r="R28" s="7" t="s">
        <v>23</v>
      </c>
      <c r="S28" s="7" t="s">
        <v>127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>
      <c r="A29" t="s">
        <v>389</v>
      </c>
      <c r="B29" s="7"/>
      <c r="C29" s="7"/>
      <c r="D29" s="7"/>
      <c r="E29" s="7"/>
      <c r="F29" s="7"/>
      <c r="G29" s="7"/>
      <c r="H29" s="7" t="s">
        <v>24</v>
      </c>
      <c r="I29" s="7" t="s">
        <v>25</v>
      </c>
      <c r="J29" s="7" t="s">
        <v>26</v>
      </c>
      <c r="K29" s="7"/>
      <c r="L29" s="7"/>
      <c r="M29" s="7"/>
      <c r="N29" s="7"/>
      <c r="O29" s="7"/>
      <c r="P29" s="7" t="s">
        <v>107</v>
      </c>
      <c r="Q29" s="7"/>
      <c r="R29" s="7" t="s">
        <v>27</v>
      </c>
      <c r="S29" s="7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>
      <c r="B30" s="8" t="s">
        <v>5</v>
      </c>
      <c r="C30" s="8" t="s">
        <v>29</v>
      </c>
      <c r="D30" s="8" t="s">
        <v>30</v>
      </c>
      <c r="E30" s="8" t="s">
        <v>31</v>
      </c>
      <c r="F30" s="8" t="s">
        <v>32</v>
      </c>
      <c r="G30" s="8" t="s">
        <v>33</v>
      </c>
      <c r="H30" s="8" t="s">
        <v>34</v>
      </c>
      <c r="I30" s="8" t="s">
        <v>35</v>
      </c>
      <c r="J30" s="8" t="s">
        <v>36</v>
      </c>
      <c r="K30" s="8" t="s">
        <v>120</v>
      </c>
      <c r="L30" s="8" t="s">
        <v>37</v>
      </c>
      <c r="M30" s="8" t="s">
        <v>38</v>
      </c>
      <c r="N30" s="8" t="s">
        <v>39</v>
      </c>
      <c r="O30" s="8" t="s">
        <v>40</v>
      </c>
      <c r="P30" s="8" t="s">
        <v>41</v>
      </c>
      <c r="Q30" s="8" t="s">
        <v>42</v>
      </c>
      <c r="R30" s="8" t="s">
        <v>121</v>
      </c>
      <c r="S30" s="8" t="s">
        <v>122</v>
      </c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>
      <c r="A32">
        <v>1</v>
      </c>
      <c r="B32">
        <v>2014</v>
      </c>
      <c r="C32" s="5">
        <f>J123</f>
        <v>0</v>
      </c>
      <c r="D32" s="5">
        <f>J124</f>
        <v>0</v>
      </c>
      <c r="E32" s="5">
        <f>J125</f>
        <v>0</v>
      </c>
      <c r="F32" s="5">
        <f>J126</f>
        <v>5808</v>
      </c>
      <c r="G32" s="5">
        <f t="shared" ref="G32:G40" si="4">+C32+D32+E32+F32</f>
        <v>5808</v>
      </c>
      <c r="H32" s="5">
        <v>0</v>
      </c>
      <c r="I32" s="5">
        <f t="shared" ref="I32:I40" si="5">H32+G32-K32-L32-M32-N32</f>
        <v>5808</v>
      </c>
      <c r="J32" s="5"/>
      <c r="K32" s="5"/>
      <c r="L32" s="5"/>
      <c r="M32" s="5"/>
      <c r="N32" s="5"/>
      <c r="O32" s="5"/>
      <c r="P32" s="5"/>
      <c r="Q32" s="5"/>
      <c r="R32" s="5">
        <f>+G11</f>
        <v>8.0500000000000002E-2</v>
      </c>
      <c r="S32" s="5"/>
      <c r="V32" t="s">
        <v>56</v>
      </c>
      <c r="X32">
        <v>0.06</v>
      </c>
      <c r="Y32" s="5"/>
      <c r="Z32" s="5">
        <f t="shared" ref="Z32:AI32" si="6">+Y35</f>
        <v>0</v>
      </c>
      <c r="AA32" s="5">
        <f t="shared" si="6"/>
        <v>0</v>
      </c>
      <c r="AB32" s="5">
        <f t="shared" si="6"/>
        <v>0</v>
      </c>
      <c r="AC32" s="5">
        <f t="shared" si="6"/>
        <v>0</v>
      </c>
      <c r="AD32" s="5">
        <f t="shared" si="6"/>
        <v>0</v>
      </c>
      <c r="AE32" s="5">
        <f t="shared" si="6"/>
        <v>0</v>
      </c>
      <c r="AF32" s="5">
        <f t="shared" si="6"/>
        <v>0</v>
      </c>
      <c r="AG32" s="5">
        <f t="shared" si="6"/>
        <v>0</v>
      </c>
      <c r="AH32" s="5">
        <f t="shared" si="6"/>
        <v>0</v>
      </c>
      <c r="AI32" s="5">
        <f t="shared" si="6"/>
        <v>0</v>
      </c>
      <c r="AJ32" s="5"/>
    </row>
    <row r="33" spans="1:36">
      <c r="A33">
        <f>A32+1</f>
        <v>2</v>
      </c>
      <c r="B33">
        <v>2015</v>
      </c>
      <c r="C33" s="5">
        <f>J129</f>
        <v>0</v>
      </c>
      <c r="D33" s="5">
        <f>J130</f>
        <v>0</v>
      </c>
      <c r="E33" s="5">
        <f>J131</f>
        <v>0</v>
      </c>
      <c r="F33" s="5">
        <f>J132</f>
        <v>199400</v>
      </c>
      <c r="G33" s="5">
        <f t="shared" si="4"/>
        <v>199400</v>
      </c>
      <c r="H33" s="5">
        <f>I32</f>
        <v>5808</v>
      </c>
      <c r="I33" s="5">
        <f t="shared" si="5"/>
        <v>181116.44444444444</v>
      </c>
      <c r="J33" s="5">
        <f t="shared" ref="J33:J40" si="7">+(H33+I33)/2</f>
        <v>93462.222222222219</v>
      </c>
      <c r="K33" s="5">
        <f>(C32+(C33*0.5))*R7</f>
        <v>0</v>
      </c>
      <c r="L33" s="5">
        <f>(D32+(D33*0.5))*R8</f>
        <v>0</v>
      </c>
      <c r="M33" s="5">
        <f>(E32+(E33*0.5))*R9</f>
        <v>0</v>
      </c>
      <c r="N33" s="5">
        <f>'Depreciation 2015'!Q83</f>
        <v>24091.555555555558</v>
      </c>
      <c r="O33" s="5">
        <f>(C32+D32+C33+D33-K33-L33)*R20</f>
        <v>0</v>
      </c>
      <c r="P33" s="5">
        <f>+((-Z26-Z34-Z41-Z47)+(K33+L33+M33+N33))*0.269/(1-0.269)</f>
        <v>-66648.869433044543</v>
      </c>
      <c r="Q33" s="5">
        <f>K78</f>
        <v>96823.883000000002</v>
      </c>
      <c r="R33" s="5">
        <f>+J33*$R$32</f>
        <v>7523.7088888888884</v>
      </c>
      <c r="S33" s="5">
        <f>SUM(K33:R33)</f>
        <v>61790.278011399911</v>
      </c>
      <c r="V33" t="s">
        <v>11</v>
      </c>
      <c r="Y33" s="5">
        <f>D32</f>
        <v>0</v>
      </c>
      <c r="Z33" s="5">
        <f>D33</f>
        <v>0</v>
      </c>
      <c r="AA33" s="5">
        <f>D34</f>
        <v>0</v>
      </c>
      <c r="AB33" s="5">
        <f>D35</f>
        <v>0</v>
      </c>
      <c r="AC33" s="5">
        <f>D36</f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/>
    </row>
    <row r="34" spans="1:36">
      <c r="A34" s="1">
        <f t="shared" ref="A34:A40" si="8">A33+1</f>
        <v>3</v>
      </c>
      <c r="B34">
        <f>+B33+1</f>
        <v>2016</v>
      </c>
      <c r="C34" s="5">
        <f>O123</f>
        <v>0</v>
      </c>
      <c r="D34" s="5">
        <f>O124</f>
        <v>0</v>
      </c>
      <c r="E34" s="5">
        <f>O125</f>
        <v>0</v>
      </c>
      <c r="F34" s="5">
        <f>O126</f>
        <v>300000</v>
      </c>
      <c r="G34" s="5">
        <f t="shared" si="4"/>
        <v>300000</v>
      </c>
      <c r="H34" s="5">
        <f>+I33</f>
        <v>181116.44444444444</v>
      </c>
      <c r="I34" s="5">
        <f t="shared" si="5"/>
        <v>362713.77777777775</v>
      </c>
      <c r="J34" s="5">
        <f t="shared" si="7"/>
        <v>271915.11111111112</v>
      </c>
      <c r="K34" s="5">
        <f>(C32+C33+(C34*0.5))*R7</f>
        <v>0</v>
      </c>
      <c r="L34" s="5">
        <f>(D32+D33+(D34*0.5))*R8</f>
        <v>0</v>
      </c>
      <c r="M34" s="5">
        <f>(E32+E33+(E34*0.5))*R9</f>
        <v>0</v>
      </c>
      <c r="N34" s="5">
        <f>(F32*R10)+(F33*R10)+(F34*0.5*R10)</f>
        <v>118402.66666666666</v>
      </c>
      <c r="O34" s="5">
        <f>(C32+D32+C33+D33+C34+D34-K33-L33-K34-L34)*R20</f>
        <v>0</v>
      </c>
      <c r="P34" s="5">
        <f>+((-AA26-AA34-AA41-AA47)+(K34+L34+M34+N34))*0.269/(1-0.269)</f>
        <v>-66825.831281349761</v>
      </c>
      <c r="Q34" s="5">
        <f>L78</f>
        <v>75789.700000000012</v>
      </c>
      <c r="R34" s="5">
        <f t="shared" ref="R34:R40" si="9">+J34*$R$32</f>
        <v>21889.166444444447</v>
      </c>
      <c r="S34" s="5">
        <f t="shared" ref="S34:S40" si="10">SUM(K34:R34)</f>
        <v>149255.70182976135</v>
      </c>
      <c r="V34" t="s">
        <v>12</v>
      </c>
      <c r="Y34" s="5"/>
      <c r="Z34" s="5">
        <f>((Z32+Z33)/2)*$X$32</f>
        <v>0</v>
      </c>
      <c r="AA34" s="5">
        <f t="shared" ref="AA34:AI34" si="11">(AA32+(AA33/2))*$X$32</f>
        <v>0</v>
      </c>
      <c r="AB34" s="5">
        <f t="shared" si="11"/>
        <v>0</v>
      </c>
      <c r="AC34" s="5">
        <f t="shared" si="11"/>
        <v>0</v>
      </c>
      <c r="AD34" s="5">
        <f t="shared" si="11"/>
        <v>0</v>
      </c>
      <c r="AE34" s="5">
        <f t="shared" si="11"/>
        <v>0</v>
      </c>
      <c r="AF34" s="5">
        <f t="shared" si="11"/>
        <v>0</v>
      </c>
      <c r="AG34" s="5">
        <f t="shared" si="11"/>
        <v>0</v>
      </c>
      <c r="AH34" s="5">
        <f t="shared" si="11"/>
        <v>0</v>
      </c>
      <c r="AI34" s="5">
        <f t="shared" si="11"/>
        <v>0</v>
      </c>
      <c r="AJ34" s="5"/>
    </row>
    <row r="35" spans="1:36" ht="13.5" thickBot="1">
      <c r="A35" s="1">
        <f t="shared" si="8"/>
        <v>4</v>
      </c>
      <c r="B35">
        <f>+B34+1</f>
        <v>2017</v>
      </c>
      <c r="C35" s="5">
        <f>O129</f>
        <v>0</v>
      </c>
      <c r="D35" s="5">
        <f>O130</f>
        <v>0</v>
      </c>
      <c r="E35" s="5">
        <f>O131</f>
        <v>215520</v>
      </c>
      <c r="F35" s="5">
        <f>O132</f>
        <v>56892</v>
      </c>
      <c r="G35" s="5">
        <f t="shared" si="4"/>
        <v>272412</v>
      </c>
      <c r="H35" s="5">
        <f>I34</f>
        <v>362713.77777777775</v>
      </c>
      <c r="I35" s="5">
        <f t="shared" si="5"/>
        <v>410096.11111111112</v>
      </c>
      <c r="J35" s="5">
        <f t="shared" si="7"/>
        <v>386404.94444444444</v>
      </c>
      <c r="K35" s="5">
        <f>(C32+C33++C34+(C35*0.5))*R7</f>
        <v>0</v>
      </c>
      <c r="L35" s="5">
        <f>(D32+D33++D34+(D35*0.5))*R8</f>
        <v>0</v>
      </c>
      <c r="M35" s="5">
        <f>'Depreciation 2017'!Q50</f>
        <v>47145</v>
      </c>
      <c r="N35" s="5">
        <f>(F32*R10)+(F33*R10)+(F34*R10)+(F35*0.5*R10)</f>
        <v>177884.66666666666</v>
      </c>
      <c r="O35" s="5">
        <f>(C32+D32+C33+D33+C34+D34+C35+D35-K33-L33-K34-L34-K35-L35)*R20</f>
        <v>0</v>
      </c>
      <c r="P35" s="5">
        <f>+((-AB26-AB34-AB41-AB47)+(K35+L35+M35+N35))*0.269/(1-0.269)</f>
        <v>22218.320565435475</v>
      </c>
      <c r="Q35" s="5">
        <f>M78</f>
        <v>215037.402</v>
      </c>
      <c r="R35" s="5">
        <f t="shared" si="9"/>
        <v>31105.598027777778</v>
      </c>
      <c r="S35" s="5">
        <f t="shared" si="10"/>
        <v>493390.98725987994</v>
      </c>
      <c r="V35" s="15" t="s">
        <v>19</v>
      </c>
      <c r="W35" s="15"/>
      <c r="X35" s="15"/>
      <c r="Y35" s="16">
        <f>+Y33-Y34</f>
        <v>0</v>
      </c>
      <c r="Z35" s="16">
        <f t="shared" ref="Z35:AI35" si="12">+Z32+Z33-Z34</f>
        <v>0</v>
      </c>
      <c r="AA35" s="16">
        <f t="shared" si="12"/>
        <v>0</v>
      </c>
      <c r="AB35" s="16">
        <f t="shared" si="12"/>
        <v>0</v>
      </c>
      <c r="AC35" s="16">
        <f t="shared" si="12"/>
        <v>0</v>
      </c>
      <c r="AD35" s="16">
        <f t="shared" si="12"/>
        <v>0</v>
      </c>
      <c r="AE35" s="16">
        <f t="shared" si="12"/>
        <v>0</v>
      </c>
      <c r="AF35" s="16">
        <f t="shared" si="12"/>
        <v>0</v>
      </c>
      <c r="AG35" s="16">
        <f t="shared" si="12"/>
        <v>0</v>
      </c>
      <c r="AH35" s="16">
        <f t="shared" si="12"/>
        <v>0</v>
      </c>
      <c r="AI35" s="16">
        <f t="shared" si="12"/>
        <v>0</v>
      </c>
      <c r="AJ35" s="5"/>
    </row>
    <row r="36" spans="1:36">
      <c r="A36" s="1">
        <f t="shared" si="8"/>
        <v>5</v>
      </c>
      <c r="B36">
        <f>+B35+1</f>
        <v>2018</v>
      </c>
      <c r="C36" s="5">
        <v>0</v>
      </c>
      <c r="D36" s="5">
        <v>0</v>
      </c>
      <c r="E36" s="5">
        <v>0</v>
      </c>
      <c r="F36" s="5">
        <v>0</v>
      </c>
      <c r="G36" s="5">
        <f t="shared" si="4"/>
        <v>0</v>
      </c>
      <c r="H36" s="5">
        <f>+I35</f>
        <v>410096.11111111112</v>
      </c>
      <c r="I36" s="5">
        <f t="shared" si="5"/>
        <v>168849.4444444445</v>
      </c>
      <c r="J36" s="5">
        <f t="shared" si="7"/>
        <v>289472.77777777781</v>
      </c>
      <c r="K36" s="5">
        <f>(C32+C33++C34+C35+(C36*0.5))*R7</f>
        <v>0</v>
      </c>
      <c r="L36" s="5">
        <f>(D32+D33++D34++D35+(D36*0.5))*R8</f>
        <v>0</v>
      </c>
      <c r="M36" s="5">
        <f>'Depreciation 2018'!Q50</f>
        <v>53880</v>
      </c>
      <c r="N36" s="5">
        <f>'Depreciation 2018'!Q83</f>
        <v>187366.66666666663</v>
      </c>
      <c r="O36" s="5">
        <f>(C32+D32+C33+D33+C34+D34+C35+D35+C36+D36-K33-L33-K34-L34-K35-L35-K36-L36)*R20</f>
        <v>0</v>
      </c>
      <c r="P36" s="5">
        <f>+((-AC26-AC34-AC41-AC47)+(K36+L36+M36+N36))*0.269/(1-0.269)</f>
        <v>49121.632466940253</v>
      </c>
      <c r="Q36" s="5">
        <f>N78</f>
        <v>216076.07004000002</v>
      </c>
      <c r="R36" s="5">
        <f t="shared" si="9"/>
        <v>23302.558611111115</v>
      </c>
      <c r="S36" s="5">
        <f t="shared" si="10"/>
        <v>529746.92778471799</v>
      </c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>
      <c r="A37" s="1">
        <f t="shared" si="8"/>
        <v>6</v>
      </c>
      <c r="B37">
        <f>+B36+1</f>
        <v>2019</v>
      </c>
      <c r="C37" s="5">
        <v>0</v>
      </c>
      <c r="D37" s="5">
        <v>0</v>
      </c>
      <c r="E37" s="5">
        <v>0</v>
      </c>
      <c r="F37" s="5">
        <v>0</v>
      </c>
      <c r="G37" s="5">
        <f t="shared" si="4"/>
        <v>0</v>
      </c>
      <c r="H37" s="5">
        <f>+I36</f>
        <v>168849.4444444445</v>
      </c>
      <c r="I37" s="5">
        <f t="shared" si="5"/>
        <v>60614.999999999956</v>
      </c>
      <c r="J37" s="5">
        <f t="shared" si="7"/>
        <v>114732.22222222222</v>
      </c>
      <c r="K37" s="5">
        <f>(C32+C33++C34+C35++C36+(C37*0.5))*R7</f>
        <v>0</v>
      </c>
      <c r="L37" s="5">
        <f>(D32+D33++D34++D35+D36+(D37*0.5))*R8</f>
        <v>0</v>
      </c>
      <c r="M37" s="5">
        <f>'Depreciation 2019'!Q50</f>
        <v>53880</v>
      </c>
      <c r="N37" s="5">
        <f>'Depreciation 2019'!Q83</f>
        <v>54354.44444444454</v>
      </c>
      <c r="O37" s="5">
        <f>(C32+D32+C33+D33+C34+D34+C35+D35+C36+D36+C37+D37-K33-L33-K34-L34-K35-L35-K36-L36-K37-L37)*R20</f>
        <v>0</v>
      </c>
      <c r="P37" s="5">
        <f>+((-AD26-AD34-AD41-AD47)+(K37+L37+M37+N37))*0.269/(1-0.269)</f>
        <v>39829.091047271657</v>
      </c>
      <c r="Q37" s="5">
        <f>O78</f>
        <v>217135.51144080001</v>
      </c>
      <c r="R37" s="5">
        <f t="shared" si="9"/>
        <v>9235.943888888889</v>
      </c>
      <c r="S37" s="5">
        <f t="shared" si="10"/>
        <v>374434.99082140508</v>
      </c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>
      <c r="A38" s="1">
        <f t="shared" si="8"/>
        <v>7</v>
      </c>
      <c r="B38">
        <v>2020</v>
      </c>
      <c r="C38" s="5">
        <v>0</v>
      </c>
      <c r="D38" s="5">
        <v>0</v>
      </c>
      <c r="E38" s="5">
        <v>0</v>
      </c>
      <c r="F38" s="5">
        <v>0</v>
      </c>
      <c r="G38" s="5">
        <f t="shared" si="4"/>
        <v>0</v>
      </c>
      <c r="H38" s="5">
        <f>+I37</f>
        <v>60614.999999999956</v>
      </c>
      <c r="I38" s="5">
        <f t="shared" si="5"/>
        <v>6734.9999999999563</v>
      </c>
      <c r="J38" s="5">
        <f t="shared" si="7"/>
        <v>33674.999999999956</v>
      </c>
      <c r="K38" s="5">
        <f>(C32+C33++C34+C35+C36+C37+(C38*0.5))*R7</f>
        <v>0</v>
      </c>
      <c r="L38" s="5">
        <f>(D32+D33++D34+D35+D36+D37+(D38*0.5))*R8</f>
        <v>0</v>
      </c>
      <c r="M38" s="5">
        <f>'Depreciation 2020'!Q50</f>
        <v>53880</v>
      </c>
      <c r="N38" s="5">
        <f>'Depreciation 2020'!Q83</f>
        <v>0</v>
      </c>
      <c r="O38" s="5">
        <f>(C32+D32+C33+D33+C34+D34+C35+D35+C36+D36+C37+D37+C38+D38-K33-L33-K34-L34-K35-L35-K36-L36-K37-L37-K38-L38)*R20</f>
        <v>0</v>
      </c>
      <c r="P38" s="5">
        <f>+((-AE26-AE34-AE41-AE47)+(K38+L38+M38+N38))*0.269/(1-0.269)</f>
        <v>19827.250341997267</v>
      </c>
      <c r="Q38" s="5">
        <f>P78</f>
        <v>218216.14166961602</v>
      </c>
      <c r="R38" s="5">
        <f t="shared" si="9"/>
        <v>2710.8374999999965</v>
      </c>
      <c r="S38" s="5">
        <f t="shared" si="10"/>
        <v>294634.22951161332</v>
      </c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>
      <c r="A39" s="1">
        <f t="shared" si="8"/>
        <v>8</v>
      </c>
      <c r="B39">
        <v>2021</v>
      </c>
      <c r="C39" s="5">
        <v>0</v>
      </c>
      <c r="D39" s="5">
        <v>0</v>
      </c>
      <c r="E39" s="5">
        <v>0</v>
      </c>
      <c r="F39" s="5">
        <v>0</v>
      </c>
      <c r="G39" s="5">
        <f t="shared" si="4"/>
        <v>0</v>
      </c>
      <c r="H39" s="5">
        <f>+I38</f>
        <v>6734.9999999999563</v>
      </c>
      <c r="I39" s="5">
        <f t="shared" si="5"/>
        <v>-4.3655745685100555E-11</v>
      </c>
      <c r="J39" s="5">
        <f t="shared" si="7"/>
        <v>3367.4999999999563</v>
      </c>
      <c r="K39" s="5">
        <f>(C32+C33++C34+C35+C36+C37+C38+(C39*0.5))*R7</f>
        <v>0</v>
      </c>
      <c r="L39" s="5">
        <f>(D32+D33++D34+D35+D36+D37+D38+(D39*0.5))*R8</f>
        <v>0</v>
      </c>
      <c r="M39" s="5">
        <f>'Depreciation 2021'!Q50</f>
        <v>6735</v>
      </c>
      <c r="N39" s="5">
        <v>0</v>
      </c>
      <c r="O39" s="5">
        <f>(C32+D32+C33+D33+C34+D34+C35+D35+C36+D36+C37+D37+C38+D38+C39+D39-K33-L33-K34-L34-K35-L35-K36-L36-K37-L37-K38-L38-K39-L39)*R20</f>
        <v>0</v>
      </c>
      <c r="P39" s="5">
        <f>+((-AF26-AF34-AF41-AF47)+(K39+L39+M39+N39))*0.269/(1-0.269)</f>
        <v>2478.4062927496584</v>
      </c>
      <c r="Q39" s="5">
        <f>Q78</f>
        <v>219318.38450300833</v>
      </c>
      <c r="R39" s="5">
        <f t="shared" si="9"/>
        <v>271.08374999999648</v>
      </c>
      <c r="S39" s="5">
        <f t="shared" si="10"/>
        <v>228802.87454575798</v>
      </c>
      <c r="V39" t="s">
        <v>88</v>
      </c>
      <c r="X39">
        <v>1</v>
      </c>
      <c r="Y39" s="5"/>
      <c r="Z39" s="5">
        <f t="shared" ref="Z39:AH39" si="13">+Y42</f>
        <v>0</v>
      </c>
      <c r="AA39" s="5">
        <f t="shared" si="13"/>
        <v>0</v>
      </c>
      <c r="AB39" s="5">
        <f t="shared" si="13"/>
        <v>0</v>
      </c>
      <c r="AC39" s="5">
        <f t="shared" si="13"/>
        <v>107760</v>
      </c>
      <c r="AD39" s="5">
        <f t="shared" si="13"/>
        <v>0</v>
      </c>
      <c r="AE39" s="5">
        <f t="shared" si="13"/>
        <v>0</v>
      </c>
      <c r="AF39" s="5">
        <f t="shared" si="13"/>
        <v>0</v>
      </c>
      <c r="AG39" s="5">
        <f t="shared" si="13"/>
        <v>0</v>
      </c>
      <c r="AH39" s="5">
        <f t="shared" si="13"/>
        <v>0</v>
      </c>
      <c r="AI39" s="5"/>
      <c r="AJ39" s="5"/>
    </row>
    <row r="40" spans="1:36">
      <c r="A40" s="1">
        <f t="shared" si="8"/>
        <v>9</v>
      </c>
      <c r="B40">
        <v>2022</v>
      </c>
      <c r="C40" s="5">
        <v>0</v>
      </c>
      <c r="D40" s="5">
        <v>0</v>
      </c>
      <c r="E40" s="5">
        <v>0</v>
      </c>
      <c r="F40" s="5">
        <v>0</v>
      </c>
      <c r="G40" s="5">
        <f t="shared" si="4"/>
        <v>0</v>
      </c>
      <c r="H40" s="5">
        <f>+I39</f>
        <v>-4.3655745685100555E-11</v>
      </c>
      <c r="I40" s="5">
        <f t="shared" si="5"/>
        <v>-4.3655745685100555E-11</v>
      </c>
      <c r="J40" s="5">
        <f t="shared" si="7"/>
        <v>-4.3655745685100555E-11</v>
      </c>
      <c r="K40" s="5">
        <f>(C32+C33++C34+C35+C36+C37+C38+C39+(C40*0.5))*R7</f>
        <v>0</v>
      </c>
      <c r="L40" s="5">
        <f>(D32+D33++D34+D35+D36+D37+D38+D39+(D40*0.5))*R8</f>
        <v>0</v>
      </c>
      <c r="M40" s="5">
        <v>0</v>
      </c>
      <c r="N40" s="5">
        <v>0</v>
      </c>
      <c r="O40" s="5">
        <f>(C32+D32+C33+D33+C34+D34+C35+D35+C36+D36+C37+D37+C38+D38+C39+D39+C40+D40-K33-L33-K34-L34-K35-L35-K36-L36-K37-L37-K38-L38-K39-L39-K40-L40)*R20</f>
        <v>0</v>
      </c>
      <c r="P40" s="5">
        <f>+((-AG26-AG34-AG41-AG47)+(K40+L40+M40+N40))*0.269/(1-0.269)</f>
        <v>0</v>
      </c>
      <c r="Q40" s="5">
        <f>R78</f>
        <v>220442.67219306852</v>
      </c>
      <c r="R40" s="5">
        <f t="shared" si="9"/>
        <v>-3.5142875276505946E-12</v>
      </c>
      <c r="S40" s="5">
        <f t="shared" si="10"/>
        <v>220442.67219306852</v>
      </c>
      <c r="V40" t="s">
        <v>11</v>
      </c>
      <c r="Y40" s="5">
        <f>E32</f>
        <v>0</v>
      </c>
      <c r="Z40" s="5">
        <f>E33</f>
        <v>0</v>
      </c>
      <c r="AA40" s="5">
        <f>E34</f>
        <v>0</v>
      </c>
      <c r="AB40" s="5">
        <f>E35</f>
        <v>215520</v>
      </c>
      <c r="AC40" s="5">
        <f>E36</f>
        <v>0</v>
      </c>
      <c r="AD40" s="5">
        <f>F36</f>
        <v>0</v>
      </c>
      <c r="AE40" s="5">
        <f>G36</f>
        <v>0</v>
      </c>
      <c r="AF40" s="5">
        <v>0</v>
      </c>
      <c r="AG40" s="5">
        <v>0</v>
      </c>
      <c r="AH40" s="5">
        <v>0</v>
      </c>
      <c r="AI40" s="5"/>
      <c r="AJ40" s="5"/>
    </row>
    <row r="41" spans="1:36">
      <c r="V41" t="s">
        <v>12</v>
      </c>
      <c r="Y41" s="5"/>
      <c r="Z41" s="5">
        <f>((Z39+Z40)/2)*$X$39</f>
        <v>0</v>
      </c>
      <c r="AA41" s="5">
        <f>(AA39+(AA40/2))*$X$39</f>
        <v>0</v>
      </c>
      <c r="AB41" s="5">
        <f t="shared" ref="AB41:AH41" si="14">(AB39+(AB40/2))*$X$39</f>
        <v>107760</v>
      </c>
      <c r="AC41" s="5">
        <f t="shared" si="14"/>
        <v>107760</v>
      </c>
      <c r="AD41" s="5">
        <f t="shared" si="14"/>
        <v>0</v>
      </c>
      <c r="AE41" s="5">
        <f t="shared" si="14"/>
        <v>0</v>
      </c>
      <c r="AF41" s="5">
        <f t="shared" si="14"/>
        <v>0</v>
      </c>
      <c r="AG41" s="5">
        <f t="shared" si="14"/>
        <v>0</v>
      </c>
      <c r="AH41" s="5">
        <f t="shared" si="14"/>
        <v>0</v>
      </c>
      <c r="AI41" s="5"/>
      <c r="AJ41" s="5"/>
    </row>
    <row r="42" spans="1:36" ht="13.5" thickBot="1">
      <c r="V42" s="15" t="s">
        <v>19</v>
      </c>
      <c r="W42" s="15"/>
      <c r="X42" s="15"/>
      <c r="Y42" s="16">
        <f>+Y40-Y41</f>
        <v>0</v>
      </c>
      <c r="Z42" s="16">
        <f t="shared" ref="Z42:AH42" si="15">+Z39+Z40-Z41</f>
        <v>0</v>
      </c>
      <c r="AA42" s="16">
        <f t="shared" si="15"/>
        <v>0</v>
      </c>
      <c r="AB42" s="16">
        <f t="shared" si="15"/>
        <v>107760</v>
      </c>
      <c r="AC42" s="16">
        <f t="shared" si="15"/>
        <v>0</v>
      </c>
      <c r="AD42" s="16">
        <f t="shared" si="15"/>
        <v>0</v>
      </c>
      <c r="AE42" s="16">
        <f t="shared" si="15"/>
        <v>0</v>
      </c>
      <c r="AF42" s="16">
        <f t="shared" si="15"/>
        <v>0</v>
      </c>
      <c r="AG42" s="16">
        <f t="shared" si="15"/>
        <v>0</v>
      </c>
      <c r="AH42" s="16">
        <f t="shared" si="15"/>
        <v>0</v>
      </c>
      <c r="AI42" s="5"/>
      <c r="AJ42" s="5"/>
    </row>
    <row r="43" spans="1:36"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>
      <c r="D44" s="9"/>
      <c r="E44" s="9" t="s">
        <v>390</v>
      </c>
      <c r="F44" t="s">
        <v>125</v>
      </c>
      <c r="L44" s="7" t="s">
        <v>44</v>
      </c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>
      <c r="E45" s="9"/>
      <c r="H45" s="7"/>
      <c r="I45" s="7" t="s">
        <v>45</v>
      </c>
      <c r="J45" s="7"/>
      <c r="K45" s="7" t="s">
        <v>44</v>
      </c>
      <c r="L45" s="7" t="s">
        <v>46</v>
      </c>
      <c r="V45" t="s">
        <v>195</v>
      </c>
      <c r="X45">
        <v>1</v>
      </c>
      <c r="Y45" s="5"/>
      <c r="Z45" s="5">
        <f t="shared" ref="Z45:AH45" si="16">+Y48</f>
        <v>5808</v>
      </c>
      <c r="AA45" s="5">
        <f t="shared" si="16"/>
        <v>0</v>
      </c>
      <c r="AB45" s="5">
        <f t="shared" si="16"/>
        <v>0</v>
      </c>
      <c r="AC45" s="5">
        <f t="shared" si="16"/>
        <v>0</v>
      </c>
      <c r="AD45" s="5">
        <f t="shared" si="16"/>
        <v>0</v>
      </c>
      <c r="AE45" s="5">
        <f t="shared" si="16"/>
        <v>0</v>
      </c>
      <c r="AF45" s="5">
        <f t="shared" si="16"/>
        <v>0</v>
      </c>
      <c r="AG45" s="5">
        <f t="shared" si="16"/>
        <v>0</v>
      </c>
      <c r="AH45" s="5">
        <f t="shared" si="16"/>
        <v>0</v>
      </c>
      <c r="AI45" s="5"/>
      <c r="AJ45" s="5"/>
    </row>
    <row r="46" spans="1:36">
      <c r="E46" s="9"/>
      <c r="H46" s="7" t="s">
        <v>47</v>
      </c>
      <c r="I46" s="7" t="s">
        <v>375</v>
      </c>
      <c r="J46" s="7" t="s">
        <v>48</v>
      </c>
      <c r="K46" s="7" t="s">
        <v>49</v>
      </c>
      <c r="L46" s="7" t="s">
        <v>49</v>
      </c>
      <c r="V46" t="s">
        <v>11</v>
      </c>
      <c r="Y46" s="5">
        <f>F32</f>
        <v>5808</v>
      </c>
      <c r="Z46" s="5">
        <f>F33</f>
        <v>199400</v>
      </c>
      <c r="AA46" s="5">
        <f>F34</f>
        <v>300000</v>
      </c>
      <c r="AB46" s="5">
        <f>F35</f>
        <v>56892</v>
      </c>
      <c r="AC46" s="5">
        <f>F36</f>
        <v>0</v>
      </c>
      <c r="AD46" s="5">
        <f>G36</f>
        <v>0</v>
      </c>
      <c r="AE46" s="5">
        <v>0</v>
      </c>
      <c r="AF46" s="5">
        <v>0</v>
      </c>
      <c r="AG46" s="5">
        <v>0</v>
      </c>
      <c r="AH46" s="5">
        <v>0</v>
      </c>
      <c r="AI46" s="5"/>
      <c r="AJ46" s="5"/>
    </row>
    <row r="47" spans="1:36">
      <c r="E47" s="9"/>
      <c r="H47" s="8" t="s">
        <v>5</v>
      </c>
      <c r="I47" s="8" t="s">
        <v>29</v>
      </c>
      <c r="J47" s="8" t="s">
        <v>30</v>
      </c>
      <c r="K47" s="8" t="s">
        <v>31</v>
      </c>
      <c r="L47" s="8" t="s">
        <v>50</v>
      </c>
      <c r="V47" t="s">
        <v>102</v>
      </c>
      <c r="Y47" s="5"/>
      <c r="Z47" s="5">
        <f>+Z45+Z46</f>
        <v>205208</v>
      </c>
      <c r="AA47" s="5">
        <f>+AA46</f>
        <v>300000</v>
      </c>
      <c r="AB47" s="5">
        <f t="shared" ref="AB47:AH47" si="17">+AB46</f>
        <v>56892</v>
      </c>
      <c r="AC47" s="5">
        <f t="shared" si="17"/>
        <v>0</v>
      </c>
      <c r="AD47" s="5">
        <f t="shared" si="17"/>
        <v>0</v>
      </c>
      <c r="AE47" s="5">
        <f t="shared" si="17"/>
        <v>0</v>
      </c>
      <c r="AF47" s="5">
        <f t="shared" si="17"/>
        <v>0</v>
      </c>
      <c r="AG47" s="5">
        <f t="shared" si="17"/>
        <v>0</v>
      </c>
      <c r="AH47" s="5">
        <f t="shared" si="17"/>
        <v>0</v>
      </c>
      <c r="AI47" s="5"/>
      <c r="AJ47" s="5"/>
    </row>
    <row r="48" spans="1:36" ht="13.5" thickBot="1">
      <c r="E48" s="9"/>
      <c r="F48" t="s">
        <v>51</v>
      </c>
      <c r="H48" s="2">
        <v>0.55000000000000004</v>
      </c>
      <c r="I48" s="2">
        <v>5.3199999999999997E-2</v>
      </c>
      <c r="J48" s="2"/>
      <c r="K48" s="2">
        <f>+I48</f>
        <v>5.3199999999999997E-2</v>
      </c>
      <c r="L48" s="2">
        <f>+K48*H48</f>
        <v>2.9260000000000001E-2</v>
      </c>
      <c r="V48" s="15" t="s">
        <v>19</v>
      </c>
      <c r="W48" s="15"/>
      <c r="X48" s="15"/>
      <c r="Y48" s="16">
        <f>+Y46-Y47</f>
        <v>5808</v>
      </c>
      <c r="Z48" s="16">
        <f t="shared" ref="Z48:AH48" si="18">+Z45+Z46-Z47</f>
        <v>0</v>
      </c>
      <c r="AA48" s="16">
        <f t="shared" si="18"/>
        <v>0</v>
      </c>
      <c r="AB48" s="16">
        <f t="shared" si="18"/>
        <v>0</v>
      </c>
      <c r="AC48" s="16">
        <f t="shared" si="18"/>
        <v>0</v>
      </c>
      <c r="AD48" s="16">
        <f t="shared" si="18"/>
        <v>0</v>
      </c>
      <c r="AE48" s="16">
        <f t="shared" si="18"/>
        <v>0</v>
      </c>
      <c r="AF48" s="16">
        <f t="shared" si="18"/>
        <v>0</v>
      </c>
      <c r="AG48" s="16">
        <f t="shared" si="18"/>
        <v>0</v>
      </c>
      <c r="AH48" s="16">
        <f t="shared" si="18"/>
        <v>0</v>
      </c>
      <c r="AI48" s="5"/>
      <c r="AJ48" s="5"/>
    </row>
    <row r="49" spans="5:34">
      <c r="E49" s="9"/>
      <c r="F49" t="s">
        <v>52</v>
      </c>
      <c r="H49" s="2">
        <v>0.05</v>
      </c>
      <c r="I49" s="2">
        <v>2.9499999999999998E-2</v>
      </c>
      <c r="J49" s="2"/>
      <c r="K49" s="2">
        <f>+I49</f>
        <v>2.9499999999999998E-2</v>
      </c>
      <c r="L49" s="2">
        <f>+K49*H49</f>
        <v>1.475E-3</v>
      </c>
    </row>
    <row r="50" spans="5:34">
      <c r="E50" s="9"/>
      <c r="F50" t="s">
        <v>53</v>
      </c>
      <c r="H50" s="2">
        <v>0.4</v>
      </c>
      <c r="I50" s="2">
        <v>9.0999999999999998E-2</v>
      </c>
      <c r="J50" s="2">
        <v>0.26900000000000002</v>
      </c>
      <c r="K50" s="2">
        <f>+I50/(1-J50)</f>
        <v>0.12448700410396717</v>
      </c>
      <c r="L50" s="2">
        <f>+K50*H50</f>
        <v>4.9794801641586867E-2</v>
      </c>
      <c r="V50" t="s">
        <v>196</v>
      </c>
    </row>
    <row r="51" spans="5:34" ht="13.5" thickBot="1">
      <c r="E51" s="9"/>
      <c r="H51" s="2"/>
      <c r="I51" s="2"/>
      <c r="J51" s="2"/>
      <c r="K51" s="2"/>
      <c r="L51" s="6">
        <f>ROUND(SUM(L48:L50),4)</f>
        <v>8.0500000000000002E-2</v>
      </c>
    </row>
    <row r="52" spans="5:34" ht="13.5" thickTop="1">
      <c r="E52" s="9"/>
    </row>
    <row r="53" spans="5:34">
      <c r="E53" s="9"/>
      <c r="V53" t="s">
        <v>202</v>
      </c>
      <c r="Z53">
        <f t="shared" ref="Z53:AH53" si="19">+Z26+Z34+Z41+Z47</f>
        <v>205208</v>
      </c>
      <c r="AA53">
        <f t="shared" si="19"/>
        <v>300000</v>
      </c>
      <c r="AB53">
        <f t="shared" si="19"/>
        <v>164652</v>
      </c>
      <c r="AC53">
        <f t="shared" si="19"/>
        <v>107760</v>
      </c>
      <c r="AD53">
        <f t="shared" si="19"/>
        <v>0</v>
      </c>
      <c r="AE53">
        <f t="shared" si="19"/>
        <v>0</v>
      </c>
      <c r="AF53">
        <f t="shared" si="19"/>
        <v>0</v>
      </c>
      <c r="AG53">
        <f t="shared" si="19"/>
        <v>0</v>
      </c>
      <c r="AH53">
        <f t="shared" si="19"/>
        <v>0</v>
      </c>
    </row>
    <row r="54" spans="5:34">
      <c r="E54" s="9" t="s">
        <v>29</v>
      </c>
      <c r="F54" t="s">
        <v>376</v>
      </c>
    </row>
    <row r="55" spans="5:34">
      <c r="E55" s="9"/>
      <c r="K55">
        <v>2015</v>
      </c>
      <c r="L55">
        <v>2016</v>
      </c>
      <c r="M55">
        <v>2017</v>
      </c>
      <c r="N55">
        <v>2018</v>
      </c>
      <c r="O55">
        <v>2019</v>
      </c>
      <c r="P55">
        <v>2020</v>
      </c>
      <c r="Q55">
        <v>2021</v>
      </c>
      <c r="R55">
        <v>2022</v>
      </c>
    </row>
    <row r="56" spans="5:34">
      <c r="E56" s="9"/>
    </row>
    <row r="57" spans="5:34">
      <c r="E57" s="9"/>
      <c r="F57" t="s">
        <v>203</v>
      </c>
      <c r="K57" s="5">
        <f>K33+L33+M33+N33</f>
        <v>24091.555555555558</v>
      </c>
      <c r="L57" s="5">
        <f>K34+L34+M34+N34</f>
        <v>118402.66666666666</v>
      </c>
      <c r="M57" s="5">
        <f>K35+L35+M35+N35</f>
        <v>225029.66666666666</v>
      </c>
      <c r="N57" s="5">
        <f>K36+L36+M36+N36</f>
        <v>241246.66666666663</v>
      </c>
      <c r="O57" s="5">
        <f>K37+L37+M37+N37</f>
        <v>108234.44444444454</v>
      </c>
      <c r="P57" s="5">
        <f>K38+L38+M38+N38</f>
        <v>53880</v>
      </c>
      <c r="Q57" s="5">
        <f>K39+L39+M39+N39</f>
        <v>6735</v>
      </c>
      <c r="R57" s="5">
        <f>K40+L40+M40+N40</f>
        <v>0</v>
      </c>
    </row>
    <row r="58" spans="5:34">
      <c r="E58" s="9"/>
      <c r="F58" t="s">
        <v>198</v>
      </c>
      <c r="K58" s="11">
        <f t="shared" ref="K58:R58" si="20">Z53</f>
        <v>205208</v>
      </c>
      <c r="L58" s="11">
        <f t="shared" si="20"/>
        <v>300000</v>
      </c>
      <c r="M58" s="11">
        <f t="shared" si="20"/>
        <v>164652</v>
      </c>
      <c r="N58" s="11">
        <f t="shared" si="20"/>
        <v>107760</v>
      </c>
      <c r="O58" s="11">
        <f t="shared" si="20"/>
        <v>0</v>
      </c>
      <c r="P58" s="11">
        <f t="shared" si="20"/>
        <v>0</v>
      </c>
      <c r="Q58" s="11">
        <f t="shared" si="20"/>
        <v>0</v>
      </c>
      <c r="R58" s="11">
        <f t="shared" si="20"/>
        <v>0</v>
      </c>
    </row>
    <row r="59" spans="5:34">
      <c r="E59" s="9"/>
      <c r="F59" t="s">
        <v>199</v>
      </c>
      <c r="K59" s="5">
        <f>K57-K58</f>
        <v>-181116.44444444444</v>
      </c>
      <c r="L59" s="5">
        <f t="shared" ref="L59:R59" si="21">L57-L58</f>
        <v>-181597.33333333334</v>
      </c>
      <c r="M59" s="5">
        <f t="shared" si="21"/>
        <v>60377.666666666657</v>
      </c>
      <c r="N59" s="5">
        <f t="shared" si="21"/>
        <v>133486.66666666663</v>
      </c>
      <c r="O59" s="5">
        <f t="shared" si="21"/>
        <v>108234.44444444454</v>
      </c>
      <c r="P59" s="5">
        <f t="shared" si="21"/>
        <v>53880</v>
      </c>
      <c r="Q59" s="5">
        <f t="shared" si="21"/>
        <v>6735</v>
      </c>
      <c r="R59" s="5">
        <f t="shared" si="21"/>
        <v>0</v>
      </c>
    </row>
    <row r="60" spans="5:34">
      <c r="E60" s="9"/>
      <c r="F60" t="s">
        <v>200</v>
      </c>
      <c r="J60" s="10">
        <v>0.26900000000000002</v>
      </c>
      <c r="K60" s="11">
        <f>K59*$J$60</f>
        <v>-48720.323555555558</v>
      </c>
      <c r="L60" s="11">
        <f t="shared" ref="L60:R60" si="22">L59*$J$60</f>
        <v>-48849.682666666675</v>
      </c>
      <c r="M60" s="11">
        <f t="shared" si="22"/>
        <v>16241.592333333332</v>
      </c>
      <c r="N60" s="11">
        <f t="shared" si="22"/>
        <v>35907.913333333323</v>
      </c>
      <c r="O60" s="11">
        <f t="shared" si="22"/>
        <v>29115.065555555582</v>
      </c>
      <c r="P60" s="11">
        <f t="shared" si="22"/>
        <v>14493.720000000001</v>
      </c>
      <c r="Q60" s="11">
        <f t="shared" si="22"/>
        <v>1811.7150000000001</v>
      </c>
      <c r="R60" s="11">
        <f t="shared" si="22"/>
        <v>0</v>
      </c>
    </row>
    <row r="61" spans="5:34" ht="13.5" thickBot="1">
      <c r="E61" s="9"/>
      <c r="F61" t="s">
        <v>201</v>
      </c>
      <c r="J61" s="9" t="s">
        <v>377</v>
      </c>
      <c r="K61" s="12">
        <f>+K60/(1-$J$60)</f>
        <v>-66648.869433044543</v>
      </c>
      <c r="L61" s="12">
        <f t="shared" ref="L61:R61" si="23">+L60/(1-$J$60)</f>
        <v>-66825.831281349761</v>
      </c>
      <c r="M61" s="12">
        <f t="shared" si="23"/>
        <v>22218.320565435475</v>
      </c>
      <c r="N61" s="12">
        <f t="shared" si="23"/>
        <v>49121.632466940253</v>
      </c>
      <c r="O61" s="12">
        <f t="shared" si="23"/>
        <v>39829.091047271657</v>
      </c>
      <c r="P61" s="12">
        <f t="shared" si="23"/>
        <v>19827.250341997267</v>
      </c>
      <c r="Q61" s="12">
        <f t="shared" si="23"/>
        <v>2478.4062927496584</v>
      </c>
      <c r="R61" s="12">
        <f t="shared" si="23"/>
        <v>0</v>
      </c>
    </row>
    <row r="62" spans="5:34" ht="13.5" thickTop="1">
      <c r="E62" s="9"/>
    </row>
    <row r="63" spans="5:34">
      <c r="E63" s="9"/>
    </row>
    <row r="64" spans="5:34">
      <c r="E64" s="9"/>
    </row>
    <row r="65" spans="5:20">
      <c r="E65" s="9" t="s">
        <v>30</v>
      </c>
      <c r="F65" t="s">
        <v>212</v>
      </c>
    </row>
    <row r="66" spans="5:20">
      <c r="I66" t="s">
        <v>184</v>
      </c>
      <c r="K66">
        <v>2015</v>
      </c>
      <c r="L66">
        <v>2016</v>
      </c>
      <c r="M66">
        <v>2017</v>
      </c>
      <c r="N66">
        <v>2018</v>
      </c>
      <c r="O66">
        <v>2019</v>
      </c>
      <c r="P66">
        <v>2020</v>
      </c>
      <c r="Q66">
        <v>2021</v>
      </c>
      <c r="R66">
        <v>2022</v>
      </c>
    </row>
    <row r="67" spans="5:20">
      <c r="G67" t="s">
        <v>185</v>
      </c>
    </row>
    <row r="69" spans="5:20">
      <c r="G69" t="s">
        <v>378</v>
      </c>
      <c r="K69" s="5">
        <v>23700</v>
      </c>
      <c r="L69" s="5">
        <v>23700</v>
      </c>
      <c r="M69" s="5">
        <v>20000</v>
      </c>
      <c r="N69" s="5">
        <v>20000</v>
      </c>
      <c r="O69" s="5">
        <v>20000</v>
      </c>
      <c r="P69" s="5">
        <v>20000</v>
      </c>
      <c r="Q69" s="5">
        <v>20000</v>
      </c>
      <c r="R69" s="5">
        <v>20000</v>
      </c>
    </row>
    <row r="70" spans="5:20">
      <c r="G70" t="s">
        <v>379</v>
      </c>
      <c r="K70" s="5">
        <v>25000</v>
      </c>
      <c r="L70" s="5">
        <v>0</v>
      </c>
      <c r="M70" s="5">
        <v>25000</v>
      </c>
      <c r="N70" s="5">
        <v>25000</v>
      </c>
      <c r="O70" s="5">
        <v>25000</v>
      </c>
      <c r="P70" s="5">
        <v>25000</v>
      </c>
      <c r="Q70" s="5">
        <v>25000</v>
      </c>
      <c r="R70" s="5">
        <v>25000</v>
      </c>
    </row>
    <row r="71" spans="5:20">
      <c r="G71" t="s">
        <v>190</v>
      </c>
      <c r="K71" s="5">
        <v>4000</v>
      </c>
      <c r="L71" s="5">
        <v>4000</v>
      </c>
      <c r="M71" s="5">
        <v>3000</v>
      </c>
      <c r="N71" s="5">
        <v>3000</v>
      </c>
      <c r="O71" s="5">
        <v>3000</v>
      </c>
      <c r="P71" s="5">
        <v>3000</v>
      </c>
      <c r="Q71" s="5">
        <v>3000</v>
      </c>
      <c r="R71" s="5">
        <v>3000</v>
      </c>
    </row>
    <row r="72" spans="5:20">
      <c r="G72" s="13" t="s">
        <v>191</v>
      </c>
      <c r="H72" s="13"/>
      <c r="I72" s="13"/>
      <c r="J72" s="13"/>
      <c r="K72" s="14">
        <f>SUM(K69:K71)</f>
        <v>52700</v>
      </c>
      <c r="L72" s="14">
        <f t="shared" ref="L72:R72" si="24">SUM(L69:L71)</f>
        <v>27700</v>
      </c>
      <c r="M72" s="14">
        <f t="shared" si="24"/>
        <v>48000</v>
      </c>
      <c r="N72" s="14">
        <f t="shared" si="24"/>
        <v>48000</v>
      </c>
      <c r="O72" s="14">
        <f t="shared" si="24"/>
        <v>48000</v>
      </c>
      <c r="P72" s="14">
        <f t="shared" si="24"/>
        <v>48000</v>
      </c>
      <c r="Q72" s="14">
        <f t="shared" si="24"/>
        <v>48000</v>
      </c>
      <c r="R72" s="14">
        <f t="shared" si="24"/>
        <v>48000</v>
      </c>
    </row>
    <row r="73" spans="5:20">
      <c r="G73" s="13" t="s">
        <v>380</v>
      </c>
      <c r="H73" s="13"/>
      <c r="I73" s="13"/>
      <c r="J73" s="13"/>
      <c r="K73" s="14">
        <f>-K72*0.102</f>
        <v>-5375.4</v>
      </c>
      <c r="L73" s="14">
        <f>-L72*0.102</f>
        <v>-2825.3999999999996</v>
      </c>
      <c r="M73" s="14">
        <f t="shared" ref="M73:R73" si="25">-M72*0.102</f>
        <v>-4896</v>
      </c>
      <c r="N73" s="14">
        <f t="shared" si="25"/>
        <v>-4896</v>
      </c>
      <c r="O73" s="14">
        <f t="shared" si="25"/>
        <v>-4896</v>
      </c>
      <c r="P73" s="14">
        <f t="shared" si="25"/>
        <v>-4896</v>
      </c>
      <c r="Q73" s="14">
        <f t="shared" si="25"/>
        <v>-4896</v>
      </c>
      <c r="R73" s="14">
        <f t="shared" si="25"/>
        <v>-4896</v>
      </c>
    </row>
    <row r="74" spans="5:20" ht="13.5" thickBot="1">
      <c r="G74" s="15" t="s">
        <v>381</v>
      </c>
      <c r="H74" s="15"/>
      <c r="I74" s="15"/>
      <c r="J74" s="15"/>
      <c r="K74" s="16">
        <f>K72+K73</f>
        <v>47324.6</v>
      </c>
      <c r="L74" s="16">
        <f t="shared" ref="L74:R74" si="26">L72+L73</f>
        <v>24874.6</v>
      </c>
      <c r="M74" s="16">
        <f t="shared" si="26"/>
        <v>43104</v>
      </c>
      <c r="N74" s="16">
        <f t="shared" si="26"/>
        <v>43104</v>
      </c>
      <c r="O74" s="16">
        <f t="shared" si="26"/>
        <v>43104</v>
      </c>
      <c r="P74" s="16">
        <f t="shared" si="26"/>
        <v>43104</v>
      </c>
      <c r="Q74" s="16">
        <f t="shared" si="26"/>
        <v>43104</v>
      </c>
      <c r="R74" s="16">
        <f t="shared" si="26"/>
        <v>43104</v>
      </c>
    </row>
    <row r="75" spans="5:20">
      <c r="G75" t="s">
        <v>232</v>
      </c>
      <c r="K75" s="5">
        <f>(39891*1.213)+37.8+1054+19.7</f>
        <v>49499.283000000003</v>
      </c>
      <c r="L75" s="5">
        <f>(40636*1.225)+1136</f>
        <v>50915.100000000006</v>
      </c>
      <c r="M75" s="5">
        <f t="shared" ref="M75:R75" si="27">L75*1.02</f>
        <v>51933.402000000009</v>
      </c>
      <c r="N75" s="5">
        <f t="shared" si="27"/>
        <v>52972.070040000013</v>
      </c>
      <c r="O75" s="5">
        <f t="shared" si="27"/>
        <v>54031.511440800015</v>
      </c>
      <c r="P75" s="5">
        <f t="shared" si="27"/>
        <v>55112.141669616016</v>
      </c>
      <c r="Q75" s="5">
        <f t="shared" si="27"/>
        <v>56214.384503008339</v>
      </c>
      <c r="R75" s="5">
        <f t="shared" si="27"/>
        <v>57338.672193068509</v>
      </c>
    </row>
    <row r="76" spans="5:20">
      <c r="G76" t="s">
        <v>233</v>
      </c>
      <c r="K76" s="5">
        <v>0</v>
      </c>
      <c r="L76" s="5">
        <v>0</v>
      </c>
      <c r="M76" s="5">
        <v>120000</v>
      </c>
      <c r="N76" s="5">
        <v>120000</v>
      </c>
      <c r="O76" s="5">
        <v>120000</v>
      </c>
      <c r="P76" s="5">
        <v>120000</v>
      </c>
      <c r="Q76" s="5">
        <v>120000</v>
      </c>
      <c r="R76" s="5">
        <v>120000</v>
      </c>
    </row>
    <row r="77" spans="5:20">
      <c r="G77" t="s">
        <v>194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</row>
    <row r="78" spans="5:20" ht="13.5" thickBot="1">
      <c r="G78" s="15" t="s">
        <v>382</v>
      </c>
      <c r="H78" s="15"/>
      <c r="I78" s="15"/>
      <c r="J78" s="15"/>
      <c r="K78" s="16">
        <f>SUM(K74:K77)</f>
        <v>96823.883000000002</v>
      </c>
      <c r="L78" s="16">
        <f t="shared" ref="L78:R78" si="28">SUM(L74:L77)</f>
        <v>75789.700000000012</v>
      </c>
      <c r="M78" s="16">
        <f t="shared" si="28"/>
        <v>215037.402</v>
      </c>
      <c r="N78" s="16">
        <f t="shared" si="28"/>
        <v>216076.07004000002</v>
      </c>
      <c r="O78" s="16">
        <f t="shared" si="28"/>
        <v>217135.51144080001</v>
      </c>
      <c r="P78" s="16">
        <f t="shared" si="28"/>
        <v>218216.14166961602</v>
      </c>
      <c r="Q78" s="16">
        <f t="shared" si="28"/>
        <v>219318.38450300833</v>
      </c>
      <c r="R78" s="16">
        <f t="shared" si="28"/>
        <v>220442.67219306852</v>
      </c>
    </row>
    <row r="79" spans="5:20" s="4" customFormat="1">
      <c r="G79" s="23"/>
      <c r="H79" s="23"/>
      <c r="I79" s="23"/>
      <c r="J79" s="23"/>
      <c r="K79" s="24"/>
      <c r="L79" s="24"/>
      <c r="M79" s="24"/>
      <c r="N79" s="24"/>
      <c r="O79" s="24"/>
      <c r="P79" s="24"/>
      <c r="Q79" s="24"/>
      <c r="R79" s="24"/>
    </row>
    <row r="80" spans="5:20" s="4" customFormat="1">
      <c r="G80" s="23"/>
      <c r="H80" s="23"/>
      <c r="I80" s="23"/>
      <c r="J80" s="23"/>
      <c r="K80" s="24"/>
      <c r="L80" s="24"/>
      <c r="M80" s="24"/>
      <c r="N80" s="24"/>
      <c r="O80" s="24"/>
      <c r="P80" s="24"/>
      <c r="Q80" s="24"/>
      <c r="R80" s="24"/>
      <c r="T80" s="21" t="s">
        <v>395</v>
      </c>
    </row>
    <row r="81" spans="1:20">
      <c r="T81" s="22" t="s">
        <v>396</v>
      </c>
    </row>
    <row r="82" spans="1:20">
      <c r="A82" s="19" t="s">
        <v>393</v>
      </c>
      <c r="T82" s="22" t="s">
        <v>399</v>
      </c>
    </row>
    <row r="83" spans="1:20">
      <c r="A83" s="20" t="s">
        <v>394</v>
      </c>
      <c r="T83" s="22" t="s">
        <v>398</v>
      </c>
    </row>
    <row r="84" spans="1:20">
      <c r="E84" s="3" t="s">
        <v>29</v>
      </c>
      <c r="F84" s="3" t="s">
        <v>95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20">
      <c r="E85" s="3"/>
      <c r="F85" s="3"/>
      <c r="G85" s="3" t="s">
        <v>68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20">
      <c r="E86" s="3"/>
      <c r="F86" s="3"/>
      <c r="G86" s="3" t="s">
        <v>96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20">
      <c r="E87" s="3"/>
      <c r="F87" s="3"/>
      <c r="G87" s="3" t="s">
        <v>97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20">
      <c r="E88" s="3"/>
      <c r="F88" s="3"/>
      <c r="G88" s="3" t="s">
        <v>98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20">
      <c r="E89" s="3"/>
      <c r="F89" s="3" t="s">
        <v>61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20">
      <c r="E90" s="3"/>
      <c r="F90" s="3"/>
      <c r="G90" s="3" t="s">
        <v>400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20">
      <c r="E91" s="3"/>
      <c r="F91" s="3"/>
      <c r="G91" s="3" t="s">
        <v>62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20">
      <c r="E92" s="3"/>
      <c r="F92" s="3"/>
      <c r="G92" s="3"/>
      <c r="H92" s="3"/>
      <c r="I92" s="3" t="s">
        <v>59</v>
      </c>
      <c r="J92" s="3" t="s">
        <v>60</v>
      </c>
      <c r="K92" s="3"/>
      <c r="L92" s="3"/>
      <c r="M92" s="3"/>
      <c r="N92" s="3"/>
      <c r="O92" s="3"/>
      <c r="P92" s="3"/>
      <c r="Q92" s="3"/>
      <c r="R92" s="3"/>
      <c r="S92" s="3"/>
    </row>
    <row r="93" spans="1:20">
      <c r="E93" s="3"/>
      <c r="F93" s="3"/>
      <c r="G93" s="3" t="s">
        <v>56</v>
      </c>
      <c r="H93" s="3"/>
      <c r="I93" s="3">
        <v>2369.1999999999998</v>
      </c>
      <c r="J93" s="3">
        <f>ROUND(M93,0)</f>
        <v>47</v>
      </c>
      <c r="K93" s="3"/>
      <c r="L93" s="3"/>
      <c r="M93" s="3">
        <f>I93/$I$95*100</f>
        <v>46.607518737827789</v>
      </c>
      <c r="N93" s="3"/>
      <c r="O93" s="3"/>
      <c r="P93" s="3"/>
      <c r="Q93" s="3"/>
      <c r="R93" s="3"/>
      <c r="S93" s="3"/>
    </row>
    <row r="94" spans="1:20">
      <c r="E94" s="3"/>
      <c r="F94" s="3"/>
      <c r="G94" s="3" t="s">
        <v>58</v>
      </c>
      <c r="H94" s="3"/>
      <c r="I94" s="3">
        <v>2714.1</v>
      </c>
      <c r="J94" s="3">
        <f>ROUND(M94,0)</f>
        <v>53</v>
      </c>
      <c r="K94" s="3"/>
      <c r="L94" s="3"/>
      <c r="M94" s="3">
        <f>I94/$I$95*100</f>
        <v>53.392481262172218</v>
      </c>
      <c r="N94" s="3"/>
      <c r="O94" s="3"/>
      <c r="P94" s="3"/>
      <c r="Q94" s="3"/>
      <c r="R94" s="3"/>
      <c r="S94" s="3"/>
    </row>
    <row r="95" spans="1:20">
      <c r="E95" s="3"/>
      <c r="F95" s="3"/>
      <c r="G95" s="3" t="s">
        <v>63</v>
      </c>
      <c r="H95" s="3"/>
      <c r="I95" s="3">
        <f>SUM(I93:I94)</f>
        <v>5083.2999999999993</v>
      </c>
      <c r="J95" s="3">
        <f>(J93+J94)/100</f>
        <v>1</v>
      </c>
      <c r="K95" s="3"/>
      <c r="L95" s="3"/>
      <c r="M95" s="3">
        <f>I95/$I$95</f>
        <v>1</v>
      </c>
      <c r="N95" s="3"/>
      <c r="O95" s="3"/>
      <c r="P95" s="3"/>
      <c r="Q95" s="3"/>
      <c r="R95" s="3"/>
      <c r="S95" s="3"/>
    </row>
    <row r="96" spans="1:20"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5:19">
      <c r="E97" s="3"/>
      <c r="F97" s="3"/>
      <c r="G97" s="3" t="s">
        <v>89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5:19">
      <c r="E98" s="3"/>
      <c r="F98" s="3"/>
      <c r="G98" s="3" t="s">
        <v>91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5:19">
      <c r="E99" s="3"/>
      <c r="F99" s="3"/>
      <c r="G99" s="3" t="s">
        <v>90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5:19" ht="12.75" customHeight="1">
      <c r="E100" s="3"/>
      <c r="F100" s="3"/>
      <c r="G100" s="3" t="s">
        <v>108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5:19" ht="12.75" customHeight="1">
      <c r="E101" s="3"/>
      <c r="F101" s="3"/>
      <c r="G101" s="3"/>
      <c r="H101" s="3"/>
      <c r="I101" s="29" t="s">
        <v>70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5:19">
      <c r="E102" s="3"/>
      <c r="F102" s="3"/>
      <c r="G102" s="3" t="s">
        <v>69</v>
      </c>
      <c r="H102" s="3"/>
      <c r="I102" s="29"/>
      <c r="J102" s="3" t="s">
        <v>60</v>
      </c>
      <c r="K102" s="3"/>
      <c r="L102" s="3"/>
      <c r="M102" s="3"/>
      <c r="N102" s="3" t="s">
        <v>72</v>
      </c>
      <c r="O102" s="3" t="s">
        <v>73</v>
      </c>
      <c r="P102" s="3"/>
      <c r="Q102" s="3" t="s">
        <v>74</v>
      </c>
      <c r="R102" s="3"/>
      <c r="S102" s="3"/>
    </row>
    <row r="103" spans="5:19"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5:19"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5:19">
      <c r="E105" s="3"/>
      <c r="F105" s="3"/>
      <c r="G105" s="3" t="s">
        <v>71</v>
      </c>
      <c r="H105" s="3"/>
      <c r="I105" s="25">
        <v>240000</v>
      </c>
      <c r="J105" s="26">
        <f>ROUND(M105,0)/100</f>
        <v>0.23</v>
      </c>
      <c r="K105" s="3"/>
      <c r="L105" s="3"/>
      <c r="M105" s="3">
        <f>I105/I108*100</f>
        <v>23.119160003853192</v>
      </c>
      <c r="N105" s="25"/>
      <c r="O105" s="25">
        <f>I105*0.102</f>
        <v>24480</v>
      </c>
      <c r="P105" s="3"/>
      <c r="Q105" s="25">
        <f>I105-N105-O105</f>
        <v>215520</v>
      </c>
      <c r="R105" s="3"/>
      <c r="S105" s="3"/>
    </row>
    <row r="106" spans="5:19">
      <c r="E106" s="3"/>
      <c r="F106" s="3"/>
      <c r="G106" s="3" t="s">
        <v>99</v>
      </c>
      <c r="H106" s="3"/>
      <c r="I106" s="25">
        <v>186000</v>
      </c>
      <c r="J106" s="26">
        <f>ROUND(M106,0)/100</f>
        <v>0.18</v>
      </c>
      <c r="K106" s="3"/>
      <c r="L106" s="3"/>
      <c r="M106" s="3">
        <f>I106/I108*100</f>
        <v>17.917349002986224</v>
      </c>
      <c r="N106" s="25"/>
      <c r="O106" s="25"/>
      <c r="P106" s="3"/>
      <c r="Q106" s="25">
        <v>0</v>
      </c>
      <c r="R106" s="3"/>
      <c r="S106" s="3"/>
    </row>
    <row r="107" spans="5:19">
      <c r="E107" s="3"/>
      <c r="F107" s="3"/>
      <c r="G107" s="3" t="s">
        <v>100</v>
      </c>
      <c r="H107" s="3"/>
      <c r="I107" s="25">
        <f>588800+23300</f>
        <v>612100</v>
      </c>
      <c r="J107" s="26">
        <f>ROUND(M107,0)/100</f>
        <v>0.59</v>
      </c>
      <c r="K107" s="3"/>
      <c r="L107" s="3"/>
      <c r="M107" s="3">
        <f>I107/I108*100</f>
        <v>58.963490993160583</v>
      </c>
      <c r="N107" s="25">
        <v>50000</v>
      </c>
      <c r="O107" s="25"/>
      <c r="P107" s="3"/>
      <c r="Q107" s="25">
        <f>I107-N107-O107</f>
        <v>562100</v>
      </c>
      <c r="R107" s="3"/>
      <c r="S107" s="3"/>
    </row>
    <row r="108" spans="5:19" ht="13.5" thickBot="1">
      <c r="E108" s="3"/>
      <c r="F108" s="3"/>
      <c r="G108" s="3"/>
      <c r="H108" s="3"/>
      <c r="I108" s="27">
        <f>SUM(I105:I107)</f>
        <v>1038100</v>
      </c>
      <c r="J108" s="26">
        <f>M108</f>
        <v>1</v>
      </c>
      <c r="K108" s="3"/>
      <c r="L108" s="3"/>
      <c r="M108" s="3">
        <f>SUM(M105:M107)/100</f>
        <v>1</v>
      </c>
      <c r="N108" s="27">
        <f>SUM(N105:N107)</f>
        <v>50000</v>
      </c>
      <c r="O108" s="27">
        <f>SUM(O105:O107)</f>
        <v>24480</v>
      </c>
      <c r="P108" s="3"/>
      <c r="Q108" s="27">
        <f>SUM(Q105:Q107)</f>
        <v>777620</v>
      </c>
      <c r="R108" s="3"/>
      <c r="S108" s="3"/>
    </row>
    <row r="109" spans="5:19"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5:19" ht="13.5" thickBot="1">
      <c r="E110" s="3"/>
      <c r="F110" s="3"/>
      <c r="G110" s="3"/>
      <c r="H110" s="3"/>
      <c r="I110" s="3"/>
      <c r="J110" s="3"/>
      <c r="K110" s="3"/>
      <c r="L110" s="3"/>
      <c r="M110" s="3"/>
      <c r="N110" s="3" t="s">
        <v>234</v>
      </c>
      <c r="O110" s="3"/>
      <c r="P110" s="3"/>
      <c r="Q110" s="27">
        <f>(I105*(1-0.102))-50000+I107</f>
        <v>777620</v>
      </c>
      <c r="R110" s="3" t="s">
        <v>75</v>
      </c>
      <c r="S110" s="3"/>
    </row>
    <row r="111" spans="5:19"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5:19">
      <c r="E112" s="3"/>
      <c r="F112" s="3"/>
      <c r="G112" s="3" t="s">
        <v>76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5:19">
      <c r="E113" s="3"/>
      <c r="F113" s="3"/>
      <c r="G113" s="3"/>
      <c r="H113" s="3" t="s">
        <v>93</v>
      </c>
      <c r="I113" s="3"/>
      <c r="J113" s="3"/>
      <c r="K113" s="3"/>
      <c r="L113" s="3"/>
      <c r="M113" s="3" t="s">
        <v>94</v>
      </c>
      <c r="N113" s="3"/>
      <c r="O113" s="3"/>
      <c r="P113" s="3"/>
      <c r="Q113" s="3"/>
      <c r="R113" s="3"/>
      <c r="S113" s="3"/>
    </row>
    <row r="114" spans="5:19">
      <c r="E114" s="3"/>
      <c r="F114" s="3"/>
      <c r="G114" s="3"/>
      <c r="H114" s="3" t="s">
        <v>2</v>
      </c>
      <c r="I114" s="25">
        <f>Q106*J93/100</f>
        <v>0</v>
      </c>
      <c r="J114" s="3"/>
      <c r="K114" s="3"/>
      <c r="L114" s="3"/>
      <c r="M114" s="3" t="s">
        <v>2</v>
      </c>
      <c r="N114" s="25">
        <f>(Q106+0)*J93/100</f>
        <v>0</v>
      </c>
      <c r="O114" s="3"/>
      <c r="P114" s="3"/>
      <c r="Q114" s="3"/>
      <c r="R114" s="3"/>
      <c r="S114" s="3"/>
    </row>
    <row r="115" spans="5:19">
      <c r="E115" s="3"/>
      <c r="F115" s="3"/>
      <c r="G115" s="3"/>
      <c r="H115" s="3" t="s">
        <v>64</v>
      </c>
      <c r="I115" s="25">
        <f>Q106*J94/100</f>
        <v>0</v>
      </c>
      <c r="J115" s="3"/>
      <c r="K115" s="3"/>
      <c r="L115" s="3"/>
      <c r="M115" s="3" t="s">
        <v>64</v>
      </c>
      <c r="N115" s="25">
        <f>(Q106+0)*J94/100</f>
        <v>0</v>
      </c>
      <c r="O115" s="3"/>
      <c r="P115" s="3"/>
      <c r="Q115" s="3"/>
      <c r="R115" s="3"/>
      <c r="S115" s="3"/>
    </row>
    <row r="116" spans="5:19">
      <c r="E116" s="3"/>
      <c r="F116" s="3"/>
      <c r="G116" s="3"/>
      <c r="H116" s="3" t="s">
        <v>67</v>
      </c>
      <c r="I116" s="25">
        <f>Q105</f>
        <v>215520</v>
      </c>
      <c r="J116" s="3"/>
      <c r="K116" s="3"/>
      <c r="L116" s="3"/>
      <c r="M116" s="3" t="s">
        <v>67</v>
      </c>
      <c r="N116" s="25">
        <f>Q105</f>
        <v>215520</v>
      </c>
      <c r="O116" s="3"/>
      <c r="P116" s="3"/>
      <c r="Q116" s="3"/>
      <c r="R116" s="3"/>
      <c r="S116" s="3"/>
    </row>
    <row r="117" spans="5:19">
      <c r="E117" s="3"/>
      <c r="F117" s="3"/>
      <c r="G117" s="3"/>
      <c r="H117" s="3" t="s">
        <v>101</v>
      </c>
      <c r="I117" s="25">
        <f>Q107</f>
        <v>562100</v>
      </c>
      <c r="J117" s="3"/>
      <c r="K117" s="3"/>
      <c r="L117" s="3"/>
      <c r="M117" s="3" t="s">
        <v>101</v>
      </c>
      <c r="N117" s="25">
        <f>Q107+50000</f>
        <v>612100</v>
      </c>
      <c r="O117" s="3"/>
      <c r="P117" s="3"/>
      <c r="Q117" s="3"/>
      <c r="R117" s="3"/>
      <c r="S117" s="3"/>
    </row>
    <row r="118" spans="5:19" ht="13.5" thickBot="1">
      <c r="E118" s="3"/>
      <c r="F118" s="3"/>
      <c r="G118" s="3"/>
      <c r="H118" s="3"/>
      <c r="I118" s="27">
        <f>SUM(I114:I117)</f>
        <v>777620</v>
      </c>
      <c r="J118" s="3"/>
      <c r="K118" s="3"/>
      <c r="L118" s="3"/>
      <c r="M118" s="3"/>
      <c r="N118" s="27">
        <f>SUM(N114:N117)</f>
        <v>827620</v>
      </c>
      <c r="O118" s="3" t="s">
        <v>384</v>
      </c>
      <c r="P118" s="3">
        <f>Q108+N108</f>
        <v>827620</v>
      </c>
      <c r="Q118" s="3" t="s">
        <v>75</v>
      </c>
      <c r="R118" s="3"/>
      <c r="S118" s="3"/>
    </row>
    <row r="119" spans="5:19"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5:19">
      <c r="E120" s="3"/>
      <c r="F120" s="3"/>
      <c r="G120" s="3" t="s">
        <v>401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5:19">
      <c r="E121" s="3"/>
      <c r="F121" s="3"/>
      <c r="G121" s="3" t="s">
        <v>128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5:19">
      <c r="E122" s="3"/>
      <c r="F122" s="3"/>
      <c r="G122" s="3" t="s">
        <v>82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5:19">
      <c r="E123" s="3"/>
      <c r="F123" s="3"/>
      <c r="G123" s="3">
        <v>2014</v>
      </c>
      <c r="H123" s="3"/>
      <c r="I123" s="3" t="s">
        <v>2</v>
      </c>
      <c r="J123" s="25">
        <f>ROUND(($N$114/3),0)</f>
        <v>0</v>
      </c>
      <c r="K123" s="3"/>
      <c r="L123" s="3">
        <v>2016</v>
      </c>
      <c r="M123" s="3"/>
      <c r="N123" s="3" t="s">
        <v>2</v>
      </c>
      <c r="O123" s="25">
        <f>ROUND(($N$114/3),0)</f>
        <v>0</v>
      </c>
      <c r="P123" s="3"/>
      <c r="Q123" s="3"/>
      <c r="R123" s="3"/>
      <c r="S123" s="3"/>
    </row>
    <row r="124" spans="5:19">
      <c r="E124" s="3"/>
      <c r="F124" s="3"/>
      <c r="G124" s="3"/>
      <c r="H124" s="3"/>
      <c r="I124" s="3" t="s">
        <v>64</v>
      </c>
      <c r="J124" s="25">
        <f>ROUND(($N$115/3),0)</f>
        <v>0</v>
      </c>
      <c r="K124" s="3"/>
      <c r="L124" s="3"/>
      <c r="M124" s="3"/>
      <c r="N124" s="3" t="s">
        <v>64</v>
      </c>
      <c r="O124" s="25">
        <f>ROUND(($N$115/3),0)</f>
        <v>0</v>
      </c>
      <c r="P124" s="3"/>
      <c r="Q124" s="3"/>
      <c r="R124" s="3"/>
      <c r="S124" s="3"/>
    </row>
    <row r="125" spans="5:19">
      <c r="E125" s="3"/>
      <c r="F125" s="3"/>
      <c r="G125" s="3"/>
      <c r="H125" s="3"/>
      <c r="I125" s="3" t="s">
        <v>67</v>
      </c>
      <c r="J125" s="25">
        <v>0</v>
      </c>
      <c r="K125" s="3"/>
      <c r="L125" s="3"/>
      <c r="M125" s="3"/>
      <c r="N125" s="3" t="s">
        <v>67</v>
      </c>
      <c r="O125" s="25">
        <v>0</v>
      </c>
      <c r="P125" s="3"/>
      <c r="Q125" s="3"/>
      <c r="R125" s="3"/>
      <c r="S125" s="3"/>
    </row>
    <row r="126" spans="5:19">
      <c r="E126" s="3"/>
      <c r="F126" s="3"/>
      <c r="G126" s="3"/>
      <c r="H126" s="3" t="s">
        <v>101</v>
      </c>
      <c r="I126" s="3"/>
      <c r="J126" s="25">
        <v>5808</v>
      </c>
      <c r="K126" s="3"/>
      <c r="L126" s="3"/>
      <c r="M126" s="3" t="s">
        <v>101</v>
      </c>
      <c r="N126" s="3"/>
      <c r="O126" s="25">
        <v>300000</v>
      </c>
      <c r="P126" s="3"/>
      <c r="Q126" s="3"/>
      <c r="R126" s="3"/>
      <c r="S126" s="3"/>
    </row>
    <row r="127" spans="5:19" ht="13.5" thickBot="1">
      <c r="E127" s="3"/>
      <c r="F127" s="3"/>
      <c r="G127" s="3"/>
      <c r="H127" s="3"/>
      <c r="I127" s="3"/>
      <c r="J127" s="27">
        <f>SUM(J123:J126)</f>
        <v>5808</v>
      </c>
      <c r="K127" s="3"/>
      <c r="L127" s="3"/>
      <c r="M127" s="3"/>
      <c r="N127" s="3"/>
      <c r="O127" s="27">
        <f>SUM(O123:O126)</f>
        <v>300000</v>
      </c>
      <c r="P127" s="3"/>
      <c r="Q127" s="3"/>
      <c r="R127" s="3"/>
      <c r="S127" s="3"/>
    </row>
    <row r="128" spans="5:19"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5:19">
      <c r="E129" s="3"/>
      <c r="F129" s="3"/>
      <c r="G129" s="3">
        <v>2015</v>
      </c>
      <c r="H129" s="3"/>
      <c r="I129" s="3" t="s">
        <v>2</v>
      </c>
      <c r="J129" s="25">
        <f>ROUND(($N$114/3),0)</f>
        <v>0</v>
      </c>
      <c r="K129" s="3"/>
      <c r="L129" s="3">
        <v>2017</v>
      </c>
      <c r="M129" s="3"/>
      <c r="N129" s="3" t="s">
        <v>2</v>
      </c>
      <c r="O129" s="25">
        <f>I114-J123-J129-O123</f>
        <v>0</v>
      </c>
      <c r="P129" s="3"/>
      <c r="Q129" s="3"/>
      <c r="R129" s="3"/>
      <c r="S129" s="3"/>
    </row>
    <row r="130" spans="5:19">
      <c r="E130" s="3"/>
      <c r="F130" s="3"/>
      <c r="G130" s="3"/>
      <c r="H130" s="3"/>
      <c r="I130" s="3" t="s">
        <v>64</v>
      </c>
      <c r="J130" s="25">
        <f>ROUND(($N$115/3),0)</f>
        <v>0</v>
      </c>
      <c r="K130" s="3"/>
      <c r="L130" s="3"/>
      <c r="M130" s="3"/>
      <c r="N130" s="3" t="s">
        <v>64</v>
      </c>
      <c r="O130" s="25">
        <f>I115-J124-J130-O124</f>
        <v>0</v>
      </c>
      <c r="P130" s="3"/>
      <c r="Q130" s="3"/>
      <c r="R130" s="3"/>
      <c r="S130" s="3"/>
    </row>
    <row r="131" spans="5:19">
      <c r="E131" s="3"/>
      <c r="F131" s="3"/>
      <c r="G131" s="3"/>
      <c r="H131" s="3"/>
      <c r="I131" s="3" t="s">
        <v>67</v>
      </c>
      <c r="J131" s="25">
        <v>0</v>
      </c>
      <c r="K131" s="3"/>
      <c r="L131" s="3"/>
      <c r="M131" s="3"/>
      <c r="N131" s="3" t="s">
        <v>67</v>
      </c>
      <c r="O131" s="25">
        <f>I116</f>
        <v>215520</v>
      </c>
      <c r="P131" s="3"/>
      <c r="Q131" s="3"/>
      <c r="R131" s="3"/>
      <c r="S131" s="3"/>
    </row>
    <row r="132" spans="5:19">
      <c r="E132" s="3"/>
      <c r="F132" s="3"/>
      <c r="G132" s="3"/>
      <c r="H132" s="3" t="s">
        <v>101</v>
      </c>
      <c r="I132" s="3"/>
      <c r="J132" s="25">
        <f>17400+182000</f>
        <v>199400</v>
      </c>
      <c r="K132" s="3"/>
      <c r="L132" s="3"/>
      <c r="M132" s="3" t="s">
        <v>101</v>
      </c>
      <c r="N132" s="3"/>
      <c r="O132" s="25">
        <f>I117-J132-O126-J126</f>
        <v>56892</v>
      </c>
      <c r="P132" s="3"/>
      <c r="Q132" s="3"/>
      <c r="R132" s="3"/>
      <c r="S132" s="3"/>
    </row>
    <row r="133" spans="5:19" ht="13.5" thickBot="1">
      <c r="E133" s="3"/>
      <c r="F133" s="3"/>
      <c r="G133" s="3"/>
      <c r="H133" s="3"/>
      <c r="I133" s="3"/>
      <c r="J133" s="27">
        <f>SUM(J129:J132)</f>
        <v>199400</v>
      </c>
      <c r="K133" s="3"/>
      <c r="L133" s="3"/>
      <c r="M133" s="3"/>
      <c r="N133" s="3"/>
      <c r="O133" s="27">
        <f>SUM(O129:O132)</f>
        <v>272412</v>
      </c>
      <c r="P133" s="3"/>
      <c r="Q133" s="3"/>
      <c r="R133" s="3"/>
      <c r="S133" s="3"/>
    </row>
    <row r="134" spans="5:19"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5:19">
      <c r="E135" s="3"/>
      <c r="F135" s="3"/>
      <c r="G135" s="3"/>
      <c r="H135" s="3"/>
      <c r="I135" s="3"/>
      <c r="J135" s="3"/>
      <c r="K135" s="3"/>
      <c r="L135" s="3"/>
      <c r="M135" s="3" t="s">
        <v>83</v>
      </c>
      <c r="N135" s="3"/>
      <c r="O135" s="25">
        <f>J127+J133+O127+O133</f>
        <v>777620</v>
      </c>
      <c r="P135" s="3" t="s">
        <v>383</v>
      </c>
      <c r="Q135" s="3"/>
      <c r="R135" s="3" t="s">
        <v>75</v>
      </c>
      <c r="S135" s="3"/>
    </row>
    <row r="136" spans="5:19"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5:19">
      <c r="E137" s="3"/>
      <c r="F137" s="3"/>
      <c r="G137" s="3" t="s">
        <v>402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5:19">
      <c r="E138" s="3"/>
      <c r="F138" s="3"/>
      <c r="G138" s="3" t="s">
        <v>182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5:19">
      <c r="E139" s="3"/>
      <c r="F139" s="3"/>
      <c r="G139" s="3" t="s">
        <v>183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</sheetData>
  <mergeCells count="4">
    <mergeCell ref="I101:I102"/>
    <mergeCell ref="A1:T1"/>
    <mergeCell ref="A2:T2"/>
    <mergeCell ref="A3:T3"/>
  </mergeCells>
  <phoneticPr fontId="4" type="noConversion"/>
  <printOptions horizontalCentered="1"/>
  <pageMargins left="0.25" right="0.25" top="0.5" bottom="0.5" header="0.05" footer="0.05"/>
  <pageSetup scale="51" orientation="landscape" cellComments="asDisplayed" r:id="rId1"/>
  <headerFooter alignWithMargins="0"/>
  <ignoredErrors>
    <ignoredError sqref="H8" numberStoredAsText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312120">
    <tabColor theme="4" tint="0.39997558519241921"/>
    <pageSetUpPr autoPageBreaks="0" fitToPage="1"/>
  </sheetPr>
  <dimension ref="A3:V139"/>
  <sheetViews>
    <sheetView topLeftCell="A3" zoomScale="75" zoomScaleNormal="75" zoomScaleSheetLayoutView="75" workbookViewId="0">
      <pane xSplit="1" ySplit="8" topLeftCell="B54" activePane="bottomRight" state="frozen"/>
      <selection activeCell="G50" sqref="G50"/>
      <selection pane="topRight" activeCell="G50" sqref="G50"/>
      <selection pane="bottomLeft" activeCell="G50" sqref="G50"/>
      <selection pane="bottomRight" activeCell="P92" sqref="P92"/>
    </sheetView>
  </sheetViews>
  <sheetFormatPr baseColWidth="10" defaultColWidth="12.42578125" defaultRowHeight="12.75" customHeight="1"/>
  <cols>
    <col min="1" max="1" width="4.7109375" customWidth="1"/>
    <col min="2" max="2" width="31.140625" customWidth="1"/>
    <col min="3" max="3" width="9.85546875" customWidth="1"/>
    <col min="4" max="4" width="13.42578125" customWidth="1"/>
    <col min="5" max="5" width="12.7109375" customWidth="1"/>
    <col min="6" max="16" width="13.140625" customWidth="1"/>
    <col min="17" max="17" width="16" customWidth="1"/>
    <col min="18" max="18" width="16.5703125" customWidth="1"/>
    <col min="19" max="19" width="5.28515625" customWidth="1"/>
    <col min="21" max="21" width="5.42578125" customWidth="1"/>
  </cols>
  <sheetData>
    <row r="3" spans="1:22" ht="15.75" customHeight="1">
      <c r="A3" s="28" t="s">
        <v>129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2" ht="12.75" customHeight="1">
      <c r="A4" s="28" t="s">
        <v>130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2" ht="12.7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7" spans="1:22" ht="12.75" customHeight="1">
      <c r="I7">
        <f>29140*0.0222</f>
        <v>646.90800000000002</v>
      </c>
    </row>
    <row r="9" spans="1:22" ht="12.75" customHeight="1">
      <c r="C9" t="s">
        <v>131</v>
      </c>
      <c r="Q9" t="s">
        <v>132</v>
      </c>
      <c r="R9" t="s">
        <v>132</v>
      </c>
      <c r="T9" t="s">
        <v>133</v>
      </c>
      <c r="V9" t="s">
        <v>134</v>
      </c>
    </row>
    <row r="10" spans="1:22" ht="12.75" customHeight="1">
      <c r="C10" t="s">
        <v>135</v>
      </c>
      <c r="D10" t="s">
        <v>136</v>
      </c>
      <c r="E10" t="s">
        <v>137</v>
      </c>
      <c r="F10" t="s">
        <v>138</v>
      </c>
      <c r="G10" t="s">
        <v>139</v>
      </c>
      <c r="H10" t="s">
        <v>140</v>
      </c>
      <c r="I10" t="s">
        <v>141</v>
      </c>
      <c r="J10" t="s">
        <v>142</v>
      </c>
      <c r="K10" t="s">
        <v>143</v>
      </c>
      <c r="L10" t="s">
        <v>144</v>
      </c>
      <c r="M10" t="s">
        <v>145</v>
      </c>
      <c r="N10" t="s">
        <v>146</v>
      </c>
      <c r="O10" t="s">
        <v>147</v>
      </c>
      <c r="P10" t="s">
        <v>136</v>
      </c>
      <c r="Q10" t="s">
        <v>148</v>
      </c>
      <c r="R10" t="s">
        <v>149</v>
      </c>
      <c r="T10" t="s">
        <v>150</v>
      </c>
      <c r="V10" t="s">
        <v>151</v>
      </c>
    </row>
    <row r="11" spans="1:22" ht="12.75" customHeight="1">
      <c r="D11" t="s">
        <v>152</v>
      </c>
      <c r="E11" t="s">
        <v>153</v>
      </c>
      <c r="F11" t="s">
        <v>154</v>
      </c>
      <c r="G11" t="s">
        <v>155</v>
      </c>
      <c r="H11" t="s">
        <v>156</v>
      </c>
      <c r="I11" t="s">
        <v>157</v>
      </c>
      <c r="J11" t="s">
        <v>158</v>
      </c>
      <c r="K11" t="s">
        <v>159</v>
      </c>
      <c r="L11" t="s">
        <v>160</v>
      </c>
      <c r="M11" t="s">
        <v>161</v>
      </c>
      <c r="N11" t="s">
        <v>162</v>
      </c>
      <c r="O11" t="s">
        <v>163</v>
      </c>
      <c r="P11" t="s">
        <v>164</v>
      </c>
      <c r="Q11" t="s">
        <v>165</v>
      </c>
      <c r="R11" t="s">
        <v>166</v>
      </c>
    </row>
    <row r="14" spans="1:22" ht="12.75" customHeight="1">
      <c r="A14">
        <f>1</f>
        <v>1</v>
      </c>
      <c r="B14" t="s">
        <v>167</v>
      </c>
      <c r="D14">
        <f>'GI-34 doc 3 page 1 de 2'!C32</f>
        <v>0</v>
      </c>
      <c r="E14">
        <f t="shared" ref="E14:P14" si="0">D17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>SUM(D14:P14)</f>
        <v>0</v>
      </c>
      <c r="R14">
        <f>Q14/13</f>
        <v>0</v>
      </c>
      <c r="T14">
        <f>(D14+P14)/2</f>
        <v>0</v>
      </c>
      <c r="V14">
        <f>R14-T14</f>
        <v>0</v>
      </c>
    </row>
    <row r="15" spans="1:22" ht="12.75" customHeight="1">
      <c r="A15">
        <f t="shared" ref="A15:A70" si="1">A14+1</f>
        <v>2</v>
      </c>
      <c r="B15" t="s">
        <v>168</v>
      </c>
      <c r="K15">
        <f>'GI-34 doc 3 page 1 de 2'!C33</f>
        <v>0</v>
      </c>
      <c r="Q15">
        <f>SUM(D15:P15)</f>
        <v>0</v>
      </c>
      <c r="R15">
        <f>Q15/13</f>
        <v>0</v>
      </c>
      <c r="T15">
        <f>(D15+P15)/2</f>
        <v>0</v>
      </c>
      <c r="V15">
        <f>R15-T15</f>
        <v>0</v>
      </c>
    </row>
    <row r="16" spans="1:22" ht="12.75" customHeight="1">
      <c r="A16">
        <f t="shared" si="1"/>
        <v>3</v>
      </c>
      <c r="B16" t="s">
        <v>169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SUM(D16:P16)</f>
        <v>0</v>
      </c>
      <c r="R16">
        <f>Q16/13</f>
        <v>0</v>
      </c>
      <c r="T16">
        <f>(D16+P16)/2</f>
        <v>0</v>
      </c>
      <c r="V16">
        <f>R16-T16</f>
        <v>0</v>
      </c>
    </row>
    <row r="17" spans="1:22" ht="15" customHeight="1">
      <c r="A17">
        <f t="shared" si="1"/>
        <v>4</v>
      </c>
      <c r="B17" t="s">
        <v>170</v>
      </c>
      <c r="D17">
        <f t="shared" ref="D17:P17" si="2">SUM(D14:D16)</f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si="2"/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>SUM(D17:P17)</f>
        <v>0</v>
      </c>
      <c r="R17">
        <f>Q17/13</f>
        <v>0</v>
      </c>
      <c r="T17">
        <f>(D17+P17)/2</f>
        <v>0</v>
      </c>
      <c r="V17">
        <f>R17-T17</f>
        <v>0</v>
      </c>
    </row>
    <row r="18" spans="1:22" ht="12.75" customHeight="1">
      <c r="A18">
        <f t="shared" si="1"/>
        <v>5</v>
      </c>
    </row>
    <row r="19" spans="1:22" ht="12.75" customHeight="1">
      <c r="A19">
        <f t="shared" si="1"/>
        <v>6</v>
      </c>
      <c r="B19" t="s">
        <v>171</v>
      </c>
      <c r="D19">
        <v>0</v>
      </c>
      <c r="E19">
        <f t="shared" ref="E19:P19" si="3">D23</f>
        <v>0</v>
      </c>
      <c r="F19">
        <f t="shared" si="3"/>
        <v>0</v>
      </c>
      <c r="G19">
        <f t="shared" si="3"/>
        <v>0</v>
      </c>
      <c r="H19">
        <f t="shared" si="3"/>
        <v>0</v>
      </c>
      <c r="I19">
        <f t="shared" si="3"/>
        <v>0</v>
      </c>
      <c r="J19">
        <f t="shared" si="3"/>
        <v>0</v>
      </c>
      <c r="K19">
        <f t="shared" si="3"/>
        <v>0</v>
      </c>
      <c r="L19">
        <f t="shared" si="3"/>
        <v>0</v>
      </c>
      <c r="M19">
        <f t="shared" si="3"/>
        <v>0</v>
      </c>
      <c r="N19">
        <f t="shared" si="3"/>
        <v>0</v>
      </c>
      <c r="O19">
        <f t="shared" si="3"/>
        <v>0</v>
      </c>
      <c r="P19">
        <f t="shared" si="3"/>
        <v>0</v>
      </c>
      <c r="Q19">
        <f>SUM(D19:P19)</f>
        <v>0</v>
      </c>
      <c r="R19">
        <f>Q19/13</f>
        <v>0</v>
      </c>
      <c r="T19">
        <f>(D19+P19)/2</f>
        <v>0</v>
      </c>
      <c r="V19">
        <f>R19-T19</f>
        <v>0</v>
      </c>
    </row>
    <row r="20" spans="1:22" ht="12.75" customHeight="1">
      <c r="A20">
        <f t="shared" si="1"/>
        <v>7</v>
      </c>
      <c r="B20" t="s">
        <v>172</v>
      </c>
      <c r="Q20">
        <f>SUM(D20:P20)</f>
        <v>0</v>
      </c>
      <c r="R20">
        <f>Q20/13</f>
        <v>0</v>
      </c>
      <c r="T20">
        <f>(D20+P20)/2</f>
        <v>0</v>
      </c>
      <c r="V20">
        <f>R20-T20</f>
        <v>0</v>
      </c>
    </row>
    <row r="21" spans="1:22" ht="12.75" customHeight="1">
      <c r="A21">
        <f t="shared" si="1"/>
        <v>8</v>
      </c>
      <c r="B21" t="s">
        <v>169</v>
      </c>
      <c r="E21">
        <f t="shared" ref="E21:P21" si="4">E16</f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4"/>
        <v>0</v>
      </c>
      <c r="N21">
        <f t="shared" si="4"/>
        <v>0</v>
      </c>
      <c r="O21">
        <f t="shared" si="4"/>
        <v>0</v>
      </c>
      <c r="P21">
        <f t="shared" si="4"/>
        <v>0</v>
      </c>
      <c r="Q21">
        <f>SUM(D20:P21)</f>
        <v>0</v>
      </c>
      <c r="R21">
        <f>Q21/13</f>
        <v>0</v>
      </c>
      <c r="T21">
        <f>(D21+P21)/2</f>
        <v>0</v>
      </c>
      <c r="V21">
        <f>R21-T21</f>
        <v>0</v>
      </c>
    </row>
    <row r="22" spans="1:22" ht="12.75" customHeight="1">
      <c r="A22">
        <f t="shared" si="1"/>
        <v>9</v>
      </c>
      <c r="B22" t="s">
        <v>173</v>
      </c>
      <c r="C22">
        <v>2.2200000000000002</v>
      </c>
      <c r="E22">
        <f t="shared" ref="E22:P22" si="5">E17*$C22/100/12</f>
        <v>0</v>
      </c>
      <c r="F22">
        <f t="shared" si="5"/>
        <v>0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  <c r="Q22">
        <f>SUM(D22:P22)</f>
        <v>0</v>
      </c>
      <c r="R22">
        <f>Q22/13</f>
        <v>0</v>
      </c>
      <c r="T22">
        <f>(D22+P22)/2</f>
        <v>0</v>
      </c>
      <c r="V22">
        <f>R22-T22</f>
        <v>0</v>
      </c>
    </row>
    <row r="23" spans="1:22" ht="15" customHeight="1">
      <c r="A23">
        <f t="shared" si="1"/>
        <v>10</v>
      </c>
      <c r="B23" t="s">
        <v>170</v>
      </c>
      <c r="D23">
        <f t="shared" ref="D23:P23" si="6">SUM(D19:D22)</f>
        <v>0</v>
      </c>
      <c r="E23">
        <f>SUM(E19:E22)</f>
        <v>0</v>
      </c>
      <c r="F23">
        <f t="shared" si="6"/>
        <v>0</v>
      </c>
      <c r="G23">
        <f t="shared" si="6"/>
        <v>0</v>
      </c>
      <c r="H23">
        <f t="shared" si="6"/>
        <v>0</v>
      </c>
      <c r="I23">
        <f t="shared" si="6"/>
        <v>0</v>
      </c>
      <c r="J23">
        <f t="shared" si="6"/>
        <v>0</v>
      </c>
      <c r="K23">
        <f t="shared" si="6"/>
        <v>0</v>
      </c>
      <c r="L23">
        <f t="shared" si="6"/>
        <v>0</v>
      </c>
      <c r="M23">
        <f t="shared" si="6"/>
        <v>0</v>
      </c>
      <c r="N23">
        <f t="shared" si="6"/>
        <v>0</v>
      </c>
      <c r="O23">
        <f t="shared" si="6"/>
        <v>0</v>
      </c>
      <c r="P23">
        <f t="shared" si="6"/>
        <v>0</v>
      </c>
      <c r="Q23">
        <f>SUM(D23:P23)</f>
        <v>0</v>
      </c>
      <c r="R23">
        <f>Q23/13</f>
        <v>0</v>
      </c>
      <c r="T23">
        <f>(D23+P23)/2</f>
        <v>0</v>
      </c>
      <c r="V23">
        <f>R23-T23</f>
        <v>0</v>
      </c>
    </row>
    <row r="24" spans="1:22" ht="12.75" customHeight="1">
      <c r="A24">
        <f t="shared" si="1"/>
        <v>11</v>
      </c>
    </row>
    <row r="25" spans="1:22" ht="12.75" customHeight="1">
      <c r="A25">
        <f t="shared" si="1"/>
        <v>12</v>
      </c>
      <c r="B25" t="s">
        <v>174</v>
      </c>
      <c r="D25">
        <f t="shared" ref="D25:P25" si="7">D17-D23</f>
        <v>0</v>
      </c>
      <c r="E25">
        <f t="shared" si="7"/>
        <v>0</v>
      </c>
      <c r="F25">
        <f t="shared" si="7"/>
        <v>0</v>
      </c>
      <c r="G25">
        <f t="shared" si="7"/>
        <v>0</v>
      </c>
      <c r="H25">
        <f t="shared" si="7"/>
        <v>0</v>
      </c>
      <c r="I25">
        <f t="shared" si="7"/>
        <v>0</v>
      </c>
      <c r="J25">
        <f t="shared" si="7"/>
        <v>0</v>
      </c>
      <c r="K25">
        <f t="shared" si="7"/>
        <v>0</v>
      </c>
      <c r="L25">
        <f t="shared" si="7"/>
        <v>0</v>
      </c>
      <c r="M25">
        <f t="shared" si="7"/>
        <v>0</v>
      </c>
      <c r="N25">
        <f t="shared" si="7"/>
        <v>0</v>
      </c>
      <c r="O25">
        <f t="shared" si="7"/>
        <v>0</v>
      </c>
      <c r="P25">
        <f t="shared" si="7"/>
        <v>0</v>
      </c>
      <c r="Q25">
        <f>SUM(D25:P25)</f>
        <v>0</v>
      </c>
      <c r="R25">
        <f>Q25/13</f>
        <v>0</v>
      </c>
      <c r="T25">
        <f>(D25+P25)/2</f>
        <v>0</v>
      </c>
      <c r="V25">
        <f>R25-T25</f>
        <v>0</v>
      </c>
    </row>
    <row r="26" spans="1:22" ht="12.75" customHeight="1">
      <c r="A26">
        <f t="shared" si="1"/>
        <v>13</v>
      </c>
    </row>
    <row r="27" spans="1:22" ht="12.75" customHeight="1">
      <c r="A27">
        <f t="shared" si="1"/>
        <v>14</v>
      </c>
    </row>
    <row r="28" spans="1:22" ht="12.75" customHeight="1">
      <c r="A28">
        <f t="shared" si="1"/>
        <v>15</v>
      </c>
      <c r="B28" t="s">
        <v>175</v>
      </c>
      <c r="D28">
        <f>'GI-34 doc 3 page 1 de 2'!D32</f>
        <v>0</v>
      </c>
      <c r="E28">
        <f t="shared" ref="E28:P28" si="8">D31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>SUM(D28:P28)</f>
        <v>0</v>
      </c>
      <c r="R28">
        <f>Q28/13</f>
        <v>0</v>
      </c>
      <c r="T28">
        <f>(D28+P28)/2</f>
        <v>0</v>
      </c>
      <c r="V28">
        <f>R28-T28</f>
        <v>0</v>
      </c>
    </row>
    <row r="29" spans="1:22" ht="12.75" customHeight="1">
      <c r="A29">
        <f t="shared" si="1"/>
        <v>16</v>
      </c>
      <c r="B29" t="s">
        <v>168</v>
      </c>
      <c r="K29">
        <f>'GI-34 doc 3 page 1 de 2'!D33</f>
        <v>0</v>
      </c>
      <c r="Q29">
        <f>SUM(D29:P29)</f>
        <v>0</v>
      </c>
      <c r="R29">
        <f>Q29/13</f>
        <v>0</v>
      </c>
      <c r="T29">
        <f>(D29+P29)/2</f>
        <v>0</v>
      </c>
      <c r="V29">
        <f>R29-T29</f>
        <v>0</v>
      </c>
    </row>
    <row r="30" spans="1:22" ht="12.75" customHeight="1">
      <c r="A30">
        <f t="shared" si="1"/>
        <v>17</v>
      </c>
      <c r="B30" t="s">
        <v>169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SUM(D30:P30)</f>
        <v>0</v>
      </c>
      <c r="R30">
        <f>Q30/13</f>
        <v>0</v>
      </c>
      <c r="T30">
        <f>(D30+P30)/2</f>
        <v>0</v>
      </c>
      <c r="V30">
        <f>R30-T30</f>
        <v>0</v>
      </c>
    </row>
    <row r="31" spans="1:22" ht="12.75" customHeight="1">
      <c r="A31">
        <f t="shared" si="1"/>
        <v>18</v>
      </c>
      <c r="B31" t="s">
        <v>170</v>
      </c>
      <c r="D31">
        <f t="shared" ref="D31:P31" si="9">SUM(D28:D30)</f>
        <v>0</v>
      </c>
      <c r="E31">
        <f t="shared" si="9"/>
        <v>0</v>
      </c>
      <c r="F31">
        <f t="shared" si="9"/>
        <v>0</v>
      </c>
      <c r="G31">
        <f t="shared" si="9"/>
        <v>0</v>
      </c>
      <c r="H31">
        <f t="shared" si="9"/>
        <v>0</v>
      </c>
      <c r="I31">
        <f t="shared" si="9"/>
        <v>0</v>
      </c>
      <c r="J31">
        <f t="shared" si="9"/>
        <v>0</v>
      </c>
      <c r="K31">
        <f t="shared" si="9"/>
        <v>0</v>
      </c>
      <c r="L31">
        <f t="shared" si="9"/>
        <v>0</v>
      </c>
      <c r="M31">
        <f t="shared" si="9"/>
        <v>0</v>
      </c>
      <c r="N31">
        <f t="shared" si="9"/>
        <v>0</v>
      </c>
      <c r="O31">
        <f t="shared" si="9"/>
        <v>0</v>
      </c>
      <c r="P31">
        <f t="shared" si="9"/>
        <v>0</v>
      </c>
      <c r="Q31">
        <f>SUM(D31:P31)</f>
        <v>0</v>
      </c>
      <c r="R31">
        <f>Q31/13</f>
        <v>0</v>
      </c>
      <c r="T31">
        <f>(D31+P31)/2</f>
        <v>0</v>
      </c>
      <c r="V31">
        <f>R31-T31</f>
        <v>0</v>
      </c>
    </row>
    <row r="32" spans="1:22" ht="12.75" customHeight="1">
      <c r="A32">
        <f t="shared" si="1"/>
        <v>19</v>
      </c>
    </row>
    <row r="33" spans="1:22" ht="12.75" customHeight="1">
      <c r="A33">
        <f t="shared" si="1"/>
        <v>20</v>
      </c>
      <c r="B33" t="s">
        <v>171</v>
      </c>
      <c r="D33">
        <v>0</v>
      </c>
      <c r="E33">
        <f t="shared" ref="E33:P33" si="10">D37</f>
        <v>0</v>
      </c>
      <c r="F33">
        <f t="shared" si="10"/>
        <v>0</v>
      </c>
      <c r="G33">
        <f t="shared" si="10"/>
        <v>0</v>
      </c>
      <c r="H33">
        <f t="shared" si="10"/>
        <v>0</v>
      </c>
      <c r="I33">
        <f t="shared" si="10"/>
        <v>0</v>
      </c>
      <c r="J33">
        <f t="shared" si="10"/>
        <v>0</v>
      </c>
      <c r="K33">
        <f t="shared" si="10"/>
        <v>0</v>
      </c>
      <c r="L33">
        <f t="shared" si="10"/>
        <v>0</v>
      </c>
      <c r="M33">
        <f t="shared" si="10"/>
        <v>0</v>
      </c>
      <c r="N33">
        <f t="shared" si="10"/>
        <v>0</v>
      </c>
      <c r="O33">
        <f t="shared" si="10"/>
        <v>0</v>
      </c>
      <c r="P33">
        <f t="shared" si="10"/>
        <v>0</v>
      </c>
      <c r="Q33">
        <f>SUM(D33:P33)</f>
        <v>0</v>
      </c>
      <c r="R33">
        <f>Q33/13</f>
        <v>0</v>
      </c>
      <c r="T33">
        <f>(D33+P33)/2</f>
        <v>0</v>
      </c>
      <c r="V33">
        <f>R33-T33</f>
        <v>0</v>
      </c>
    </row>
    <row r="34" spans="1:22" ht="12.75" customHeight="1">
      <c r="A34">
        <f t="shared" si="1"/>
        <v>21</v>
      </c>
      <c r="B34" t="s">
        <v>172</v>
      </c>
      <c r="Q34">
        <f>SUM(D34:P34)</f>
        <v>0</v>
      </c>
      <c r="R34">
        <f>Q34/13</f>
        <v>0</v>
      </c>
      <c r="T34">
        <f>(D34+P34)/2</f>
        <v>0</v>
      </c>
      <c r="V34">
        <f>R34-T34</f>
        <v>0</v>
      </c>
    </row>
    <row r="35" spans="1:22" ht="12.75" customHeight="1">
      <c r="A35">
        <f t="shared" si="1"/>
        <v>22</v>
      </c>
      <c r="B35" t="s">
        <v>169</v>
      </c>
      <c r="E35">
        <f t="shared" ref="E35:P35" si="11">E30</f>
        <v>0</v>
      </c>
      <c r="F35">
        <f t="shared" si="11"/>
        <v>0</v>
      </c>
      <c r="G35">
        <f t="shared" si="11"/>
        <v>0</v>
      </c>
      <c r="H35">
        <f t="shared" si="11"/>
        <v>0</v>
      </c>
      <c r="I35">
        <f t="shared" si="11"/>
        <v>0</v>
      </c>
      <c r="J35">
        <f t="shared" si="11"/>
        <v>0</v>
      </c>
      <c r="K35">
        <f t="shared" si="11"/>
        <v>0</v>
      </c>
      <c r="L35">
        <f t="shared" si="11"/>
        <v>0</v>
      </c>
      <c r="M35">
        <f t="shared" si="11"/>
        <v>0</v>
      </c>
      <c r="N35">
        <f t="shared" si="11"/>
        <v>0</v>
      </c>
      <c r="O35">
        <f t="shared" si="11"/>
        <v>0</v>
      </c>
      <c r="P35">
        <f t="shared" si="11"/>
        <v>0</v>
      </c>
      <c r="Q35">
        <f>SUM(D34:P35)</f>
        <v>0</v>
      </c>
      <c r="R35">
        <f>Q35/13</f>
        <v>0</v>
      </c>
      <c r="T35">
        <f>(D35+P35)/2</f>
        <v>0</v>
      </c>
      <c r="V35">
        <f>R35-T35</f>
        <v>0</v>
      </c>
    </row>
    <row r="36" spans="1:22" ht="12.75" customHeight="1">
      <c r="A36">
        <f t="shared" si="1"/>
        <v>23</v>
      </c>
      <c r="B36" t="s">
        <v>173</v>
      </c>
      <c r="C36">
        <f>'[8]Coût de service'!R8*100</f>
        <v>4.5199999999999996</v>
      </c>
      <c r="E36">
        <f t="shared" ref="E36:P36" si="12">E31*$C36/100/12</f>
        <v>0</v>
      </c>
      <c r="F36">
        <f t="shared" si="12"/>
        <v>0</v>
      </c>
      <c r="G36">
        <f t="shared" si="12"/>
        <v>0</v>
      </c>
      <c r="H36">
        <f t="shared" si="12"/>
        <v>0</v>
      </c>
      <c r="I36">
        <f t="shared" si="12"/>
        <v>0</v>
      </c>
      <c r="J36">
        <f t="shared" si="12"/>
        <v>0</v>
      </c>
      <c r="K36">
        <f t="shared" si="12"/>
        <v>0</v>
      </c>
      <c r="L36">
        <f t="shared" si="12"/>
        <v>0</v>
      </c>
      <c r="M36">
        <f t="shared" si="12"/>
        <v>0</v>
      </c>
      <c r="N36">
        <f t="shared" si="12"/>
        <v>0</v>
      </c>
      <c r="O36">
        <f t="shared" si="12"/>
        <v>0</v>
      </c>
      <c r="P36">
        <f t="shared" si="12"/>
        <v>0</v>
      </c>
      <c r="Q36">
        <f>SUM(D36:P36)</f>
        <v>0</v>
      </c>
      <c r="R36">
        <f>Q36/13</f>
        <v>0</v>
      </c>
      <c r="T36">
        <f>(D36+P36)/2</f>
        <v>0</v>
      </c>
      <c r="V36">
        <f>R36-T36</f>
        <v>0</v>
      </c>
    </row>
    <row r="37" spans="1:22" ht="12.75" customHeight="1">
      <c r="A37">
        <f t="shared" si="1"/>
        <v>24</v>
      </c>
      <c r="B37" t="s">
        <v>170</v>
      </c>
      <c r="D37">
        <f t="shared" ref="D37:P37" si="13">SUM(D33:D36)</f>
        <v>0</v>
      </c>
      <c r="E37">
        <f t="shared" si="13"/>
        <v>0</v>
      </c>
      <c r="F37">
        <f t="shared" si="13"/>
        <v>0</v>
      </c>
      <c r="G37">
        <f t="shared" si="13"/>
        <v>0</v>
      </c>
      <c r="H37">
        <f t="shared" si="13"/>
        <v>0</v>
      </c>
      <c r="I37">
        <f t="shared" si="13"/>
        <v>0</v>
      </c>
      <c r="J37">
        <f t="shared" si="13"/>
        <v>0</v>
      </c>
      <c r="K37">
        <f t="shared" si="13"/>
        <v>0</v>
      </c>
      <c r="L37">
        <f t="shared" si="13"/>
        <v>0</v>
      </c>
      <c r="M37">
        <f t="shared" si="13"/>
        <v>0</v>
      </c>
      <c r="N37">
        <f t="shared" si="13"/>
        <v>0</v>
      </c>
      <c r="O37">
        <f t="shared" si="13"/>
        <v>0</v>
      </c>
      <c r="P37">
        <f t="shared" si="13"/>
        <v>0</v>
      </c>
      <c r="Q37">
        <f>SUM(D37:P37)</f>
        <v>0</v>
      </c>
      <c r="R37">
        <f>Q37/13</f>
        <v>0</v>
      </c>
      <c r="T37">
        <f>(D37+P37)/2</f>
        <v>0</v>
      </c>
      <c r="V37">
        <f>R37-T37</f>
        <v>0</v>
      </c>
    </row>
    <row r="38" spans="1:22" ht="12.75" customHeight="1">
      <c r="A38">
        <f t="shared" si="1"/>
        <v>25</v>
      </c>
    </row>
    <row r="39" spans="1:22" ht="12.75" customHeight="1">
      <c r="A39">
        <f t="shared" si="1"/>
        <v>26</v>
      </c>
      <c r="B39" t="s">
        <v>174</v>
      </c>
      <c r="D39">
        <f t="shared" ref="D39:P39" si="14">D31-D37</f>
        <v>0</v>
      </c>
      <c r="E39">
        <f t="shared" si="14"/>
        <v>0</v>
      </c>
      <c r="F39">
        <f t="shared" si="14"/>
        <v>0</v>
      </c>
      <c r="G39">
        <f t="shared" si="14"/>
        <v>0</v>
      </c>
      <c r="H39">
        <f t="shared" si="14"/>
        <v>0</v>
      </c>
      <c r="I39">
        <f t="shared" si="14"/>
        <v>0</v>
      </c>
      <c r="J39">
        <f t="shared" si="14"/>
        <v>0</v>
      </c>
      <c r="K39">
        <f t="shared" si="14"/>
        <v>0</v>
      </c>
      <c r="L39">
        <f t="shared" si="14"/>
        <v>0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  <c r="Q39">
        <f>SUM(D39:P39)</f>
        <v>0</v>
      </c>
      <c r="R39">
        <f>Q39/13</f>
        <v>0</v>
      </c>
      <c r="T39">
        <f>(D39+P39)/2</f>
        <v>0</v>
      </c>
      <c r="V39">
        <f>R39-T39</f>
        <v>0</v>
      </c>
    </row>
    <row r="40" spans="1:22" ht="12.75" customHeight="1">
      <c r="A40">
        <f t="shared" si="1"/>
        <v>27</v>
      </c>
    </row>
    <row r="41" spans="1:22" ht="12.75" customHeight="1">
      <c r="A41">
        <v>28</v>
      </c>
    </row>
    <row r="42" spans="1:22" ht="12.75" customHeight="1">
      <c r="A42">
        <v>29</v>
      </c>
      <c r="B42" t="s">
        <v>176</v>
      </c>
      <c r="D42">
        <f>'GI-34 doc 3 page 1 de 2'!E32</f>
        <v>0</v>
      </c>
      <c r="E42">
        <f t="shared" ref="E42:P42" si="15">D45</f>
        <v>0</v>
      </c>
      <c r="F42">
        <f t="shared" si="15"/>
        <v>0</v>
      </c>
      <c r="G42">
        <f t="shared" si="15"/>
        <v>0</v>
      </c>
      <c r="H42">
        <f t="shared" si="15"/>
        <v>0</v>
      </c>
      <c r="I42">
        <f t="shared" si="15"/>
        <v>0</v>
      </c>
      <c r="J42">
        <f t="shared" si="15"/>
        <v>0</v>
      </c>
      <c r="K42">
        <f t="shared" si="15"/>
        <v>0</v>
      </c>
      <c r="L42">
        <f t="shared" si="15"/>
        <v>0</v>
      </c>
      <c r="M42">
        <f t="shared" si="15"/>
        <v>0</v>
      </c>
      <c r="N42">
        <f t="shared" si="15"/>
        <v>0</v>
      </c>
      <c r="O42">
        <f t="shared" si="15"/>
        <v>0</v>
      </c>
      <c r="P42">
        <f t="shared" si="15"/>
        <v>0</v>
      </c>
      <c r="Q42">
        <f>SUM(D42:P42)</f>
        <v>0</v>
      </c>
      <c r="R42">
        <f>Q42/13</f>
        <v>0</v>
      </c>
      <c r="T42">
        <f>(D42+P42)/2</f>
        <v>0</v>
      </c>
      <c r="V42">
        <f>R42-T42</f>
        <v>0</v>
      </c>
    </row>
    <row r="43" spans="1:22" ht="12.75" customHeight="1">
      <c r="A43">
        <v>30</v>
      </c>
      <c r="B43" t="s">
        <v>168</v>
      </c>
      <c r="E43">
        <f>'GI-34 doc 3 page 1 de 2'!E33/12</f>
        <v>0</v>
      </c>
      <c r="F43">
        <f>'GI-34 doc 3 page 1 de 2'!E33/12</f>
        <v>0</v>
      </c>
      <c r="G43">
        <f>'GI-34 doc 3 page 1 de 2'!E33/12</f>
        <v>0</v>
      </c>
      <c r="H43">
        <f>'GI-34 doc 3 page 1 de 2'!E33/12</f>
        <v>0</v>
      </c>
      <c r="I43">
        <f>'GI-34 doc 3 page 1 de 2'!E33/12</f>
        <v>0</v>
      </c>
      <c r="J43">
        <f>'GI-34 doc 3 page 1 de 2'!E33/12</f>
        <v>0</v>
      </c>
      <c r="K43">
        <f>'GI-34 doc 3 page 1 de 2'!E33/12</f>
        <v>0</v>
      </c>
      <c r="L43">
        <f>'GI-34 doc 3 page 1 de 2'!E33/12</f>
        <v>0</v>
      </c>
      <c r="M43">
        <f>'GI-34 doc 3 page 1 de 2'!E33/12</f>
        <v>0</v>
      </c>
      <c r="N43">
        <f>'GI-34 doc 3 page 1 de 2'!E33/12</f>
        <v>0</v>
      </c>
      <c r="O43">
        <f>'GI-34 doc 3 page 1 de 2'!E33/12</f>
        <v>0</v>
      </c>
      <c r="P43">
        <f>'GI-34 doc 3 page 1 de 2'!E33/12</f>
        <v>0</v>
      </c>
      <c r="Q43">
        <f>SUM(D43:P43)</f>
        <v>0</v>
      </c>
      <c r="R43">
        <f>Q43/13</f>
        <v>0</v>
      </c>
      <c r="T43">
        <f>(D43+P43)/2</f>
        <v>0</v>
      </c>
      <c r="V43">
        <f>R43-T43</f>
        <v>0</v>
      </c>
    </row>
    <row r="44" spans="1:22" ht="12.75" customHeight="1">
      <c r="A44">
        <f t="shared" si="1"/>
        <v>31</v>
      </c>
      <c r="B44" t="s">
        <v>169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>SUM(D44:P44)</f>
        <v>0</v>
      </c>
      <c r="R44">
        <f>Q44/13</f>
        <v>0</v>
      </c>
      <c r="T44">
        <f>(D44+P44)/2</f>
        <v>0</v>
      </c>
      <c r="V44">
        <f>R44-T44</f>
        <v>0</v>
      </c>
    </row>
    <row r="45" spans="1:22" ht="12.75" customHeight="1">
      <c r="A45">
        <f t="shared" si="1"/>
        <v>32</v>
      </c>
      <c r="B45" t="s">
        <v>170</v>
      </c>
      <c r="D45">
        <f t="shared" ref="D45:P45" si="16">SUM(D42:D44)</f>
        <v>0</v>
      </c>
      <c r="E45">
        <f t="shared" si="16"/>
        <v>0</v>
      </c>
      <c r="F45">
        <f t="shared" si="16"/>
        <v>0</v>
      </c>
      <c r="G45">
        <f t="shared" si="16"/>
        <v>0</v>
      </c>
      <c r="H45">
        <f t="shared" si="16"/>
        <v>0</v>
      </c>
      <c r="I45">
        <f t="shared" si="16"/>
        <v>0</v>
      </c>
      <c r="J45">
        <f t="shared" si="16"/>
        <v>0</v>
      </c>
      <c r="K45">
        <f t="shared" si="16"/>
        <v>0</v>
      </c>
      <c r="L45">
        <f t="shared" si="16"/>
        <v>0</v>
      </c>
      <c r="M45">
        <f t="shared" si="16"/>
        <v>0</v>
      </c>
      <c r="N45">
        <f t="shared" si="16"/>
        <v>0</v>
      </c>
      <c r="O45">
        <f t="shared" si="16"/>
        <v>0</v>
      </c>
      <c r="P45">
        <f t="shared" si="16"/>
        <v>0</v>
      </c>
      <c r="Q45">
        <f>SUM(D45:P45)</f>
        <v>0</v>
      </c>
      <c r="R45">
        <f>Q45/13</f>
        <v>0</v>
      </c>
      <c r="T45">
        <f>(D45+P45)/2</f>
        <v>0</v>
      </c>
      <c r="V45">
        <f>R45-T45</f>
        <v>0</v>
      </c>
    </row>
    <row r="46" spans="1:22" ht="12.75" customHeight="1">
      <c r="A46">
        <f t="shared" si="1"/>
        <v>33</v>
      </c>
    </row>
    <row r="47" spans="1:22" ht="12.75" customHeight="1">
      <c r="A47">
        <f t="shared" si="1"/>
        <v>34</v>
      </c>
      <c r="B47" t="s">
        <v>171</v>
      </c>
      <c r="D47">
        <v>0</v>
      </c>
      <c r="E47">
        <f t="shared" ref="E47:P47" si="17">D51</f>
        <v>0</v>
      </c>
      <c r="F47">
        <f t="shared" si="17"/>
        <v>0</v>
      </c>
      <c r="G47">
        <f t="shared" si="17"/>
        <v>0</v>
      </c>
      <c r="H47">
        <f t="shared" si="17"/>
        <v>0</v>
      </c>
      <c r="I47">
        <f t="shared" si="17"/>
        <v>0</v>
      </c>
      <c r="J47">
        <f t="shared" si="17"/>
        <v>0</v>
      </c>
      <c r="K47">
        <f t="shared" si="17"/>
        <v>0</v>
      </c>
      <c r="L47">
        <f t="shared" si="17"/>
        <v>0</v>
      </c>
      <c r="M47">
        <f t="shared" si="17"/>
        <v>0</v>
      </c>
      <c r="N47">
        <f t="shared" si="17"/>
        <v>0</v>
      </c>
      <c r="O47">
        <f t="shared" si="17"/>
        <v>0</v>
      </c>
      <c r="P47">
        <f t="shared" si="17"/>
        <v>0</v>
      </c>
      <c r="Q47">
        <f>SUM(D47:P47)</f>
        <v>0</v>
      </c>
      <c r="R47">
        <f>Q47/13</f>
        <v>0</v>
      </c>
      <c r="T47">
        <f>(D47+P47)/2</f>
        <v>0</v>
      </c>
      <c r="V47">
        <f>R47-T47</f>
        <v>0</v>
      </c>
    </row>
    <row r="48" spans="1:22" ht="12.75" customHeight="1">
      <c r="A48">
        <f t="shared" si="1"/>
        <v>35</v>
      </c>
      <c r="B48" t="s">
        <v>172</v>
      </c>
      <c r="Q48">
        <f>SUM(D48:P48)</f>
        <v>0</v>
      </c>
      <c r="R48">
        <f>Q48/13</f>
        <v>0</v>
      </c>
      <c r="T48">
        <f>(D48+P48)/2</f>
        <v>0</v>
      </c>
      <c r="V48">
        <f>R48-T48</f>
        <v>0</v>
      </c>
    </row>
    <row r="49" spans="1:22" ht="12.75" customHeight="1">
      <c r="A49">
        <f t="shared" si="1"/>
        <v>36</v>
      </c>
      <c r="B49" t="s">
        <v>169</v>
      </c>
      <c r="E49">
        <f t="shared" ref="E49:P49" si="18">E44</f>
        <v>0</v>
      </c>
      <c r="F49">
        <f t="shared" si="18"/>
        <v>0</v>
      </c>
      <c r="G49">
        <f t="shared" si="18"/>
        <v>0</v>
      </c>
      <c r="H49">
        <f t="shared" si="18"/>
        <v>0</v>
      </c>
      <c r="I49">
        <f t="shared" si="18"/>
        <v>0</v>
      </c>
      <c r="J49">
        <f t="shared" si="18"/>
        <v>0</v>
      </c>
      <c r="K49">
        <f t="shared" si="18"/>
        <v>0</v>
      </c>
      <c r="L49">
        <f t="shared" si="18"/>
        <v>0</v>
      </c>
      <c r="M49">
        <f t="shared" si="18"/>
        <v>0</v>
      </c>
      <c r="N49">
        <f t="shared" si="18"/>
        <v>0</v>
      </c>
      <c r="O49">
        <f t="shared" si="18"/>
        <v>0</v>
      </c>
      <c r="P49">
        <f t="shared" si="18"/>
        <v>0</v>
      </c>
      <c r="Q49">
        <f>SUM(D48:P49)</f>
        <v>0</v>
      </c>
      <c r="R49">
        <f>Q49/13</f>
        <v>0</v>
      </c>
      <c r="T49">
        <f>(D49+P49)/2</f>
        <v>0</v>
      </c>
      <c r="V49">
        <f>R49-T49</f>
        <v>0</v>
      </c>
    </row>
    <row r="50" spans="1:22" ht="12.75" customHeight="1">
      <c r="A50">
        <f t="shared" si="1"/>
        <v>37</v>
      </c>
      <c r="B50" t="s">
        <v>173</v>
      </c>
      <c r="C50">
        <v>25</v>
      </c>
      <c r="E50">
        <f t="shared" ref="E50:P50" si="19">E45*$C50/100/12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>
        <f t="shared" si="19"/>
        <v>0</v>
      </c>
      <c r="O50">
        <f t="shared" si="19"/>
        <v>0</v>
      </c>
      <c r="P50">
        <f t="shared" si="19"/>
        <v>0</v>
      </c>
      <c r="Q50">
        <f>SUM(D50:P50)</f>
        <v>0</v>
      </c>
      <c r="R50">
        <f>Q50/13</f>
        <v>0</v>
      </c>
      <c r="T50">
        <f>(D50+P50)/2</f>
        <v>0</v>
      </c>
      <c r="V50">
        <f>R50-T50</f>
        <v>0</v>
      </c>
    </row>
    <row r="51" spans="1:22" ht="12.75" customHeight="1">
      <c r="A51">
        <f t="shared" si="1"/>
        <v>38</v>
      </c>
      <c r="B51" t="s">
        <v>170</v>
      </c>
      <c r="D51">
        <f t="shared" ref="D51:P51" si="20">SUM(D47:D50)</f>
        <v>0</v>
      </c>
      <c r="E51">
        <f t="shared" si="20"/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>
        <f t="shared" si="20"/>
        <v>0</v>
      </c>
      <c r="O51">
        <f t="shared" si="20"/>
        <v>0</v>
      </c>
      <c r="P51">
        <f t="shared" si="20"/>
        <v>0</v>
      </c>
      <c r="Q51">
        <f>SUM(D51:P51)</f>
        <v>0</v>
      </c>
      <c r="R51">
        <f>Q51/13</f>
        <v>0</v>
      </c>
      <c r="T51">
        <f>(D51+P51)/2</f>
        <v>0</v>
      </c>
      <c r="V51">
        <f>R51-T51</f>
        <v>0</v>
      </c>
    </row>
    <row r="52" spans="1:22" ht="12.75" customHeight="1">
      <c r="A52">
        <f t="shared" si="1"/>
        <v>39</v>
      </c>
    </row>
    <row r="53" spans="1:22" ht="12.75" customHeight="1">
      <c r="A53">
        <f t="shared" si="1"/>
        <v>40</v>
      </c>
      <c r="B53" t="s">
        <v>174</v>
      </c>
      <c r="D53">
        <f t="shared" ref="D53:P53" si="21">D45-D51</f>
        <v>0</v>
      </c>
      <c r="E53">
        <f t="shared" si="21"/>
        <v>0</v>
      </c>
      <c r="F53">
        <f t="shared" si="21"/>
        <v>0</v>
      </c>
      <c r="G53">
        <f t="shared" si="21"/>
        <v>0</v>
      </c>
      <c r="H53">
        <f t="shared" si="21"/>
        <v>0</v>
      </c>
      <c r="I53">
        <f t="shared" si="21"/>
        <v>0</v>
      </c>
      <c r="J53">
        <f t="shared" si="21"/>
        <v>0</v>
      </c>
      <c r="K53">
        <f t="shared" si="21"/>
        <v>0</v>
      </c>
      <c r="L53">
        <f t="shared" si="21"/>
        <v>0</v>
      </c>
      <c r="M53">
        <f t="shared" si="21"/>
        <v>0</v>
      </c>
      <c r="N53">
        <f t="shared" si="21"/>
        <v>0</v>
      </c>
      <c r="O53">
        <f t="shared" si="21"/>
        <v>0</v>
      </c>
      <c r="P53">
        <f t="shared" si="21"/>
        <v>0</v>
      </c>
      <c r="Q53">
        <f>SUM(D53:P53)</f>
        <v>0</v>
      </c>
      <c r="R53">
        <f>Q53/13</f>
        <v>0</v>
      </c>
      <c r="T53">
        <f>(D53+P53)/2</f>
        <v>0</v>
      </c>
      <c r="V53">
        <f>R53-T53</f>
        <v>0</v>
      </c>
    </row>
    <row r="54" spans="1:22" ht="12.75" customHeight="1">
      <c r="A54">
        <f t="shared" si="1"/>
        <v>41</v>
      </c>
    </row>
    <row r="55" spans="1:22" ht="12.75" customHeight="1">
      <c r="A55">
        <f t="shared" si="1"/>
        <v>42</v>
      </c>
    </row>
    <row r="56" spans="1:22" ht="12.75" customHeight="1">
      <c r="A56">
        <f t="shared" si="1"/>
        <v>43</v>
      </c>
    </row>
    <row r="57" spans="1:22" ht="12.75" customHeight="1">
      <c r="A57">
        <f t="shared" si="1"/>
        <v>44</v>
      </c>
      <c r="B57" t="s">
        <v>177</v>
      </c>
      <c r="D57">
        <f>D14+D28+D42</f>
        <v>0</v>
      </c>
      <c r="E57">
        <f>E14+E28+E42</f>
        <v>0</v>
      </c>
      <c r="F57">
        <f t="shared" ref="F57:P60" si="22">F14+F28+F42</f>
        <v>0</v>
      </c>
      <c r="G57">
        <f t="shared" si="22"/>
        <v>0</v>
      </c>
      <c r="H57">
        <f t="shared" si="22"/>
        <v>0</v>
      </c>
      <c r="I57">
        <f t="shared" si="22"/>
        <v>0</v>
      </c>
      <c r="J57">
        <f t="shared" si="22"/>
        <v>0</v>
      </c>
      <c r="K57">
        <f t="shared" si="22"/>
        <v>0</v>
      </c>
      <c r="L57">
        <f t="shared" si="22"/>
        <v>0</v>
      </c>
      <c r="M57">
        <f t="shared" si="22"/>
        <v>0</v>
      </c>
      <c r="N57">
        <f t="shared" si="22"/>
        <v>0</v>
      </c>
      <c r="O57">
        <f t="shared" si="22"/>
        <v>0</v>
      </c>
      <c r="P57">
        <f t="shared" si="22"/>
        <v>0</v>
      </c>
      <c r="Q57">
        <f>SUM(D57:P57)</f>
        <v>0</v>
      </c>
      <c r="R57">
        <f>Q57/13</f>
        <v>0</v>
      </c>
      <c r="T57">
        <f>(D57+P57)/2</f>
        <v>0</v>
      </c>
      <c r="V57">
        <f>R57-T57</f>
        <v>0</v>
      </c>
    </row>
    <row r="58" spans="1:22" ht="12.75" customHeight="1">
      <c r="A58">
        <f t="shared" si="1"/>
        <v>45</v>
      </c>
      <c r="B58" t="s">
        <v>178</v>
      </c>
      <c r="E58">
        <f>E15+E29+E43</f>
        <v>0</v>
      </c>
      <c r="F58">
        <f t="shared" si="22"/>
        <v>0</v>
      </c>
      <c r="G58">
        <f t="shared" si="22"/>
        <v>0</v>
      </c>
      <c r="H58">
        <f t="shared" si="22"/>
        <v>0</v>
      </c>
      <c r="I58">
        <f t="shared" si="22"/>
        <v>0</v>
      </c>
      <c r="J58">
        <f t="shared" si="22"/>
        <v>0</v>
      </c>
      <c r="K58">
        <f t="shared" si="22"/>
        <v>0</v>
      </c>
      <c r="L58">
        <f t="shared" si="22"/>
        <v>0</v>
      </c>
      <c r="M58">
        <f t="shared" si="22"/>
        <v>0</v>
      </c>
      <c r="N58">
        <f t="shared" si="22"/>
        <v>0</v>
      </c>
      <c r="O58">
        <f t="shared" si="22"/>
        <v>0</v>
      </c>
      <c r="P58">
        <f t="shared" si="22"/>
        <v>0</v>
      </c>
      <c r="Q58">
        <f>SUM(D58:P58)</f>
        <v>0</v>
      </c>
      <c r="R58">
        <f>Q58/13</f>
        <v>0</v>
      </c>
      <c r="T58">
        <f>(D58+P58)/2</f>
        <v>0</v>
      </c>
      <c r="V58">
        <f>R58-T58</f>
        <v>0</v>
      </c>
    </row>
    <row r="59" spans="1:22" ht="12.75" customHeight="1">
      <c r="A59">
        <v>46</v>
      </c>
      <c r="B59" t="s">
        <v>169</v>
      </c>
      <c r="E59">
        <f>E16+E30+E44</f>
        <v>0</v>
      </c>
      <c r="F59">
        <f t="shared" si="22"/>
        <v>0</v>
      </c>
      <c r="G59">
        <f t="shared" si="22"/>
        <v>0</v>
      </c>
      <c r="H59">
        <f t="shared" si="22"/>
        <v>0</v>
      </c>
      <c r="I59">
        <f t="shared" si="22"/>
        <v>0</v>
      </c>
      <c r="J59">
        <f t="shared" si="22"/>
        <v>0</v>
      </c>
      <c r="K59">
        <f t="shared" si="22"/>
        <v>0</v>
      </c>
      <c r="L59">
        <f t="shared" si="22"/>
        <v>0</v>
      </c>
      <c r="M59">
        <f t="shared" si="22"/>
        <v>0</v>
      </c>
      <c r="N59">
        <f t="shared" si="22"/>
        <v>0</v>
      </c>
      <c r="O59">
        <f t="shared" si="22"/>
        <v>0</v>
      </c>
      <c r="P59">
        <f t="shared" si="22"/>
        <v>0</v>
      </c>
      <c r="Q59">
        <f>SUM(D59:P59)</f>
        <v>0</v>
      </c>
      <c r="R59">
        <f>Q59/13</f>
        <v>0</v>
      </c>
      <c r="T59">
        <f>(D59+P59)/2</f>
        <v>0</v>
      </c>
      <c r="V59">
        <f>R59-T59</f>
        <v>0</v>
      </c>
    </row>
    <row r="60" spans="1:22" ht="15" customHeight="1">
      <c r="A60">
        <f t="shared" si="1"/>
        <v>47</v>
      </c>
      <c r="B60" t="s">
        <v>170</v>
      </c>
      <c r="D60">
        <f>D17+D31+D45</f>
        <v>0</v>
      </c>
      <c r="E60">
        <f>E17+E31+E45</f>
        <v>0</v>
      </c>
      <c r="F60">
        <f t="shared" si="22"/>
        <v>0</v>
      </c>
      <c r="G60">
        <f t="shared" si="22"/>
        <v>0</v>
      </c>
      <c r="H60">
        <f t="shared" si="22"/>
        <v>0</v>
      </c>
      <c r="I60">
        <f t="shared" si="22"/>
        <v>0</v>
      </c>
      <c r="J60">
        <f t="shared" si="22"/>
        <v>0</v>
      </c>
      <c r="K60">
        <f t="shared" si="22"/>
        <v>0</v>
      </c>
      <c r="L60">
        <f t="shared" si="22"/>
        <v>0</v>
      </c>
      <c r="M60">
        <f t="shared" si="22"/>
        <v>0</v>
      </c>
      <c r="N60">
        <f t="shared" si="22"/>
        <v>0</v>
      </c>
      <c r="O60">
        <f t="shared" si="22"/>
        <v>0</v>
      </c>
      <c r="P60">
        <f t="shared" si="22"/>
        <v>0</v>
      </c>
      <c r="Q60">
        <f>SUM(D60:P60)</f>
        <v>0</v>
      </c>
      <c r="R60">
        <f>Q60/13</f>
        <v>0</v>
      </c>
      <c r="T60">
        <f>(D60+P60)/2</f>
        <v>0</v>
      </c>
      <c r="V60">
        <f>R60-T60</f>
        <v>0</v>
      </c>
    </row>
    <row r="61" spans="1:22" ht="12.75" customHeight="1">
      <c r="A61">
        <f t="shared" si="1"/>
        <v>48</v>
      </c>
    </row>
    <row r="62" spans="1:22" ht="15.75" customHeight="1">
      <c r="A62">
        <f t="shared" si="1"/>
        <v>49</v>
      </c>
    </row>
    <row r="63" spans="1:22" ht="12.75" customHeight="1">
      <c r="A63">
        <f t="shared" si="1"/>
        <v>50</v>
      </c>
    </row>
    <row r="64" spans="1:22" ht="12.75" customHeight="1">
      <c r="A64">
        <f t="shared" si="1"/>
        <v>51</v>
      </c>
      <c r="B64" t="s">
        <v>171</v>
      </c>
      <c r="D64">
        <f>D19+D33+D47</f>
        <v>0</v>
      </c>
      <c r="E64">
        <f>E19+E33+E47</f>
        <v>0</v>
      </c>
      <c r="F64">
        <f t="shared" ref="F64:P68" si="23">F19+F33+F47</f>
        <v>0</v>
      </c>
      <c r="G64">
        <f t="shared" si="23"/>
        <v>0</v>
      </c>
      <c r="H64">
        <f t="shared" si="23"/>
        <v>0</v>
      </c>
      <c r="I64">
        <f t="shared" si="23"/>
        <v>0</v>
      </c>
      <c r="J64">
        <f t="shared" si="23"/>
        <v>0</v>
      </c>
      <c r="K64">
        <f t="shared" si="23"/>
        <v>0</v>
      </c>
      <c r="L64">
        <f t="shared" si="23"/>
        <v>0</v>
      </c>
      <c r="M64">
        <f t="shared" si="23"/>
        <v>0</v>
      </c>
      <c r="N64">
        <f t="shared" si="23"/>
        <v>0</v>
      </c>
      <c r="O64">
        <f t="shared" si="23"/>
        <v>0</v>
      </c>
      <c r="P64">
        <f t="shared" si="23"/>
        <v>0</v>
      </c>
      <c r="Q64">
        <f>SUM(D64:P64)</f>
        <v>0</v>
      </c>
      <c r="R64">
        <f>Q64/13</f>
        <v>0</v>
      </c>
      <c r="T64">
        <f>(D64+P64)/2</f>
        <v>0</v>
      </c>
      <c r="V64">
        <f>R64-T64</f>
        <v>0</v>
      </c>
    </row>
    <row r="65" spans="1:22" ht="12.75" customHeight="1">
      <c r="A65">
        <f t="shared" si="1"/>
        <v>52</v>
      </c>
      <c r="B65" t="s">
        <v>172</v>
      </c>
      <c r="E65">
        <f>E20+E34+E48</f>
        <v>0</v>
      </c>
      <c r="F65">
        <f t="shared" si="23"/>
        <v>0</v>
      </c>
      <c r="G65">
        <f t="shared" si="23"/>
        <v>0</v>
      </c>
      <c r="H65">
        <f t="shared" si="23"/>
        <v>0</v>
      </c>
      <c r="I65">
        <f t="shared" si="23"/>
        <v>0</v>
      </c>
      <c r="J65">
        <f t="shared" si="23"/>
        <v>0</v>
      </c>
      <c r="K65">
        <f t="shared" si="23"/>
        <v>0</v>
      </c>
      <c r="L65">
        <f t="shared" si="23"/>
        <v>0</v>
      </c>
      <c r="M65">
        <f t="shared" si="23"/>
        <v>0</v>
      </c>
      <c r="N65">
        <f t="shared" si="23"/>
        <v>0</v>
      </c>
      <c r="O65">
        <f t="shared" si="23"/>
        <v>0</v>
      </c>
      <c r="P65">
        <f t="shared" si="23"/>
        <v>0</v>
      </c>
      <c r="Q65">
        <f>SUM(D65:P65)</f>
        <v>0</v>
      </c>
      <c r="R65">
        <f>Q65/13</f>
        <v>0</v>
      </c>
      <c r="T65">
        <f>(D65+P65)/2</f>
        <v>0</v>
      </c>
      <c r="V65">
        <f>R65-T65</f>
        <v>0</v>
      </c>
    </row>
    <row r="66" spans="1:22" ht="12.75" customHeight="1">
      <c r="A66">
        <f t="shared" si="1"/>
        <v>53</v>
      </c>
      <c r="B66" t="s">
        <v>169</v>
      </c>
      <c r="E66">
        <f>E21+E35+E49</f>
        <v>0</v>
      </c>
      <c r="F66">
        <f t="shared" si="23"/>
        <v>0</v>
      </c>
      <c r="G66">
        <f t="shared" si="23"/>
        <v>0</v>
      </c>
      <c r="H66">
        <f t="shared" si="23"/>
        <v>0</v>
      </c>
      <c r="I66">
        <f t="shared" si="23"/>
        <v>0</v>
      </c>
      <c r="J66">
        <f t="shared" si="23"/>
        <v>0</v>
      </c>
      <c r="K66">
        <f t="shared" si="23"/>
        <v>0</v>
      </c>
      <c r="L66">
        <f t="shared" si="23"/>
        <v>0</v>
      </c>
      <c r="M66">
        <f t="shared" si="23"/>
        <v>0</v>
      </c>
      <c r="N66">
        <f t="shared" si="23"/>
        <v>0</v>
      </c>
      <c r="O66">
        <f t="shared" si="23"/>
        <v>0</v>
      </c>
      <c r="P66">
        <f t="shared" si="23"/>
        <v>0</v>
      </c>
      <c r="Q66">
        <f>SUM(D66:P66)</f>
        <v>0</v>
      </c>
      <c r="R66">
        <f>Q66/13</f>
        <v>0</v>
      </c>
      <c r="T66">
        <f>(D66+P66)/2</f>
        <v>0</v>
      </c>
      <c r="V66">
        <f>R66-T66</f>
        <v>0</v>
      </c>
    </row>
    <row r="67" spans="1:22" ht="12.75" customHeight="1">
      <c r="A67">
        <f t="shared" si="1"/>
        <v>54</v>
      </c>
      <c r="B67" t="s">
        <v>173</v>
      </c>
      <c r="E67">
        <f>E22+E36+E50</f>
        <v>0</v>
      </c>
      <c r="F67">
        <f t="shared" si="23"/>
        <v>0</v>
      </c>
      <c r="G67">
        <f t="shared" si="23"/>
        <v>0</v>
      </c>
      <c r="H67">
        <f t="shared" si="23"/>
        <v>0</v>
      </c>
      <c r="I67">
        <f t="shared" si="23"/>
        <v>0</v>
      </c>
      <c r="J67">
        <f t="shared" si="23"/>
        <v>0</v>
      </c>
      <c r="K67">
        <f t="shared" si="23"/>
        <v>0</v>
      </c>
      <c r="L67">
        <f t="shared" si="23"/>
        <v>0</v>
      </c>
      <c r="M67">
        <f t="shared" si="23"/>
        <v>0</v>
      </c>
      <c r="N67">
        <f t="shared" si="23"/>
        <v>0</v>
      </c>
      <c r="O67">
        <f t="shared" si="23"/>
        <v>0</v>
      </c>
      <c r="P67">
        <f t="shared" si="23"/>
        <v>0</v>
      </c>
      <c r="Q67">
        <f>SUM(D67:P67)</f>
        <v>0</v>
      </c>
      <c r="R67">
        <f>Q67/13</f>
        <v>0</v>
      </c>
      <c r="T67">
        <f>(D67+P67)/2</f>
        <v>0</v>
      </c>
      <c r="V67">
        <f>R67-T67</f>
        <v>0</v>
      </c>
    </row>
    <row r="68" spans="1:22" ht="15.75" customHeight="1">
      <c r="A68">
        <f t="shared" si="1"/>
        <v>55</v>
      </c>
      <c r="B68" t="s">
        <v>170</v>
      </c>
      <c r="D68">
        <f>D23+D37+D51</f>
        <v>0</v>
      </c>
      <c r="E68">
        <f>E23+E37+E51</f>
        <v>0</v>
      </c>
      <c r="F68">
        <f t="shared" si="23"/>
        <v>0</v>
      </c>
      <c r="G68">
        <f t="shared" si="23"/>
        <v>0</v>
      </c>
      <c r="H68">
        <f t="shared" si="23"/>
        <v>0</v>
      </c>
      <c r="I68">
        <f t="shared" si="23"/>
        <v>0</v>
      </c>
      <c r="J68">
        <f t="shared" si="23"/>
        <v>0</v>
      </c>
      <c r="K68">
        <f t="shared" si="23"/>
        <v>0</v>
      </c>
      <c r="L68">
        <f t="shared" si="23"/>
        <v>0</v>
      </c>
      <c r="M68">
        <f t="shared" si="23"/>
        <v>0</v>
      </c>
      <c r="N68">
        <f t="shared" si="23"/>
        <v>0</v>
      </c>
      <c r="O68">
        <f t="shared" si="23"/>
        <v>0</v>
      </c>
      <c r="P68">
        <f t="shared" si="23"/>
        <v>0</v>
      </c>
      <c r="Q68">
        <f>SUM(D68:P68)</f>
        <v>0</v>
      </c>
      <c r="R68">
        <f>Q68/13</f>
        <v>0</v>
      </c>
      <c r="T68">
        <f>(D68+P68)/2</f>
        <v>0</v>
      </c>
      <c r="V68">
        <f>R68-T68</f>
        <v>0</v>
      </c>
    </row>
    <row r="69" spans="1:22" ht="12.75" customHeight="1">
      <c r="A69">
        <f t="shared" si="1"/>
        <v>56</v>
      </c>
    </row>
    <row r="70" spans="1:22" ht="12.75" customHeight="1">
      <c r="A70">
        <f t="shared" si="1"/>
        <v>57</v>
      </c>
      <c r="B70" t="s">
        <v>174</v>
      </c>
      <c r="D70">
        <f t="shared" ref="D70:P70" si="24">D60-D68</f>
        <v>0</v>
      </c>
      <c r="E70">
        <f>E60-E68</f>
        <v>0</v>
      </c>
      <c r="F70">
        <f t="shared" si="24"/>
        <v>0</v>
      </c>
      <c r="G70">
        <f t="shared" si="24"/>
        <v>0</v>
      </c>
      <c r="H70">
        <f t="shared" si="24"/>
        <v>0</v>
      </c>
      <c r="I70">
        <f t="shared" si="24"/>
        <v>0</v>
      </c>
      <c r="J70">
        <f t="shared" si="24"/>
        <v>0</v>
      </c>
      <c r="K70">
        <f t="shared" si="24"/>
        <v>0</v>
      </c>
      <c r="L70">
        <f t="shared" si="24"/>
        <v>0</v>
      </c>
      <c r="M70">
        <f t="shared" si="24"/>
        <v>0</v>
      </c>
      <c r="N70">
        <f t="shared" si="24"/>
        <v>0</v>
      </c>
      <c r="O70">
        <f t="shared" si="24"/>
        <v>0</v>
      </c>
      <c r="P70">
        <f t="shared" si="24"/>
        <v>0</v>
      </c>
      <c r="Q70">
        <f>SUM(D70:P70)</f>
        <v>0</v>
      </c>
      <c r="R70">
        <f>Q70/13</f>
        <v>0</v>
      </c>
      <c r="T70">
        <f>(D70+P70)/2</f>
        <v>0</v>
      </c>
      <c r="V70">
        <f>R70-T70</f>
        <v>0</v>
      </c>
    </row>
    <row r="73" spans="1:22" ht="12.75" customHeight="1">
      <c r="P73">
        <f>P17-P23+P31-P37+P45-P51</f>
        <v>0</v>
      </c>
    </row>
    <row r="75" spans="1:22" ht="12.75" customHeight="1">
      <c r="B75" t="s">
        <v>101</v>
      </c>
      <c r="D75">
        <f>'GI-34 doc 3 page 1 de 2'!F32</f>
        <v>5808</v>
      </c>
      <c r="E75">
        <f t="shared" ref="E75:P75" si="25">D78</f>
        <v>5808</v>
      </c>
      <c r="F75">
        <f t="shared" si="25"/>
        <v>5808</v>
      </c>
      <c r="G75">
        <f t="shared" si="25"/>
        <v>5808</v>
      </c>
      <c r="H75">
        <f t="shared" si="25"/>
        <v>5808</v>
      </c>
      <c r="I75">
        <f t="shared" si="25"/>
        <v>5808</v>
      </c>
      <c r="J75">
        <f t="shared" si="25"/>
        <v>30733</v>
      </c>
      <c r="K75">
        <f t="shared" si="25"/>
        <v>55658</v>
      </c>
      <c r="L75">
        <f t="shared" si="25"/>
        <v>80583</v>
      </c>
      <c r="M75">
        <f t="shared" si="25"/>
        <v>105508</v>
      </c>
      <c r="N75">
        <f t="shared" si="25"/>
        <v>130433</v>
      </c>
      <c r="O75">
        <f t="shared" si="25"/>
        <v>155358</v>
      </c>
      <c r="P75">
        <f t="shared" si="25"/>
        <v>180283</v>
      </c>
      <c r="Q75">
        <f>SUM(D75:P75)</f>
        <v>773404</v>
      </c>
      <c r="R75">
        <f>Q75/13</f>
        <v>59492.615384615383</v>
      </c>
      <c r="T75">
        <f>(D75+P75)/2</f>
        <v>93045.5</v>
      </c>
      <c r="V75">
        <f>R75-T75</f>
        <v>-33552.884615384617</v>
      </c>
    </row>
    <row r="76" spans="1:22" ht="12.75" customHeight="1">
      <c r="B76" t="s">
        <v>168</v>
      </c>
      <c r="I76">
        <f t="shared" ref="I76:P76" si="26">22750+2175</f>
        <v>24925</v>
      </c>
      <c r="J76">
        <f t="shared" si="26"/>
        <v>24925</v>
      </c>
      <c r="K76">
        <f t="shared" si="26"/>
        <v>24925</v>
      </c>
      <c r="L76">
        <f t="shared" si="26"/>
        <v>24925</v>
      </c>
      <c r="M76">
        <f t="shared" si="26"/>
        <v>24925</v>
      </c>
      <c r="N76">
        <f t="shared" si="26"/>
        <v>24925</v>
      </c>
      <c r="O76">
        <f t="shared" si="26"/>
        <v>24925</v>
      </c>
      <c r="P76">
        <f t="shared" si="26"/>
        <v>24925</v>
      </c>
      <c r="Q76">
        <f>SUM(D76:P76)</f>
        <v>199400</v>
      </c>
      <c r="R76">
        <f>Q76/13</f>
        <v>15338.461538461539</v>
      </c>
      <c r="T76">
        <f>(D76+P76)/2</f>
        <v>12462.5</v>
      </c>
      <c r="V76">
        <f>R76-T76</f>
        <v>2875.961538461539</v>
      </c>
    </row>
    <row r="77" spans="1:22" ht="12.75" customHeight="1">
      <c r="B77" t="s">
        <v>169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f>SUM(D77:P77)</f>
        <v>0</v>
      </c>
      <c r="R77">
        <f>Q77/13</f>
        <v>0</v>
      </c>
      <c r="T77">
        <f>(D77+P77)/2</f>
        <v>0</v>
      </c>
      <c r="V77">
        <f>R77-T77</f>
        <v>0</v>
      </c>
    </row>
    <row r="78" spans="1:22" ht="12.75" customHeight="1">
      <c r="B78" t="s">
        <v>170</v>
      </c>
      <c r="D78">
        <f t="shared" ref="D78:P78" si="27">SUM(D75:D77)</f>
        <v>5808</v>
      </c>
      <c r="E78">
        <f t="shared" si="27"/>
        <v>5808</v>
      </c>
      <c r="F78">
        <f t="shared" si="27"/>
        <v>5808</v>
      </c>
      <c r="G78">
        <f t="shared" si="27"/>
        <v>5808</v>
      </c>
      <c r="H78">
        <f t="shared" si="27"/>
        <v>5808</v>
      </c>
      <c r="I78">
        <f t="shared" si="27"/>
        <v>30733</v>
      </c>
      <c r="J78">
        <f t="shared" si="27"/>
        <v>55658</v>
      </c>
      <c r="K78">
        <f t="shared" si="27"/>
        <v>80583</v>
      </c>
      <c r="L78">
        <f t="shared" si="27"/>
        <v>105508</v>
      </c>
      <c r="M78">
        <f t="shared" si="27"/>
        <v>130433</v>
      </c>
      <c r="N78">
        <f t="shared" si="27"/>
        <v>155358</v>
      </c>
      <c r="O78">
        <f t="shared" si="27"/>
        <v>180283</v>
      </c>
      <c r="P78">
        <f t="shared" si="27"/>
        <v>205208</v>
      </c>
      <c r="Q78">
        <f>SUM(D78:P78)</f>
        <v>972804</v>
      </c>
      <c r="R78">
        <f>Q78/13</f>
        <v>74831.076923076922</v>
      </c>
      <c r="T78">
        <f>(D78+P78)/2</f>
        <v>105508</v>
      </c>
      <c r="V78">
        <f>R78-T78</f>
        <v>-30676.923076923078</v>
      </c>
    </row>
    <row r="80" spans="1:22" ht="12.75" customHeight="1">
      <c r="B80" t="s">
        <v>179</v>
      </c>
      <c r="D80">
        <v>0</v>
      </c>
      <c r="E80">
        <f t="shared" ref="E80:P80" si="28">D84</f>
        <v>0</v>
      </c>
      <c r="F80">
        <f t="shared" si="28"/>
        <v>161.33333333333334</v>
      </c>
      <c r="G80">
        <f t="shared" si="28"/>
        <v>322.66666666666669</v>
      </c>
      <c r="H80">
        <f t="shared" si="28"/>
        <v>484</v>
      </c>
      <c r="I80">
        <f t="shared" si="28"/>
        <v>645.33333333333337</v>
      </c>
      <c r="J80">
        <f t="shared" si="28"/>
        <v>1152.8472222222222</v>
      </c>
      <c r="K80">
        <f t="shared" si="28"/>
        <v>2352.7222222222222</v>
      </c>
      <c r="L80">
        <f t="shared" si="28"/>
        <v>4244.9583333333339</v>
      </c>
      <c r="M80">
        <f t="shared" si="28"/>
        <v>6829.5555555555566</v>
      </c>
      <c r="N80">
        <f t="shared" si="28"/>
        <v>10106.513888888891</v>
      </c>
      <c r="O80">
        <f t="shared" si="28"/>
        <v>14075.833333333336</v>
      </c>
      <c r="P80">
        <f t="shared" si="28"/>
        <v>18737.513888888891</v>
      </c>
      <c r="Q80">
        <f>SUM(D80:P80)</f>
        <v>59113.277777777781</v>
      </c>
      <c r="R80">
        <f>Q80/13</f>
        <v>4547.1752136752139</v>
      </c>
      <c r="T80">
        <f>(D80+P80)/2</f>
        <v>9368.7569444444453</v>
      </c>
      <c r="V80">
        <f>R80-T80</f>
        <v>-4821.5817307692314</v>
      </c>
    </row>
    <row r="81" spans="2:22" ht="12.75" customHeight="1">
      <c r="B81" t="s">
        <v>172</v>
      </c>
      <c r="Q81">
        <f>SUM(D81:P81)</f>
        <v>0</v>
      </c>
      <c r="R81">
        <f>Q81/13</f>
        <v>0</v>
      </c>
      <c r="T81">
        <f>(D81+P81)/2</f>
        <v>0</v>
      </c>
      <c r="V81">
        <f>R81-T81</f>
        <v>0</v>
      </c>
    </row>
    <row r="82" spans="2:22" ht="12.75" customHeight="1">
      <c r="B82" t="s">
        <v>169</v>
      </c>
      <c r="E82">
        <f t="shared" ref="E82:P82" si="29">E77</f>
        <v>0</v>
      </c>
      <c r="F82">
        <f t="shared" si="29"/>
        <v>0</v>
      </c>
      <c r="G82">
        <f t="shared" si="29"/>
        <v>0</v>
      </c>
      <c r="H82">
        <f t="shared" si="29"/>
        <v>0</v>
      </c>
      <c r="I82">
        <f t="shared" si="29"/>
        <v>0</v>
      </c>
      <c r="J82">
        <f t="shared" si="29"/>
        <v>0</v>
      </c>
      <c r="K82">
        <f t="shared" si="29"/>
        <v>0</v>
      </c>
      <c r="L82">
        <f t="shared" si="29"/>
        <v>0</v>
      </c>
      <c r="M82">
        <f t="shared" si="29"/>
        <v>0</v>
      </c>
      <c r="N82">
        <f t="shared" si="29"/>
        <v>0</v>
      </c>
      <c r="O82">
        <f t="shared" si="29"/>
        <v>0</v>
      </c>
      <c r="P82">
        <f t="shared" si="29"/>
        <v>0</v>
      </c>
      <c r="Q82">
        <f>SUM(D81:P82)</f>
        <v>0</v>
      </c>
      <c r="R82">
        <f>Q82/13</f>
        <v>0</v>
      </c>
      <c r="T82">
        <f>(D82+P82)/2</f>
        <v>0</v>
      </c>
      <c r="V82">
        <f>R82-T82</f>
        <v>0</v>
      </c>
    </row>
    <row r="83" spans="2:22" ht="12.75" customHeight="1">
      <c r="B83" t="s">
        <v>173</v>
      </c>
      <c r="C83">
        <f>100/3</f>
        <v>33.333333333333336</v>
      </c>
      <c r="E83">
        <f>E78*$C83/100/12</f>
        <v>161.33333333333334</v>
      </c>
      <c r="F83">
        <f>F78*$C83/100/12</f>
        <v>161.33333333333334</v>
      </c>
      <c r="G83">
        <f>G78*$C83/100/12</f>
        <v>161.33333333333334</v>
      </c>
      <c r="H83">
        <f>H78*$C83/100/12</f>
        <v>161.33333333333334</v>
      </c>
      <c r="I83">
        <f t="shared" ref="I83:P83" si="30">(I75*$C83/100/12)+(I76*$C83/100/12*0.5)</f>
        <v>507.51388888888891</v>
      </c>
      <c r="J83">
        <f t="shared" si="30"/>
        <v>1199.875</v>
      </c>
      <c r="K83">
        <f t="shared" si="30"/>
        <v>1892.2361111111113</v>
      </c>
      <c r="L83">
        <f t="shared" si="30"/>
        <v>2584.5972222222222</v>
      </c>
      <c r="M83">
        <f t="shared" si="30"/>
        <v>3276.9583333333335</v>
      </c>
      <c r="N83">
        <f t="shared" si="30"/>
        <v>3969.3194444444448</v>
      </c>
      <c r="O83">
        <f t="shared" si="30"/>
        <v>4661.6805555555557</v>
      </c>
      <c r="P83">
        <f t="shared" si="30"/>
        <v>5354.0416666666679</v>
      </c>
      <c r="Q83">
        <f>SUM(D83:P83)</f>
        <v>24091.555555555558</v>
      </c>
      <c r="R83">
        <f>Q83/13</f>
        <v>1853.1965811965815</v>
      </c>
      <c r="T83">
        <f>(D83+P83)/2</f>
        <v>2677.0208333333339</v>
      </c>
      <c r="V83">
        <f>R83-T83</f>
        <v>-823.82425213675242</v>
      </c>
    </row>
    <row r="84" spans="2:22" ht="12.75" customHeight="1">
      <c r="B84" t="s">
        <v>170</v>
      </c>
      <c r="D84">
        <f t="shared" ref="D84:P84" si="31">SUM(D80:D83)</f>
        <v>0</v>
      </c>
      <c r="E84">
        <f t="shared" si="31"/>
        <v>161.33333333333334</v>
      </c>
      <c r="F84">
        <f t="shared" si="31"/>
        <v>322.66666666666669</v>
      </c>
      <c r="G84">
        <f t="shared" si="31"/>
        <v>484</v>
      </c>
      <c r="H84">
        <f t="shared" si="31"/>
        <v>645.33333333333337</v>
      </c>
      <c r="I84">
        <f t="shared" si="31"/>
        <v>1152.8472222222222</v>
      </c>
      <c r="J84">
        <f t="shared" si="31"/>
        <v>2352.7222222222222</v>
      </c>
      <c r="K84">
        <f t="shared" si="31"/>
        <v>4244.9583333333339</v>
      </c>
      <c r="L84">
        <f t="shared" si="31"/>
        <v>6829.5555555555566</v>
      </c>
      <c r="M84">
        <f t="shared" si="31"/>
        <v>10106.513888888891</v>
      </c>
      <c r="N84">
        <f t="shared" si="31"/>
        <v>14075.833333333336</v>
      </c>
      <c r="O84">
        <f t="shared" si="31"/>
        <v>18737.513888888891</v>
      </c>
      <c r="P84">
        <f t="shared" si="31"/>
        <v>24091.555555555558</v>
      </c>
      <c r="Q84">
        <f>SUM(D84:P84)</f>
        <v>83204.833333333343</v>
      </c>
      <c r="R84">
        <f>Q84/13</f>
        <v>6400.3717948717958</v>
      </c>
      <c r="T84">
        <f>(D84+P84)/2</f>
        <v>12045.777777777779</v>
      </c>
      <c r="V84">
        <f>R84-T84</f>
        <v>-5645.4059829059834</v>
      </c>
    </row>
    <row r="86" spans="2:22" ht="12.75" customHeight="1">
      <c r="B86" t="s">
        <v>174</v>
      </c>
      <c r="D86">
        <f t="shared" ref="D86:P86" si="32">D78-D84</f>
        <v>5808</v>
      </c>
      <c r="E86">
        <f t="shared" si="32"/>
        <v>5646.666666666667</v>
      </c>
      <c r="F86">
        <f t="shared" si="32"/>
        <v>5485.333333333333</v>
      </c>
      <c r="G86">
        <f t="shared" si="32"/>
        <v>5324</v>
      </c>
      <c r="H86">
        <f t="shared" si="32"/>
        <v>5162.666666666667</v>
      </c>
      <c r="I86">
        <f t="shared" si="32"/>
        <v>29580.152777777777</v>
      </c>
      <c r="J86">
        <f t="shared" si="32"/>
        <v>53305.277777777781</v>
      </c>
      <c r="K86">
        <f t="shared" si="32"/>
        <v>76338.041666666672</v>
      </c>
      <c r="L86">
        <f t="shared" si="32"/>
        <v>98678.444444444438</v>
      </c>
      <c r="M86">
        <f t="shared" si="32"/>
        <v>120326.48611111111</v>
      </c>
      <c r="N86">
        <f t="shared" si="32"/>
        <v>141282.16666666666</v>
      </c>
      <c r="O86">
        <f t="shared" si="32"/>
        <v>161545.48611111112</v>
      </c>
      <c r="P86">
        <f t="shared" si="32"/>
        <v>181116.44444444444</v>
      </c>
      <c r="Q86">
        <f>SUM(D86:P86)</f>
        <v>889599.16666666674</v>
      </c>
      <c r="R86">
        <f>Q86/13</f>
        <v>68430.70512820514</v>
      </c>
      <c r="T86">
        <f>(D86+P86)/2</f>
        <v>93462.222222222219</v>
      </c>
      <c r="V86">
        <f>R86-T86</f>
        <v>-25031.517094017079</v>
      </c>
    </row>
    <row r="90" spans="2:22" ht="12.75" customHeight="1">
      <c r="B90" t="s">
        <v>180</v>
      </c>
      <c r="D90">
        <f>D75+D57</f>
        <v>5808</v>
      </c>
      <c r="E90">
        <f t="shared" ref="D90:P93" si="33">E57+E75</f>
        <v>5808</v>
      </c>
      <c r="F90">
        <f t="shared" si="33"/>
        <v>5808</v>
      </c>
      <c r="G90">
        <f t="shared" si="33"/>
        <v>5808</v>
      </c>
      <c r="H90">
        <f t="shared" si="33"/>
        <v>5808</v>
      </c>
      <c r="I90">
        <f t="shared" si="33"/>
        <v>5808</v>
      </c>
      <c r="J90">
        <f t="shared" si="33"/>
        <v>30733</v>
      </c>
      <c r="K90">
        <f t="shared" si="33"/>
        <v>55658</v>
      </c>
      <c r="L90">
        <f t="shared" si="33"/>
        <v>80583</v>
      </c>
      <c r="M90">
        <f t="shared" si="33"/>
        <v>105508</v>
      </c>
      <c r="N90">
        <f t="shared" si="33"/>
        <v>130433</v>
      </c>
      <c r="O90">
        <f t="shared" si="33"/>
        <v>155358</v>
      </c>
      <c r="P90">
        <f t="shared" si="33"/>
        <v>180283</v>
      </c>
      <c r="Q90">
        <f>SUM(D90:P90)</f>
        <v>773404</v>
      </c>
      <c r="R90">
        <f>Q90/13</f>
        <v>59492.615384615383</v>
      </c>
      <c r="T90">
        <f>(D90+P90)/2</f>
        <v>93045.5</v>
      </c>
      <c r="V90">
        <f>R90-T90</f>
        <v>-33552.884615384617</v>
      </c>
    </row>
    <row r="91" spans="2:22" ht="12.75" customHeight="1">
      <c r="B91" t="s">
        <v>178</v>
      </c>
      <c r="D91">
        <f t="shared" si="33"/>
        <v>0</v>
      </c>
      <c r="E91">
        <f t="shared" si="33"/>
        <v>0</v>
      </c>
      <c r="F91">
        <f t="shared" si="33"/>
        <v>0</v>
      </c>
      <c r="G91">
        <f t="shared" si="33"/>
        <v>0</v>
      </c>
      <c r="H91">
        <f t="shared" si="33"/>
        <v>0</v>
      </c>
      <c r="I91">
        <f t="shared" si="33"/>
        <v>24925</v>
      </c>
      <c r="J91">
        <f t="shared" si="33"/>
        <v>24925</v>
      </c>
      <c r="K91">
        <f t="shared" si="33"/>
        <v>24925</v>
      </c>
      <c r="L91">
        <f t="shared" si="33"/>
        <v>24925</v>
      </c>
      <c r="M91">
        <f t="shared" si="33"/>
        <v>24925</v>
      </c>
      <c r="N91">
        <f t="shared" si="33"/>
        <v>24925</v>
      </c>
      <c r="O91">
        <f t="shared" si="33"/>
        <v>24925</v>
      </c>
      <c r="P91">
        <f t="shared" si="33"/>
        <v>24925</v>
      </c>
      <c r="Q91">
        <f>SUM(D91:P91)</f>
        <v>199400</v>
      </c>
      <c r="R91">
        <f>Q91/13</f>
        <v>15338.461538461539</v>
      </c>
      <c r="T91">
        <f>(D91+P91)/2</f>
        <v>12462.5</v>
      </c>
      <c r="V91">
        <f>R91-T91</f>
        <v>2875.961538461539</v>
      </c>
    </row>
    <row r="92" spans="2:22" ht="12.75" customHeight="1">
      <c r="B92" t="s">
        <v>169</v>
      </c>
      <c r="D92">
        <f t="shared" si="33"/>
        <v>0</v>
      </c>
      <c r="E92">
        <f t="shared" si="33"/>
        <v>0</v>
      </c>
      <c r="F92">
        <f t="shared" si="33"/>
        <v>0</v>
      </c>
      <c r="G92">
        <f t="shared" si="33"/>
        <v>0</v>
      </c>
      <c r="H92">
        <f t="shared" si="33"/>
        <v>0</v>
      </c>
      <c r="I92">
        <f t="shared" si="33"/>
        <v>0</v>
      </c>
      <c r="J92">
        <f t="shared" si="33"/>
        <v>0</v>
      </c>
      <c r="K92">
        <f t="shared" si="33"/>
        <v>0</v>
      </c>
      <c r="L92">
        <f t="shared" si="33"/>
        <v>0</v>
      </c>
      <c r="M92">
        <f t="shared" si="33"/>
        <v>0</v>
      </c>
      <c r="N92">
        <f t="shared" si="33"/>
        <v>0</v>
      </c>
      <c r="O92">
        <f t="shared" si="33"/>
        <v>0</v>
      </c>
      <c r="P92">
        <f t="shared" si="33"/>
        <v>0</v>
      </c>
      <c r="Q92">
        <f>SUM(D92:P92)</f>
        <v>0</v>
      </c>
      <c r="R92">
        <f>Q92/13</f>
        <v>0</v>
      </c>
      <c r="T92">
        <f>(D92+P92)/2</f>
        <v>0</v>
      </c>
      <c r="V92">
        <f>R92-T92</f>
        <v>0</v>
      </c>
    </row>
    <row r="93" spans="2:22" ht="12.75" customHeight="1">
      <c r="B93" t="s">
        <v>170</v>
      </c>
      <c r="D93">
        <f t="shared" si="33"/>
        <v>5808</v>
      </c>
      <c r="E93">
        <f t="shared" si="33"/>
        <v>5808</v>
      </c>
      <c r="F93">
        <f t="shared" si="33"/>
        <v>5808</v>
      </c>
      <c r="G93">
        <f t="shared" si="33"/>
        <v>5808</v>
      </c>
      <c r="H93">
        <f t="shared" si="33"/>
        <v>5808</v>
      </c>
      <c r="I93">
        <f t="shared" si="33"/>
        <v>30733</v>
      </c>
      <c r="J93">
        <f t="shared" si="33"/>
        <v>55658</v>
      </c>
      <c r="K93">
        <f t="shared" si="33"/>
        <v>80583</v>
      </c>
      <c r="L93">
        <f t="shared" si="33"/>
        <v>105508</v>
      </c>
      <c r="M93">
        <f t="shared" si="33"/>
        <v>130433</v>
      </c>
      <c r="N93">
        <f t="shared" si="33"/>
        <v>155358</v>
      </c>
      <c r="O93">
        <f t="shared" si="33"/>
        <v>180283</v>
      </c>
      <c r="P93">
        <f t="shared" si="33"/>
        <v>205208</v>
      </c>
      <c r="Q93">
        <f>SUM(D93:P93)</f>
        <v>972804</v>
      </c>
      <c r="R93">
        <f>Q93/13</f>
        <v>74831.076923076922</v>
      </c>
      <c r="T93">
        <f>(D93+P93)/2</f>
        <v>105508</v>
      </c>
      <c r="V93">
        <f>R93-T93</f>
        <v>-30676.923076923078</v>
      </c>
    </row>
    <row r="95" spans="2:22" ht="16.5" customHeight="1"/>
    <row r="97" spans="2:22" ht="12.75" customHeight="1">
      <c r="B97" t="s">
        <v>171</v>
      </c>
      <c r="D97">
        <f>D64+D80</f>
        <v>0</v>
      </c>
      <c r="E97">
        <f t="shared" ref="D97:P101" si="34">E64+E80</f>
        <v>0</v>
      </c>
      <c r="F97">
        <f t="shared" si="34"/>
        <v>161.33333333333334</v>
      </c>
      <c r="G97">
        <f t="shared" si="34"/>
        <v>322.66666666666669</v>
      </c>
      <c r="H97">
        <f t="shared" si="34"/>
        <v>484</v>
      </c>
      <c r="I97">
        <f t="shared" si="34"/>
        <v>645.33333333333337</v>
      </c>
      <c r="J97">
        <f t="shared" si="34"/>
        <v>1152.8472222222222</v>
      </c>
      <c r="K97">
        <f t="shared" si="34"/>
        <v>2352.7222222222222</v>
      </c>
      <c r="L97">
        <f t="shared" si="34"/>
        <v>4244.9583333333339</v>
      </c>
      <c r="M97">
        <f t="shared" si="34"/>
        <v>6829.5555555555566</v>
      </c>
      <c r="N97">
        <f t="shared" si="34"/>
        <v>10106.513888888891</v>
      </c>
      <c r="O97">
        <f t="shared" si="34"/>
        <v>14075.833333333336</v>
      </c>
      <c r="P97">
        <f t="shared" si="34"/>
        <v>18737.513888888891</v>
      </c>
      <c r="Q97">
        <f>SUM(D97:P97)</f>
        <v>59113.277777777781</v>
      </c>
      <c r="R97">
        <f>Q97/13</f>
        <v>4547.1752136752139</v>
      </c>
      <c r="T97">
        <f>(D97+P97)/2</f>
        <v>9368.7569444444453</v>
      </c>
      <c r="V97">
        <f>R97-T97</f>
        <v>-4821.5817307692314</v>
      </c>
    </row>
    <row r="98" spans="2:22" ht="12.75" customHeight="1">
      <c r="B98" t="s">
        <v>172</v>
      </c>
      <c r="D98">
        <f t="shared" si="34"/>
        <v>0</v>
      </c>
      <c r="E98">
        <f t="shared" si="34"/>
        <v>0</v>
      </c>
      <c r="F98">
        <f t="shared" si="34"/>
        <v>0</v>
      </c>
      <c r="G98">
        <f t="shared" si="34"/>
        <v>0</v>
      </c>
      <c r="H98">
        <f t="shared" si="34"/>
        <v>0</v>
      </c>
      <c r="I98">
        <f t="shared" si="34"/>
        <v>0</v>
      </c>
      <c r="J98">
        <f t="shared" si="34"/>
        <v>0</v>
      </c>
      <c r="K98">
        <f t="shared" si="34"/>
        <v>0</v>
      </c>
      <c r="L98">
        <f t="shared" si="34"/>
        <v>0</v>
      </c>
      <c r="M98">
        <f t="shared" si="34"/>
        <v>0</v>
      </c>
      <c r="N98">
        <f t="shared" si="34"/>
        <v>0</v>
      </c>
      <c r="O98">
        <f t="shared" si="34"/>
        <v>0</v>
      </c>
      <c r="P98">
        <f t="shared" si="34"/>
        <v>0</v>
      </c>
      <c r="Q98">
        <f>SUM(D98:P98)</f>
        <v>0</v>
      </c>
      <c r="R98">
        <f>Q98/13</f>
        <v>0</v>
      </c>
      <c r="T98">
        <f>(D98+P98)/2</f>
        <v>0</v>
      </c>
      <c r="V98">
        <f>R98-T98</f>
        <v>0</v>
      </c>
    </row>
    <row r="99" spans="2:22" ht="12.75" customHeight="1">
      <c r="B99" t="s">
        <v>169</v>
      </c>
      <c r="D99">
        <f t="shared" si="34"/>
        <v>0</v>
      </c>
      <c r="E99">
        <f t="shared" si="34"/>
        <v>0</v>
      </c>
      <c r="F99">
        <f t="shared" si="34"/>
        <v>0</v>
      </c>
      <c r="G99">
        <f t="shared" si="34"/>
        <v>0</v>
      </c>
      <c r="H99">
        <f t="shared" si="34"/>
        <v>0</v>
      </c>
      <c r="I99">
        <f t="shared" si="34"/>
        <v>0</v>
      </c>
      <c r="J99">
        <f t="shared" si="34"/>
        <v>0</v>
      </c>
      <c r="K99">
        <f t="shared" si="34"/>
        <v>0</v>
      </c>
      <c r="L99">
        <f t="shared" si="34"/>
        <v>0</v>
      </c>
      <c r="M99">
        <f t="shared" si="34"/>
        <v>0</v>
      </c>
      <c r="N99">
        <f t="shared" si="34"/>
        <v>0</v>
      </c>
      <c r="O99">
        <f t="shared" si="34"/>
        <v>0</v>
      </c>
      <c r="P99">
        <f t="shared" si="34"/>
        <v>0</v>
      </c>
      <c r="Q99">
        <f>SUM(D99:P99)</f>
        <v>0</v>
      </c>
      <c r="R99">
        <f>Q99/13</f>
        <v>0</v>
      </c>
      <c r="T99">
        <f>(D99+P99)/2</f>
        <v>0</v>
      </c>
      <c r="V99">
        <f>R99-T99</f>
        <v>0</v>
      </c>
    </row>
    <row r="100" spans="2:22" ht="12.75" customHeight="1">
      <c r="B100" t="s">
        <v>173</v>
      </c>
      <c r="E100">
        <f t="shared" si="34"/>
        <v>161.33333333333334</v>
      </c>
      <c r="F100">
        <f t="shared" si="34"/>
        <v>161.33333333333334</v>
      </c>
      <c r="G100">
        <f t="shared" si="34"/>
        <v>161.33333333333334</v>
      </c>
      <c r="H100">
        <f t="shared" si="34"/>
        <v>161.33333333333334</v>
      </c>
      <c r="I100">
        <f t="shared" si="34"/>
        <v>507.51388888888891</v>
      </c>
      <c r="J100">
        <f t="shared" si="34"/>
        <v>1199.875</v>
      </c>
      <c r="K100">
        <f t="shared" si="34"/>
        <v>1892.2361111111113</v>
      </c>
      <c r="L100">
        <f t="shared" si="34"/>
        <v>2584.5972222222222</v>
      </c>
      <c r="M100">
        <f t="shared" si="34"/>
        <v>3276.9583333333335</v>
      </c>
      <c r="N100">
        <f t="shared" si="34"/>
        <v>3969.3194444444448</v>
      </c>
      <c r="O100">
        <f t="shared" si="34"/>
        <v>4661.6805555555557</v>
      </c>
      <c r="P100">
        <f t="shared" si="34"/>
        <v>5354.0416666666679</v>
      </c>
      <c r="Q100">
        <f>SUM(D100:P100)</f>
        <v>24091.555555555558</v>
      </c>
      <c r="R100">
        <f>Q100/13</f>
        <v>1853.1965811965815</v>
      </c>
      <c r="T100">
        <f>(D100+P100)/2</f>
        <v>2677.0208333333339</v>
      </c>
      <c r="V100">
        <f>R100-T100</f>
        <v>-823.82425213675242</v>
      </c>
    </row>
    <row r="101" spans="2:22" ht="12.75" customHeight="1">
      <c r="B101" t="s">
        <v>170</v>
      </c>
      <c r="D101">
        <f>D68+D84</f>
        <v>0</v>
      </c>
      <c r="E101">
        <f t="shared" si="34"/>
        <v>161.33333333333334</v>
      </c>
      <c r="F101">
        <f t="shared" si="34"/>
        <v>322.66666666666669</v>
      </c>
      <c r="G101">
        <f t="shared" si="34"/>
        <v>484</v>
      </c>
      <c r="H101">
        <f t="shared" si="34"/>
        <v>645.33333333333337</v>
      </c>
      <c r="I101">
        <f t="shared" si="34"/>
        <v>1152.8472222222222</v>
      </c>
      <c r="J101">
        <f t="shared" si="34"/>
        <v>2352.7222222222222</v>
      </c>
      <c r="K101">
        <f t="shared" si="34"/>
        <v>4244.9583333333339</v>
      </c>
      <c r="L101">
        <f t="shared" si="34"/>
        <v>6829.5555555555566</v>
      </c>
      <c r="M101">
        <f t="shared" si="34"/>
        <v>10106.513888888891</v>
      </c>
      <c r="N101">
        <f t="shared" si="34"/>
        <v>14075.833333333336</v>
      </c>
      <c r="O101">
        <f t="shared" si="34"/>
        <v>18737.513888888891</v>
      </c>
      <c r="P101">
        <f t="shared" si="34"/>
        <v>24091.555555555558</v>
      </c>
      <c r="Q101">
        <f>SUM(D101:P101)</f>
        <v>83204.833333333343</v>
      </c>
      <c r="R101">
        <f>Q101/13</f>
        <v>6400.3717948717958</v>
      </c>
      <c r="T101">
        <f>(D101+P101)/2</f>
        <v>12045.777777777779</v>
      </c>
      <c r="V101">
        <f>R101-T101</f>
        <v>-5645.4059829059834</v>
      </c>
    </row>
    <row r="103" spans="2:22" ht="12.75" customHeight="1">
      <c r="B103" t="s">
        <v>174</v>
      </c>
      <c r="D103">
        <f>D93-D101</f>
        <v>5808</v>
      </c>
      <c r="E103">
        <f>E93-E101</f>
        <v>5646.666666666667</v>
      </c>
      <c r="F103">
        <f t="shared" ref="F103:P103" si="35">F93-F101</f>
        <v>5485.333333333333</v>
      </c>
      <c r="G103">
        <f t="shared" si="35"/>
        <v>5324</v>
      </c>
      <c r="H103">
        <f t="shared" si="35"/>
        <v>5162.666666666667</v>
      </c>
      <c r="I103">
        <f t="shared" si="35"/>
        <v>29580.152777777777</v>
      </c>
      <c r="J103">
        <f t="shared" si="35"/>
        <v>53305.277777777781</v>
      </c>
      <c r="K103">
        <f t="shared" si="35"/>
        <v>76338.041666666672</v>
      </c>
      <c r="L103">
        <f t="shared" si="35"/>
        <v>98678.444444444438</v>
      </c>
      <c r="M103">
        <f t="shared" si="35"/>
        <v>120326.48611111111</v>
      </c>
      <c r="N103">
        <f t="shared" si="35"/>
        <v>141282.16666666666</v>
      </c>
      <c r="O103">
        <f t="shared" si="35"/>
        <v>161545.48611111112</v>
      </c>
      <c r="P103">
        <f t="shared" si="35"/>
        <v>181116.44444444444</v>
      </c>
      <c r="Q103">
        <f>SUM(D103:P103)</f>
        <v>889599.16666666674</v>
      </c>
      <c r="R103">
        <f>Q103/13</f>
        <v>68430.70512820514</v>
      </c>
      <c r="T103">
        <f>(D103+P103)/2</f>
        <v>93462.222222222219</v>
      </c>
      <c r="V103">
        <f>R103-T103</f>
        <v>-25031.517094017079</v>
      </c>
    </row>
    <row r="139" ht="16.5" customHeight="1"/>
  </sheetData>
  <mergeCells count="3">
    <mergeCell ref="A3:R3"/>
    <mergeCell ref="A4:T4"/>
    <mergeCell ref="A5:R5"/>
  </mergeCells>
  <printOptions horizontalCentered="1"/>
  <pageMargins left="0.27" right="0.25" top="0.222440945" bottom="0.10433070899999999" header="0.23622047244094499" footer="0.15748031496063"/>
  <pageSetup scale="46" orientation="landscape" useFirstPageNumber="1" r:id="rId1"/>
  <headerFooter alignWithMargins="0"/>
  <rowBreaks count="2" manualBreakCount="2">
    <brk id="93" min="1" max="17" man="1"/>
    <brk id="1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312125">
    <tabColor theme="4" tint="0.39997558519241921"/>
    <pageSetUpPr autoPageBreaks="0" fitToPage="1"/>
  </sheetPr>
  <dimension ref="A3:S135"/>
  <sheetViews>
    <sheetView topLeftCell="A3" zoomScale="75" zoomScaleNormal="75" zoomScaleSheetLayoutView="75" workbookViewId="0">
      <pane xSplit="1" ySplit="6" topLeftCell="B9" activePane="bottomRight" state="frozen"/>
      <selection activeCell="G50" sqref="G50"/>
      <selection pane="topRight" activeCell="G50" sqref="G50"/>
      <selection pane="bottomLeft" activeCell="G50" sqref="G50"/>
      <selection pane="bottomRight" activeCell="B45" sqref="B45"/>
    </sheetView>
  </sheetViews>
  <sheetFormatPr baseColWidth="10" defaultColWidth="12.42578125" defaultRowHeight="12.75" customHeight="1"/>
  <cols>
    <col min="1" max="1" width="4.7109375" customWidth="1"/>
    <col min="2" max="2" width="46.28515625" customWidth="1"/>
    <col min="3" max="3" width="9.85546875" customWidth="1"/>
    <col min="4" max="4" width="13.42578125" customWidth="1"/>
    <col min="5" max="5" width="12.7109375" customWidth="1"/>
    <col min="6" max="16" width="13.140625" customWidth="1"/>
    <col min="17" max="17" width="16" customWidth="1"/>
    <col min="18" max="18" width="16.5703125" customWidth="1"/>
    <col min="19" max="19" width="5.28515625" customWidth="1"/>
  </cols>
  <sheetData>
    <row r="3" spans="1:19" ht="15.75" customHeight="1">
      <c r="A3" s="33" t="s">
        <v>129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"/>
    </row>
    <row r="4" spans="1:19" ht="12.75" customHeight="1">
      <c r="A4" s="33" t="s">
        <v>391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4"/>
    </row>
    <row r="5" spans="1:19" ht="12.75" customHeight="1">
      <c r="A5" s="34" t="s">
        <v>392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4"/>
    </row>
    <row r="6" spans="1:19" ht="12.75" customHeight="1">
      <c r="A6" s="35" t="str">
        <f>'[9]GI-17, doc 1'!A3:J3</f>
        <v>CAUSE TARIFAIRE 2015 (Phase 3)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9" ht="12.75" customHeight="1"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 t="s">
        <v>132</v>
      </c>
      <c r="R7" s="7" t="s">
        <v>132</v>
      </c>
    </row>
    <row r="8" spans="1:19" ht="12.75" customHeight="1">
      <c r="D8" s="7" t="s">
        <v>136</v>
      </c>
      <c r="E8" s="7" t="s">
        <v>137</v>
      </c>
      <c r="F8" s="7" t="s">
        <v>138</v>
      </c>
      <c r="G8" s="7" t="s">
        <v>139</v>
      </c>
      <c r="H8" s="7" t="s">
        <v>140</v>
      </c>
      <c r="I8" s="7" t="s">
        <v>141</v>
      </c>
      <c r="J8" s="7" t="s">
        <v>142</v>
      </c>
      <c r="K8" s="7" t="s">
        <v>143</v>
      </c>
      <c r="L8" s="7" t="s">
        <v>144</v>
      </c>
      <c r="M8" s="7" t="s">
        <v>145</v>
      </c>
      <c r="N8" s="7" t="s">
        <v>146</v>
      </c>
      <c r="O8" s="7" t="s">
        <v>147</v>
      </c>
      <c r="P8" s="7" t="s">
        <v>136</v>
      </c>
      <c r="Q8" s="7" t="s">
        <v>148</v>
      </c>
      <c r="R8" s="7" t="s">
        <v>149</v>
      </c>
    </row>
    <row r="9" spans="1:19" ht="12.75" customHeight="1">
      <c r="D9" s="7" t="s">
        <v>152</v>
      </c>
      <c r="E9" s="7" t="s">
        <v>153</v>
      </c>
      <c r="F9" s="7" t="s">
        <v>154</v>
      </c>
      <c r="G9" s="7" t="s">
        <v>155</v>
      </c>
      <c r="H9" s="7" t="s">
        <v>156</v>
      </c>
      <c r="I9" s="7" t="s">
        <v>157</v>
      </c>
      <c r="J9" s="7" t="s">
        <v>158</v>
      </c>
      <c r="K9" s="7" t="s">
        <v>159</v>
      </c>
      <c r="L9" s="7" t="s">
        <v>160</v>
      </c>
      <c r="M9" s="7" t="s">
        <v>161</v>
      </c>
      <c r="N9" s="7" t="s">
        <v>162</v>
      </c>
      <c r="O9" s="7" t="s">
        <v>163</v>
      </c>
      <c r="P9" s="7" t="s">
        <v>164</v>
      </c>
      <c r="Q9" s="7" t="s">
        <v>165</v>
      </c>
      <c r="R9" s="7" t="s">
        <v>166</v>
      </c>
    </row>
    <row r="12" spans="1:19" ht="12.75" customHeight="1">
      <c r="A12">
        <f>1</f>
        <v>1</v>
      </c>
      <c r="B12" t="s">
        <v>167</v>
      </c>
      <c r="D12" s="5"/>
      <c r="E12" s="5">
        <f t="shared" ref="E12:P12" si="0">D15</f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0</v>
      </c>
      <c r="M12" s="5">
        <f t="shared" si="0"/>
        <v>0</v>
      </c>
      <c r="N12" s="5">
        <f t="shared" si="0"/>
        <v>0</v>
      </c>
      <c r="O12" s="5">
        <f t="shared" si="0"/>
        <v>0</v>
      </c>
      <c r="P12" s="5">
        <f t="shared" si="0"/>
        <v>0</v>
      </c>
      <c r="Q12" s="5">
        <f>SUM(D12:P12)</f>
        <v>0</v>
      </c>
      <c r="R12" s="5">
        <f>Q12/13</f>
        <v>0</v>
      </c>
    </row>
    <row r="13" spans="1:19" ht="12.75" customHeight="1">
      <c r="A13">
        <f t="shared" ref="A13:A76" si="1">A12+1</f>
        <v>2</v>
      </c>
      <c r="B13" t="s">
        <v>168</v>
      </c>
      <c r="D13" s="5"/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f>'GI-34 doc 3 page 1 de 2'!C34</f>
        <v>0</v>
      </c>
      <c r="L13" s="5"/>
      <c r="M13" s="5"/>
      <c r="N13" s="5"/>
      <c r="O13" s="5"/>
      <c r="P13" s="5"/>
      <c r="Q13" s="5">
        <f>SUM(D13:P13)</f>
        <v>0</v>
      </c>
      <c r="R13" s="5">
        <f>Q13/13</f>
        <v>0</v>
      </c>
    </row>
    <row r="14" spans="1:19" ht="12.75" customHeight="1">
      <c r="A14">
        <f t="shared" si="1"/>
        <v>3</v>
      </c>
      <c r="B14" t="s">
        <v>169</v>
      </c>
      <c r="D14" s="5"/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f>SUM(D14:P14)</f>
        <v>0</v>
      </c>
      <c r="R14" s="5">
        <f>Q14/13</f>
        <v>0</v>
      </c>
    </row>
    <row r="15" spans="1:19" ht="15" customHeight="1">
      <c r="A15">
        <f t="shared" si="1"/>
        <v>4</v>
      </c>
      <c r="B15" t="s">
        <v>170</v>
      </c>
      <c r="D15" s="17">
        <f>'Depreciation 2015'!P17</f>
        <v>0</v>
      </c>
      <c r="E15" s="17">
        <f t="shared" ref="E15:P15" si="2">SUM(E12:E14)</f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  <c r="O15" s="17">
        <f t="shared" si="2"/>
        <v>0</v>
      </c>
      <c r="P15" s="17">
        <f t="shared" si="2"/>
        <v>0</v>
      </c>
      <c r="Q15" s="17">
        <f>SUM(D15:P15)</f>
        <v>0</v>
      </c>
      <c r="R15" s="17">
        <f>Q15/13</f>
        <v>0</v>
      </c>
    </row>
    <row r="16" spans="1:19" ht="12.75" customHeight="1">
      <c r="A16">
        <f t="shared" si="1"/>
        <v>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12.75" customHeight="1">
      <c r="A17">
        <f t="shared" si="1"/>
        <v>6</v>
      </c>
      <c r="B17" t="s">
        <v>171</v>
      </c>
      <c r="D17" s="5"/>
      <c r="E17" s="5">
        <f t="shared" ref="E17:P17" si="3">D21</f>
        <v>0</v>
      </c>
      <c r="F17" s="5">
        <f t="shared" si="3"/>
        <v>0</v>
      </c>
      <c r="G17" s="5">
        <f t="shared" si="3"/>
        <v>0</v>
      </c>
      <c r="H17" s="5">
        <f t="shared" si="3"/>
        <v>0</v>
      </c>
      <c r="I17" s="5">
        <f t="shared" si="3"/>
        <v>0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 t="shared" si="3"/>
        <v>0</v>
      </c>
      <c r="N17" s="5">
        <f t="shared" si="3"/>
        <v>0</v>
      </c>
      <c r="O17" s="5">
        <f t="shared" si="3"/>
        <v>0</v>
      </c>
      <c r="P17" s="5">
        <f t="shared" si="3"/>
        <v>0</v>
      </c>
      <c r="Q17" s="5">
        <f>SUM(D17:P17)</f>
        <v>0</v>
      </c>
      <c r="R17" s="5">
        <f>Q17/13</f>
        <v>0</v>
      </c>
    </row>
    <row r="18" spans="1:18" ht="12.75" customHeight="1">
      <c r="A18">
        <f t="shared" si="1"/>
        <v>7</v>
      </c>
      <c r="B18" t="s">
        <v>172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>SUM(D18:P18)</f>
        <v>0</v>
      </c>
      <c r="R18" s="5">
        <f>Q18/13</f>
        <v>0</v>
      </c>
    </row>
    <row r="19" spans="1:18" ht="12.75" customHeight="1">
      <c r="A19">
        <f t="shared" si="1"/>
        <v>8</v>
      </c>
      <c r="B19" t="s">
        <v>169</v>
      </c>
      <c r="D19" s="5"/>
      <c r="E19" s="5">
        <f t="shared" ref="E19:P19" si="4">E14</f>
        <v>0</v>
      </c>
      <c r="F19" s="5">
        <f t="shared" si="4"/>
        <v>0</v>
      </c>
      <c r="G19" s="5">
        <f t="shared" si="4"/>
        <v>0</v>
      </c>
      <c r="H19" s="5">
        <f t="shared" si="4"/>
        <v>0</v>
      </c>
      <c r="I19" s="5">
        <f t="shared" si="4"/>
        <v>0</v>
      </c>
      <c r="J19" s="5">
        <f t="shared" si="4"/>
        <v>0</v>
      </c>
      <c r="K19" s="5">
        <f t="shared" si="4"/>
        <v>0</v>
      </c>
      <c r="L19" s="5">
        <f t="shared" si="4"/>
        <v>0</v>
      </c>
      <c r="M19" s="5">
        <f t="shared" si="4"/>
        <v>0</v>
      </c>
      <c r="N19" s="5">
        <f t="shared" si="4"/>
        <v>0</v>
      </c>
      <c r="O19" s="5">
        <f t="shared" si="4"/>
        <v>0</v>
      </c>
      <c r="P19" s="5">
        <f t="shared" si="4"/>
        <v>0</v>
      </c>
      <c r="Q19" s="5">
        <f>SUM(D18:P19)</f>
        <v>0</v>
      </c>
      <c r="R19" s="5">
        <f>Q19/13</f>
        <v>0</v>
      </c>
    </row>
    <row r="20" spans="1:18" ht="12.75" customHeight="1">
      <c r="A20">
        <f t="shared" si="1"/>
        <v>9</v>
      </c>
      <c r="B20" t="s">
        <v>173</v>
      </c>
      <c r="C20">
        <v>2.2200000000000002</v>
      </c>
      <c r="D20" s="5"/>
      <c r="E20" s="5">
        <f t="shared" ref="E20:P20" si="5">E15*$C20/100/12</f>
        <v>0</v>
      </c>
      <c r="F20" s="5">
        <f t="shared" si="5"/>
        <v>0</v>
      </c>
      <c r="G20" s="5">
        <f t="shared" si="5"/>
        <v>0</v>
      </c>
      <c r="H20" s="5">
        <f t="shared" si="5"/>
        <v>0</v>
      </c>
      <c r="I20" s="5">
        <f t="shared" si="5"/>
        <v>0</v>
      </c>
      <c r="J20" s="5">
        <f t="shared" si="5"/>
        <v>0</v>
      </c>
      <c r="K20" s="5">
        <f t="shared" si="5"/>
        <v>0</v>
      </c>
      <c r="L20" s="5">
        <f t="shared" si="5"/>
        <v>0</v>
      </c>
      <c r="M20" s="5">
        <f t="shared" si="5"/>
        <v>0</v>
      </c>
      <c r="N20" s="5">
        <f t="shared" si="5"/>
        <v>0</v>
      </c>
      <c r="O20" s="5">
        <f t="shared" si="5"/>
        <v>0</v>
      </c>
      <c r="P20" s="5">
        <f t="shared" si="5"/>
        <v>0</v>
      </c>
      <c r="Q20" s="5">
        <f>SUM(D20:P20)</f>
        <v>0</v>
      </c>
      <c r="R20" s="5">
        <f>Q20/13</f>
        <v>0</v>
      </c>
    </row>
    <row r="21" spans="1:18" ht="15" customHeight="1">
      <c r="A21">
        <f t="shared" si="1"/>
        <v>10</v>
      </c>
      <c r="B21" t="s">
        <v>170</v>
      </c>
      <c r="D21" s="17">
        <f>'Depreciation 2015'!P23</f>
        <v>0</v>
      </c>
      <c r="E21" s="17">
        <f>SUM(E17:E20)</f>
        <v>0</v>
      </c>
      <c r="F21" s="17">
        <f t="shared" ref="F21:P21" si="6">SUM(F17:F20)</f>
        <v>0</v>
      </c>
      <c r="G21" s="17">
        <f t="shared" si="6"/>
        <v>0</v>
      </c>
      <c r="H21" s="17">
        <f t="shared" si="6"/>
        <v>0</v>
      </c>
      <c r="I21" s="17">
        <f t="shared" si="6"/>
        <v>0</v>
      </c>
      <c r="J21" s="17">
        <f t="shared" si="6"/>
        <v>0</v>
      </c>
      <c r="K21" s="17">
        <f t="shared" si="6"/>
        <v>0</v>
      </c>
      <c r="L21" s="17">
        <f t="shared" si="6"/>
        <v>0</v>
      </c>
      <c r="M21" s="17">
        <f t="shared" si="6"/>
        <v>0</v>
      </c>
      <c r="N21" s="17">
        <f t="shared" si="6"/>
        <v>0</v>
      </c>
      <c r="O21" s="17">
        <f t="shared" si="6"/>
        <v>0</v>
      </c>
      <c r="P21" s="17">
        <f t="shared" si="6"/>
        <v>0</v>
      </c>
      <c r="Q21" s="17">
        <f>SUM(D21:P21)</f>
        <v>0</v>
      </c>
      <c r="R21" s="17">
        <f>Q21/13</f>
        <v>0</v>
      </c>
    </row>
    <row r="22" spans="1:18" ht="12.75" customHeight="1">
      <c r="A22">
        <f t="shared" si="1"/>
        <v>11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2.75" customHeight="1">
      <c r="A23">
        <f t="shared" si="1"/>
        <v>12</v>
      </c>
      <c r="B23" t="s">
        <v>174</v>
      </c>
      <c r="D23" s="5">
        <f t="shared" ref="D23:P23" si="7">D15-D21</f>
        <v>0</v>
      </c>
      <c r="E23" s="5">
        <f t="shared" si="7"/>
        <v>0</v>
      </c>
      <c r="F23" s="5">
        <f t="shared" si="7"/>
        <v>0</v>
      </c>
      <c r="G23" s="5">
        <f t="shared" si="7"/>
        <v>0</v>
      </c>
      <c r="H23" s="5">
        <f t="shared" si="7"/>
        <v>0</v>
      </c>
      <c r="I23" s="5">
        <f t="shared" si="7"/>
        <v>0</v>
      </c>
      <c r="J23" s="5">
        <f t="shared" si="7"/>
        <v>0</v>
      </c>
      <c r="K23" s="5">
        <f t="shared" si="7"/>
        <v>0</v>
      </c>
      <c r="L23" s="5">
        <f t="shared" si="7"/>
        <v>0</v>
      </c>
      <c r="M23" s="5">
        <f t="shared" si="7"/>
        <v>0</v>
      </c>
      <c r="N23" s="5">
        <f t="shared" si="7"/>
        <v>0</v>
      </c>
      <c r="O23" s="5">
        <f t="shared" si="7"/>
        <v>0</v>
      </c>
      <c r="P23" s="5">
        <f t="shared" si="7"/>
        <v>0</v>
      </c>
      <c r="Q23" s="5">
        <f>SUM(D23:P23)</f>
        <v>0</v>
      </c>
      <c r="R23" s="5">
        <f>Q23/13</f>
        <v>0</v>
      </c>
    </row>
    <row r="24" spans="1:18" ht="12.75" customHeight="1">
      <c r="A24">
        <f t="shared" si="1"/>
        <v>13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2.75" customHeight="1">
      <c r="A25">
        <f t="shared" si="1"/>
        <v>14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2.75" customHeight="1">
      <c r="A26">
        <f t="shared" si="1"/>
        <v>15</v>
      </c>
      <c r="B26" t="s">
        <v>175</v>
      </c>
      <c r="D26" s="5"/>
      <c r="E26" s="5">
        <f t="shared" ref="E26:P26" si="8">D29</f>
        <v>0</v>
      </c>
      <c r="F26" s="5">
        <f t="shared" si="8"/>
        <v>0</v>
      </c>
      <c r="G26" s="5">
        <f t="shared" si="8"/>
        <v>0</v>
      </c>
      <c r="H26" s="5">
        <f t="shared" si="8"/>
        <v>0</v>
      </c>
      <c r="I26" s="5">
        <f t="shared" si="8"/>
        <v>0</v>
      </c>
      <c r="J26" s="5">
        <f t="shared" si="8"/>
        <v>0</v>
      </c>
      <c r="K26" s="5">
        <f t="shared" si="8"/>
        <v>0</v>
      </c>
      <c r="L26" s="5">
        <f t="shared" si="8"/>
        <v>0</v>
      </c>
      <c r="M26" s="5">
        <f t="shared" si="8"/>
        <v>0</v>
      </c>
      <c r="N26" s="5">
        <f t="shared" si="8"/>
        <v>0</v>
      </c>
      <c r="O26" s="5">
        <f t="shared" si="8"/>
        <v>0</v>
      </c>
      <c r="P26" s="5">
        <f t="shared" si="8"/>
        <v>0</v>
      </c>
      <c r="Q26" s="5">
        <f>SUM(D26:P26)</f>
        <v>0</v>
      </c>
      <c r="R26" s="5">
        <f>Q26/13</f>
        <v>0</v>
      </c>
    </row>
    <row r="27" spans="1:18" ht="12.75" customHeight="1">
      <c r="A27">
        <f t="shared" si="1"/>
        <v>16</v>
      </c>
      <c r="B27" t="s">
        <v>168</v>
      </c>
      <c r="D27" s="5"/>
      <c r="E27" s="5"/>
      <c r="F27" s="5"/>
      <c r="G27" s="5"/>
      <c r="H27" s="5"/>
      <c r="I27" s="5"/>
      <c r="J27" s="5"/>
      <c r="K27" s="5">
        <f>'GI-34 doc 3 page 1 de 2'!D34</f>
        <v>0</v>
      </c>
      <c r="L27" s="5"/>
      <c r="M27" s="5"/>
      <c r="N27" s="5"/>
      <c r="O27" s="5"/>
      <c r="P27" s="5"/>
      <c r="Q27" s="5">
        <f>SUM(D27:P27)</f>
        <v>0</v>
      </c>
      <c r="R27" s="5">
        <f>Q27/13</f>
        <v>0</v>
      </c>
    </row>
    <row r="28" spans="1:18" ht="12.75" customHeight="1">
      <c r="A28">
        <f t="shared" si="1"/>
        <v>17</v>
      </c>
      <c r="B28" t="s">
        <v>169</v>
      </c>
      <c r="D28" s="5"/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f>SUM(D28:P28)</f>
        <v>0</v>
      </c>
      <c r="R28" s="5">
        <f>Q28/13</f>
        <v>0</v>
      </c>
    </row>
    <row r="29" spans="1:18" ht="12.75" customHeight="1">
      <c r="A29">
        <f t="shared" si="1"/>
        <v>18</v>
      </c>
      <c r="B29" t="s">
        <v>170</v>
      </c>
      <c r="D29" s="17">
        <f>'Depreciation 2015'!P31</f>
        <v>0</v>
      </c>
      <c r="E29" s="17">
        <f t="shared" ref="E29:P29" si="9">SUM(E26:E28)</f>
        <v>0</v>
      </c>
      <c r="F29" s="17">
        <f t="shared" si="9"/>
        <v>0</v>
      </c>
      <c r="G29" s="17">
        <f t="shared" si="9"/>
        <v>0</v>
      </c>
      <c r="H29" s="17">
        <f t="shared" si="9"/>
        <v>0</v>
      </c>
      <c r="I29" s="17">
        <f t="shared" si="9"/>
        <v>0</v>
      </c>
      <c r="J29" s="17">
        <f t="shared" si="9"/>
        <v>0</v>
      </c>
      <c r="K29" s="17">
        <f t="shared" si="9"/>
        <v>0</v>
      </c>
      <c r="L29" s="17">
        <f t="shared" si="9"/>
        <v>0</v>
      </c>
      <c r="M29" s="17">
        <f t="shared" si="9"/>
        <v>0</v>
      </c>
      <c r="N29" s="17">
        <f t="shared" si="9"/>
        <v>0</v>
      </c>
      <c r="O29" s="17">
        <f t="shared" si="9"/>
        <v>0</v>
      </c>
      <c r="P29" s="17">
        <f t="shared" si="9"/>
        <v>0</v>
      </c>
      <c r="Q29" s="17">
        <f>SUM(D29:P29)</f>
        <v>0</v>
      </c>
      <c r="R29" s="17">
        <f>Q29/13</f>
        <v>0</v>
      </c>
    </row>
    <row r="30" spans="1:18" ht="12.75" customHeight="1">
      <c r="A30">
        <f t="shared" si="1"/>
        <v>19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12.75" customHeight="1">
      <c r="A31">
        <f t="shared" si="1"/>
        <v>20</v>
      </c>
      <c r="B31" t="s">
        <v>171</v>
      </c>
      <c r="D31" s="5"/>
      <c r="E31" s="5">
        <f t="shared" ref="E31:P31" si="10">D35</f>
        <v>0</v>
      </c>
      <c r="F31" s="5">
        <f t="shared" si="10"/>
        <v>0</v>
      </c>
      <c r="G31" s="5">
        <f t="shared" si="10"/>
        <v>0</v>
      </c>
      <c r="H31" s="5">
        <f t="shared" si="10"/>
        <v>0</v>
      </c>
      <c r="I31" s="5">
        <f t="shared" si="10"/>
        <v>0</v>
      </c>
      <c r="J31" s="5">
        <f t="shared" si="10"/>
        <v>0</v>
      </c>
      <c r="K31" s="5">
        <f t="shared" si="10"/>
        <v>0</v>
      </c>
      <c r="L31" s="5">
        <f t="shared" si="10"/>
        <v>0</v>
      </c>
      <c r="M31" s="5">
        <f t="shared" si="10"/>
        <v>0</v>
      </c>
      <c r="N31" s="5">
        <f t="shared" si="10"/>
        <v>0</v>
      </c>
      <c r="O31" s="5">
        <f t="shared" si="10"/>
        <v>0</v>
      </c>
      <c r="P31" s="5">
        <f t="shared" si="10"/>
        <v>0</v>
      </c>
      <c r="Q31" s="5">
        <f>SUM(D31:P31)</f>
        <v>0</v>
      </c>
      <c r="R31" s="5">
        <f>Q31/13</f>
        <v>0</v>
      </c>
    </row>
    <row r="32" spans="1:18" ht="12.75" customHeight="1">
      <c r="A32">
        <f t="shared" si="1"/>
        <v>21</v>
      </c>
      <c r="B32" t="s">
        <v>172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>SUM(D32:P32)</f>
        <v>0</v>
      </c>
      <c r="R32" s="5">
        <f>Q32/13</f>
        <v>0</v>
      </c>
    </row>
    <row r="33" spans="1:18" ht="12.75" customHeight="1">
      <c r="A33">
        <f t="shared" si="1"/>
        <v>22</v>
      </c>
      <c r="B33" t="s">
        <v>169</v>
      </c>
      <c r="D33" s="5"/>
      <c r="E33" s="5">
        <f t="shared" ref="E33:P33" si="11">E28</f>
        <v>0</v>
      </c>
      <c r="F33" s="5">
        <f t="shared" si="11"/>
        <v>0</v>
      </c>
      <c r="G33" s="5">
        <f t="shared" si="11"/>
        <v>0</v>
      </c>
      <c r="H33" s="5">
        <f t="shared" si="11"/>
        <v>0</v>
      </c>
      <c r="I33" s="5">
        <f t="shared" si="11"/>
        <v>0</v>
      </c>
      <c r="J33" s="5">
        <f t="shared" si="11"/>
        <v>0</v>
      </c>
      <c r="K33" s="5">
        <f t="shared" si="11"/>
        <v>0</v>
      </c>
      <c r="L33" s="5">
        <f t="shared" si="11"/>
        <v>0</v>
      </c>
      <c r="M33" s="5">
        <f t="shared" si="11"/>
        <v>0</v>
      </c>
      <c r="N33" s="5">
        <f t="shared" si="11"/>
        <v>0</v>
      </c>
      <c r="O33" s="5">
        <f t="shared" si="11"/>
        <v>0</v>
      </c>
      <c r="P33" s="5">
        <f t="shared" si="11"/>
        <v>0</v>
      </c>
      <c r="Q33" s="5">
        <f>SUM(D32:P33)</f>
        <v>0</v>
      </c>
      <c r="R33" s="5">
        <f>Q33/13</f>
        <v>0</v>
      </c>
    </row>
    <row r="34" spans="1:18" ht="12.75" customHeight="1">
      <c r="A34">
        <f t="shared" si="1"/>
        <v>23</v>
      </c>
      <c r="B34" t="s">
        <v>173</v>
      </c>
      <c r="C34">
        <f>'[8]Coût de service'!R8*100</f>
        <v>4.5199999999999996</v>
      </c>
      <c r="D34" s="5"/>
      <c r="E34" s="5">
        <f t="shared" ref="E34:P34" si="12">E29*$C34/100/12</f>
        <v>0</v>
      </c>
      <c r="F34" s="5">
        <f t="shared" si="12"/>
        <v>0</v>
      </c>
      <c r="G34" s="5">
        <f t="shared" si="12"/>
        <v>0</v>
      </c>
      <c r="H34" s="5">
        <f t="shared" si="12"/>
        <v>0</v>
      </c>
      <c r="I34" s="5">
        <f t="shared" si="12"/>
        <v>0</v>
      </c>
      <c r="J34" s="5">
        <f t="shared" si="12"/>
        <v>0</v>
      </c>
      <c r="K34" s="5">
        <f t="shared" si="12"/>
        <v>0</v>
      </c>
      <c r="L34" s="5">
        <f t="shared" si="12"/>
        <v>0</v>
      </c>
      <c r="M34" s="5">
        <f t="shared" si="12"/>
        <v>0</v>
      </c>
      <c r="N34" s="5">
        <f t="shared" si="12"/>
        <v>0</v>
      </c>
      <c r="O34" s="5">
        <f t="shared" si="12"/>
        <v>0</v>
      </c>
      <c r="P34" s="5">
        <f t="shared" si="12"/>
        <v>0</v>
      </c>
      <c r="Q34" s="5">
        <f>SUM(D34:P34)</f>
        <v>0</v>
      </c>
      <c r="R34" s="5">
        <f>Q34/13</f>
        <v>0</v>
      </c>
    </row>
    <row r="35" spans="1:18" ht="12.75" customHeight="1">
      <c r="A35">
        <f t="shared" si="1"/>
        <v>24</v>
      </c>
      <c r="B35" t="s">
        <v>170</v>
      </c>
      <c r="D35" s="17">
        <f>'Depreciation 2015'!P37</f>
        <v>0</v>
      </c>
      <c r="E35" s="17">
        <f t="shared" ref="E35:P35" si="13">SUM(E31:E34)</f>
        <v>0</v>
      </c>
      <c r="F35" s="17">
        <f t="shared" si="13"/>
        <v>0</v>
      </c>
      <c r="G35" s="17">
        <f t="shared" si="13"/>
        <v>0</v>
      </c>
      <c r="H35" s="17">
        <f t="shared" si="13"/>
        <v>0</v>
      </c>
      <c r="I35" s="17">
        <f t="shared" si="13"/>
        <v>0</v>
      </c>
      <c r="J35" s="17">
        <f t="shared" si="13"/>
        <v>0</v>
      </c>
      <c r="K35" s="17">
        <f t="shared" si="13"/>
        <v>0</v>
      </c>
      <c r="L35" s="17">
        <f t="shared" si="13"/>
        <v>0</v>
      </c>
      <c r="M35" s="17">
        <f t="shared" si="13"/>
        <v>0</v>
      </c>
      <c r="N35" s="17">
        <f t="shared" si="13"/>
        <v>0</v>
      </c>
      <c r="O35" s="17">
        <f t="shared" si="13"/>
        <v>0</v>
      </c>
      <c r="P35" s="17">
        <f t="shared" si="13"/>
        <v>0</v>
      </c>
      <c r="Q35" s="17">
        <f>SUM(D35:P35)</f>
        <v>0</v>
      </c>
      <c r="R35" s="17">
        <f>Q35/13</f>
        <v>0</v>
      </c>
    </row>
    <row r="36" spans="1:18" ht="12.75" customHeight="1">
      <c r="A36">
        <f t="shared" si="1"/>
        <v>25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.75" customHeight="1">
      <c r="A37">
        <f t="shared" si="1"/>
        <v>26</v>
      </c>
      <c r="B37" t="s">
        <v>174</v>
      </c>
      <c r="D37" s="5">
        <f t="shared" ref="D37:P37" si="14">D29-D35</f>
        <v>0</v>
      </c>
      <c r="E37" s="5">
        <f t="shared" si="14"/>
        <v>0</v>
      </c>
      <c r="F37" s="5">
        <f t="shared" si="14"/>
        <v>0</v>
      </c>
      <c r="G37" s="5">
        <f t="shared" si="14"/>
        <v>0</v>
      </c>
      <c r="H37" s="5">
        <f t="shared" si="14"/>
        <v>0</v>
      </c>
      <c r="I37" s="5">
        <f t="shared" si="14"/>
        <v>0</v>
      </c>
      <c r="J37" s="5">
        <f t="shared" si="14"/>
        <v>0</v>
      </c>
      <c r="K37" s="5">
        <f t="shared" si="14"/>
        <v>0</v>
      </c>
      <c r="L37" s="5">
        <f t="shared" si="14"/>
        <v>0</v>
      </c>
      <c r="M37" s="5">
        <f t="shared" si="14"/>
        <v>0</v>
      </c>
      <c r="N37" s="5">
        <f t="shared" si="14"/>
        <v>0</v>
      </c>
      <c r="O37" s="5">
        <f t="shared" si="14"/>
        <v>0</v>
      </c>
      <c r="P37" s="5">
        <f t="shared" si="14"/>
        <v>0</v>
      </c>
      <c r="Q37" s="5">
        <f>SUM(D37:P37)</f>
        <v>0</v>
      </c>
      <c r="R37" s="5">
        <f>Q37/13</f>
        <v>0</v>
      </c>
    </row>
    <row r="38" spans="1:18" ht="12.75" customHeight="1">
      <c r="A38">
        <f t="shared" si="1"/>
        <v>27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2.75" customHeight="1">
      <c r="A39">
        <v>28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2.75" customHeight="1">
      <c r="A40">
        <v>29</v>
      </c>
      <c r="B40" t="s">
        <v>176</v>
      </c>
      <c r="D40" s="5"/>
      <c r="E40" s="5">
        <f t="shared" ref="E40:P40" si="15">D43</f>
        <v>0</v>
      </c>
      <c r="F40" s="5">
        <f t="shared" si="15"/>
        <v>0</v>
      </c>
      <c r="G40" s="5">
        <f t="shared" si="15"/>
        <v>0</v>
      </c>
      <c r="H40" s="5">
        <f t="shared" si="15"/>
        <v>0</v>
      </c>
      <c r="I40" s="5">
        <f t="shared" si="15"/>
        <v>0</v>
      </c>
      <c r="J40" s="5">
        <f t="shared" si="15"/>
        <v>0</v>
      </c>
      <c r="K40" s="5">
        <f t="shared" si="15"/>
        <v>0</v>
      </c>
      <c r="L40" s="5">
        <f t="shared" si="15"/>
        <v>0</v>
      </c>
      <c r="M40" s="5">
        <f t="shared" si="15"/>
        <v>0</v>
      </c>
      <c r="N40" s="5">
        <f t="shared" si="15"/>
        <v>0</v>
      </c>
      <c r="O40" s="5">
        <f t="shared" si="15"/>
        <v>0</v>
      </c>
      <c r="P40" s="5">
        <f t="shared" si="15"/>
        <v>0</v>
      </c>
      <c r="Q40" s="5">
        <f>SUM(D40:P40)</f>
        <v>0</v>
      </c>
      <c r="R40" s="5">
        <f>Q40/13</f>
        <v>0</v>
      </c>
    </row>
    <row r="41" spans="1:18" ht="12.75" customHeight="1">
      <c r="A41">
        <v>30</v>
      </c>
      <c r="B41" t="s">
        <v>168</v>
      </c>
      <c r="D41" s="5"/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f>'GI-34 doc 3 page 1 de 2'!E34</f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f>SUM(D41:P41)</f>
        <v>0</v>
      </c>
      <c r="R41" s="5">
        <f>Q41/13</f>
        <v>0</v>
      </c>
    </row>
    <row r="42" spans="1:18" ht="12.75" customHeight="1">
      <c r="A42">
        <f t="shared" si="1"/>
        <v>31</v>
      </c>
      <c r="B42" t="s">
        <v>169</v>
      </c>
      <c r="D42" s="5"/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f>SUM(D42:P42)</f>
        <v>0</v>
      </c>
      <c r="R42" s="5">
        <f>Q42/13</f>
        <v>0</v>
      </c>
    </row>
    <row r="43" spans="1:18" ht="12.75" customHeight="1">
      <c r="A43">
        <f t="shared" si="1"/>
        <v>32</v>
      </c>
      <c r="B43" t="s">
        <v>170</v>
      </c>
      <c r="D43" s="5">
        <f>'Depreciation 2015'!P45</f>
        <v>0</v>
      </c>
      <c r="E43" s="5">
        <f t="shared" ref="E43:P43" si="16">SUM(E40:E42)</f>
        <v>0</v>
      </c>
      <c r="F43" s="5">
        <f t="shared" si="16"/>
        <v>0</v>
      </c>
      <c r="G43" s="5">
        <f t="shared" si="16"/>
        <v>0</v>
      </c>
      <c r="H43" s="5">
        <f t="shared" si="16"/>
        <v>0</v>
      </c>
      <c r="I43" s="5">
        <f t="shared" si="16"/>
        <v>0</v>
      </c>
      <c r="J43" s="5">
        <f t="shared" si="16"/>
        <v>0</v>
      </c>
      <c r="K43" s="5">
        <f t="shared" si="16"/>
        <v>0</v>
      </c>
      <c r="L43" s="5">
        <f t="shared" si="16"/>
        <v>0</v>
      </c>
      <c r="M43" s="5">
        <f t="shared" si="16"/>
        <v>0</v>
      </c>
      <c r="N43" s="5">
        <f t="shared" si="16"/>
        <v>0</v>
      </c>
      <c r="O43" s="5">
        <f t="shared" si="16"/>
        <v>0</v>
      </c>
      <c r="P43" s="5">
        <f t="shared" si="16"/>
        <v>0</v>
      </c>
      <c r="Q43" s="5">
        <f>SUM(D43:P43)</f>
        <v>0</v>
      </c>
      <c r="R43" s="5">
        <f>Q43/13</f>
        <v>0</v>
      </c>
    </row>
    <row r="44" spans="1:18" ht="12.75" customHeight="1">
      <c r="A44">
        <f t="shared" si="1"/>
        <v>33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2.75" customHeight="1">
      <c r="A45">
        <f t="shared" si="1"/>
        <v>34</v>
      </c>
      <c r="B45" t="s">
        <v>171</v>
      </c>
      <c r="D45" s="5"/>
      <c r="E45" s="5">
        <f t="shared" ref="E45:P45" si="17">D49</f>
        <v>0</v>
      </c>
      <c r="F45" s="5">
        <f t="shared" si="17"/>
        <v>0</v>
      </c>
      <c r="G45" s="5">
        <f t="shared" si="17"/>
        <v>0</v>
      </c>
      <c r="H45" s="5">
        <f t="shared" si="17"/>
        <v>0</v>
      </c>
      <c r="I45" s="5">
        <f t="shared" si="17"/>
        <v>0</v>
      </c>
      <c r="J45" s="5">
        <f t="shared" si="17"/>
        <v>0</v>
      </c>
      <c r="K45" s="5">
        <f t="shared" si="17"/>
        <v>0</v>
      </c>
      <c r="L45" s="5">
        <f t="shared" si="17"/>
        <v>0</v>
      </c>
      <c r="M45" s="5">
        <f t="shared" si="17"/>
        <v>0</v>
      </c>
      <c r="N45" s="5">
        <f t="shared" si="17"/>
        <v>0</v>
      </c>
      <c r="O45" s="5">
        <f t="shared" si="17"/>
        <v>0</v>
      </c>
      <c r="P45" s="5">
        <f t="shared" si="17"/>
        <v>0</v>
      </c>
      <c r="Q45" s="5">
        <f>SUM(D45:P45)</f>
        <v>0</v>
      </c>
      <c r="R45" s="5">
        <f>Q45/13</f>
        <v>0</v>
      </c>
    </row>
    <row r="46" spans="1:18" ht="12.75" customHeight="1">
      <c r="A46">
        <f t="shared" si="1"/>
        <v>35</v>
      </c>
      <c r="B46" t="s">
        <v>172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>
        <f>SUM(D46:P46)</f>
        <v>0</v>
      </c>
      <c r="R46" s="5">
        <f>Q46/13</f>
        <v>0</v>
      </c>
    </row>
    <row r="47" spans="1:18" ht="12.75" customHeight="1">
      <c r="A47">
        <f t="shared" si="1"/>
        <v>36</v>
      </c>
      <c r="B47" t="s">
        <v>169</v>
      </c>
      <c r="D47" s="5"/>
      <c r="E47" s="5">
        <f t="shared" ref="E47:P47" si="18">E42</f>
        <v>0</v>
      </c>
      <c r="F47" s="5">
        <f t="shared" si="18"/>
        <v>0</v>
      </c>
      <c r="G47" s="5">
        <f t="shared" si="18"/>
        <v>0</v>
      </c>
      <c r="H47" s="5">
        <f t="shared" si="18"/>
        <v>0</v>
      </c>
      <c r="I47" s="5">
        <f t="shared" si="18"/>
        <v>0</v>
      </c>
      <c r="J47" s="5">
        <f t="shared" si="18"/>
        <v>0</v>
      </c>
      <c r="K47" s="5">
        <f t="shared" si="18"/>
        <v>0</v>
      </c>
      <c r="L47" s="5">
        <f t="shared" si="18"/>
        <v>0</v>
      </c>
      <c r="M47" s="5">
        <f t="shared" si="18"/>
        <v>0</v>
      </c>
      <c r="N47" s="5">
        <f t="shared" si="18"/>
        <v>0</v>
      </c>
      <c r="O47" s="5">
        <f t="shared" si="18"/>
        <v>0</v>
      </c>
      <c r="P47" s="5">
        <f t="shared" si="18"/>
        <v>0</v>
      </c>
      <c r="Q47" s="5">
        <f>SUM(D46:P47)</f>
        <v>0</v>
      </c>
      <c r="R47" s="5">
        <f>Q47/13</f>
        <v>0</v>
      </c>
    </row>
    <row r="48" spans="1:18" ht="12.75" customHeight="1">
      <c r="A48">
        <f t="shared" si="1"/>
        <v>37</v>
      </c>
      <c r="B48" t="s">
        <v>173</v>
      </c>
      <c r="C48" s="18">
        <v>25</v>
      </c>
      <c r="D48" s="5"/>
      <c r="E48" s="5">
        <f t="shared" ref="E48:P48" si="19">E43*$C48/100/12</f>
        <v>0</v>
      </c>
      <c r="F48" s="5">
        <f t="shared" si="19"/>
        <v>0</v>
      </c>
      <c r="G48" s="5">
        <f t="shared" si="19"/>
        <v>0</v>
      </c>
      <c r="H48" s="5">
        <f t="shared" si="19"/>
        <v>0</v>
      </c>
      <c r="I48" s="5">
        <f t="shared" si="19"/>
        <v>0</v>
      </c>
      <c r="J48" s="5">
        <f t="shared" si="19"/>
        <v>0</v>
      </c>
      <c r="K48" s="5">
        <f t="shared" si="19"/>
        <v>0</v>
      </c>
      <c r="L48" s="5">
        <f t="shared" si="19"/>
        <v>0</v>
      </c>
      <c r="M48" s="5">
        <f t="shared" si="19"/>
        <v>0</v>
      </c>
      <c r="N48" s="5">
        <f t="shared" si="19"/>
        <v>0</v>
      </c>
      <c r="O48" s="5">
        <f t="shared" si="19"/>
        <v>0</v>
      </c>
      <c r="P48" s="5">
        <f t="shared" si="19"/>
        <v>0</v>
      </c>
      <c r="Q48" s="5">
        <f>SUM(D48:P48)</f>
        <v>0</v>
      </c>
      <c r="R48" s="5">
        <f>Q48/13</f>
        <v>0</v>
      </c>
    </row>
    <row r="49" spans="1:18" ht="12.75" customHeight="1">
      <c r="A49">
        <f t="shared" si="1"/>
        <v>38</v>
      </c>
      <c r="B49" t="s">
        <v>170</v>
      </c>
      <c r="D49" s="17">
        <f>'Depreciation 2015'!P51</f>
        <v>0</v>
      </c>
      <c r="E49" s="17">
        <f t="shared" ref="E49:P49" si="20">SUM(E45:E48)</f>
        <v>0</v>
      </c>
      <c r="F49" s="17">
        <f t="shared" si="20"/>
        <v>0</v>
      </c>
      <c r="G49" s="17">
        <f t="shared" si="20"/>
        <v>0</v>
      </c>
      <c r="H49" s="17">
        <f t="shared" si="20"/>
        <v>0</v>
      </c>
      <c r="I49" s="17">
        <f t="shared" si="20"/>
        <v>0</v>
      </c>
      <c r="J49" s="17">
        <f t="shared" si="20"/>
        <v>0</v>
      </c>
      <c r="K49" s="17">
        <f t="shared" si="20"/>
        <v>0</v>
      </c>
      <c r="L49" s="17">
        <f t="shared" si="20"/>
        <v>0</v>
      </c>
      <c r="M49" s="17">
        <f t="shared" si="20"/>
        <v>0</v>
      </c>
      <c r="N49" s="17">
        <f t="shared" si="20"/>
        <v>0</v>
      </c>
      <c r="O49" s="17">
        <f t="shared" si="20"/>
        <v>0</v>
      </c>
      <c r="P49" s="17">
        <f t="shared" si="20"/>
        <v>0</v>
      </c>
      <c r="Q49" s="17">
        <f>SUM(D49:P49)</f>
        <v>0</v>
      </c>
      <c r="R49" s="17">
        <f>Q49/13</f>
        <v>0</v>
      </c>
    </row>
    <row r="50" spans="1:18" ht="12.75" customHeight="1">
      <c r="A50">
        <f t="shared" si="1"/>
        <v>39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12.75" customHeight="1">
      <c r="A51">
        <f t="shared" si="1"/>
        <v>40</v>
      </c>
      <c r="B51" t="s">
        <v>174</v>
      </c>
      <c r="D51" s="5">
        <f t="shared" ref="D51:P51" si="21">D43-D49</f>
        <v>0</v>
      </c>
      <c r="E51" s="5">
        <f t="shared" si="21"/>
        <v>0</v>
      </c>
      <c r="F51" s="5">
        <f t="shared" si="21"/>
        <v>0</v>
      </c>
      <c r="G51" s="5">
        <f t="shared" si="21"/>
        <v>0</v>
      </c>
      <c r="H51" s="5">
        <f t="shared" si="21"/>
        <v>0</v>
      </c>
      <c r="I51" s="5">
        <f t="shared" si="21"/>
        <v>0</v>
      </c>
      <c r="J51" s="5">
        <f t="shared" si="21"/>
        <v>0</v>
      </c>
      <c r="K51" s="5">
        <f t="shared" si="21"/>
        <v>0</v>
      </c>
      <c r="L51" s="5">
        <f t="shared" si="21"/>
        <v>0</v>
      </c>
      <c r="M51" s="5">
        <f t="shared" si="21"/>
        <v>0</v>
      </c>
      <c r="N51" s="5">
        <f t="shared" si="21"/>
        <v>0</v>
      </c>
      <c r="O51" s="5">
        <f t="shared" si="21"/>
        <v>0</v>
      </c>
      <c r="P51" s="5">
        <f t="shared" si="21"/>
        <v>0</v>
      </c>
      <c r="Q51" s="5">
        <f>SUM(D51:P51)</f>
        <v>0</v>
      </c>
      <c r="R51" s="5">
        <f>Q51/13</f>
        <v>0</v>
      </c>
    </row>
    <row r="52" spans="1:18" ht="12.75" customHeight="1">
      <c r="A52">
        <f t="shared" si="1"/>
        <v>41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12.75" customHeight="1">
      <c r="A53">
        <f t="shared" si="1"/>
        <v>42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12.75" customHeight="1">
      <c r="A54">
        <f t="shared" si="1"/>
        <v>43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12.75" customHeight="1">
      <c r="A55">
        <f t="shared" si="1"/>
        <v>44</v>
      </c>
      <c r="B55" t="s">
        <v>177</v>
      </c>
      <c r="D55" s="5">
        <f>D12+D26+D40</f>
        <v>0</v>
      </c>
      <c r="E55" s="5">
        <f>E12+E26+E40</f>
        <v>0</v>
      </c>
      <c r="F55" s="5">
        <f t="shared" ref="F55:P58" si="22">F12+F26+F40</f>
        <v>0</v>
      </c>
      <c r="G55" s="5">
        <f t="shared" si="22"/>
        <v>0</v>
      </c>
      <c r="H55" s="5">
        <f t="shared" si="22"/>
        <v>0</v>
      </c>
      <c r="I55" s="5">
        <f t="shared" si="22"/>
        <v>0</v>
      </c>
      <c r="J55" s="5">
        <f t="shared" si="22"/>
        <v>0</v>
      </c>
      <c r="K55" s="5">
        <f t="shared" si="22"/>
        <v>0</v>
      </c>
      <c r="L55" s="5">
        <f t="shared" si="22"/>
        <v>0</v>
      </c>
      <c r="M55" s="5">
        <f t="shared" si="22"/>
        <v>0</v>
      </c>
      <c r="N55" s="5">
        <f t="shared" si="22"/>
        <v>0</v>
      </c>
      <c r="O55" s="5">
        <f t="shared" si="22"/>
        <v>0</v>
      </c>
      <c r="P55" s="5">
        <f t="shared" si="22"/>
        <v>0</v>
      </c>
      <c r="Q55" s="5">
        <f>SUM(D55:P55)</f>
        <v>0</v>
      </c>
      <c r="R55" s="5">
        <f>Q55/13</f>
        <v>0</v>
      </c>
    </row>
    <row r="56" spans="1:18" ht="12.75" customHeight="1">
      <c r="A56">
        <f t="shared" si="1"/>
        <v>45</v>
      </c>
      <c r="B56" t="s">
        <v>178</v>
      </c>
      <c r="D56" s="5"/>
      <c r="E56" s="5">
        <f>E13+E27+E41</f>
        <v>0</v>
      </c>
      <c r="F56" s="5">
        <f t="shared" si="22"/>
        <v>0</v>
      </c>
      <c r="G56" s="5">
        <f t="shared" si="22"/>
        <v>0</v>
      </c>
      <c r="H56" s="5">
        <f t="shared" si="22"/>
        <v>0</v>
      </c>
      <c r="I56" s="5">
        <f t="shared" si="22"/>
        <v>0</v>
      </c>
      <c r="J56" s="5">
        <f t="shared" si="22"/>
        <v>0</v>
      </c>
      <c r="K56" s="5">
        <f t="shared" si="22"/>
        <v>0</v>
      </c>
      <c r="L56" s="5">
        <f t="shared" si="22"/>
        <v>0</v>
      </c>
      <c r="M56" s="5">
        <f t="shared" si="22"/>
        <v>0</v>
      </c>
      <c r="N56" s="5">
        <f t="shared" si="22"/>
        <v>0</v>
      </c>
      <c r="O56" s="5">
        <f t="shared" si="22"/>
        <v>0</v>
      </c>
      <c r="P56" s="5">
        <f t="shared" si="22"/>
        <v>0</v>
      </c>
      <c r="Q56" s="5">
        <f>SUM(D56:P56)</f>
        <v>0</v>
      </c>
      <c r="R56" s="5">
        <f>Q56/13</f>
        <v>0</v>
      </c>
    </row>
    <row r="57" spans="1:18" ht="12.75" customHeight="1">
      <c r="A57">
        <v>46</v>
      </c>
      <c r="B57" t="s">
        <v>169</v>
      </c>
      <c r="D57" s="5"/>
      <c r="E57" s="5">
        <f>E14+E28+E42</f>
        <v>0</v>
      </c>
      <c r="F57" s="5">
        <f t="shared" si="22"/>
        <v>0</v>
      </c>
      <c r="G57" s="5">
        <f t="shared" si="22"/>
        <v>0</v>
      </c>
      <c r="H57" s="5">
        <f t="shared" si="22"/>
        <v>0</v>
      </c>
      <c r="I57" s="5">
        <f t="shared" si="22"/>
        <v>0</v>
      </c>
      <c r="J57" s="5">
        <f t="shared" si="22"/>
        <v>0</v>
      </c>
      <c r="K57" s="5">
        <f t="shared" si="22"/>
        <v>0</v>
      </c>
      <c r="L57" s="5">
        <f t="shared" si="22"/>
        <v>0</v>
      </c>
      <c r="M57" s="5">
        <f t="shared" si="22"/>
        <v>0</v>
      </c>
      <c r="N57" s="5">
        <f t="shared" si="22"/>
        <v>0</v>
      </c>
      <c r="O57" s="5">
        <f t="shared" si="22"/>
        <v>0</v>
      </c>
      <c r="P57" s="5">
        <f t="shared" si="22"/>
        <v>0</v>
      </c>
      <c r="Q57" s="5">
        <f>SUM(D57:P57)</f>
        <v>0</v>
      </c>
      <c r="R57" s="5">
        <f>Q57/13</f>
        <v>0</v>
      </c>
    </row>
    <row r="58" spans="1:18" ht="15" customHeight="1">
      <c r="A58">
        <f t="shared" si="1"/>
        <v>47</v>
      </c>
      <c r="B58" t="s">
        <v>170</v>
      </c>
      <c r="D58" s="17">
        <f>D15+D29+D43</f>
        <v>0</v>
      </c>
      <c r="E58" s="17">
        <f>E15+E29+E43</f>
        <v>0</v>
      </c>
      <c r="F58" s="17">
        <f t="shared" si="22"/>
        <v>0</v>
      </c>
      <c r="G58" s="17">
        <f t="shared" si="22"/>
        <v>0</v>
      </c>
      <c r="H58" s="17">
        <f t="shared" si="22"/>
        <v>0</v>
      </c>
      <c r="I58" s="17">
        <f t="shared" si="22"/>
        <v>0</v>
      </c>
      <c r="J58" s="17">
        <f t="shared" si="22"/>
        <v>0</v>
      </c>
      <c r="K58" s="17">
        <f t="shared" si="22"/>
        <v>0</v>
      </c>
      <c r="L58" s="17">
        <f t="shared" si="22"/>
        <v>0</v>
      </c>
      <c r="M58" s="17">
        <f t="shared" si="22"/>
        <v>0</v>
      </c>
      <c r="N58" s="17">
        <f t="shared" si="22"/>
        <v>0</v>
      </c>
      <c r="O58" s="17">
        <f t="shared" si="22"/>
        <v>0</v>
      </c>
      <c r="P58" s="17">
        <f t="shared" si="22"/>
        <v>0</v>
      </c>
      <c r="Q58" s="17">
        <f>SUM(D58:P58)</f>
        <v>0</v>
      </c>
      <c r="R58" s="17">
        <f>Q58/13</f>
        <v>0</v>
      </c>
    </row>
    <row r="59" spans="1:18" ht="12.75" customHeight="1">
      <c r="A59">
        <f t="shared" si="1"/>
        <v>48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15.75" customHeight="1">
      <c r="A60">
        <f t="shared" si="1"/>
        <v>49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12.75" customHeight="1">
      <c r="A61">
        <f t="shared" si="1"/>
        <v>50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2.75" customHeight="1">
      <c r="A62">
        <f t="shared" si="1"/>
        <v>51</v>
      </c>
      <c r="B62" t="s">
        <v>171</v>
      </c>
      <c r="D62" s="5">
        <f>D17+D31+D45</f>
        <v>0</v>
      </c>
      <c r="E62" s="5">
        <f>E17+E31+E45</f>
        <v>0</v>
      </c>
      <c r="F62" s="5">
        <f t="shared" ref="F62:P66" si="23">F17+F31+F45</f>
        <v>0</v>
      </c>
      <c r="G62" s="5">
        <f t="shared" si="23"/>
        <v>0</v>
      </c>
      <c r="H62" s="5">
        <f t="shared" si="23"/>
        <v>0</v>
      </c>
      <c r="I62" s="5">
        <f t="shared" si="23"/>
        <v>0</v>
      </c>
      <c r="J62" s="5">
        <f t="shared" si="23"/>
        <v>0</v>
      </c>
      <c r="K62" s="5">
        <f t="shared" si="23"/>
        <v>0</v>
      </c>
      <c r="L62" s="5">
        <f t="shared" si="23"/>
        <v>0</v>
      </c>
      <c r="M62" s="5">
        <f t="shared" si="23"/>
        <v>0</v>
      </c>
      <c r="N62" s="5">
        <f t="shared" si="23"/>
        <v>0</v>
      </c>
      <c r="O62" s="5">
        <f t="shared" si="23"/>
        <v>0</v>
      </c>
      <c r="P62" s="5">
        <f t="shared" si="23"/>
        <v>0</v>
      </c>
      <c r="Q62" s="5">
        <f>SUM(D62:P62)</f>
        <v>0</v>
      </c>
      <c r="R62" s="5">
        <f>Q62/13</f>
        <v>0</v>
      </c>
    </row>
    <row r="63" spans="1:18" ht="12.75" customHeight="1">
      <c r="A63">
        <f t="shared" si="1"/>
        <v>52</v>
      </c>
      <c r="B63" t="s">
        <v>172</v>
      </c>
      <c r="D63" s="5"/>
      <c r="E63" s="5">
        <f>E18+E32+E46</f>
        <v>0</v>
      </c>
      <c r="F63" s="5">
        <f t="shared" si="23"/>
        <v>0</v>
      </c>
      <c r="G63" s="5">
        <f t="shared" si="23"/>
        <v>0</v>
      </c>
      <c r="H63" s="5">
        <f t="shared" si="23"/>
        <v>0</v>
      </c>
      <c r="I63" s="5">
        <f t="shared" si="23"/>
        <v>0</v>
      </c>
      <c r="J63" s="5">
        <f t="shared" si="23"/>
        <v>0</v>
      </c>
      <c r="K63" s="5">
        <f t="shared" si="23"/>
        <v>0</v>
      </c>
      <c r="L63" s="5">
        <f t="shared" si="23"/>
        <v>0</v>
      </c>
      <c r="M63" s="5">
        <f t="shared" si="23"/>
        <v>0</v>
      </c>
      <c r="N63" s="5">
        <f t="shared" si="23"/>
        <v>0</v>
      </c>
      <c r="O63" s="5">
        <f t="shared" si="23"/>
        <v>0</v>
      </c>
      <c r="P63" s="5">
        <f t="shared" si="23"/>
        <v>0</v>
      </c>
      <c r="Q63" s="5">
        <f>SUM(D63:P63)</f>
        <v>0</v>
      </c>
      <c r="R63" s="5">
        <f>Q63/13</f>
        <v>0</v>
      </c>
    </row>
    <row r="64" spans="1:18" ht="12.75" customHeight="1">
      <c r="A64">
        <f t="shared" si="1"/>
        <v>53</v>
      </c>
      <c r="B64" t="s">
        <v>169</v>
      </c>
      <c r="D64" s="5"/>
      <c r="E64" s="5">
        <f>E19+E33+E47</f>
        <v>0</v>
      </c>
      <c r="F64" s="5">
        <f t="shared" si="23"/>
        <v>0</v>
      </c>
      <c r="G64" s="5">
        <f t="shared" si="23"/>
        <v>0</v>
      </c>
      <c r="H64" s="5">
        <f t="shared" si="23"/>
        <v>0</v>
      </c>
      <c r="I64" s="5">
        <f t="shared" si="23"/>
        <v>0</v>
      </c>
      <c r="J64" s="5">
        <f t="shared" si="23"/>
        <v>0</v>
      </c>
      <c r="K64" s="5">
        <f t="shared" si="23"/>
        <v>0</v>
      </c>
      <c r="L64" s="5">
        <f t="shared" si="23"/>
        <v>0</v>
      </c>
      <c r="M64" s="5">
        <f t="shared" si="23"/>
        <v>0</v>
      </c>
      <c r="N64" s="5">
        <f t="shared" si="23"/>
        <v>0</v>
      </c>
      <c r="O64" s="5">
        <f t="shared" si="23"/>
        <v>0</v>
      </c>
      <c r="P64" s="5">
        <f t="shared" si="23"/>
        <v>0</v>
      </c>
      <c r="Q64" s="5">
        <f>SUM(D64:P64)</f>
        <v>0</v>
      </c>
      <c r="R64" s="5">
        <f>Q64/13</f>
        <v>0</v>
      </c>
    </row>
    <row r="65" spans="1:18" ht="12.75" customHeight="1">
      <c r="A65">
        <f t="shared" si="1"/>
        <v>54</v>
      </c>
      <c r="B65" t="s">
        <v>173</v>
      </c>
      <c r="D65" s="5"/>
      <c r="E65" s="5">
        <f>E20+E34+E48</f>
        <v>0</v>
      </c>
      <c r="F65" s="5">
        <f t="shared" si="23"/>
        <v>0</v>
      </c>
      <c r="G65" s="5">
        <f t="shared" si="23"/>
        <v>0</v>
      </c>
      <c r="H65" s="5">
        <f t="shared" si="23"/>
        <v>0</v>
      </c>
      <c r="I65" s="5">
        <f t="shared" si="23"/>
        <v>0</v>
      </c>
      <c r="J65" s="5">
        <f t="shared" si="23"/>
        <v>0</v>
      </c>
      <c r="K65" s="5">
        <f t="shared" si="23"/>
        <v>0</v>
      </c>
      <c r="L65" s="5">
        <f t="shared" si="23"/>
        <v>0</v>
      </c>
      <c r="M65" s="5">
        <f t="shared" si="23"/>
        <v>0</v>
      </c>
      <c r="N65" s="5">
        <f t="shared" si="23"/>
        <v>0</v>
      </c>
      <c r="O65" s="5">
        <f t="shared" si="23"/>
        <v>0</v>
      </c>
      <c r="P65" s="5">
        <f t="shared" si="23"/>
        <v>0</v>
      </c>
      <c r="Q65" s="5">
        <f>SUM(D65:P65)</f>
        <v>0</v>
      </c>
      <c r="R65" s="5">
        <f>Q65/13</f>
        <v>0</v>
      </c>
    </row>
    <row r="66" spans="1:18" ht="15.75" customHeight="1">
      <c r="A66">
        <f t="shared" si="1"/>
        <v>55</v>
      </c>
      <c r="B66" t="s">
        <v>170</v>
      </c>
      <c r="D66" s="17">
        <f>D21+D35+D49</f>
        <v>0</v>
      </c>
      <c r="E66" s="17">
        <f>E21+E35+E49</f>
        <v>0</v>
      </c>
      <c r="F66" s="17">
        <f t="shared" si="23"/>
        <v>0</v>
      </c>
      <c r="G66" s="17">
        <f t="shared" si="23"/>
        <v>0</v>
      </c>
      <c r="H66" s="17">
        <f t="shared" si="23"/>
        <v>0</v>
      </c>
      <c r="I66" s="17">
        <f t="shared" si="23"/>
        <v>0</v>
      </c>
      <c r="J66" s="17">
        <f t="shared" si="23"/>
        <v>0</v>
      </c>
      <c r="K66" s="17">
        <f t="shared" si="23"/>
        <v>0</v>
      </c>
      <c r="L66" s="17">
        <f t="shared" si="23"/>
        <v>0</v>
      </c>
      <c r="M66" s="17">
        <f t="shared" si="23"/>
        <v>0</v>
      </c>
      <c r="N66" s="17">
        <f t="shared" si="23"/>
        <v>0</v>
      </c>
      <c r="O66" s="17">
        <f t="shared" si="23"/>
        <v>0</v>
      </c>
      <c r="P66" s="17">
        <f t="shared" si="23"/>
        <v>0</v>
      </c>
      <c r="Q66" s="17">
        <f>SUM(D66:P66)</f>
        <v>0</v>
      </c>
      <c r="R66" s="17">
        <f>Q66/13</f>
        <v>0</v>
      </c>
    </row>
    <row r="67" spans="1:18" ht="12.75" customHeight="1">
      <c r="A67">
        <f t="shared" si="1"/>
        <v>56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2.75" customHeight="1">
      <c r="A68">
        <f t="shared" si="1"/>
        <v>57</v>
      </c>
      <c r="B68" t="s">
        <v>174</v>
      </c>
      <c r="D68" s="5">
        <f t="shared" ref="D68:P68" si="24">D58-D66</f>
        <v>0</v>
      </c>
      <c r="E68" s="5">
        <f>E58-E66</f>
        <v>0</v>
      </c>
      <c r="F68" s="5">
        <f t="shared" si="24"/>
        <v>0</v>
      </c>
      <c r="G68" s="5">
        <f t="shared" si="24"/>
        <v>0</v>
      </c>
      <c r="H68" s="5">
        <f t="shared" si="24"/>
        <v>0</v>
      </c>
      <c r="I68" s="5">
        <f t="shared" si="24"/>
        <v>0</v>
      </c>
      <c r="J68" s="5">
        <f t="shared" si="24"/>
        <v>0</v>
      </c>
      <c r="K68" s="5">
        <f t="shared" si="24"/>
        <v>0</v>
      </c>
      <c r="L68" s="5">
        <f t="shared" si="24"/>
        <v>0</v>
      </c>
      <c r="M68" s="5">
        <f t="shared" si="24"/>
        <v>0</v>
      </c>
      <c r="N68" s="5">
        <f t="shared" si="24"/>
        <v>0</v>
      </c>
      <c r="O68" s="5">
        <f t="shared" si="24"/>
        <v>0</v>
      </c>
      <c r="P68" s="5">
        <f t="shared" si="24"/>
        <v>0</v>
      </c>
      <c r="Q68" s="5">
        <f>SUM(D68:P68)</f>
        <v>0</v>
      </c>
      <c r="R68" s="5">
        <f>Q68/13</f>
        <v>0</v>
      </c>
    </row>
    <row r="69" spans="1:18" ht="12.75" customHeight="1">
      <c r="A69" s="4">
        <f t="shared" si="1"/>
        <v>58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2.75" customHeight="1">
      <c r="A70" s="4">
        <f t="shared" si="1"/>
        <v>59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12.75" customHeight="1">
      <c r="A71" s="4">
        <f t="shared" si="1"/>
        <v>60</v>
      </c>
      <c r="B71" t="s">
        <v>101</v>
      </c>
      <c r="D71" s="5"/>
      <c r="E71" s="5">
        <f t="shared" ref="E71:P71" si="25">D74</f>
        <v>205208</v>
      </c>
      <c r="F71" s="5">
        <f t="shared" si="25"/>
        <v>230208</v>
      </c>
      <c r="G71" s="5">
        <f t="shared" si="25"/>
        <v>255208</v>
      </c>
      <c r="H71" s="5">
        <f t="shared" si="25"/>
        <v>280208</v>
      </c>
      <c r="I71" s="5">
        <f t="shared" si="25"/>
        <v>305208</v>
      </c>
      <c r="J71" s="5">
        <f t="shared" si="25"/>
        <v>330208</v>
      </c>
      <c r="K71" s="5">
        <f t="shared" si="25"/>
        <v>355208</v>
      </c>
      <c r="L71" s="5">
        <f t="shared" si="25"/>
        <v>380208</v>
      </c>
      <c r="M71" s="5">
        <f t="shared" si="25"/>
        <v>405208</v>
      </c>
      <c r="N71" s="5">
        <f t="shared" si="25"/>
        <v>430208</v>
      </c>
      <c r="O71" s="5">
        <f t="shared" si="25"/>
        <v>455208</v>
      </c>
      <c r="P71" s="5">
        <f t="shared" si="25"/>
        <v>480208</v>
      </c>
      <c r="Q71" s="5">
        <f>SUM(D71:P71)</f>
        <v>4112496</v>
      </c>
      <c r="R71" s="5">
        <f>Q71/13</f>
        <v>316345.84615384613</v>
      </c>
    </row>
    <row r="72" spans="1:18" ht="12.75" customHeight="1">
      <c r="A72" s="4">
        <f t="shared" si="1"/>
        <v>61</v>
      </c>
      <c r="B72" t="s">
        <v>168</v>
      </c>
      <c r="D72" s="5"/>
      <c r="E72" s="5">
        <v>25000</v>
      </c>
      <c r="F72" s="5">
        <v>25000</v>
      </c>
      <c r="G72" s="5">
        <v>25000</v>
      </c>
      <c r="H72" s="5">
        <v>25000</v>
      </c>
      <c r="I72" s="5">
        <v>25000</v>
      </c>
      <c r="J72" s="5">
        <v>25000</v>
      </c>
      <c r="K72" s="5">
        <v>25000</v>
      </c>
      <c r="L72" s="5">
        <v>25000</v>
      </c>
      <c r="M72" s="5">
        <v>25000</v>
      </c>
      <c r="N72" s="5">
        <v>25000</v>
      </c>
      <c r="O72" s="5">
        <v>25000</v>
      </c>
      <c r="P72" s="5">
        <v>25000</v>
      </c>
      <c r="Q72" s="5">
        <f>SUM(D72:P72)</f>
        <v>300000</v>
      </c>
      <c r="R72" s="5">
        <f>Q72/13</f>
        <v>23076.923076923078</v>
      </c>
    </row>
    <row r="73" spans="1:18" ht="12.75" customHeight="1">
      <c r="A73" s="4">
        <f t="shared" si="1"/>
        <v>62</v>
      </c>
      <c r="B73" t="s">
        <v>169</v>
      </c>
      <c r="D73" s="5"/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f>SUM(D73:P73)</f>
        <v>0</v>
      </c>
      <c r="R73" s="5">
        <f>Q73/13</f>
        <v>0</v>
      </c>
    </row>
    <row r="74" spans="1:18" ht="12.75" customHeight="1">
      <c r="A74" s="4">
        <f t="shared" si="1"/>
        <v>63</v>
      </c>
      <c r="B74" t="s">
        <v>170</v>
      </c>
      <c r="D74" s="17">
        <f>'Depreciation 2015'!P78</f>
        <v>205208</v>
      </c>
      <c r="E74" s="17">
        <f t="shared" ref="E74:P74" si="26">SUM(E71:E73)</f>
        <v>230208</v>
      </c>
      <c r="F74" s="17">
        <f t="shared" si="26"/>
        <v>255208</v>
      </c>
      <c r="G74" s="17">
        <f t="shared" si="26"/>
        <v>280208</v>
      </c>
      <c r="H74" s="17">
        <f t="shared" si="26"/>
        <v>305208</v>
      </c>
      <c r="I74" s="17">
        <f t="shared" si="26"/>
        <v>330208</v>
      </c>
      <c r="J74" s="17">
        <f t="shared" si="26"/>
        <v>355208</v>
      </c>
      <c r="K74" s="17">
        <f t="shared" si="26"/>
        <v>380208</v>
      </c>
      <c r="L74" s="17">
        <f t="shared" si="26"/>
        <v>405208</v>
      </c>
      <c r="M74" s="17">
        <f t="shared" si="26"/>
        <v>430208</v>
      </c>
      <c r="N74" s="17">
        <f t="shared" si="26"/>
        <v>455208</v>
      </c>
      <c r="O74" s="17">
        <f t="shared" si="26"/>
        <v>480208</v>
      </c>
      <c r="P74" s="17">
        <f t="shared" si="26"/>
        <v>505208</v>
      </c>
      <c r="Q74" s="17">
        <f>SUM(D74:P74)</f>
        <v>4617704</v>
      </c>
      <c r="R74" s="17">
        <f>Q74/13</f>
        <v>355208</v>
      </c>
    </row>
    <row r="75" spans="1:18" ht="12.75" customHeight="1">
      <c r="A75" s="4">
        <f t="shared" si="1"/>
        <v>64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2.75" customHeight="1">
      <c r="A76" s="4">
        <f t="shared" si="1"/>
        <v>65</v>
      </c>
      <c r="B76" t="s">
        <v>179</v>
      </c>
      <c r="D76" s="5"/>
      <c r="E76" s="5">
        <f t="shared" ref="E76:P76" si="27">D80</f>
        <v>24091.555555555558</v>
      </c>
      <c r="F76" s="5">
        <f t="shared" si="27"/>
        <v>30139.000000000004</v>
      </c>
      <c r="G76" s="5">
        <f t="shared" si="27"/>
        <v>36880.888888888891</v>
      </c>
      <c r="H76" s="5">
        <f t="shared" si="27"/>
        <v>44317.222222222226</v>
      </c>
      <c r="I76" s="5">
        <f t="shared" si="27"/>
        <v>52448.000000000007</v>
      </c>
      <c r="J76" s="5">
        <f t="shared" si="27"/>
        <v>61273.222222222234</v>
      </c>
      <c r="K76" s="5">
        <f t="shared" si="27"/>
        <v>70792.888888888905</v>
      </c>
      <c r="L76" s="5">
        <f t="shared" si="27"/>
        <v>81007.000000000015</v>
      </c>
      <c r="M76" s="5">
        <f t="shared" si="27"/>
        <v>91915.555555555577</v>
      </c>
      <c r="N76" s="5">
        <f t="shared" si="27"/>
        <v>103518.55555555558</v>
      </c>
      <c r="O76" s="5">
        <f t="shared" si="27"/>
        <v>115816.00000000003</v>
      </c>
      <c r="P76" s="5">
        <f t="shared" si="27"/>
        <v>128807.88888888892</v>
      </c>
      <c r="Q76" s="5">
        <f>SUM(D76:P76)</f>
        <v>841007.77777777787</v>
      </c>
      <c r="R76" s="5">
        <f>Q76/13</f>
        <v>64692.905982905992</v>
      </c>
    </row>
    <row r="77" spans="1:18" ht="12.75" customHeight="1">
      <c r="A77" s="4">
        <f t="shared" ref="A77:A99" si="28">A76+1</f>
        <v>66</v>
      </c>
      <c r="B77" t="s">
        <v>172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>
        <f>SUM(D77:P77)</f>
        <v>0</v>
      </c>
      <c r="R77" s="5">
        <f>Q77/13</f>
        <v>0</v>
      </c>
    </row>
    <row r="78" spans="1:18" ht="12.75" customHeight="1">
      <c r="A78" s="4">
        <f t="shared" si="28"/>
        <v>67</v>
      </c>
      <c r="B78" t="s">
        <v>169</v>
      </c>
      <c r="D78" s="5"/>
      <c r="E78" s="5">
        <f t="shared" ref="E78:P78" si="29">E73</f>
        <v>0</v>
      </c>
      <c r="F78" s="5">
        <f t="shared" si="29"/>
        <v>0</v>
      </c>
      <c r="G78" s="5">
        <f t="shared" si="29"/>
        <v>0</v>
      </c>
      <c r="H78" s="5">
        <f t="shared" si="29"/>
        <v>0</v>
      </c>
      <c r="I78" s="5">
        <f t="shared" si="29"/>
        <v>0</v>
      </c>
      <c r="J78" s="5">
        <f t="shared" si="29"/>
        <v>0</v>
      </c>
      <c r="K78" s="5">
        <f t="shared" si="29"/>
        <v>0</v>
      </c>
      <c r="L78" s="5">
        <f t="shared" si="29"/>
        <v>0</v>
      </c>
      <c r="M78" s="5">
        <f t="shared" si="29"/>
        <v>0</v>
      </c>
      <c r="N78" s="5">
        <f t="shared" si="29"/>
        <v>0</v>
      </c>
      <c r="O78" s="5">
        <f t="shared" si="29"/>
        <v>0</v>
      </c>
      <c r="P78" s="5">
        <f t="shared" si="29"/>
        <v>0</v>
      </c>
      <c r="Q78" s="5">
        <f>SUM(D77:P78)</f>
        <v>0</v>
      </c>
      <c r="R78" s="5">
        <f>Q78/13</f>
        <v>0</v>
      </c>
    </row>
    <row r="79" spans="1:18" ht="12.75" customHeight="1">
      <c r="A79" s="4">
        <f t="shared" si="28"/>
        <v>68</v>
      </c>
      <c r="B79" t="s">
        <v>173</v>
      </c>
      <c r="C79" s="18">
        <f>100/3</f>
        <v>33.333333333333336</v>
      </c>
      <c r="D79" s="5"/>
      <c r="E79" s="5">
        <f t="shared" ref="E79:P79" si="30">(E71*$C79/100/12)+(E72*$C79/100/12*0.5)</f>
        <v>6047.4444444444453</v>
      </c>
      <c r="F79" s="5">
        <f t="shared" si="30"/>
        <v>6741.8888888888905</v>
      </c>
      <c r="G79" s="5">
        <f t="shared" si="30"/>
        <v>7436.3333333333348</v>
      </c>
      <c r="H79" s="5">
        <f t="shared" si="30"/>
        <v>8130.7777777777801</v>
      </c>
      <c r="I79" s="5">
        <f t="shared" si="30"/>
        <v>8825.2222222222226</v>
      </c>
      <c r="J79" s="5">
        <f t="shared" si="30"/>
        <v>9519.6666666666679</v>
      </c>
      <c r="K79" s="5">
        <f t="shared" si="30"/>
        <v>10214.111111111113</v>
      </c>
      <c r="L79" s="5">
        <f t="shared" si="30"/>
        <v>10908.555555555557</v>
      </c>
      <c r="M79" s="5">
        <f t="shared" si="30"/>
        <v>11603.000000000002</v>
      </c>
      <c r="N79" s="5">
        <f t="shared" si="30"/>
        <v>12297.444444444447</v>
      </c>
      <c r="O79" s="5">
        <f t="shared" si="30"/>
        <v>12991.888888888892</v>
      </c>
      <c r="P79" s="5">
        <f t="shared" si="30"/>
        <v>13686.333333333334</v>
      </c>
      <c r="Q79" s="5">
        <f>SUM(D79:P79)</f>
        <v>118402.66666666669</v>
      </c>
      <c r="R79" s="5">
        <f>Q79/13</f>
        <v>9107.8974358974374</v>
      </c>
    </row>
    <row r="80" spans="1:18" ht="12.75" customHeight="1">
      <c r="A80" s="4">
        <f t="shared" si="28"/>
        <v>69</v>
      </c>
      <c r="B80" t="s">
        <v>170</v>
      </c>
      <c r="D80" s="17">
        <f>'Depreciation 2015'!P84</f>
        <v>24091.555555555558</v>
      </c>
      <c r="E80" s="17">
        <f t="shared" ref="E80:P80" si="31">SUM(E76:E79)</f>
        <v>30139.000000000004</v>
      </c>
      <c r="F80" s="17">
        <f t="shared" si="31"/>
        <v>36880.888888888891</v>
      </c>
      <c r="G80" s="17">
        <f t="shared" si="31"/>
        <v>44317.222222222226</v>
      </c>
      <c r="H80" s="17">
        <f t="shared" si="31"/>
        <v>52448.000000000007</v>
      </c>
      <c r="I80" s="17">
        <f t="shared" si="31"/>
        <v>61273.222222222234</v>
      </c>
      <c r="J80" s="17">
        <f t="shared" si="31"/>
        <v>70792.888888888905</v>
      </c>
      <c r="K80" s="17">
        <f t="shared" si="31"/>
        <v>81007.000000000015</v>
      </c>
      <c r="L80" s="17">
        <f t="shared" si="31"/>
        <v>91915.555555555577</v>
      </c>
      <c r="M80" s="17">
        <f t="shared" si="31"/>
        <v>103518.55555555558</v>
      </c>
      <c r="N80" s="17">
        <f t="shared" si="31"/>
        <v>115816.00000000003</v>
      </c>
      <c r="O80" s="17">
        <f t="shared" si="31"/>
        <v>128807.88888888892</v>
      </c>
      <c r="P80" s="17">
        <f t="shared" si="31"/>
        <v>142494.22222222225</v>
      </c>
      <c r="Q80" s="17">
        <f>SUM(D80:P80)</f>
        <v>983502.00000000012</v>
      </c>
      <c r="R80" s="17">
        <f>Q80/13</f>
        <v>75654.000000000015</v>
      </c>
    </row>
    <row r="81" spans="1:18" ht="12.75" customHeight="1">
      <c r="A81" s="4">
        <f t="shared" si="28"/>
        <v>70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12.75" customHeight="1">
      <c r="A82" s="4">
        <f t="shared" si="28"/>
        <v>71</v>
      </c>
      <c r="B82" t="s">
        <v>174</v>
      </c>
      <c r="D82" s="5">
        <f t="shared" ref="D82:P82" si="32">D74-D80</f>
        <v>181116.44444444444</v>
      </c>
      <c r="E82" s="5">
        <f t="shared" si="32"/>
        <v>200069</v>
      </c>
      <c r="F82" s="5">
        <f t="shared" si="32"/>
        <v>218327.11111111112</v>
      </c>
      <c r="G82" s="5">
        <f t="shared" si="32"/>
        <v>235890.77777777778</v>
      </c>
      <c r="H82" s="5">
        <f t="shared" si="32"/>
        <v>252760</v>
      </c>
      <c r="I82" s="5">
        <f t="shared" si="32"/>
        <v>268934.77777777775</v>
      </c>
      <c r="J82" s="5">
        <f t="shared" si="32"/>
        <v>284415.11111111112</v>
      </c>
      <c r="K82" s="5">
        <f t="shared" si="32"/>
        <v>299201</v>
      </c>
      <c r="L82" s="5">
        <f t="shared" si="32"/>
        <v>313292.44444444444</v>
      </c>
      <c r="M82" s="5">
        <f t="shared" si="32"/>
        <v>326689.44444444444</v>
      </c>
      <c r="N82" s="5">
        <f t="shared" si="32"/>
        <v>339392</v>
      </c>
      <c r="O82" s="5">
        <f t="shared" si="32"/>
        <v>351400.11111111107</v>
      </c>
      <c r="P82" s="5">
        <f t="shared" si="32"/>
        <v>362713.77777777775</v>
      </c>
      <c r="Q82" s="5">
        <f>SUM(D82:P82)</f>
        <v>3634202</v>
      </c>
      <c r="R82" s="5">
        <f>Q82/13</f>
        <v>279554</v>
      </c>
    </row>
    <row r="83" spans="1:18" ht="12.75" customHeight="1">
      <c r="A83" s="4">
        <f t="shared" si="28"/>
        <v>72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12.75" customHeight="1">
      <c r="A84" s="4">
        <f t="shared" si="28"/>
        <v>73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2.75" customHeight="1">
      <c r="A85" s="4">
        <f t="shared" si="28"/>
        <v>74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12.75" customHeight="1">
      <c r="A86" s="4">
        <f t="shared" si="28"/>
        <v>75</v>
      </c>
      <c r="B86" t="s">
        <v>403</v>
      </c>
      <c r="D86" s="5">
        <f>D71+D55</f>
        <v>0</v>
      </c>
      <c r="E86" s="5">
        <f t="shared" ref="E86:P86" si="33">E55+E71</f>
        <v>205208</v>
      </c>
      <c r="F86" s="5">
        <f t="shared" si="33"/>
        <v>230208</v>
      </c>
      <c r="G86" s="5">
        <f t="shared" si="33"/>
        <v>255208</v>
      </c>
      <c r="H86" s="5">
        <f t="shared" si="33"/>
        <v>280208</v>
      </c>
      <c r="I86" s="5">
        <f t="shared" si="33"/>
        <v>305208</v>
      </c>
      <c r="J86" s="5">
        <f t="shared" si="33"/>
        <v>330208</v>
      </c>
      <c r="K86" s="5">
        <f t="shared" si="33"/>
        <v>355208</v>
      </c>
      <c r="L86" s="5">
        <f t="shared" si="33"/>
        <v>380208</v>
      </c>
      <c r="M86" s="5">
        <f t="shared" si="33"/>
        <v>405208</v>
      </c>
      <c r="N86" s="5">
        <f t="shared" si="33"/>
        <v>430208</v>
      </c>
      <c r="O86" s="5">
        <f t="shared" si="33"/>
        <v>455208</v>
      </c>
      <c r="P86" s="5">
        <f t="shared" si="33"/>
        <v>480208</v>
      </c>
      <c r="Q86" s="5">
        <f>SUM(D86:P86)</f>
        <v>4112496</v>
      </c>
      <c r="R86" s="5">
        <f>Q86/13</f>
        <v>316345.84615384613</v>
      </c>
    </row>
    <row r="87" spans="1:18" ht="12.75" customHeight="1">
      <c r="A87" s="4">
        <f t="shared" si="28"/>
        <v>76</v>
      </c>
      <c r="B87" t="s">
        <v>178</v>
      </c>
      <c r="D87" s="5">
        <f>D56+D72</f>
        <v>0</v>
      </c>
      <c r="E87" s="5">
        <f t="shared" ref="E87:P87" si="34">E56+E72</f>
        <v>25000</v>
      </c>
      <c r="F87" s="5">
        <f t="shared" si="34"/>
        <v>25000</v>
      </c>
      <c r="G87" s="5">
        <f t="shared" si="34"/>
        <v>25000</v>
      </c>
      <c r="H87" s="5">
        <f t="shared" si="34"/>
        <v>25000</v>
      </c>
      <c r="I87" s="5">
        <f t="shared" si="34"/>
        <v>25000</v>
      </c>
      <c r="J87" s="5">
        <f t="shared" si="34"/>
        <v>25000</v>
      </c>
      <c r="K87" s="5">
        <f t="shared" si="34"/>
        <v>25000</v>
      </c>
      <c r="L87" s="5">
        <f t="shared" si="34"/>
        <v>25000</v>
      </c>
      <c r="M87" s="5">
        <f t="shared" si="34"/>
        <v>25000</v>
      </c>
      <c r="N87" s="5">
        <f t="shared" si="34"/>
        <v>25000</v>
      </c>
      <c r="O87" s="5">
        <f t="shared" si="34"/>
        <v>25000</v>
      </c>
      <c r="P87" s="5">
        <f t="shared" si="34"/>
        <v>25000</v>
      </c>
      <c r="Q87" s="5">
        <f>SUM(D87:P87)</f>
        <v>300000</v>
      </c>
      <c r="R87" s="5">
        <f>Q87/13</f>
        <v>23076.923076923078</v>
      </c>
    </row>
    <row r="88" spans="1:18" ht="12.75" customHeight="1">
      <c r="A88" s="4">
        <f t="shared" si="28"/>
        <v>77</v>
      </c>
      <c r="B88" t="s">
        <v>169</v>
      </c>
      <c r="D88" s="5">
        <f>D57+D73</f>
        <v>0</v>
      </c>
      <c r="E88" s="5">
        <f t="shared" ref="E88:P88" si="35">E57+E73</f>
        <v>0</v>
      </c>
      <c r="F88" s="5">
        <f t="shared" si="35"/>
        <v>0</v>
      </c>
      <c r="G88" s="5">
        <f t="shared" si="35"/>
        <v>0</v>
      </c>
      <c r="H88" s="5">
        <f t="shared" si="35"/>
        <v>0</v>
      </c>
      <c r="I88" s="5">
        <f t="shared" si="35"/>
        <v>0</v>
      </c>
      <c r="J88" s="5">
        <f t="shared" si="35"/>
        <v>0</v>
      </c>
      <c r="K88" s="5">
        <f t="shared" si="35"/>
        <v>0</v>
      </c>
      <c r="L88" s="5">
        <f t="shared" si="35"/>
        <v>0</v>
      </c>
      <c r="M88" s="5">
        <f t="shared" si="35"/>
        <v>0</v>
      </c>
      <c r="N88" s="5">
        <f t="shared" si="35"/>
        <v>0</v>
      </c>
      <c r="O88" s="5">
        <f t="shared" si="35"/>
        <v>0</v>
      </c>
      <c r="P88" s="5">
        <f t="shared" si="35"/>
        <v>0</v>
      </c>
      <c r="Q88" s="5">
        <f>SUM(D88:P88)</f>
        <v>0</v>
      </c>
      <c r="R88" s="5">
        <f>Q88/13</f>
        <v>0</v>
      </c>
    </row>
    <row r="89" spans="1:18" ht="12.75" customHeight="1">
      <c r="A89" s="4">
        <f t="shared" si="28"/>
        <v>78</v>
      </c>
      <c r="B89" t="s">
        <v>170</v>
      </c>
      <c r="D89" s="17">
        <f>D58+D74</f>
        <v>205208</v>
      </c>
      <c r="E89" s="17">
        <f t="shared" ref="E89:P89" si="36">E58+E74</f>
        <v>230208</v>
      </c>
      <c r="F89" s="17">
        <f t="shared" si="36"/>
        <v>255208</v>
      </c>
      <c r="G89" s="17">
        <f t="shared" si="36"/>
        <v>280208</v>
      </c>
      <c r="H89" s="17">
        <f t="shared" si="36"/>
        <v>305208</v>
      </c>
      <c r="I89" s="17">
        <f t="shared" si="36"/>
        <v>330208</v>
      </c>
      <c r="J89" s="17">
        <f t="shared" si="36"/>
        <v>355208</v>
      </c>
      <c r="K89" s="17">
        <f t="shared" si="36"/>
        <v>380208</v>
      </c>
      <c r="L89" s="17">
        <f t="shared" si="36"/>
        <v>405208</v>
      </c>
      <c r="M89" s="17">
        <f t="shared" si="36"/>
        <v>430208</v>
      </c>
      <c r="N89" s="17">
        <f t="shared" si="36"/>
        <v>455208</v>
      </c>
      <c r="O89" s="17">
        <f t="shared" si="36"/>
        <v>480208</v>
      </c>
      <c r="P89" s="17">
        <f t="shared" si="36"/>
        <v>505208</v>
      </c>
      <c r="Q89" s="17">
        <f>SUM(D89:P89)</f>
        <v>4617704</v>
      </c>
      <c r="R89" s="17">
        <f>Q89/13</f>
        <v>355208</v>
      </c>
    </row>
    <row r="90" spans="1:18" ht="12.75" customHeight="1">
      <c r="A90" s="4">
        <f t="shared" si="28"/>
        <v>79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16.5" customHeight="1">
      <c r="A91" s="4">
        <f t="shared" si="28"/>
        <v>80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2.75" customHeight="1">
      <c r="A92" s="4">
        <f t="shared" si="28"/>
        <v>81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2.75" customHeight="1">
      <c r="A93" s="4">
        <f t="shared" si="28"/>
        <v>82</v>
      </c>
      <c r="B93" t="s">
        <v>171</v>
      </c>
      <c r="D93" s="5">
        <f t="shared" ref="D93:P93" si="37">D62+D76</f>
        <v>0</v>
      </c>
      <c r="E93" s="5">
        <f t="shared" si="37"/>
        <v>24091.555555555558</v>
      </c>
      <c r="F93" s="5">
        <f t="shared" si="37"/>
        <v>30139.000000000004</v>
      </c>
      <c r="G93" s="5">
        <f t="shared" si="37"/>
        <v>36880.888888888891</v>
      </c>
      <c r="H93" s="5">
        <f t="shared" si="37"/>
        <v>44317.222222222226</v>
      </c>
      <c r="I93" s="5">
        <f t="shared" si="37"/>
        <v>52448.000000000007</v>
      </c>
      <c r="J93" s="5">
        <f t="shared" si="37"/>
        <v>61273.222222222234</v>
      </c>
      <c r="K93" s="5">
        <f t="shared" si="37"/>
        <v>70792.888888888905</v>
      </c>
      <c r="L93" s="5">
        <f t="shared" si="37"/>
        <v>81007.000000000015</v>
      </c>
      <c r="M93" s="5">
        <f t="shared" si="37"/>
        <v>91915.555555555577</v>
      </c>
      <c r="N93" s="5">
        <f t="shared" si="37"/>
        <v>103518.55555555558</v>
      </c>
      <c r="O93" s="5">
        <f t="shared" si="37"/>
        <v>115816.00000000003</v>
      </c>
      <c r="P93" s="5">
        <f t="shared" si="37"/>
        <v>128807.88888888892</v>
      </c>
      <c r="Q93" s="5">
        <f>SUM(D93:P93)</f>
        <v>841007.77777777787</v>
      </c>
      <c r="R93" s="5">
        <f>Q93/13</f>
        <v>64692.905982905992</v>
      </c>
    </row>
    <row r="94" spans="1:18" ht="12.75" customHeight="1">
      <c r="A94" s="4">
        <f t="shared" si="28"/>
        <v>83</v>
      </c>
      <c r="B94" t="s">
        <v>172</v>
      </c>
      <c r="D94" s="5">
        <f t="shared" ref="D94:P94" si="38">D63+D77</f>
        <v>0</v>
      </c>
      <c r="E94" s="5">
        <f t="shared" si="38"/>
        <v>0</v>
      </c>
      <c r="F94" s="5">
        <f t="shared" si="38"/>
        <v>0</v>
      </c>
      <c r="G94" s="5">
        <f t="shared" si="38"/>
        <v>0</v>
      </c>
      <c r="H94" s="5">
        <f t="shared" si="38"/>
        <v>0</v>
      </c>
      <c r="I94" s="5">
        <f t="shared" si="38"/>
        <v>0</v>
      </c>
      <c r="J94" s="5">
        <f t="shared" si="38"/>
        <v>0</v>
      </c>
      <c r="K94" s="5">
        <f t="shared" si="38"/>
        <v>0</v>
      </c>
      <c r="L94" s="5">
        <f t="shared" si="38"/>
        <v>0</v>
      </c>
      <c r="M94" s="5">
        <f t="shared" si="38"/>
        <v>0</v>
      </c>
      <c r="N94" s="5">
        <f t="shared" si="38"/>
        <v>0</v>
      </c>
      <c r="O94" s="5">
        <f t="shared" si="38"/>
        <v>0</v>
      </c>
      <c r="P94" s="5">
        <f t="shared" si="38"/>
        <v>0</v>
      </c>
      <c r="Q94" s="5">
        <f>SUM(D94:P94)</f>
        <v>0</v>
      </c>
      <c r="R94" s="5">
        <f>Q94/13</f>
        <v>0</v>
      </c>
    </row>
    <row r="95" spans="1:18" ht="12.75" customHeight="1">
      <c r="A95" s="4">
        <f t="shared" si="28"/>
        <v>84</v>
      </c>
      <c r="B95" t="s">
        <v>169</v>
      </c>
      <c r="D95" s="5">
        <f t="shared" ref="D95:P95" si="39">D64+D78</f>
        <v>0</v>
      </c>
      <c r="E95" s="5">
        <f t="shared" si="39"/>
        <v>0</v>
      </c>
      <c r="F95" s="5">
        <f t="shared" si="39"/>
        <v>0</v>
      </c>
      <c r="G95" s="5">
        <f t="shared" si="39"/>
        <v>0</v>
      </c>
      <c r="H95" s="5">
        <f t="shared" si="39"/>
        <v>0</v>
      </c>
      <c r="I95" s="5">
        <f t="shared" si="39"/>
        <v>0</v>
      </c>
      <c r="J95" s="5">
        <f t="shared" si="39"/>
        <v>0</v>
      </c>
      <c r="K95" s="5">
        <f t="shared" si="39"/>
        <v>0</v>
      </c>
      <c r="L95" s="5">
        <f t="shared" si="39"/>
        <v>0</v>
      </c>
      <c r="M95" s="5">
        <f t="shared" si="39"/>
        <v>0</v>
      </c>
      <c r="N95" s="5">
        <f t="shared" si="39"/>
        <v>0</v>
      </c>
      <c r="O95" s="5">
        <f t="shared" si="39"/>
        <v>0</v>
      </c>
      <c r="P95" s="5">
        <f t="shared" si="39"/>
        <v>0</v>
      </c>
      <c r="Q95" s="5">
        <f>SUM(D95:P95)</f>
        <v>0</v>
      </c>
      <c r="R95" s="5">
        <f>Q95/13</f>
        <v>0</v>
      </c>
    </row>
    <row r="96" spans="1:18" ht="12.75" customHeight="1">
      <c r="A96" s="4">
        <f t="shared" si="28"/>
        <v>85</v>
      </c>
      <c r="B96" t="s">
        <v>173</v>
      </c>
      <c r="D96" s="5"/>
      <c r="E96" s="5">
        <f t="shared" ref="E96:P96" si="40">E65+E79</f>
        <v>6047.4444444444453</v>
      </c>
      <c r="F96" s="5">
        <f t="shared" si="40"/>
        <v>6741.8888888888905</v>
      </c>
      <c r="G96" s="5">
        <f t="shared" si="40"/>
        <v>7436.3333333333348</v>
      </c>
      <c r="H96" s="5">
        <f t="shared" si="40"/>
        <v>8130.7777777777801</v>
      </c>
      <c r="I96" s="5">
        <f t="shared" si="40"/>
        <v>8825.2222222222226</v>
      </c>
      <c r="J96" s="5">
        <f t="shared" si="40"/>
        <v>9519.6666666666679</v>
      </c>
      <c r="K96" s="5">
        <f t="shared" si="40"/>
        <v>10214.111111111113</v>
      </c>
      <c r="L96" s="5">
        <f t="shared" si="40"/>
        <v>10908.555555555557</v>
      </c>
      <c r="M96" s="5">
        <f t="shared" si="40"/>
        <v>11603.000000000002</v>
      </c>
      <c r="N96" s="5">
        <f t="shared" si="40"/>
        <v>12297.444444444447</v>
      </c>
      <c r="O96" s="5">
        <f t="shared" si="40"/>
        <v>12991.888888888892</v>
      </c>
      <c r="P96" s="5">
        <f t="shared" si="40"/>
        <v>13686.333333333334</v>
      </c>
      <c r="Q96" s="5">
        <f>SUM(D96:P96)</f>
        <v>118402.66666666669</v>
      </c>
      <c r="R96" s="5">
        <f>Q96/13</f>
        <v>9107.8974358974374</v>
      </c>
    </row>
    <row r="97" spans="1:18" ht="12.75" customHeight="1">
      <c r="A97" s="4">
        <f t="shared" si="28"/>
        <v>86</v>
      </c>
      <c r="B97" t="s">
        <v>170</v>
      </c>
      <c r="D97" s="17">
        <f>D66+D80</f>
        <v>24091.555555555558</v>
      </c>
      <c r="E97" s="17">
        <f t="shared" ref="E97:P97" si="41">E66+E80</f>
        <v>30139.000000000004</v>
      </c>
      <c r="F97" s="17">
        <f t="shared" si="41"/>
        <v>36880.888888888891</v>
      </c>
      <c r="G97" s="17">
        <f t="shared" si="41"/>
        <v>44317.222222222226</v>
      </c>
      <c r="H97" s="17">
        <f t="shared" si="41"/>
        <v>52448.000000000007</v>
      </c>
      <c r="I97" s="17">
        <f t="shared" si="41"/>
        <v>61273.222222222234</v>
      </c>
      <c r="J97" s="17">
        <f t="shared" si="41"/>
        <v>70792.888888888905</v>
      </c>
      <c r="K97" s="17">
        <f t="shared" si="41"/>
        <v>81007.000000000015</v>
      </c>
      <c r="L97" s="17">
        <f t="shared" si="41"/>
        <v>91915.555555555577</v>
      </c>
      <c r="M97" s="17">
        <f t="shared" si="41"/>
        <v>103518.55555555558</v>
      </c>
      <c r="N97" s="17">
        <f t="shared" si="41"/>
        <v>115816.00000000003</v>
      </c>
      <c r="O97" s="17">
        <f t="shared" si="41"/>
        <v>128807.88888888892</v>
      </c>
      <c r="P97" s="17">
        <f t="shared" si="41"/>
        <v>142494.22222222225</v>
      </c>
      <c r="Q97" s="17">
        <f>SUM(D97:P97)</f>
        <v>983502.00000000012</v>
      </c>
      <c r="R97" s="17">
        <f>Q97/13</f>
        <v>75654.000000000015</v>
      </c>
    </row>
    <row r="98" spans="1:18" ht="12.75" customHeight="1">
      <c r="A98" s="4">
        <f t="shared" si="28"/>
        <v>87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12.75" customHeight="1">
      <c r="A99" s="4">
        <f t="shared" si="28"/>
        <v>88</v>
      </c>
      <c r="B99" t="s">
        <v>174</v>
      </c>
      <c r="D99" s="5">
        <f>D89-D97</f>
        <v>181116.44444444444</v>
      </c>
      <c r="E99" s="5">
        <f>E89-E97</f>
        <v>200069</v>
      </c>
      <c r="F99" s="5">
        <f t="shared" ref="F99:P99" si="42">F89-F97</f>
        <v>218327.11111111112</v>
      </c>
      <c r="G99" s="5">
        <f t="shared" si="42"/>
        <v>235890.77777777778</v>
      </c>
      <c r="H99" s="5">
        <f t="shared" si="42"/>
        <v>252760</v>
      </c>
      <c r="I99" s="5">
        <f t="shared" si="42"/>
        <v>268934.77777777775</v>
      </c>
      <c r="J99" s="5">
        <f t="shared" si="42"/>
        <v>284415.11111111112</v>
      </c>
      <c r="K99" s="5">
        <f t="shared" si="42"/>
        <v>299201</v>
      </c>
      <c r="L99" s="5">
        <f t="shared" si="42"/>
        <v>313292.44444444444</v>
      </c>
      <c r="M99" s="5">
        <f t="shared" si="42"/>
        <v>326689.44444444444</v>
      </c>
      <c r="N99" s="5">
        <f t="shared" si="42"/>
        <v>339392</v>
      </c>
      <c r="O99" s="5">
        <f t="shared" si="42"/>
        <v>351400.11111111107</v>
      </c>
      <c r="P99" s="5">
        <f t="shared" si="42"/>
        <v>362713.77777777775</v>
      </c>
      <c r="Q99" s="5">
        <f>SUM(D99:P99)</f>
        <v>3634202</v>
      </c>
      <c r="R99" s="5">
        <f>Q99/13</f>
        <v>279554</v>
      </c>
    </row>
    <row r="101" spans="1:18" ht="12.75" customHeight="1">
      <c r="R101" s="21" t="s">
        <v>395</v>
      </c>
    </row>
    <row r="102" spans="1:18" ht="12.75" customHeight="1">
      <c r="R102" s="22" t="s">
        <v>396</v>
      </c>
    </row>
    <row r="103" spans="1:18" ht="12.75" customHeight="1">
      <c r="B103" s="19" t="s">
        <v>393</v>
      </c>
      <c r="R103" s="22" t="s">
        <v>397</v>
      </c>
    </row>
    <row r="104" spans="1:18" ht="12.75" customHeight="1">
      <c r="B104" s="20" t="s">
        <v>394</v>
      </c>
      <c r="R104" s="22" t="s">
        <v>398</v>
      </c>
    </row>
    <row r="135" ht="16.5" customHeight="1"/>
  </sheetData>
  <mergeCells count="4">
    <mergeCell ref="A3:R3"/>
    <mergeCell ref="A5:R5"/>
    <mergeCell ref="A4:R4"/>
    <mergeCell ref="A6:R6"/>
  </mergeCells>
  <printOptions horizontalCentered="1"/>
  <pageMargins left="0.27" right="0.25" top="0.222440945" bottom="0.35433070866141703" header="0" footer="0.15748031496063"/>
  <pageSetup scale="44" orientation="landscape" useFirstPageNumber="1" r:id="rId1"/>
  <headerFooter alignWithMargins="0"/>
  <rowBreaks count="2" manualBreakCount="2">
    <brk id="89" min="1" max="17" man="1"/>
    <brk id="13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312126">
    <tabColor theme="4" tint="0.39997558519241921"/>
    <pageSetUpPr autoPageBreaks="0" fitToPage="1"/>
  </sheetPr>
  <dimension ref="A3:Y139"/>
  <sheetViews>
    <sheetView topLeftCell="A3" zoomScale="75" zoomScaleNormal="75" zoomScaleSheetLayoutView="75" workbookViewId="0">
      <pane xSplit="1" ySplit="8" topLeftCell="B47" activePane="bottomRight" state="frozen"/>
      <selection activeCell="G50" sqref="G50"/>
      <selection pane="topRight" activeCell="G50" sqref="G50"/>
      <selection pane="bottomLeft" activeCell="G50" sqref="G50"/>
      <selection pane="bottomRight" activeCell="F83" sqref="F83"/>
    </sheetView>
  </sheetViews>
  <sheetFormatPr baseColWidth="10" defaultColWidth="12.42578125" defaultRowHeight="12.75" customHeight="1"/>
  <cols>
    <col min="1" max="1" width="4.7109375" customWidth="1"/>
    <col min="2" max="2" width="31.140625" customWidth="1"/>
    <col min="3" max="3" width="9.85546875" customWidth="1"/>
    <col min="4" max="4" width="13.42578125" customWidth="1"/>
    <col min="5" max="5" width="12.7109375" customWidth="1"/>
    <col min="6" max="16" width="13.140625" customWidth="1"/>
    <col min="17" max="17" width="16" customWidth="1"/>
    <col min="18" max="18" width="16.5703125" customWidth="1"/>
    <col min="19" max="19" width="5.28515625" customWidth="1"/>
    <col min="21" max="21" width="5.42578125" customWidth="1"/>
  </cols>
  <sheetData>
    <row r="3" spans="1:22" ht="15.75" customHeight="1">
      <c r="A3" s="28" t="s">
        <v>129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2" ht="12.75" customHeight="1">
      <c r="A4" s="28" t="s">
        <v>130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2" ht="12.7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9" spans="1:22" ht="12.75" customHeight="1">
      <c r="C9" t="s">
        <v>131</v>
      </c>
      <c r="Q9" t="s">
        <v>132</v>
      </c>
      <c r="R9" t="s">
        <v>132</v>
      </c>
      <c r="T9" t="s">
        <v>133</v>
      </c>
      <c r="V9" t="s">
        <v>134</v>
      </c>
    </row>
    <row r="10" spans="1:22" ht="12.75" customHeight="1">
      <c r="C10" t="s">
        <v>135</v>
      </c>
      <c r="D10" t="s">
        <v>136</v>
      </c>
      <c r="E10" t="s">
        <v>137</v>
      </c>
      <c r="F10" t="s">
        <v>138</v>
      </c>
      <c r="G10" t="s">
        <v>139</v>
      </c>
      <c r="H10" t="s">
        <v>140</v>
      </c>
      <c r="I10" t="s">
        <v>141</v>
      </c>
      <c r="J10" t="s">
        <v>142</v>
      </c>
      <c r="K10" t="s">
        <v>143</v>
      </c>
      <c r="L10" t="s">
        <v>144</v>
      </c>
      <c r="M10" t="s">
        <v>145</v>
      </c>
      <c r="N10" t="s">
        <v>146</v>
      </c>
      <c r="O10" t="s">
        <v>147</v>
      </c>
      <c r="P10" t="s">
        <v>136</v>
      </c>
      <c r="Q10" t="s">
        <v>148</v>
      </c>
      <c r="R10" t="s">
        <v>149</v>
      </c>
      <c r="T10" t="s">
        <v>150</v>
      </c>
      <c r="V10" t="s">
        <v>151</v>
      </c>
    </row>
    <row r="11" spans="1:22" ht="12.75" customHeight="1">
      <c r="D11" t="s">
        <v>152</v>
      </c>
      <c r="E11" t="s">
        <v>153</v>
      </c>
      <c r="F11" t="s">
        <v>154</v>
      </c>
      <c r="G11" t="s">
        <v>155</v>
      </c>
      <c r="H11" t="s">
        <v>156</v>
      </c>
      <c r="I11" t="s">
        <v>157</v>
      </c>
      <c r="J11" t="s">
        <v>158</v>
      </c>
      <c r="K11" t="s">
        <v>159</v>
      </c>
      <c r="L11" t="s">
        <v>160</v>
      </c>
      <c r="M11" t="s">
        <v>161</v>
      </c>
      <c r="N11" t="s">
        <v>162</v>
      </c>
      <c r="O11" t="s">
        <v>163</v>
      </c>
      <c r="P11" t="s">
        <v>164</v>
      </c>
      <c r="Q11" t="s">
        <v>165</v>
      </c>
      <c r="R11" t="s">
        <v>166</v>
      </c>
    </row>
    <row r="14" spans="1:22" ht="12.75" customHeight="1">
      <c r="A14">
        <f>1</f>
        <v>1</v>
      </c>
      <c r="B14" t="s">
        <v>167</v>
      </c>
      <c r="E14">
        <f t="shared" ref="E14:P14" si="0">D17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>SUM(D14:P14)</f>
        <v>0</v>
      </c>
      <c r="R14">
        <f>Q14/13</f>
        <v>0</v>
      </c>
      <c r="T14">
        <f>(D14+P14)/2</f>
        <v>0</v>
      </c>
      <c r="V14">
        <f>R14-T14</f>
        <v>0</v>
      </c>
    </row>
    <row r="15" spans="1:22" ht="12.75" customHeight="1">
      <c r="A15">
        <f t="shared" ref="A15:A70" si="1">A14+1</f>
        <v>2</v>
      </c>
      <c r="B15" t="s">
        <v>168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>'GI-34 doc 3 page 1 de 2'!C35</f>
        <v>0</v>
      </c>
      <c r="Q15">
        <f>SUM(D15:P15)</f>
        <v>0</v>
      </c>
      <c r="R15">
        <f>Q15/13</f>
        <v>0</v>
      </c>
      <c r="T15">
        <f>(D15+P15)/2</f>
        <v>0</v>
      </c>
      <c r="V15">
        <f>R15-T15</f>
        <v>0</v>
      </c>
    </row>
    <row r="16" spans="1:22" ht="12.75" customHeight="1">
      <c r="A16">
        <f t="shared" si="1"/>
        <v>3</v>
      </c>
      <c r="B16" t="s">
        <v>169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SUM(D16:P16)</f>
        <v>0</v>
      </c>
      <c r="R16">
        <f>Q16/13</f>
        <v>0</v>
      </c>
      <c r="T16">
        <f>(D16+P16)/2</f>
        <v>0</v>
      </c>
      <c r="V16">
        <f>R16-T16</f>
        <v>0</v>
      </c>
    </row>
    <row r="17" spans="1:22" ht="15" customHeight="1">
      <c r="A17">
        <f t="shared" si="1"/>
        <v>4</v>
      </c>
      <c r="B17" t="s">
        <v>170</v>
      </c>
      <c r="D17">
        <f>'GI-34 doc 3 page 2 de 2'!P15</f>
        <v>0</v>
      </c>
      <c r="E17">
        <f t="shared" ref="E17:P17" si="2">SUM(E14:E16)</f>
        <v>0</v>
      </c>
      <c r="F17">
        <f t="shared" si="2"/>
        <v>0</v>
      </c>
      <c r="G17">
        <f t="shared" si="2"/>
        <v>0</v>
      </c>
      <c r="H17">
        <f t="shared" si="2"/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>SUM(D17:P17)</f>
        <v>0</v>
      </c>
      <c r="R17">
        <f>Q17/13</f>
        <v>0</v>
      </c>
      <c r="T17">
        <f>(D17+P17)/2</f>
        <v>0</v>
      </c>
      <c r="V17">
        <f>R17-T17</f>
        <v>0</v>
      </c>
    </row>
    <row r="18" spans="1:22" ht="12.75" customHeight="1">
      <c r="A18">
        <f t="shared" si="1"/>
        <v>5</v>
      </c>
    </row>
    <row r="19" spans="1:22" ht="12.75" customHeight="1">
      <c r="A19">
        <f t="shared" si="1"/>
        <v>6</v>
      </c>
      <c r="B19" t="s">
        <v>171</v>
      </c>
      <c r="E19">
        <f t="shared" ref="E19:P19" si="3">D23</f>
        <v>0</v>
      </c>
      <c r="F19">
        <f t="shared" si="3"/>
        <v>0</v>
      </c>
      <c r="G19">
        <f t="shared" si="3"/>
        <v>0</v>
      </c>
      <c r="H19">
        <f t="shared" si="3"/>
        <v>0</v>
      </c>
      <c r="I19">
        <f t="shared" si="3"/>
        <v>0</v>
      </c>
      <c r="J19">
        <f t="shared" si="3"/>
        <v>0</v>
      </c>
      <c r="K19">
        <f t="shared" si="3"/>
        <v>0</v>
      </c>
      <c r="L19">
        <f t="shared" si="3"/>
        <v>0</v>
      </c>
      <c r="M19">
        <f t="shared" si="3"/>
        <v>0</v>
      </c>
      <c r="N19">
        <f t="shared" si="3"/>
        <v>0</v>
      </c>
      <c r="O19">
        <f t="shared" si="3"/>
        <v>0</v>
      </c>
      <c r="P19">
        <f t="shared" si="3"/>
        <v>0</v>
      </c>
      <c r="Q19">
        <f>SUM(D19:P19)</f>
        <v>0</v>
      </c>
      <c r="R19">
        <f>Q19/13</f>
        <v>0</v>
      </c>
      <c r="T19">
        <f>(D19+P19)/2</f>
        <v>0</v>
      </c>
      <c r="V19">
        <f>R19-T19</f>
        <v>0</v>
      </c>
    </row>
    <row r="20" spans="1:22" ht="12.75" customHeight="1">
      <c r="A20">
        <f t="shared" si="1"/>
        <v>7</v>
      </c>
      <c r="B20" t="s">
        <v>172</v>
      </c>
      <c r="Q20">
        <f>SUM(D20:P20)</f>
        <v>0</v>
      </c>
      <c r="R20">
        <f>Q20/13</f>
        <v>0</v>
      </c>
      <c r="T20">
        <f>(D20+P20)/2</f>
        <v>0</v>
      </c>
      <c r="V20">
        <f>R20-T20</f>
        <v>0</v>
      </c>
    </row>
    <row r="21" spans="1:22" ht="12.75" customHeight="1">
      <c r="A21">
        <f t="shared" si="1"/>
        <v>8</v>
      </c>
      <c r="B21" t="s">
        <v>169</v>
      </c>
      <c r="E21">
        <f t="shared" ref="E21:P21" si="4">E16</f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4"/>
        <v>0</v>
      </c>
      <c r="N21">
        <f t="shared" si="4"/>
        <v>0</v>
      </c>
      <c r="O21">
        <f t="shared" si="4"/>
        <v>0</v>
      </c>
      <c r="P21">
        <f t="shared" si="4"/>
        <v>0</v>
      </c>
      <c r="Q21">
        <f>SUM(D20:P21)</f>
        <v>0</v>
      </c>
      <c r="R21">
        <f>Q21/13</f>
        <v>0</v>
      </c>
      <c r="T21">
        <f>(D21+P21)/2</f>
        <v>0</v>
      </c>
      <c r="V21">
        <f>R21-T21</f>
        <v>0</v>
      </c>
    </row>
    <row r="22" spans="1:22" ht="12.75" customHeight="1">
      <c r="A22">
        <f t="shared" si="1"/>
        <v>9</v>
      </c>
      <c r="B22" t="s">
        <v>173</v>
      </c>
      <c r="C22">
        <v>2.2200000000000002</v>
      </c>
      <c r="E22">
        <f t="shared" ref="E22:P22" si="5">E17*$C22/100/12</f>
        <v>0</v>
      </c>
      <c r="F22">
        <f t="shared" si="5"/>
        <v>0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  <c r="Q22">
        <f>SUM(D22:P22)</f>
        <v>0</v>
      </c>
      <c r="R22">
        <f>Q22/13</f>
        <v>0</v>
      </c>
      <c r="T22">
        <f>(D22+P22)/2</f>
        <v>0</v>
      </c>
      <c r="V22">
        <f>R22-T22</f>
        <v>0</v>
      </c>
    </row>
    <row r="23" spans="1:22" ht="15" customHeight="1">
      <c r="A23">
        <f t="shared" si="1"/>
        <v>10</v>
      </c>
      <c r="B23" t="s">
        <v>170</v>
      </c>
      <c r="D23">
        <f>'GI-34 doc 3 page 2 de 2'!P21</f>
        <v>0</v>
      </c>
      <c r="E23">
        <f>SUM(E19:E22)</f>
        <v>0</v>
      </c>
      <c r="F23">
        <f t="shared" ref="F23:P23" si="6">SUM(F19:F22)</f>
        <v>0</v>
      </c>
      <c r="G23">
        <f t="shared" si="6"/>
        <v>0</v>
      </c>
      <c r="H23">
        <f t="shared" si="6"/>
        <v>0</v>
      </c>
      <c r="I23">
        <f t="shared" si="6"/>
        <v>0</v>
      </c>
      <c r="J23">
        <f t="shared" si="6"/>
        <v>0</v>
      </c>
      <c r="K23">
        <f t="shared" si="6"/>
        <v>0</v>
      </c>
      <c r="L23">
        <f t="shared" si="6"/>
        <v>0</v>
      </c>
      <c r="M23">
        <f t="shared" si="6"/>
        <v>0</v>
      </c>
      <c r="N23">
        <f t="shared" si="6"/>
        <v>0</v>
      </c>
      <c r="O23">
        <f t="shared" si="6"/>
        <v>0</v>
      </c>
      <c r="P23">
        <f t="shared" si="6"/>
        <v>0</v>
      </c>
      <c r="Q23">
        <f>SUM(D23:P23)</f>
        <v>0</v>
      </c>
      <c r="R23">
        <f>Q23/13</f>
        <v>0</v>
      </c>
      <c r="T23">
        <f>(D23+P23)/2</f>
        <v>0</v>
      </c>
      <c r="V23">
        <f>R23-T23</f>
        <v>0</v>
      </c>
    </row>
    <row r="24" spans="1:22" ht="12.75" customHeight="1">
      <c r="A24">
        <f t="shared" si="1"/>
        <v>11</v>
      </c>
    </row>
    <row r="25" spans="1:22" ht="12.75" customHeight="1">
      <c r="A25">
        <f t="shared" si="1"/>
        <v>12</v>
      </c>
      <c r="B25" t="s">
        <v>174</v>
      </c>
      <c r="D25">
        <f t="shared" ref="D25:P25" si="7">D17-D23</f>
        <v>0</v>
      </c>
      <c r="E25">
        <f t="shared" si="7"/>
        <v>0</v>
      </c>
      <c r="F25">
        <f t="shared" si="7"/>
        <v>0</v>
      </c>
      <c r="G25">
        <f t="shared" si="7"/>
        <v>0</v>
      </c>
      <c r="H25">
        <f t="shared" si="7"/>
        <v>0</v>
      </c>
      <c r="I25">
        <f t="shared" si="7"/>
        <v>0</v>
      </c>
      <c r="J25">
        <f t="shared" si="7"/>
        <v>0</v>
      </c>
      <c r="K25">
        <f t="shared" si="7"/>
        <v>0</v>
      </c>
      <c r="L25">
        <f t="shared" si="7"/>
        <v>0</v>
      </c>
      <c r="M25">
        <f t="shared" si="7"/>
        <v>0</v>
      </c>
      <c r="N25">
        <f t="shared" si="7"/>
        <v>0</v>
      </c>
      <c r="O25">
        <f t="shared" si="7"/>
        <v>0</v>
      </c>
      <c r="P25">
        <f t="shared" si="7"/>
        <v>0</v>
      </c>
      <c r="Q25">
        <f>SUM(D25:P25)</f>
        <v>0</v>
      </c>
      <c r="R25">
        <f>Q25/13</f>
        <v>0</v>
      </c>
      <c r="T25">
        <f>(D25+P25)/2</f>
        <v>0</v>
      </c>
      <c r="V25">
        <f>R25-T25</f>
        <v>0</v>
      </c>
    </row>
    <row r="26" spans="1:22" ht="12.75" customHeight="1">
      <c r="A26">
        <f t="shared" si="1"/>
        <v>13</v>
      </c>
    </row>
    <row r="27" spans="1:22" ht="12.75" customHeight="1">
      <c r="A27">
        <f t="shared" si="1"/>
        <v>14</v>
      </c>
    </row>
    <row r="28" spans="1:22" ht="12.75" customHeight="1">
      <c r="A28">
        <f t="shared" si="1"/>
        <v>15</v>
      </c>
      <c r="B28" t="s">
        <v>175</v>
      </c>
      <c r="E28">
        <f t="shared" ref="E28:P28" si="8">D31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>SUM(D28:P28)</f>
        <v>0</v>
      </c>
      <c r="R28">
        <f>Q28/13</f>
        <v>0</v>
      </c>
      <c r="T28">
        <f>(D28+P28)/2</f>
        <v>0</v>
      </c>
      <c r="V28">
        <f>R28-T28</f>
        <v>0</v>
      </c>
    </row>
    <row r="29" spans="1:22" ht="12.75" customHeight="1">
      <c r="A29">
        <f t="shared" si="1"/>
        <v>16</v>
      </c>
      <c r="B29" t="s">
        <v>168</v>
      </c>
      <c r="K29">
        <f>'GI-34 doc 3 page 1 de 2'!D35</f>
        <v>0</v>
      </c>
      <c r="Q29">
        <f>SUM(D29:P29)</f>
        <v>0</v>
      </c>
      <c r="R29">
        <f>Q29/13</f>
        <v>0</v>
      </c>
      <c r="T29">
        <f>(D29+P29)/2</f>
        <v>0</v>
      </c>
      <c r="V29">
        <f>R29-T29</f>
        <v>0</v>
      </c>
    </row>
    <row r="30" spans="1:22" ht="12.75" customHeight="1">
      <c r="A30">
        <f t="shared" si="1"/>
        <v>17</v>
      </c>
      <c r="B30" t="s">
        <v>169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SUM(D30:P30)</f>
        <v>0</v>
      </c>
      <c r="R30">
        <f>Q30/13</f>
        <v>0</v>
      </c>
      <c r="T30">
        <f>(D30+P30)/2</f>
        <v>0</v>
      </c>
      <c r="V30">
        <f>R30-T30</f>
        <v>0</v>
      </c>
    </row>
    <row r="31" spans="1:22" ht="12.75" customHeight="1">
      <c r="A31">
        <f t="shared" si="1"/>
        <v>18</v>
      </c>
      <c r="B31" t="s">
        <v>170</v>
      </c>
      <c r="D31">
        <f>'GI-34 doc 3 page 2 de 2'!P29</f>
        <v>0</v>
      </c>
      <c r="E31">
        <f t="shared" ref="E31:P31" si="9">SUM(E28:E30)</f>
        <v>0</v>
      </c>
      <c r="F31">
        <f t="shared" si="9"/>
        <v>0</v>
      </c>
      <c r="G31">
        <f t="shared" si="9"/>
        <v>0</v>
      </c>
      <c r="H31">
        <f t="shared" si="9"/>
        <v>0</v>
      </c>
      <c r="I31">
        <f t="shared" si="9"/>
        <v>0</v>
      </c>
      <c r="J31">
        <f t="shared" si="9"/>
        <v>0</v>
      </c>
      <c r="K31">
        <f t="shared" si="9"/>
        <v>0</v>
      </c>
      <c r="L31">
        <f t="shared" si="9"/>
        <v>0</v>
      </c>
      <c r="M31">
        <f t="shared" si="9"/>
        <v>0</v>
      </c>
      <c r="N31">
        <f t="shared" si="9"/>
        <v>0</v>
      </c>
      <c r="O31">
        <f t="shared" si="9"/>
        <v>0</v>
      </c>
      <c r="P31">
        <f t="shared" si="9"/>
        <v>0</v>
      </c>
      <c r="Q31">
        <f>SUM(D31:P31)</f>
        <v>0</v>
      </c>
      <c r="R31">
        <f>Q31/13</f>
        <v>0</v>
      </c>
      <c r="T31">
        <f>(D31+P31)/2</f>
        <v>0</v>
      </c>
      <c r="V31">
        <f>R31-T31</f>
        <v>0</v>
      </c>
    </row>
    <row r="32" spans="1:22" ht="12.75" customHeight="1">
      <c r="A32">
        <f t="shared" si="1"/>
        <v>19</v>
      </c>
    </row>
    <row r="33" spans="1:22" ht="12.75" customHeight="1">
      <c r="A33">
        <f t="shared" si="1"/>
        <v>20</v>
      </c>
      <c r="B33" t="s">
        <v>171</v>
      </c>
      <c r="E33">
        <f t="shared" ref="E33:P33" si="10">D37</f>
        <v>0</v>
      </c>
      <c r="F33">
        <f t="shared" si="10"/>
        <v>0</v>
      </c>
      <c r="G33">
        <f t="shared" si="10"/>
        <v>0</v>
      </c>
      <c r="H33">
        <f t="shared" si="10"/>
        <v>0</v>
      </c>
      <c r="I33">
        <f t="shared" si="10"/>
        <v>0</v>
      </c>
      <c r="J33">
        <f t="shared" si="10"/>
        <v>0</v>
      </c>
      <c r="K33">
        <f t="shared" si="10"/>
        <v>0</v>
      </c>
      <c r="L33">
        <f t="shared" si="10"/>
        <v>0</v>
      </c>
      <c r="M33">
        <f t="shared" si="10"/>
        <v>0</v>
      </c>
      <c r="N33">
        <f t="shared" si="10"/>
        <v>0</v>
      </c>
      <c r="O33">
        <f t="shared" si="10"/>
        <v>0</v>
      </c>
      <c r="P33">
        <f t="shared" si="10"/>
        <v>0</v>
      </c>
      <c r="Q33">
        <f>SUM(D33:P33)</f>
        <v>0</v>
      </c>
      <c r="R33">
        <f>Q33/13</f>
        <v>0</v>
      </c>
      <c r="T33">
        <f>(D33+P33)/2</f>
        <v>0</v>
      </c>
      <c r="V33">
        <f>R33-T33</f>
        <v>0</v>
      </c>
    </row>
    <row r="34" spans="1:22" ht="12.75" customHeight="1">
      <c r="A34">
        <f t="shared" si="1"/>
        <v>21</v>
      </c>
      <c r="B34" t="s">
        <v>172</v>
      </c>
      <c r="Q34">
        <f>SUM(D34:P34)</f>
        <v>0</v>
      </c>
      <c r="R34">
        <f>Q34/13</f>
        <v>0</v>
      </c>
      <c r="T34">
        <f>(D34+P34)/2</f>
        <v>0</v>
      </c>
      <c r="V34">
        <f>R34-T34</f>
        <v>0</v>
      </c>
    </row>
    <row r="35" spans="1:22" ht="12.75" customHeight="1">
      <c r="A35">
        <f t="shared" si="1"/>
        <v>22</v>
      </c>
      <c r="B35" t="s">
        <v>169</v>
      </c>
      <c r="E35">
        <f t="shared" ref="E35:P35" si="11">E30</f>
        <v>0</v>
      </c>
      <c r="F35">
        <f t="shared" si="11"/>
        <v>0</v>
      </c>
      <c r="G35">
        <f t="shared" si="11"/>
        <v>0</v>
      </c>
      <c r="H35">
        <f t="shared" si="11"/>
        <v>0</v>
      </c>
      <c r="I35">
        <f t="shared" si="11"/>
        <v>0</v>
      </c>
      <c r="J35">
        <f t="shared" si="11"/>
        <v>0</v>
      </c>
      <c r="K35">
        <f t="shared" si="11"/>
        <v>0</v>
      </c>
      <c r="L35">
        <f t="shared" si="11"/>
        <v>0</v>
      </c>
      <c r="M35">
        <f t="shared" si="11"/>
        <v>0</v>
      </c>
      <c r="N35">
        <f t="shared" si="11"/>
        <v>0</v>
      </c>
      <c r="O35">
        <f t="shared" si="11"/>
        <v>0</v>
      </c>
      <c r="P35">
        <f t="shared" si="11"/>
        <v>0</v>
      </c>
      <c r="Q35">
        <f>SUM(D34:P35)</f>
        <v>0</v>
      </c>
      <c r="R35">
        <f>Q35/13</f>
        <v>0</v>
      </c>
      <c r="T35">
        <f>(D35+P35)/2</f>
        <v>0</v>
      </c>
      <c r="V35">
        <f>R35-T35</f>
        <v>0</v>
      </c>
    </row>
    <row r="36" spans="1:22" ht="12.75" customHeight="1">
      <c r="A36">
        <f t="shared" si="1"/>
        <v>23</v>
      </c>
      <c r="B36" t="s">
        <v>173</v>
      </c>
      <c r="C36">
        <f>'[8]Coût de service'!R8*100</f>
        <v>4.5199999999999996</v>
      </c>
      <c r="E36">
        <f t="shared" ref="E36:P36" si="12">E31*$C36/100/12</f>
        <v>0</v>
      </c>
      <c r="F36">
        <f t="shared" si="12"/>
        <v>0</v>
      </c>
      <c r="G36">
        <f t="shared" si="12"/>
        <v>0</v>
      </c>
      <c r="H36">
        <f t="shared" si="12"/>
        <v>0</v>
      </c>
      <c r="I36">
        <f t="shared" si="12"/>
        <v>0</v>
      </c>
      <c r="J36">
        <f t="shared" si="12"/>
        <v>0</v>
      </c>
      <c r="K36">
        <f t="shared" si="12"/>
        <v>0</v>
      </c>
      <c r="L36">
        <f t="shared" si="12"/>
        <v>0</v>
      </c>
      <c r="M36">
        <f t="shared" si="12"/>
        <v>0</v>
      </c>
      <c r="N36">
        <f t="shared" si="12"/>
        <v>0</v>
      </c>
      <c r="O36">
        <f t="shared" si="12"/>
        <v>0</v>
      </c>
      <c r="P36">
        <f t="shared" si="12"/>
        <v>0</v>
      </c>
      <c r="Q36">
        <f>SUM(D36:P36)</f>
        <v>0</v>
      </c>
      <c r="R36">
        <f>Q36/13</f>
        <v>0</v>
      </c>
      <c r="T36">
        <f>(D36+P36)/2</f>
        <v>0</v>
      </c>
      <c r="V36">
        <f>R36-T36</f>
        <v>0</v>
      </c>
    </row>
    <row r="37" spans="1:22" ht="12.75" customHeight="1">
      <c r="A37">
        <f t="shared" si="1"/>
        <v>24</v>
      </c>
      <c r="B37" t="s">
        <v>170</v>
      </c>
      <c r="D37">
        <f>'GI-34 doc 3 page 2 de 2'!P35</f>
        <v>0</v>
      </c>
      <c r="E37">
        <f t="shared" ref="E37:P37" si="13">SUM(E33:E36)</f>
        <v>0</v>
      </c>
      <c r="F37">
        <f t="shared" si="13"/>
        <v>0</v>
      </c>
      <c r="G37">
        <f t="shared" si="13"/>
        <v>0</v>
      </c>
      <c r="H37">
        <f t="shared" si="13"/>
        <v>0</v>
      </c>
      <c r="I37">
        <f t="shared" si="13"/>
        <v>0</v>
      </c>
      <c r="J37">
        <f t="shared" si="13"/>
        <v>0</v>
      </c>
      <c r="K37">
        <f t="shared" si="13"/>
        <v>0</v>
      </c>
      <c r="L37">
        <f t="shared" si="13"/>
        <v>0</v>
      </c>
      <c r="M37">
        <f t="shared" si="13"/>
        <v>0</v>
      </c>
      <c r="N37">
        <f t="shared" si="13"/>
        <v>0</v>
      </c>
      <c r="O37">
        <f t="shared" si="13"/>
        <v>0</v>
      </c>
      <c r="P37">
        <f t="shared" si="13"/>
        <v>0</v>
      </c>
      <c r="Q37">
        <f>SUM(D37:P37)</f>
        <v>0</v>
      </c>
      <c r="R37">
        <f>Q37/13</f>
        <v>0</v>
      </c>
      <c r="T37">
        <f>(D37+P37)/2</f>
        <v>0</v>
      </c>
      <c r="V37">
        <f>R37-T37</f>
        <v>0</v>
      </c>
    </row>
    <row r="38" spans="1:22" ht="12.75" customHeight="1">
      <c r="A38">
        <f t="shared" si="1"/>
        <v>25</v>
      </c>
    </row>
    <row r="39" spans="1:22" ht="12.75" customHeight="1">
      <c r="A39">
        <f t="shared" si="1"/>
        <v>26</v>
      </c>
      <c r="B39" t="s">
        <v>174</v>
      </c>
      <c r="D39">
        <f t="shared" ref="D39:P39" si="14">D31-D37</f>
        <v>0</v>
      </c>
      <c r="E39">
        <f t="shared" si="14"/>
        <v>0</v>
      </c>
      <c r="F39">
        <f t="shared" si="14"/>
        <v>0</v>
      </c>
      <c r="G39">
        <f t="shared" si="14"/>
        <v>0</v>
      </c>
      <c r="H39">
        <f t="shared" si="14"/>
        <v>0</v>
      </c>
      <c r="I39">
        <f t="shared" si="14"/>
        <v>0</v>
      </c>
      <c r="J39">
        <f t="shared" si="14"/>
        <v>0</v>
      </c>
      <c r="K39">
        <f t="shared" si="14"/>
        <v>0</v>
      </c>
      <c r="L39">
        <f t="shared" si="14"/>
        <v>0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  <c r="Q39">
        <f>SUM(D39:P39)</f>
        <v>0</v>
      </c>
      <c r="R39">
        <f>Q39/13</f>
        <v>0</v>
      </c>
      <c r="T39">
        <f>(D39+P39)/2</f>
        <v>0</v>
      </c>
      <c r="V39">
        <f>R39-T39</f>
        <v>0</v>
      </c>
    </row>
    <row r="40" spans="1:22" ht="12.75" customHeight="1">
      <c r="A40">
        <f t="shared" si="1"/>
        <v>27</v>
      </c>
    </row>
    <row r="41" spans="1:22" ht="12.75" customHeight="1">
      <c r="A41">
        <v>28</v>
      </c>
    </row>
    <row r="42" spans="1:22" ht="12.75" customHeight="1">
      <c r="A42">
        <v>29</v>
      </c>
      <c r="B42" t="s">
        <v>176</v>
      </c>
      <c r="E42">
        <f t="shared" ref="E42:P42" si="15">D45</f>
        <v>0</v>
      </c>
      <c r="F42">
        <f t="shared" si="15"/>
        <v>0</v>
      </c>
      <c r="G42">
        <f t="shared" si="15"/>
        <v>215520</v>
      </c>
      <c r="H42">
        <f t="shared" si="15"/>
        <v>215520</v>
      </c>
      <c r="I42">
        <f t="shared" si="15"/>
        <v>215520</v>
      </c>
      <c r="J42">
        <f t="shared" si="15"/>
        <v>215520</v>
      </c>
      <c r="K42">
        <f t="shared" si="15"/>
        <v>215520</v>
      </c>
      <c r="L42">
        <f t="shared" si="15"/>
        <v>215520</v>
      </c>
      <c r="M42">
        <f t="shared" si="15"/>
        <v>215520</v>
      </c>
      <c r="N42">
        <f t="shared" si="15"/>
        <v>215520</v>
      </c>
      <c r="O42">
        <f t="shared" si="15"/>
        <v>215520</v>
      </c>
      <c r="P42">
        <f t="shared" si="15"/>
        <v>215520</v>
      </c>
      <c r="Q42">
        <f>SUM(D42:P42)</f>
        <v>2155200</v>
      </c>
      <c r="R42">
        <f>Q42/13</f>
        <v>165784.61538461538</v>
      </c>
      <c r="T42">
        <f>(D42+P42)/2</f>
        <v>107760</v>
      </c>
      <c r="V42">
        <f>R42-T42</f>
        <v>58024.615384615376</v>
      </c>
    </row>
    <row r="43" spans="1:22" ht="12.75" customHeight="1">
      <c r="A43">
        <v>30</v>
      </c>
      <c r="B43" t="s">
        <v>168</v>
      </c>
      <c r="E43">
        <v>0</v>
      </c>
      <c r="F43">
        <f>'GI-34 doc 3 page 1 de 2'!E35</f>
        <v>215520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f>SUM(D43:P43)</f>
        <v>215520</v>
      </c>
      <c r="R43">
        <f>Q43/13</f>
        <v>16578.461538461539</v>
      </c>
      <c r="T43">
        <f>(D43+P43)/2</f>
        <v>0</v>
      </c>
      <c r="V43">
        <f>R43-T43</f>
        <v>16578.461538461539</v>
      </c>
    </row>
    <row r="44" spans="1:22" ht="12.75" customHeight="1">
      <c r="A44">
        <f t="shared" si="1"/>
        <v>31</v>
      </c>
      <c r="B44" t="s">
        <v>169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>SUM(D44:P44)</f>
        <v>0</v>
      </c>
      <c r="R44">
        <f>Q44/13</f>
        <v>0</v>
      </c>
      <c r="T44">
        <f>(D44+P44)/2</f>
        <v>0</v>
      </c>
      <c r="V44">
        <f>R44-T44</f>
        <v>0</v>
      </c>
    </row>
    <row r="45" spans="1:22" ht="12.75" customHeight="1">
      <c r="A45">
        <f t="shared" si="1"/>
        <v>32</v>
      </c>
      <c r="B45" t="s">
        <v>170</v>
      </c>
      <c r="D45">
        <f>'GI-34 doc 3 page 2 de 2'!P43</f>
        <v>0</v>
      </c>
      <c r="E45">
        <f t="shared" ref="E45:P45" si="16">SUM(E42:E44)</f>
        <v>0</v>
      </c>
      <c r="F45">
        <f t="shared" si="16"/>
        <v>215520</v>
      </c>
      <c r="G45">
        <f t="shared" si="16"/>
        <v>215520</v>
      </c>
      <c r="H45">
        <f t="shared" si="16"/>
        <v>215520</v>
      </c>
      <c r="I45">
        <f t="shared" si="16"/>
        <v>215520</v>
      </c>
      <c r="J45">
        <f t="shared" si="16"/>
        <v>215520</v>
      </c>
      <c r="K45">
        <f t="shared" si="16"/>
        <v>215520</v>
      </c>
      <c r="L45">
        <f t="shared" si="16"/>
        <v>215520</v>
      </c>
      <c r="M45">
        <f t="shared" si="16"/>
        <v>215520</v>
      </c>
      <c r="N45">
        <f t="shared" si="16"/>
        <v>215520</v>
      </c>
      <c r="O45">
        <f t="shared" si="16"/>
        <v>215520</v>
      </c>
      <c r="P45">
        <f t="shared" si="16"/>
        <v>215520</v>
      </c>
      <c r="Q45">
        <f>SUM(D45:P45)</f>
        <v>2370720</v>
      </c>
      <c r="R45">
        <f>Q45/13</f>
        <v>182363.07692307694</v>
      </c>
      <c r="T45">
        <f>(D45+P45)/2</f>
        <v>107760</v>
      </c>
      <c r="V45">
        <f>R45-T45</f>
        <v>74603.076923076937</v>
      </c>
    </row>
    <row r="46" spans="1:22" ht="12.75" customHeight="1">
      <c r="A46">
        <f t="shared" si="1"/>
        <v>33</v>
      </c>
    </row>
    <row r="47" spans="1:22" ht="12.75" customHeight="1">
      <c r="A47">
        <f t="shared" si="1"/>
        <v>34</v>
      </c>
      <c r="B47" t="s">
        <v>171</v>
      </c>
      <c r="E47">
        <f t="shared" ref="E47:P47" si="17">D51</f>
        <v>0</v>
      </c>
      <c r="F47">
        <f t="shared" si="17"/>
        <v>0</v>
      </c>
      <c r="G47">
        <f t="shared" si="17"/>
        <v>2245</v>
      </c>
      <c r="H47">
        <f t="shared" si="17"/>
        <v>6735</v>
      </c>
      <c r="I47">
        <f t="shared" si="17"/>
        <v>11225</v>
      </c>
      <c r="J47">
        <f t="shared" si="17"/>
        <v>15715</v>
      </c>
      <c r="K47">
        <f t="shared" si="17"/>
        <v>20205</v>
      </c>
      <c r="L47">
        <f t="shared" si="17"/>
        <v>24695</v>
      </c>
      <c r="M47">
        <f t="shared" si="17"/>
        <v>29185</v>
      </c>
      <c r="N47">
        <f t="shared" si="17"/>
        <v>33675</v>
      </c>
      <c r="O47">
        <f t="shared" si="17"/>
        <v>38165</v>
      </c>
      <c r="P47">
        <f t="shared" si="17"/>
        <v>42655</v>
      </c>
      <c r="Q47">
        <f>SUM(D47:P47)</f>
        <v>224500</v>
      </c>
      <c r="R47">
        <f>Q47/13</f>
        <v>17269.23076923077</v>
      </c>
      <c r="T47">
        <f>(D47+P47)/2</f>
        <v>21327.5</v>
      </c>
      <c r="V47">
        <f>R47-T47</f>
        <v>-4058.2692307692305</v>
      </c>
    </row>
    <row r="48" spans="1:22" ht="12.75" customHeight="1">
      <c r="A48">
        <f t="shared" si="1"/>
        <v>35</v>
      </c>
      <c r="B48" t="s">
        <v>172</v>
      </c>
      <c r="Q48">
        <f>SUM(D48:P48)</f>
        <v>0</v>
      </c>
      <c r="R48">
        <f>Q48/13</f>
        <v>0</v>
      </c>
      <c r="T48">
        <f>(D48+P48)/2</f>
        <v>0</v>
      </c>
      <c r="V48">
        <f>R48-T48</f>
        <v>0</v>
      </c>
    </row>
    <row r="49" spans="1:25" ht="12.75" customHeight="1">
      <c r="A49">
        <f t="shared" si="1"/>
        <v>36</v>
      </c>
      <c r="B49" t="s">
        <v>169</v>
      </c>
      <c r="E49">
        <f t="shared" ref="E49:P49" si="18">E44</f>
        <v>0</v>
      </c>
      <c r="F49">
        <f t="shared" si="18"/>
        <v>0</v>
      </c>
      <c r="G49">
        <f t="shared" si="18"/>
        <v>0</v>
      </c>
      <c r="H49">
        <f t="shared" si="18"/>
        <v>0</v>
      </c>
      <c r="I49">
        <f t="shared" si="18"/>
        <v>0</v>
      </c>
      <c r="J49">
        <f t="shared" si="18"/>
        <v>0</v>
      </c>
      <c r="K49">
        <f t="shared" si="18"/>
        <v>0</v>
      </c>
      <c r="L49">
        <f t="shared" si="18"/>
        <v>0</v>
      </c>
      <c r="M49">
        <f t="shared" si="18"/>
        <v>0</v>
      </c>
      <c r="N49">
        <f t="shared" si="18"/>
        <v>0</v>
      </c>
      <c r="O49">
        <f t="shared" si="18"/>
        <v>0</v>
      </c>
      <c r="P49">
        <f t="shared" si="18"/>
        <v>0</v>
      </c>
      <c r="Q49">
        <f>SUM(D48:P49)</f>
        <v>0</v>
      </c>
      <c r="R49">
        <f>Q49/13</f>
        <v>0</v>
      </c>
      <c r="T49">
        <f>(D49+P49)/2</f>
        <v>0</v>
      </c>
      <c r="V49">
        <f>R49-T49</f>
        <v>0</v>
      </c>
    </row>
    <row r="50" spans="1:25" ht="12.75" customHeight="1">
      <c r="A50">
        <f t="shared" si="1"/>
        <v>37</v>
      </c>
      <c r="B50" t="s">
        <v>173</v>
      </c>
      <c r="C50">
        <v>25</v>
      </c>
      <c r="E50">
        <f>E45*$C50/100/12</f>
        <v>0</v>
      </c>
      <c r="F50">
        <f t="shared" ref="F50:P50" si="19">(F42*$C50/100/12)+(F43*$C50/100/12*0.5)</f>
        <v>2245</v>
      </c>
      <c r="G50">
        <f t="shared" si="19"/>
        <v>4490</v>
      </c>
      <c r="H50">
        <f t="shared" si="19"/>
        <v>4490</v>
      </c>
      <c r="I50">
        <f t="shared" si="19"/>
        <v>4490</v>
      </c>
      <c r="J50">
        <f t="shared" si="19"/>
        <v>4490</v>
      </c>
      <c r="K50">
        <f t="shared" si="19"/>
        <v>4490</v>
      </c>
      <c r="L50">
        <f t="shared" si="19"/>
        <v>4490</v>
      </c>
      <c r="M50">
        <f t="shared" si="19"/>
        <v>4490</v>
      </c>
      <c r="N50">
        <f t="shared" si="19"/>
        <v>4490</v>
      </c>
      <c r="O50">
        <f t="shared" si="19"/>
        <v>4490</v>
      </c>
      <c r="P50">
        <f t="shared" si="19"/>
        <v>4490</v>
      </c>
      <c r="Q50">
        <f>SUM(D50:P50)</f>
        <v>47145</v>
      </c>
      <c r="R50">
        <f>Q50/13</f>
        <v>3626.5384615384614</v>
      </c>
      <c r="T50">
        <f>(D50+P50)/2</f>
        <v>2245</v>
      </c>
      <c r="V50">
        <f>R50-T50</f>
        <v>1381.5384615384614</v>
      </c>
    </row>
    <row r="51" spans="1:25" ht="12.75" customHeight="1">
      <c r="A51">
        <f t="shared" si="1"/>
        <v>38</v>
      </c>
      <c r="B51" t="s">
        <v>170</v>
      </c>
      <c r="D51">
        <f>'GI-34 doc 3 page 2 de 2'!P49</f>
        <v>0</v>
      </c>
      <c r="E51">
        <f t="shared" ref="E51:P51" si="20">SUM(E47:E50)</f>
        <v>0</v>
      </c>
      <c r="F51">
        <f t="shared" si="20"/>
        <v>2245</v>
      </c>
      <c r="G51">
        <f t="shared" si="20"/>
        <v>6735</v>
      </c>
      <c r="H51">
        <f t="shared" si="20"/>
        <v>11225</v>
      </c>
      <c r="I51">
        <f t="shared" si="20"/>
        <v>15715</v>
      </c>
      <c r="J51">
        <f t="shared" si="20"/>
        <v>20205</v>
      </c>
      <c r="K51">
        <f t="shared" si="20"/>
        <v>24695</v>
      </c>
      <c r="L51">
        <f t="shared" si="20"/>
        <v>29185</v>
      </c>
      <c r="M51">
        <f t="shared" si="20"/>
        <v>33675</v>
      </c>
      <c r="N51">
        <f t="shared" si="20"/>
        <v>38165</v>
      </c>
      <c r="O51">
        <f t="shared" si="20"/>
        <v>42655</v>
      </c>
      <c r="P51">
        <f t="shared" si="20"/>
        <v>47145</v>
      </c>
      <c r="Q51">
        <f>SUM(D51:P51)</f>
        <v>271645</v>
      </c>
      <c r="R51">
        <f>Q51/13</f>
        <v>20895.76923076923</v>
      </c>
      <c r="T51">
        <f>(D51+P51)/2</f>
        <v>23572.5</v>
      </c>
      <c r="V51">
        <f>R51-T51</f>
        <v>-2676.7307692307695</v>
      </c>
    </row>
    <row r="52" spans="1:25" ht="12.75" customHeight="1">
      <c r="A52">
        <f t="shared" si="1"/>
        <v>39</v>
      </c>
      <c r="Y52">
        <f>(Y44*$C52/100/12)+(Y45*$C52/100/12*0.5)</f>
        <v>0</v>
      </c>
    </row>
    <row r="53" spans="1:25" ht="12.75" customHeight="1">
      <c r="A53">
        <f t="shared" si="1"/>
        <v>40</v>
      </c>
      <c r="B53" t="s">
        <v>174</v>
      </c>
      <c r="D53">
        <f t="shared" ref="D53:P53" si="21">D45-D51</f>
        <v>0</v>
      </c>
      <c r="E53">
        <f t="shared" si="21"/>
        <v>0</v>
      </c>
      <c r="F53">
        <f t="shared" si="21"/>
        <v>213275</v>
      </c>
      <c r="G53">
        <f t="shared" si="21"/>
        <v>208785</v>
      </c>
      <c r="H53">
        <f t="shared" si="21"/>
        <v>204295</v>
      </c>
      <c r="I53">
        <f t="shared" si="21"/>
        <v>199805</v>
      </c>
      <c r="J53">
        <f t="shared" si="21"/>
        <v>195315</v>
      </c>
      <c r="K53">
        <f t="shared" si="21"/>
        <v>190825</v>
      </c>
      <c r="L53">
        <f t="shared" si="21"/>
        <v>186335</v>
      </c>
      <c r="M53">
        <f t="shared" si="21"/>
        <v>181845</v>
      </c>
      <c r="N53">
        <f t="shared" si="21"/>
        <v>177355</v>
      </c>
      <c r="O53">
        <f t="shared" si="21"/>
        <v>172865</v>
      </c>
      <c r="P53">
        <f t="shared" si="21"/>
        <v>168375</v>
      </c>
      <c r="Q53">
        <f>SUM(D53:P53)</f>
        <v>2099075</v>
      </c>
      <c r="R53">
        <f>Q53/13</f>
        <v>161467.30769230769</v>
      </c>
      <c r="T53">
        <f>(D53+P53)/2</f>
        <v>84187.5</v>
      </c>
      <c r="V53">
        <f>R53-T53</f>
        <v>77279.807692307688</v>
      </c>
    </row>
    <row r="54" spans="1:25" ht="12.75" customHeight="1">
      <c r="A54">
        <f t="shared" si="1"/>
        <v>41</v>
      </c>
    </row>
    <row r="55" spans="1:25" ht="12.75" customHeight="1">
      <c r="A55">
        <f t="shared" si="1"/>
        <v>42</v>
      </c>
    </row>
    <row r="56" spans="1:25" ht="12.75" customHeight="1">
      <c r="A56">
        <f t="shared" si="1"/>
        <v>43</v>
      </c>
    </row>
    <row r="57" spans="1:25" ht="12.75" customHeight="1">
      <c r="A57">
        <f t="shared" si="1"/>
        <v>44</v>
      </c>
      <c r="B57" t="s">
        <v>177</v>
      </c>
      <c r="D57">
        <f>D14+D28+D42</f>
        <v>0</v>
      </c>
      <c r="E57">
        <f>E14+E28+E42</f>
        <v>0</v>
      </c>
      <c r="F57">
        <f t="shared" ref="F57:P60" si="22">F14+F28+F42</f>
        <v>0</v>
      </c>
      <c r="G57">
        <f t="shared" si="22"/>
        <v>215520</v>
      </c>
      <c r="H57">
        <f t="shared" si="22"/>
        <v>215520</v>
      </c>
      <c r="I57">
        <f t="shared" si="22"/>
        <v>215520</v>
      </c>
      <c r="J57">
        <f t="shared" si="22"/>
        <v>215520</v>
      </c>
      <c r="K57">
        <f t="shared" si="22"/>
        <v>215520</v>
      </c>
      <c r="L57">
        <f t="shared" si="22"/>
        <v>215520</v>
      </c>
      <c r="M57">
        <f t="shared" si="22"/>
        <v>215520</v>
      </c>
      <c r="N57">
        <f t="shared" si="22"/>
        <v>215520</v>
      </c>
      <c r="O57">
        <f t="shared" si="22"/>
        <v>215520</v>
      </c>
      <c r="P57">
        <f t="shared" si="22"/>
        <v>215520</v>
      </c>
      <c r="Q57">
        <f>SUM(D57:P57)</f>
        <v>2155200</v>
      </c>
      <c r="R57">
        <f>Q57/13</f>
        <v>165784.61538461538</v>
      </c>
      <c r="T57">
        <f>(D57+P57)/2</f>
        <v>107760</v>
      </c>
      <c r="V57">
        <f>R57-T57</f>
        <v>58024.615384615376</v>
      </c>
    </row>
    <row r="58" spans="1:25" ht="12.75" customHeight="1">
      <c r="A58">
        <f t="shared" si="1"/>
        <v>45</v>
      </c>
      <c r="B58" t="s">
        <v>178</v>
      </c>
      <c r="E58">
        <f>E15+E29+E43</f>
        <v>0</v>
      </c>
      <c r="F58">
        <f t="shared" si="22"/>
        <v>215520</v>
      </c>
      <c r="G58">
        <f t="shared" si="22"/>
        <v>0</v>
      </c>
      <c r="H58">
        <f t="shared" si="22"/>
        <v>0</v>
      </c>
      <c r="I58">
        <f t="shared" si="22"/>
        <v>0</v>
      </c>
      <c r="J58">
        <f t="shared" si="22"/>
        <v>0</v>
      </c>
      <c r="K58">
        <f t="shared" si="22"/>
        <v>0</v>
      </c>
      <c r="L58">
        <f t="shared" si="22"/>
        <v>0</v>
      </c>
      <c r="M58">
        <f t="shared" si="22"/>
        <v>0</v>
      </c>
      <c r="N58">
        <f t="shared" si="22"/>
        <v>0</v>
      </c>
      <c r="O58">
        <f t="shared" si="22"/>
        <v>0</v>
      </c>
      <c r="P58">
        <f t="shared" si="22"/>
        <v>0</v>
      </c>
      <c r="Q58">
        <f>SUM(D58:P58)</f>
        <v>215520</v>
      </c>
      <c r="R58">
        <f>Q58/13</f>
        <v>16578.461538461539</v>
      </c>
      <c r="T58">
        <f>(D58+P58)/2</f>
        <v>0</v>
      </c>
      <c r="V58">
        <f>R58-T58</f>
        <v>16578.461538461539</v>
      </c>
    </row>
    <row r="59" spans="1:25" ht="12.75" customHeight="1">
      <c r="A59">
        <v>46</v>
      </c>
      <c r="B59" t="s">
        <v>169</v>
      </c>
      <c r="E59">
        <f>E16+E30+E44</f>
        <v>0</v>
      </c>
      <c r="F59">
        <f t="shared" si="22"/>
        <v>0</v>
      </c>
      <c r="G59">
        <f t="shared" si="22"/>
        <v>0</v>
      </c>
      <c r="H59">
        <f t="shared" si="22"/>
        <v>0</v>
      </c>
      <c r="I59">
        <f t="shared" si="22"/>
        <v>0</v>
      </c>
      <c r="J59">
        <f t="shared" si="22"/>
        <v>0</v>
      </c>
      <c r="K59">
        <f t="shared" si="22"/>
        <v>0</v>
      </c>
      <c r="L59">
        <f t="shared" si="22"/>
        <v>0</v>
      </c>
      <c r="M59">
        <f t="shared" si="22"/>
        <v>0</v>
      </c>
      <c r="N59">
        <f t="shared" si="22"/>
        <v>0</v>
      </c>
      <c r="O59">
        <f t="shared" si="22"/>
        <v>0</v>
      </c>
      <c r="P59">
        <f t="shared" si="22"/>
        <v>0</v>
      </c>
      <c r="Q59">
        <f>SUM(D59:P59)</f>
        <v>0</v>
      </c>
      <c r="R59">
        <f>Q59/13</f>
        <v>0</v>
      </c>
      <c r="T59">
        <f>(D59+P59)/2</f>
        <v>0</v>
      </c>
      <c r="V59">
        <f>R59-T59</f>
        <v>0</v>
      </c>
    </row>
    <row r="60" spans="1:25" ht="15" customHeight="1">
      <c r="A60">
        <f t="shared" si="1"/>
        <v>47</v>
      </c>
      <c r="B60" t="s">
        <v>170</v>
      </c>
      <c r="D60">
        <f>D17+D31+D45</f>
        <v>0</v>
      </c>
      <c r="E60">
        <f>E17+E31+E45</f>
        <v>0</v>
      </c>
      <c r="F60">
        <f t="shared" si="22"/>
        <v>215520</v>
      </c>
      <c r="G60">
        <f t="shared" si="22"/>
        <v>215520</v>
      </c>
      <c r="H60">
        <f t="shared" si="22"/>
        <v>215520</v>
      </c>
      <c r="I60">
        <f t="shared" si="22"/>
        <v>215520</v>
      </c>
      <c r="J60">
        <f t="shared" si="22"/>
        <v>215520</v>
      </c>
      <c r="K60">
        <f t="shared" si="22"/>
        <v>215520</v>
      </c>
      <c r="L60">
        <f t="shared" si="22"/>
        <v>215520</v>
      </c>
      <c r="M60">
        <f t="shared" si="22"/>
        <v>215520</v>
      </c>
      <c r="N60">
        <f t="shared" si="22"/>
        <v>215520</v>
      </c>
      <c r="O60">
        <f t="shared" si="22"/>
        <v>215520</v>
      </c>
      <c r="P60">
        <f t="shared" si="22"/>
        <v>215520</v>
      </c>
      <c r="Q60">
        <f>SUM(D60:P60)</f>
        <v>2370720</v>
      </c>
      <c r="R60">
        <f>Q60/13</f>
        <v>182363.07692307694</v>
      </c>
      <c r="T60">
        <f>(D60+P60)/2</f>
        <v>107760</v>
      </c>
      <c r="V60">
        <f>R60-T60</f>
        <v>74603.076923076937</v>
      </c>
    </row>
    <row r="61" spans="1:25" ht="12.75" customHeight="1">
      <c r="A61">
        <f t="shared" si="1"/>
        <v>48</v>
      </c>
    </row>
    <row r="62" spans="1:25" ht="15.75" customHeight="1">
      <c r="A62">
        <f t="shared" si="1"/>
        <v>49</v>
      </c>
    </row>
    <row r="63" spans="1:25" ht="12.75" customHeight="1">
      <c r="A63">
        <f t="shared" si="1"/>
        <v>50</v>
      </c>
    </row>
    <row r="64" spans="1:25" ht="12.75" customHeight="1">
      <c r="A64">
        <f t="shared" si="1"/>
        <v>51</v>
      </c>
      <c r="B64" t="s">
        <v>171</v>
      </c>
      <c r="D64">
        <f>D19+D33+D47</f>
        <v>0</v>
      </c>
      <c r="E64">
        <f>E19+E33+E47</f>
        <v>0</v>
      </c>
      <c r="F64">
        <f t="shared" ref="F64:P68" si="23">F19+F33+F47</f>
        <v>0</v>
      </c>
      <c r="G64">
        <f t="shared" si="23"/>
        <v>2245</v>
      </c>
      <c r="H64">
        <f t="shared" si="23"/>
        <v>6735</v>
      </c>
      <c r="I64">
        <f t="shared" si="23"/>
        <v>11225</v>
      </c>
      <c r="J64">
        <f t="shared" si="23"/>
        <v>15715</v>
      </c>
      <c r="K64">
        <f t="shared" si="23"/>
        <v>20205</v>
      </c>
      <c r="L64">
        <f t="shared" si="23"/>
        <v>24695</v>
      </c>
      <c r="M64">
        <f t="shared" si="23"/>
        <v>29185</v>
      </c>
      <c r="N64">
        <f t="shared" si="23"/>
        <v>33675</v>
      </c>
      <c r="O64">
        <f t="shared" si="23"/>
        <v>38165</v>
      </c>
      <c r="P64">
        <f t="shared" si="23"/>
        <v>42655</v>
      </c>
      <c r="Q64">
        <f>SUM(D64:P64)</f>
        <v>224500</v>
      </c>
      <c r="R64">
        <f>Q64/13</f>
        <v>17269.23076923077</v>
      </c>
      <c r="T64">
        <f>(D64+P64)/2</f>
        <v>21327.5</v>
      </c>
      <c r="V64">
        <f>R64-T64</f>
        <v>-4058.2692307692305</v>
      </c>
    </row>
    <row r="65" spans="1:22" ht="12.75" customHeight="1">
      <c r="A65">
        <f t="shared" si="1"/>
        <v>52</v>
      </c>
      <c r="B65" t="s">
        <v>172</v>
      </c>
      <c r="E65">
        <f>E20+E34+E48</f>
        <v>0</v>
      </c>
      <c r="F65">
        <f t="shared" si="23"/>
        <v>0</v>
      </c>
      <c r="G65">
        <f t="shared" si="23"/>
        <v>0</v>
      </c>
      <c r="H65">
        <f t="shared" si="23"/>
        <v>0</v>
      </c>
      <c r="I65">
        <f t="shared" si="23"/>
        <v>0</v>
      </c>
      <c r="J65">
        <f t="shared" si="23"/>
        <v>0</v>
      </c>
      <c r="K65">
        <f t="shared" si="23"/>
        <v>0</v>
      </c>
      <c r="L65">
        <f t="shared" si="23"/>
        <v>0</v>
      </c>
      <c r="M65">
        <f t="shared" si="23"/>
        <v>0</v>
      </c>
      <c r="N65">
        <f t="shared" si="23"/>
        <v>0</v>
      </c>
      <c r="O65">
        <f t="shared" si="23"/>
        <v>0</v>
      </c>
      <c r="P65">
        <f t="shared" si="23"/>
        <v>0</v>
      </c>
      <c r="Q65">
        <f>SUM(D65:P65)</f>
        <v>0</v>
      </c>
      <c r="R65">
        <f>Q65/13</f>
        <v>0</v>
      </c>
      <c r="T65">
        <f>(D65+P65)/2</f>
        <v>0</v>
      </c>
      <c r="V65">
        <f>R65-T65</f>
        <v>0</v>
      </c>
    </row>
    <row r="66" spans="1:22" ht="12.75" customHeight="1">
      <c r="A66">
        <f t="shared" si="1"/>
        <v>53</v>
      </c>
      <c r="B66" t="s">
        <v>169</v>
      </c>
      <c r="E66">
        <f>E21+E35+E49</f>
        <v>0</v>
      </c>
      <c r="F66">
        <f t="shared" si="23"/>
        <v>0</v>
      </c>
      <c r="G66">
        <f t="shared" si="23"/>
        <v>0</v>
      </c>
      <c r="H66">
        <f t="shared" si="23"/>
        <v>0</v>
      </c>
      <c r="I66">
        <f t="shared" si="23"/>
        <v>0</v>
      </c>
      <c r="J66">
        <f t="shared" si="23"/>
        <v>0</v>
      </c>
      <c r="K66">
        <f t="shared" si="23"/>
        <v>0</v>
      </c>
      <c r="L66">
        <f t="shared" si="23"/>
        <v>0</v>
      </c>
      <c r="M66">
        <f t="shared" si="23"/>
        <v>0</v>
      </c>
      <c r="N66">
        <f t="shared" si="23"/>
        <v>0</v>
      </c>
      <c r="O66">
        <f t="shared" si="23"/>
        <v>0</v>
      </c>
      <c r="P66">
        <f t="shared" si="23"/>
        <v>0</v>
      </c>
      <c r="Q66">
        <f>SUM(D66:P66)</f>
        <v>0</v>
      </c>
      <c r="R66">
        <f>Q66/13</f>
        <v>0</v>
      </c>
      <c r="T66">
        <f>(D66+P66)/2</f>
        <v>0</v>
      </c>
      <c r="V66">
        <f>R66-T66</f>
        <v>0</v>
      </c>
    </row>
    <row r="67" spans="1:22" ht="12.75" customHeight="1">
      <c r="A67">
        <f t="shared" si="1"/>
        <v>54</v>
      </c>
      <c r="B67" t="s">
        <v>173</v>
      </c>
      <c r="E67">
        <f>E22+E36+E50</f>
        <v>0</v>
      </c>
      <c r="F67">
        <f t="shared" si="23"/>
        <v>2245</v>
      </c>
      <c r="G67">
        <f t="shared" si="23"/>
        <v>4490</v>
      </c>
      <c r="H67">
        <f t="shared" si="23"/>
        <v>4490</v>
      </c>
      <c r="I67">
        <f t="shared" si="23"/>
        <v>4490</v>
      </c>
      <c r="J67">
        <f t="shared" si="23"/>
        <v>4490</v>
      </c>
      <c r="K67">
        <f t="shared" si="23"/>
        <v>4490</v>
      </c>
      <c r="L67">
        <f t="shared" si="23"/>
        <v>4490</v>
      </c>
      <c r="M67">
        <f t="shared" si="23"/>
        <v>4490</v>
      </c>
      <c r="N67">
        <f t="shared" si="23"/>
        <v>4490</v>
      </c>
      <c r="O67">
        <f t="shared" si="23"/>
        <v>4490</v>
      </c>
      <c r="P67">
        <f t="shared" si="23"/>
        <v>4490</v>
      </c>
      <c r="Q67">
        <f>SUM(D67:P67)</f>
        <v>47145</v>
      </c>
      <c r="R67">
        <f>Q67/13</f>
        <v>3626.5384615384614</v>
      </c>
      <c r="T67">
        <f>(D67+P67)/2</f>
        <v>2245</v>
      </c>
      <c r="V67">
        <f>R67-T67</f>
        <v>1381.5384615384614</v>
      </c>
    </row>
    <row r="68" spans="1:22" ht="15.75" customHeight="1">
      <c r="A68">
        <f t="shared" si="1"/>
        <v>55</v>
      </c>
      <c r="B68" t="s">
        <v>170</v>
      </c>
      <c r="D68">
        <f>D23+D37+D51</f>
        <v>0</v>
      </c>
      <c r="E68">
        <f>E23+E37+E51</f>
        <v>0</v>
      </c>
      <c r="F68">
        <f t="shared" si="23"/>
        <v>2245</v>
      </c>
      <c r="G68">
        <f t="shared" si="23"/>
        <v>6735</v>
      </c>
      <c r="H68">
        <f t="shared" si="23"/>
        <v>11225</v>
      </c>
      <c r="I68">
        <f t="shared" si="23"/>
        <v>15715</v>
      </c>
      <c r="J68">
        <f t="shared" si="23"/>
        <v>20205</v>
      </c>
      <c r="K68">
        <f t="shared" si="23"/>
        <v>24695</v>
      </c>
      <c r="L68">
        <f t="shared" si="23"/>
        <v>29185</v>
      </c>
      <c r="M68">
        <f t="shared" si="23"/>
        <v>33675</v>
      </c>
      <c r="N68">
        <f t="shared" si="23"/>
        <v>38165</v>
      </c>
      <c r="O68">
        <f t="shared" si="23"/>
        <v>42655</v>
      </c>
      <c r="P68">
        <f t="shared" si="23"/>
        <v>47145</v>
      </c>
      <c r="Q68">
        <f>SUM(D68:P68)</f>
        <v>271645</v>
      </c>
      <c r="R68">
        <f>Q68/13</f>
        <v>20895.76923076923</v>
      </c>
      <c r="T68">
        <f>(D68+P68)/2</f>
        <v>23572.5</v>
      </c>
      <c r="V68">
        <f>R68-T68</f>
        <v>-2676.7307692307695</v>
      </c>
    </row>
    <row r="69" spans="1:22" ht="12.75" customHeight="1">
      <c r="A69">
        <f t="shared" si="1"/>
        <v>56</v>
      </c>
    </row>
    <row r="70" spans="1:22" ht="12.75" customHeight="1">
      <c r="A70">
        <f t="shared" si="1"/>
        <v>57</v>
      </c>
      <c r="B70" t="s">
        <v>174</v>
      </c>
      <c r="D70">
        <f t="shared" ref="D70:P70" si="24">D60-D68</f>
        <v>0</v>
      </c>
      <c r="E70">
        <f>E60-E68</f>
        <v>0</v>
      </c>
      <c r="F70">
        <f t="shared" si="24"/>
        <v>213275</v>
      </c>
      <c r="G70">
        <f t="shared" si="24"/>
        <v>208785</v>
      </c>
      <c r="H70">
        <f t="shared" si="24"/>
        <v>204295</v>
      </c>
      <c r="I70">
        <f t="shared" si="24"/>
        <v>199805</v>
      </c>
      <c r="J70">
        <f t="shared" si="24"/>
        <v>195315</v>
      </c>
      <c r="K70">
        <f t="shared" si="24"/>
        <v>190825</v>
      </c>
      <c r="L70">
        <f t="shared" si="24"/>
        <v>186335</v>
      </c>
      <c r="M70">
        <f t="shared" si="24"/>
        <v>181845</v>
      </c>
      <c r="N70">
        <f t="shared" si="24"/>
        <v>177355</v>
      </c>
      <c r="O70">
        <f t="shared" si="24"/>
        <v>172865</v>
      </c>
      <c r="P70">
        <f t="shared" si="24"/>
        <v>168375</v>
      </c>
      <c r="Q70">
        <f>SUM(D70:P70)</f>
        <v>2099075</v>
      </c>
      <c r="R70">
        <f>Q70/13</f>
        <v>161467.30769230769</v>
      </c>
      <c r="T70">
        <f>(D70+P70)/2</f>
        <v>84187.5</v>
      </c>
      <c r="V70">
        <f>R70-T70</f>
        <v>77279.807692307688</v>
      </c>
    </row>
    <row r="73" spans="1:22" ht="12.75" customHeight="1">
      <c r="P73">
        <f>P17-P23+P31-P37+P45-P51</f>
        <v>168375</v>
      </c>
    </row>
    <row r="75" spans="1:22" ht="12.75" customHeight="1">
      <c r="B75" t="s">
        <v>101</v>
      </c>
      <c r="E75">
        <f t="shared" ref="E75:P75" si="25">D78</f>
        <v>505208</v>
      </c>
      <c r="F75">
        <f t="shared" si="25"/>
        <v>509949</v>
      </c>
      <c r="G75">
        <f t="shared" si="25"/>
        <v>514690</v>
      </c>
      <c r="H75">
        <f t="shared" si="25"/>
        <v>519431</v>
      </c>
      <c r="I75">
        <f t="shared" si="25"/>
        <v>524172</v>
      </c>
      <c r="J75">
        <f t="shared" si="25"/>
        <v>528913</v>
      </c>
      <c r="K75">
        <f t="shared" si="25"/>
        <v>533654</v>
      </c>
      <c r="L75">
        <f t="shared" si="25"/>
        <v>538395</v>
      </c>
      <c r="M75">
        <f t="shared" si="25"/>
        <v>543136</v>
      </c>
      <c r="N75">
        <f t="shared" si="25"/>
        <v>547877</v>
      </c>
      <c r="O75">
        <f t="shared" si="25"/>
        <v>552618</v>
      </c>
      <c r="P75">
        <f t="shared" si="25"/>
        <v>557359</v>
      </c>
      <c r="Q75">
        <f>SUM(D75:P75)</f>
        <v>6375402</v>
      </c>
      <c r="R75">
        <f>Q75/13</f>
        <v>490415.53846153844</v>
      </c>
      <c r="T75">
        <f>(D75+P75)/2</f>
        <v>278679.5</v>
      </c>
      <c r="V75">
        <f>R75-T75</f>
        <v>211736.03846153844</v>
      </c>
    </row>
    <row r="76" spans="1:22" ht="12.75" customHeight="1">
      <c r="B76" t="s">
        <v>168</v>
      </c>
      <c r="E76">
        <f t="shared" ref="E76:P76" si="26">56892/12</f>
        <v>4741</v>
      </c>
      <c r="F76">
        <f t="shared" si="26"/>
        <v>4741</v>
      </c>
      <c r="G76">
        <f t="shared" si="26"/>
        <v>4741</v>
      </c>
      <c r="H76">
        <f t="shared" si="26"/>
        <v>4741</v>
      </c>
      <c r="I76">
        <f t="shared" si="26"/>
        <v>4741</v>
      </c>
      <c r="J76">
        <f t="shared" si="26"/>
        <v>4741</v>
      </c>
      <c r="K76">
        <f t="shared" si="26"/>
        <v>4741</v>
      </c>
      <c r="L76">
        <f t="shared" si="26"/>
        <v>4741</v>
      </c>
      <c r="M76">
        <f t="shared" si="26"/>
        <v>4741</v>
      </c>
      <c r="N76">
        <f t="shared" si="26"/>
        <v>4741</v>
      </c>
      <c r="O76">
        <f t="shared" si="26"/>
        <v>4741</v>
      </c>
      <c r="P76">
        <f t="shared" si="26"/>
        <v>4741</v>
      </c>
      <c r="Q76">
        <f>SUM(D76:P76)</f>
        <v>56892</v>
      </c>
      <c r="R76">
        <f>Q76/13</f>
        <v>4376.3076923076924</v>
      </c>
      <c r="T76">
        <f>(D76+P76)/2</f>
        <v>2370.5</v>
      </c>
      <c r="V76">
        <f>R76-T76</f>
        <v>2005.8076923076924</v>
      </c>
    </row>
    <row r="77" spans="1:22" ht="12.75" customHeight="1">
      <c r="B77" t="s">
        <v>169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f>SUM(D77:P77)</f>
        <v>0</v>
      </c>
      <c r="R77">
        <f>Q77/13</f>
        <v>0</v>
      </c>
      <c r="T77">
        <f>(D77+P77)/2</f>
        <v>0</v>
      </c>
      <c r="V77">
        <f>R77-T77</f>
        <v>0</v>
      </c>
    </row>
    <row r="78" spans="1:22" ht="12.75" customHeight="1">
      <c r="B78" t="s">
        <v>170</v>
      </c>
      <c r="D78">
        <f>'GI-34 doc 3 page 2 de 2'!P74</f>
        <v>505208</v>
      </c>
      <c r="E78">
        <f t="shared" ref="E78:P78" si="27">SUM(E75:E77)</f>
        <v>509949</v>
      </c>
      <c r="F78">
        <f t="shared" si="27"/>
        <v>514690</v>
      </c>
      <c r="G78">
        <f t="shared" si="27"/>
        <v>519431</v>
      </c>
      <c r="H78">
        <f t="shared" si="27"/>
        <v>524172</v>
      </c>
      <c r="I78">
        <f t="shared" si="27"/>
        <v>528913</v>
      </c>
      <c r="J78">
        <f t="shared" si="27"/>
        <v>533654</v>
      </c>
      <c r="K78">
        <f t="shared" si="27"/>
        <v>538395</v>
      </c>
      <c r="L78">
        <f t="shared" si="27"/>
        <v>543136</v>
      </c>
      <c r="M78">
        <f t="shared" si="27"/>
        <v>547877</v>
      </c>
      <c r="N78">
        <f t="shared" si="27"/>
        <v>552618</v>
      </c>
      <c r="O78">
        <f t="shared" si="27"/>
        <v>557359</v>
      </c>
      <c r="P78">
        <f t="shared" si="27"/>
        <v>562100</v>
      </c>
      <c r="Q78">
        <f>SUM(D78:P78)</f>
        <v>6937502</v>
      </c>
      <c r="R78">
        <f>Q78/13</f>
        <v>533654</v>
      </c>
      <c r="T78">
        <f>(D78+P78)/2</f>
        <v>533654</v>
      </c>
      <c r="V78">
        <f>R78-T78</f>
        <v>0</v>
      </c>
    </row>
    <row r="80" spans="1:22" ht="12.75" customHeight="1">
      <c r="B80" t="s">
        <v>179</v>
      </c>
      <c r="E80">
        <f t="shared" ref="E80:P80" si="28">D84</f>
        <v>142494.22222222225</v>
      </c>
      <c r="F80">
        <f t="shared" si="28"/>
        <v>156593.62500000003</v>
      </c>
      <c r="G80">
        <f t="shared" si="28"/>
        <v>170824.72222222225</v>
      </c>
      <c r="H80">
        <f t="shared" si="28"/>
        <v>185187.51388888891</v>
      </c>
      <c r="I80">
        <f t="shared" si="28"/>
        <v>199682.00000000003</v>
      </c>
      <c r="J80">
        <f t="shared" si="28"/>
        <v>214308.18055555559</v>
      </c>
      <c r="K80">
        <f t="shared" si="28"/>
        <v>229066.05555555559</v>
      </c>
      <c r="L80">
        <f t="shared" si="28"/>
        <v>243955.62500000003</v>
      </c>
      <c r="M80">
        <f t="shared" si="28"/>
        <v>258976.88888888891</v>
      </c>
      <c r="N80">
        <f t="shared" si="28"/>
        <v>274129.84722222225</v>
      </c>
      <c r="O80">
        <f t="shared" si="28"/>
        <v>289414.5</v>
      </c>
      <c r="P80">
        <f t="shared" si="28"/>
        <v>304830.84722222225</v>
      </c>
      <c r="Q80">
        <f>SUM(D80:P80)</f>
        <v>2669464.027777778</v>
      </c>
      <c r="R80">
        <f>Q80/13</f>
        <v>205343.38675213678</v>
      </c>
      <c r="T80">
        <f>(D80+P80)/2</f>
        <v>152415.42361111112</v>
      </c>
      <c r="V80">
        <f>R80-T80</f>
        <v>52927.963141025655</v>
      </c>
    </row>
    <row r="81" spans="2:22" ht="12.75" customHeight="1">
      <c r="B81" t="s">
        <v>172</v>
      </c>
      <c r="Q81">
        <f>SUM(D81:P81)</f>
        <v>0</v>
      </c>
      <c r="R81">
        <f>Q81/13</f>
        <v>0</v>
      </c>
      <c r="T81">
        <f>(D81+P81)/2</f>
        <v>0</v>
      </c>
      <c r="V81">
        <f>R81-T81</f>
        <v>0</v>
      </c>
    </row>
    <row r="82" spans="2:22" ht="12.75" customHeight="1">
      <c r="B82" t="s">
        <v>169</v>
      </c>
      <c r="E82">
        <f t="shared" ref="E82:P82" si="29">E77</f>
        <v>0</v>
      </c>
      <c r="F82">
        <f t="shared" si="29"/>
        <v>0</v>
      </c>
      <c r="G82">
        <f t="shared" si="29"/>
        <v>0</v>
      </c>
      <c r="H82">
        <f t="shared" si="29"/>
        <v>0</v>
      </c>
      <c r="I82">
        <f t="shared" si="29"/>
        <v>0</v>
      </c>
      <c r="J82">
        <f t="shared" si="29"/>
        <v>0</v>
      </c>
      <c r="K82">
        <f t="shared" si="29"/>
        <v>0</v>
      </c>
      <c r="L82">
        <f t="shared" si="29"/>
        <v>0</v>
      </c>
      <c r="M82">
        <f t="shared" si="29"/>
        <v>0</v>
      </c>
      <c r="N82">
        <f t="shared" si="29"/>
        <v>0</v>
      </c>
      <c r="O82">
        <f t="shared" si="29"/>
        <v>0</v>
      </c>
      <c r="P82">
        <f t="shared" si="29"/>
        <v>0</v>
      </c>
      <c r="Q82">
        <f>SUM(D81:P82)</f>
        <v>0</v>
      </c>
      <c r="R82">
        <f>Q82/13</f>
        <v>0</v>
      </c>
      <c r="T82">
        <f>(D82+P82)/2</f>
        <v>0</v>
      </c>
      <c r="V82">
        <f>R82-T82</f>
        <v>0</v>
      </c>
    </row>
    <row r="83" spans="2:22" ht="12.75" customHeight="1">
      <c r="B83" t="s">
        <v>173</v>
      </c>
      <c r="C83">
        <f>100/3</f>
        <v>33.333333333333336</v>
      </c>
      <c r="E83">
        <f>(E75*$C83/100/12)+(E76*$C83/100/12*0.5)</f>
        <v>14099.402777777779</v>
      </c>
      <c r="F83">
        <f t="shared" ref="F83:P83" si="30">(F75*$C83/100/12)+(F76*$C83/100/12*0.5)</f>
        <v>14231.097222222223</v>
      </c>
      <c r="G83">
        <f t="shared" si="30"/>
        <v>14362.79166666667</v>
      </c>
      <c r="H83">
        <f t="shared" si="30"/>
        <v>14494.486111111113</v>
      </c>
      <c r="I83">
        <f t="shared" si="30"/>
        <v>14626.180555555557</v>
      </c>
      <c r="J83">
        <f t="shared" si="30"/>
        <v>14757.875000000004</v>
      </c>
      <c r="K83">
        <f t="shared" si="30"/>
        <v>14889.569444444447</v>
      </c>
      <c r="L83">
        <f t="shared" si="30"/>
        <v>15021.263888888889</v>
      </c>
      <c r="M83">
        <f t="shared" si="30"/>
        <v>15152.958333333338</v>
      </c>
      <c r="N83">
        <f t="shared" si="30"/>
        <v>15284.652777777779</v>
      </c>
      <c r="O83">
        <f t="shared" si="30"/>
        <v>15416.347222222223</v>
      </c>
      <c r="P83">
        <f t="shared" si="30"/>
        <v>15548.04166666667</v>
      </c>
      <c r="Q83">
        <f>SUM(D83:P83)</f>
        <v>177884.66666666669</v>
      </c>
      <c r="R83">
        <f>Q83/13</f>
        <v>13683.435897435898</v>
      </c>
      <c r="T83">
        <f>(D83+P83)/2</f>
        <v>7774.0208333333348</v>
      </c>
      <c r="V83">
        <f>R83-T83</f>
        <v>5909.4150641025635</v>
      </c>
    </row>
    <row r="84" spans="2:22" ht="12.75" customHeight="1">
      <c r="B84" t="s">
        <v>170</v>
      </c>
      <c r="D84">
        <f>'GI-34 doc 3 page 2 de 2'!P80</f>
        <v>142494.22222222225</v>
      </c>
      <c r="E84">
        <f t="shared" ref="E84:P84" si="31">SUM(E80:E83)</f>
        <v>156593.62500000003</v>
      </c>
      <c r="F84">
        <f t="shared" si="31"/>
        <v>170824.72222222225</v>
      </c>
      <c r="G84">
        <f t="shared" si="31"/>
        <v>185187.51388888891</v>
      </c>
      <c r="H84">
        <f t="shared" si="31"/>
        <v>199682.00000000003</v>
      </c>
      <c r="I84">
        <f t="shared" si="31"/>
        <v>214308.18055555559</v>
      </c>
      <c r="J84">
        <f t="shared" si="31"/>
        <v>229066.05555555559</v>
      </c>
      <c r="K84">
        <f t="shared" si="31"/>
        <v>243955.62500000003</v>
      </c>
      <c r="L84">
        <f t="shared" si="31"/>
        <v>258976.88888888891</v>
      </c>
      <c r="M84">
        <f t="shared" si="31"/>
        <v>274129.84722222225</v>
      </c>
      <c r="N84">
        <f t="shared" si="31"/>
        <v>289414.5</v>
      </c>
      <c r="O84">
        <f t="shared" si="31"/>
        <v>304830.84722222225</v>
      </c>
      <c r="P84">
        <f t="shared" si="31"/>
        <v>320378.88888888893</v>
      </c>
      <c r="Q84">
        <f>SUM(D84:P84)</f>
        <v>2989842.916666667</v>
      </c>
      <c r="R84">
        <f>Q84/13</f>
        <v>229987.91666666669</v>
      </c>
      <c r="T84">
        <f>(D84+P84)/2</f>
        <v>231436.55555555559</v>
      </c>
      <c r="V84">
        <f>R84-T84</f>
        <v>-1448.6388888889051</v>
      </c>
    </row>
    <row r="86" spans="2:22" ht="12.75" customHeight="1">
      <c r="B86" t="s">
        <v>174</v>
      </c>
      <c r="D86">
        <f t="shared" ref="D86:P86" si="32">D78-D84</f>
        <v>362713.77777777775</v>
      </c>
      <c r="E86">
        <f t="shared" si="32"/>
        <v>353355.375</v>
      </c>
      <c r="F86">
        <f t="shared" si="32"/>
        <v>343865.27777777775</v>
      </c>
      <c r="G86">
        <f t="shared" si="32"/>
        <v>334243.48611111112</v>
      </c>
      <c r="H86">
        <f t="shared" si="32"/>
        <v>324490</v>
      </c>
      <c r="I86">
        <f t="shared" si="32"/>
        <v>314604.81944444438</v>
      </c>
      <c r="J86">
        <f t="shared" si="32"/>
        <v>304587.94444444438</v>
      </c>
      <c r="K86">
        <f t="shared" si="32"/>
        <v>294439.375</v>
      </c>
      <c r="L86">
        <f t="shared" si="32"/>
        <v>284159.11111111112</v>
      </c>
      <c r="M86">
        <f t="shared" si="32"/>
        <v>273747.15277777775</v>
      </c>
      <c r="N86">
        <f t="shared" si="32"/>
        <v>263203.5</v>
      </c>
      <c r="O86">
        <f t="shared" si="32"/>
        <v>252528.15277777775</v>
      </c>
      <c r="P86">
        <f t="shared" si="32"/>
        <v>241721.11111111107</v>
      </c>
      <c r="Q86">
        <f>SUM(D86:P86)</f>
        <v>3947659.083333333</v>
      </c>
      <c r="R86">
        <f>Q86/13</f>
        <v>303666.08333333331</v>
      </c>
      <c r="T86">
        <f>(D86+P86)/2</f>
        <v>302217.44444444438</v>
      </c>
      <c r="V86">
        <f>R86-T86</f>
        <v>1448.6388888889342</v>
      </c>
    </row>
    <row r="90" spans="2:22" ht="12.75" customHeight="1">
      <c r="B90" t="s">
        <v>180</v>
      </c>
      <c r="D90">
        <f>D75+D57</f>
        <v>0</v>
      </c>
      <c r="E90">
        <f t="shared" ref="D90:P93" si="33">E57+E75</f>
        <v>505208</v>
      </c>
      <c r="F90">
        <f t="shared" si="33"/>
        <v>509949</v>
      </c>
      <c r="G90">
        <f t="shared" si="33"/>
        <v>730210</v>
      </c>
      <c r="H90">
        <f t="shared" si="33"/>
        <v>734951</v>
      </c>
      <c r="I90">
        <f t="shared" si="33"/>
        <v>739692</v>
      </c>
      <c r="J90">
        <f t="shared" si="33"/>
        <v>744433</v>
      </c>
      <c r="K90">
        <f t="shared" si="33"/>
        <v>749174</v>
      </c>
      <c r="L90">
        <f t="shared" si="33"/>
        <v>753915</v>
      </c>
      <c r="M90">
        <f t="shared" si="33"/>
        <v>758656</v>
      </c>
      <c r="N90">
        <f t="shared" si="33"/>
        <v>763397</v>
      </c>
      <c r="O90">
        <f t="shared" si="33"/>
        <v>768138</v>
      </c>
      <c r="P90">
        <f t="shared" si="33"/>
        <v>772879</v>
      </c>
      <c r="Q90">
        <f>SUM(D90:P90)</f>
        <v>8530602</v>
      </c>
      <c r="R90">
        <f>Q90/13</f>
        <v>656200.15384615387</v>
      </c>
      <c r="T90">
        <f>(D90+P90)/2</f>
        <v>386439.5</v>
      </c>
      <c r="V90">
        <f>R90-T90</f>
        <v>269760.65384615387</v>
      </c>
    </row>
    <row r="91" spans="2:22" ht="12.75" customHeight="1">
      <c r="B91" t="s">
        <v>178</v>
      </c>
      <c r="D91">
        <f t="shared" si="33"/>
        <v>0</v>
      </c>
      <c r="E91">
        <f t="shared" si="33"/>
        <v>4741</v>
      </c>
      <c r="F91">
        <f t="shared" si="33"/>
        <v>220261</v>
      </c>
      <c r="G91">
        <f t="shared" si="33"/>
        <v>4741</v>
      </c>
      <c r="H91">
        <f t="shared" si="33"/>
        <v>4741</v>
      </c>
      <c r="I91">
        <f t="shared" si="33"/>
        <v>4741</v>
      </c>
      <c r="J91">
        <f t="shared" si="33"/>
        <v>4741</v>
      </c>
      <c r="K91">
        <f t="shared" si="33"/>
        <v>4741</v>
      </c>
      <c r="L91">
        <f t="shared" si="33"/>
        <v>4741</v>
      </c>
      <c r="M91">
        <f t="shared" si="33"/>
        <v>4741</v>
      </c>
      <c r="N91">
        <f t="shared" si="33"/>
        <v>4741</v>
      </c>
      <c r="O91">
        <f t="shared" si="33"/>
        <v>4741</v>
      </c>
      <c r="P91">
        <f t="shared" si="33"/>
        <v>4741</v>
      </c>
      <c r="Q91">
        <f>SUM(D91:P91)</f>
        <v>272412</v>
      </c>
      <c r="R91">
        <f>Q91/13</f>
        <v>20954.76923076923</v>
      </c>
      <c r="T91">
        <f>(D91+P91)/2</f>
        <v>2370.5</v>
      </c>
      <c r="V91">
        <f>R91-T91</f>
        <v>18584.26923076923</v>
      </c>
    </row>
    <row r="92" spans="2:22" ht="12.75" customHeight="1">
      <c r="B92" t="s">
        <v>169</v>
      </c>
      <c r="D92">
        <f t="shared" si="33"/>
        <v>0</v>
      </c>
      <c r="E92">
        <f t="shared" si="33"/>
        <v>0</v>
      </c>
      <c r="F92">
        <f t="shared" si="33"/>
        <v>0</v>
      </c>
      <c r="G92">
        <f t="shared" si="33"/>
        <v>0</v>
      </c>
      <c r="H92">
        <f t="shared" si="33"/>
        <v>0</v>
      </c>
      <c r="I92">
        <f t="shared" si="33"/>
        <v>0</v>
      </c>
      <c r="J92">
        <f t="shared" si="33"/>
        <v>0</v>
      </c>
      <c r="K92">
        <f t="shared" si="33"/>
        <v>0</v>
      </c>
      <c r="L92">
        <f t="shared" si="33"/>
        <v>0</v>
      </c>
      <c r="M92">
        <f t="shared" si="33"/>
        <v>0</v>
      </c>
      <c r="N92">
        <f t="shared" si="33"/>
        <v>0</v>
      </c>
      <c r="O92">
        <f t="shared" si="33"/>
        <v>0</v>
      </c>
      <c r="P92">
        <f t="shared" si="33"/>
        <v>0</v>
      </c>
      <c r="Q92">
        <f>SUM(D92:P92)</f>
        <v>0</v>
      </c>
      <c r="R92">
        <f>Q92/13</f>
        <v>0</v>
      </c>
      <c r="T92">
        <f>(D92+P92)/2</f>
        <v>0</v>
      </c>
      <c r="V92">
        <f>R92-T92</f>
        <v>0</v>
      </c>
    </row>
    <row r="93" spans="2:22" ht="12.75" customHeight="1">
      <c r="B93" t="s">
        <v>170</v>
      </c>
      <c r="D93">
        <f t="shared" si="33"/>
        <v>505208</v>
      </c>
      <c r="E93">
        <f t="shared" si="33"/>
        <v>509949</v>
      </c>
      <c r="F93">
        <f t="shared" si="33"/>
        <v>730210</v>
      </c>
      <c r="G93">
        <f t="shared" si="33"/>
        <v>734951</v>
      </c>
      <c r="H93">
        <f t="shared" si="33"/>
        <v>739692</v>
      </c>
      <c r="I93">
        <f t="shared" si="33"/>
        <v>744433</v>
      </c>
      <c r="J93">
        <f t="shared" si="33"/>
        <v>749174</v>
      </c>
      <c r="K93">
        <f t="shared" si="33"/>
        <v>753915</v>
      </c>
      <c r="L93">
        <f t="shared" si="33"/>
        <v>758656</v>
      </c>
      <c r="M93">
        <f t="shared" si="33"/>
        <v>763397</v>
      </c>
      <c r="N93">
        <f t="shared" si="33"/>
        <v>768138</v>
      </c>
      <c r="O93">
        <f t="shared" si="33"/>
        <v>772879</v>
      </c>
      <c r="P93">
        <f t="shared" si="33"/>
        <v>777620</v>
      </c>
      <c r="Q93">
        <f>SUM(D93:P93)</f>
        <v>9308222</v>
      </c>
      <c r="R93">
        <f>Q93/13</f>
        <v>716017.07692307688</v>
      </c>
      <c r="T93">
        <f>(D93+P93)/2</f>
        <v>641414</v>
      </c>
      <c r="V93">
        <f>R93-T93</f>
        <v>74603.076923076878</v>
      </c>
    </row>
    <row r="95" spans="2:22" ht="16.5" customHeight="1"/>
    <row r="97" spans="2:22" ht="12.75" customHeight="1">
      <c r="B97" t="s">
        <v>171</v>
      </c>
      <c r="D97">
        <f>D64+D80</f>
        <v>0</v>
      </c>
      <c r="E97">
        <f t="shared" ref="D97:P101" si="34">E64+E80</f>
        <v>142494.22222222225</v>
      </c>
      <c r="F97">
        <f t="shared" si="34"/>
        <v>156593.62500000003</v>
      </c>
      <c r="G97">
        <f t="shared" si="34"/>
        <v>173069.72222222225</v>
      </c>
      <c r="H97">
        <f t="shared" si="34"/>
        <v>191922.51388888891</v>
      </c>
      <c r="I97">
        <f t="shared" si="34"/>
        <v>210907.00000000003</v>
      </c>
      <c r="J97">
        <f t="shared" si="34"/>
        <v>230023.18055555559</v>
      </c>
      <c r="K97">
        <f t="shared" si="34"/>
        <v>249271.05555555559</v>
      </c>
      <c r="L97">
        <f t="shared" si="34"/>
        <v>268650.625</v>
      </c>
      <c r="M97">
        <f t="shared" si="34"/>
        <v>288161.88888888888</v>
      </c>
      <c r="N97">
        <f t="shared" si="34"/>
        <v>307804.84722222225</v>
      </c>
      <c r="O97">
        <f t="shared" si="34"/>
        <v>327579.5</v>
      </c>
      <c r="P97">
        <f t="shared" si="34"/>
        <v>347485.84722222225</v>
      </c>
      <c r="Q97">
        <f>SUM(D97:P97)</f>
        <v>2893964.027777778</v>
      </c>
      <c r="R97">
        <f>Q97/13</f>
        <v>222612.61752136753</v>
      </c>
      <c r="T97">
        <f>(D97+P97)/2</f>
        <v>173742.92361111112</v>
      </c>
      <c r="V97">
        <f>R97-T97</f>
        <v>48869.693910256407</v>
      </c>
    </row>
    <row r="98" spans="2:22" ht="12.75" customHeight="1">
      <c r="B98" t="s">
        <v>172</v>
      </c>
      <c r="D98">
        <f t="shared" si="34"/>
        <v>0</v>
      </c>
      <c r="E98">
        <f t="shared" si="34"/>
        <v>0</v>
      </c>
      <c r="F98">
        <f t="shared" si="34"/>
        <v>0</v>
      </c>
      <c r="G98">
        <f t="shared" si="34"/>
        <v>0</v>
      </c>
      <c r="H98">
        <f t="shared" si="34"/>
        <v>0</v>
      </c>
      <c r="I98">
        <f t="shared" si="34"/>
        <v>0</v>
      </c>
      <c r="J98">
        <f t="shared" si="34"/>
        <v>0</v>
      </c>
      <c r="K98">
        <f t="shared" si="34"/>
        <v>0</v>
      </c>
      <c r="L98">
        <f t="shared" si="34"/>
        <v>0</v>
      </c>
      <c r="M98">
        <f t="shared" si="34"/>
        <v>0</v>
      </c>
      <c r="N98">
        <f t="shared" si="34"/>
        <v>0</v>
      </c>
      <c r="O98">
        <f t="shared" si="34"/>
        <v>0</v>
      </c>
      <c r="P98">
        <f t="shared" si="34"/>
        <v>0</v>
      </c>
      <c r="Q98">
        <f>SUM(D98:P98)</f>
        <v>0</v>
      </c>
      <c r="R98">
        <f>Q98/13</f>
        <v>0</v>
      </c>
      <c r="T98">
        <f>(D98+P98)/2</f>
        <v>0</v>
      </c>
      <c r="V98">
        <f>R98-T98</f>
        <v>0</v>
      </c>
    </row>
    <row r="99" spans="2:22" ht="12.75" customHeight="1">
      <c r="B99" t="s">
        <v>169</v>
      </c>
      <c r="D99">
        <f t="shared" si="34"/>
        <v>0</v>
      </c>
      <c r="E99">
        <f t="shared" si="34"/>
        <v>0</v>
      </c>
      <c r="F99">
        <f t="shared" si="34"/>
        <v>0</v>
      </c>
      <c r="G99">
        <f t="shared" si="34"/>
        <v>0</v>
      </c>
      <c r="H99">
        <f t="shared" si="34"/>
        <v>0</v>
      </c>
      <c r="I99">
        <f t="shared" si="34"/>
        <v>0</v>
      </c>
      <c r="J99">
        <f t="shared" si="34"/>
        <v>0</v>
      </c>
      <c r="K99">
        <f t="shared" si="34"/>
        <v>0</v>
      </c>
      <c r="L99">
        <f t="shared" si="34"/>
        <v>0</v>
      </c>
      <c r="M99">
        <f t="shared" si="34"/>
        <v>0</v>
      </c>
      <c r="N99">
        <f t="shared" si="34"/>
        <v>0</v>
      </c>
      <c r="O99">
        <f t="shared" si="34"/>
        <v>0</v>
      </c>
      <c r="P99">
        <f t="shared" si="34"/>
        <v>0</v>
      </c>
      <c r="Q99">
        <f>SUM(D99:P99)</f>
        <v>0</v>
      </c>
      <c r="R99">
        <f>Q99/13</f>
        <v>0</v>
      </c>
      <c r="T99">
        <f>(D99+P99)/2</f>
        <v>0</v>
      </c>
      <c r="V99">
        <f>R99-T99</f>
        <v>0</v>
      </c>
    </row>
    <row r="100" spans="2:22" ht="12.75" customHeight="1">
      <c r="B100" t="s">
        <v>173</v>
      </c>
      <c r="E100">
        <f t="shared" si="34"/>
        <v>14099.402777777779</v>
      </c>
      <c r="F100">
        <f t="shared" si="34"/>
        <v>16476.097222222223</v>
      </c>
      <c r="G100">
        <f t="shared" si="34"/>
        <v>18852.791666666672</v>
      </c>
      <c r="H100">
        <f t="shared" si="34"/>
        <v>18984.486111111113</v>
      </c>
      <c r="I100">
        <f t="shared" si="34"/>
        <v>19116.180555555555</v>
      </c>
      <c r="J100">
        <f t="shared" si="34"/>
        <v>19247.875000000004</v>
      </c>
      <c r="K100">
        <f t="shared" si="34"/>
        <v>19379.569444444445</v>
      </c>
      <c r="L100">
        <f t="shared" si="34"/>
        <v>19511.263888888891</v>
      </c>
      <c r="M100">
        <f t="shared" si="34"/>
        <v>19642.958333333336</v>
      </c>
      <c r="N100">
        <f t="shared" si="34"/>
        <v>19774.652777777781</v>
      </c>
      <c r="O100">
        <f t="shared" si="34"/>
        <v>19906.347222222223</v>
      </c>
      <c r="P100">
        <f t="shared" si="34"/>
        <v>20038.041666666672</v>
      </c>
      <c r="Q100">
        <f>SUM(D100:P100)</f>
        <v>225029.66666666669</v>
      </c>
      <c r="R100">
        <f>Q100/13</f>
        <v>17309.974358974359</v>
      </c>
      <c r="T100">
        <f>(D100+P100)/2</f>
        <v>10019.020833333336</v>
      </c>
      <c r="V100">
        <f>R100-T100</f>
        <v>7290.9535256410236</v>
      </c>
    </row>
    <row r="101" spans="2:22" ht="12.75" customHeight="1">
      <c r="B101" t="s">
        <v>170</v>
      </c>
      <c r="D101">
        <f>D68+D84</f>
        <v>142494.22222222225</v>
      </c>
      <c r="E101">
        <f t="shared" si="34"/>
        <v>156593.62500000003</v>
      </c>
      <c r="F101">
        <f t="shared" si="34"/>
        <v>173069.72222222225</v>
      </c>
      <c r="G101">
        <f t="shared" si="34"/>
        <v>191922.51388888891</v>
      </c>
      <c r="H101">
        <f t="shared" si="34"/>
        <v>210907.00000000003</v>
      </c>
      <c r="I101">
        <f t="shared" si="34"/>
        <v>230023.18055555559</v>
      </c>
      <c r="J101">
        <f t="shared" si="34"/>
        <v>249271.05555555559</v>
      </c>
      <c r="K101">
        <f t="shared" si="34"/>
        <v>268650.625</v>
      </c>
      <c r="L101">
        <f t="shared" si="34"/>
        <v>288161.88888888888</v>
      </c>
      <c r="M101">
        <f t="shared" si="34"/>
        <v>307804.84722222225</v>
      </c>
      <c r="N101">
        <f t="shared" si="34"/>
        <v>327579.5</v>
      </c>
      <c r="O101">
        <f t="shared" si="34"/>
        <v>347485.84722222225</v>
      </c>
      <c r="P101">
        <f t="shared" si="34"/>
        <v>367523.88888888893</v>
      </c>
      <c r="Q101">
        <f>SUM(D101:P101)</f>
        <v>3261487.916666667</v>
      </c>
      <c r="R101">
        <f>Q101/13</f>
        <v>250883.68589743593</v>
      </c>
      <c r="T101">
        <f>(D101+P101)/2</f>
        <v>255009.05555555559</v>
      </c>
      <c r="V101">
        <f>R101-T101</f>
        <v>-4125.3696581196564</v>
      </c>
    </row>
    <row r="103" spans="2:22" ht="12.75" customHeight="1">
      <c r="B103" t="s">
        <v>174</v>
      </c>
      <c r="D103">
        <f>D93-D101</f>
        <v>362713.77777777775</v>
      </c>
      <c r="E103">
        <f>E93-E101</f>
        <v>353355.375</v>
      </c>
      <c r="F103">
        <f t="shared" ref="F103:P103" si="35">F93-F101</f>
        <v>557140.27777777775</v>
      </c>
      <c r="G103">
        <f t="shared" si="35"/>
        <v>543028.48611111112</v>
      </c>
      <c r="H103">
        <f t="shared" si="35"/>
        <v>528785</v>
      </c>
      <c r="I103">
        <f t="shared" si="35"/>
        <v>514409.81944444438</v>
      </c>
      <c r="J103">
        <f t="shared" si="35"/>
        <v>499902.94444444438</v>
      </c>
      <c r="K103">
        <f t="shared" si="35"/>
        <v>485264.375</v>
      </c>
      <c r="L103">
        <f t="shared" si="35"/>
        <v>470494.11111111112</v>
      </c>
      <c r="M103">
        <f t="shared" si="35"/>
        <v>455592.15277777775</v>
      </c>
      <c r="N103">
        <f t="shared" si="35"/>
        <v>440558.5</v>
      </c>
      <c r="O103">
        <f t="shared" si="35"/>
        <v>425393.15277777775</v>
      </c>
      <c r="P103">
        <f t="shared" si="35"/>
        <v>410096.11111111107</v>
      </c>
      <c r="Q103">
        <f>SUM(D103:P103)</f>
        <v>6046734.083333334</v>
      </c>
      <c r="R103">
        <f>Q103/13</f>
        <v>465133.39102564106</v>
      </c>
      <c r="T103">
        <f>(D103+P103)/2</f>
        <v>386404.94444444438</v>
      </c>
      <c r="V103">
        <f>R103-T103</f>
        <v>78728.44658119668</v>
      </c>
    </row>
    <row r="139" ht="16.5" customHeight="1"/>
  </sheetData>
  <mergeCells count="3">
    <mergeCell ref="A3:R3"/>
    <mergeCell ref="A4:T4"/>
    <mergeCell ref="A5:R5"/>
  </mergeCells>
  <printOptions horizontalCentered="1"/>
  <pageMargins left="0.27" right="0.25" top="0.47244094488188998" bottom="0.35433070866141703" header="0.23622047244094499" footer="0.15748031496063"/>
  <pageSetup scale="43" orientation="landscape" useFirstPageNumber="1" r:id="rId1"/>
  <headerFooter alignWithMargins="0"/>
  <rowBreaks count="2" manualBreakCount="2">
    <brk id="93" min="1" max="17" man="1"/>
    <brk id="13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312127">
    <tabColor theme="4" tint="0.39997558519241921"/>
    <pageSetUpPr autoPageBreaks="0" fitToPage="1"/>
  </sheetPr>
  <dimension ref="A3:V139"/>
  <sheetViews>
    <sheetView topLeftCell="A3" zoomScale="75" zoomScaleNormal="75" zoomScaleSheetLayoutView="75" workbookViewId="0">
      <pane xSplit="1" ySplit="8" topLeftCell="B41" activePane="bottomRight" state="frozen"/>
      <selection activeCell="G50" sqref="G50"/>
      <selection pane="topRight" activeCell="G50" sqref="G50"/>
      <selection pane="bottomLeft" activeCell="G50" sqref="G50"/>
      <selection pane="bottomRight" activeCell="Q83" sqref="Q83"/>
    </sheetView>
  </sheetViews>
  <sheetFormatPr baseColWidth="10" defaultColWidth="12.42578125" defaultRowHeight="12.75" customHeight="1"/>
  <cols>
    <col min="1" max="1" width="4.7109375" customWidth="1"/>
    <col min="2" max="2" width="31.140625" customWidth="1"/>
    <col min="3" max="3" width="9.85546875" customWidth="1"/>
    <col min="4" max="4" width="13.42578125" customWidth="1"/>
    <col min="5" max="5" width="12.7109375" customWidth="1"/>
    <col min="6" max="16" width="13.140625" customWidth="1"/>
    <col min="17" max="17" width="16" customWidth="1"/>
    <col min="18" max="18" width="16.5703125" customWidth="1"/>
    <col min="19" max="19" width="5.28515625" customWidth="1"/>
    <col min="21" max="21" width="5.42578125" customWidth="1"/>
  </cols>
  <sheetData>
    <row r="3" spans="1:22" ht="15.75" customHeight="1">
      <c r="A3" s="28" t="s">
        <v>129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2" ht="12.75" customHeight="1">
      <c r="A4" s="28" t="s">
        <v>130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2" ht="12.7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9" spans="1:22" ht="12.75" customHeight="1">
      <c r="C9" t="s">
        <v>131</v>
      </c>
      <c r="Q9" t="s">
        <v>132</v>
      </c>
      <c r="R9" t="s">
        <v>132</v>
      </c>
      <c r="T9" t="s">
        <v>133</v>
      </c>
      <c r="V9" t="s">
        <v>134</v>
      </c>
    </row>
    <row r="10" spans="1:22" ht="12.75" customHeight="1">
      <c r="C10" t="s">
        <v>135</v>
      </c>
      <c r="D10" t="s">
        <v>136</v>
      </c>
      <c r="E10" t="s">
        <v>137</v>
      </c>
      <c r="F10" t="s">
        <v>138</v>
      </c>
      <c r="G10" t="s">
        <v>139</v>
      </c>
      <c r="H10" t="s">
        <v>140</v>
      </c>
      <c r="I10" t="s">
        <v>141</v>
      </c>
      <c r="J10" t="s">
        <v>142</v>
      </c>
      <c r="K10" t="s">
        <v>143</v>
      </c>
      <c r="L10" t="s">
        <v>144</v>
      </c>
      <c r="M10" t="s">
        <v>145</v>
      </c>
      <c r="N10" t="s">
        <v>146</v>
      </c>
      <c r="O10" t="s">
        <v>147</v>
      </c>
      <c r="P10" t="s">
        <v>136</v>
      </c>
      <c r="Q10" t="s">
        <v>148</v>
      </c>
      <c r="R10" t="s">
        <v>149</v>
      </c>
      <c r="T10" t="s">
        <v>150</v>
      </c>
      <c r="V10" t="s">
        <v>151</v>
      </c>
    </row>
    <row r="11" spans="1:22" ht="12.75" customHeight="1">
      <c r="D11" t="s">
        <v>152</v>
      </c>
      <c r="E11" t="s">
        <v>153</v>
      </c>
      <c r="F11" t="s">
        <v>154</v>
      </c>
      <c r="G11" t="s">
        <v>155</v>
      </c>
      <c r="H11" t="s">
        <v>156</v>
      </c>
      <c r="I11" t="s">
        <v>157</v>
      </c>
      <c r="J11" t="s">
        <v>158</v>
      </c>
      <c r="K11" t="s">
        <v>159</v>
      </c>
      <c r="L11" t="s">
        <v>160</v>
      </c>
      <c r="M11" t="s">
        <v>161</v>
      </c>
      <c r="N11" t="s">
        <v>162</v>
      </c>
      <c r="O11" t="s">
        <v>163</v>
      </c>
      <c r="P11" t="s">
        <v>164</v>
      </c>
      <c r="Q11" t="s">
        <v>165</v>
      </c>
      <c r="R11" t="s">
        <v>166</v>
      </c>
    </row>
    <row r="14" spans="1:22" ht="12.75" customHeight="1">
      <c r="A14">
        <f>1</f>
        <v>1</v>
      </c>
      <c r="B14" t="s">
        <v>167</v>
      </c>
      <c r="E14">
        <f t="shared" ref="E14:P14" si="0">D17</f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>SUM(D14:P14)</f>
        <v>0</v>
      </c>
      <c r="R14">
        <f>Q14/13</f>
        <v>0</v>
      </c>
      <c r="T14">
        <f>(D14+P14)/2</f>
        <v>0</v>
      </c>
      <c r="V14">
        <f>R14-T14</f>
        <v>0</v>
      </c>
    </row>
    <row r="15" spans="1:22" ht="12.75" customHeight="1">
      <c r="A15">
        <f t="shared" ref="A15:A70" si="1">A14+1</f>
        <v>2</v>
      </c>
      <c r="B15" t="s">
        <v>168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>'GI-34 doc 3 page 1 de 2'!C36</f>
        <v>0</v>
      </c>
      <c r="Q15">
        <f>SUM(D15:P15)</f>
        <v>0</v>
      </c>
      <c r="R15">
        <f>Q15/13</f>
        <v>0</v>
      </c>
      <c r="T15">
        <f>(D15+P15)/2</f>
        <v>0</v>
      </c>
      <c r="V15">
        <f>R15-T15</f>
        <v>0</v>
      </c>
    </row>
    <row r="16" spans="1:22" ht="12.75" customHeight="1">
      <c r="A16">
        <f t="shared" si="1"/>
        <v>3</v>
      </c>
      <c r="B16" t="s">
        <v>169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f>SUM(D16:P16)</f>
        <v>0</v>
      </c>
      <c r="R16">
        <f>Q16/13</f>
        <v>0</v>
      </c>
      <c r="T16">
        <f>(D16+P16)/2</f>
        <v>0</v>
      </c>
      <c r="V16">
        <f>R16-T16</f>
        <v>0</v>
      </c>
    </row>
    <row r="17" spans="1:22" ht="15" customHeight="1">
      <c r="A17">
        <f t="shared" si="1"/>
        <v>4</v>
      </c>
      <c r="B17" t="s">
        <v>170</v>
      </c>
      <c r="D17">
        <f>'Depreciation 2017'!P17</f>
        <v>0</v>
      </c>
      <c r="E17">
        <f t="shared" ref="E17:P17" si="2">SUM(E14:E16)</f>
        <v>0</v>
      </c>
      <c r="F17">
        <f t="shared" si="2"/>
        <v>0</v>
      </c>
      <c r="G17">
        <f t="shared" si="2"/>
        <v>0</v>
      </c>
      <c r="H17">
        <f t="shared" si="2"/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>SUM(D17:P17)</f>
        <v>0</v>
      </c>
      <c r="R17">
        <f>Q17/13</f>
        <v>0</v>
      </c>
      <c r="T17">
        <f>(D17+P17)/2</f>
        <v>0</v>
      </c>
      <c r="V17">
        <f>R17-T17</f>
        <v>0</v>
      </c>
    </row>
    <row r="18" spans="1:22" ht="12.75" customHeight="1">
      <c r="A18">
        <f t="shared" si="1"/>
        <v>5</v>
      </c>
    </row>
    <row r="19" spans="1:22" ht="12.75" customHeight="1">
      <c r="A19">
        <f t="shared" si="1"/>
        <v>6</v>
      </c>
      <c r="B19" t="s">
        <v>171</v>
      </c>
      <c r="E19">
        <f t="shared" ref="E19:P19" si="3">D23</f>
        <v>0</v>
      </c>
      <c r="F19">
        <f t="shared" si="3"/>
        <v>0</v>
      </c>
      <c r="G19">
        <f t="shared" si="3"/>
        <v>0</v>
      </c>
      <c r="H19">
        <f t="shared" si="3"/>
        <v>0</v>
      </c>
      <c r="I19">
        <f t="shared" si="3"/>
        <v>0</v>
      </c>
      <c r="J19">
        <f t="shared" si="3"/>
        <v>0</v>
      </c>
      <c r="K19">
        <f t="shared" si="3"/>
        <v>0</v>
      </c>
      <c r="L19">
        <f t="shared" si="3"/>
        <v>0</v>
      </c>
      <c r="M19">
        <f t="shared" si="3"/>
        <v>0</v>
      </c>
      <c r="N19">
        <f t="shared" si="3"/>
        <v>0</v>
      </c>
      <c r="O19">
        <f t="shared" si="3"/>
        <v>0</v>
      </c>
      <c r="P19">
        <f t="shared" si="3"/>
        <v>0</v>
      </c>
      <c r="Q19">
        <f>SUM(D19:P19)</f>
        <v>0</v>
      </c>
      <c r="R19">
        <f>Q19/13</f>
        <v>0</v>
      </c>
      <c r="T19">
        <f>(D19+P19)/2</f>
        <v>0</v>
      </c>
      <c r="V19">
        <f>R19-T19</f>
        <v>0</v>
      </c>
    </row>
    <row r="20" spans="1:22" ht="12.75" customHeight="1">
      <c r="A20">
        <f t="shared" si="1"/>
        <v>7</v>
      </c>
      <c r="B20" t="s">
        <v>172</v>
      </c>
      <c r="Q20">
        <f>SUM(D20:P20)</f>
        <v>0</v>
      </c>
      <c r="R20">
        <f>Q20/13</f>
        <v>0</v>
      </c>
      <c r="T20">
        <f>(D20+P20)/2</f>
        <v>0</v>
      </c>
      <c r="V20">
        <f>R20-T20</f>
        <v>0</v>
      </c>
    </row>
    <row r="21" spans="1:22" ht="12.75" customHeight="1">
      <c r="A21">
        <f t="shared" si="1"/>
        <v>8</v>
      </c>
      <c r="B21" t="s">
        <v>169</v>
      </c>
      <c r="E21">
        <f t="shared" ref="E21:P21" si="4">E16</f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4"/>
        <v>0</v>
      </c>
      <c r="N21">
        <f t="shared" si="4"/>
        <v>0</v>
      </c>
      <c r="O21">
        <f t="shared" si="4"/>
        <v>0</v>
      </c>
      <c r="P21">
        <f t="shared" si="4"/>
        <v>0</v>
      </c>
      <c r="Q21">
        <f>SUM(D20:P21)</f>
        <v>0</v>
      </c>
      <c r="R21">
        <f>Q21/13</f>
        <v>0</v>
      </c>
      <c r="T21">
        <f>(D21+P21)/2</f>
        <v>0</v>
      </c>
      <c r="V21">
        <f>R21-T21</f>
        <v>0</v>
      </c>
    </row>
    <row r="22" spans="1:22" ht="12.75" customHeight="1">
      <c r="A22">
        <f t="shared" si="1"/>
        <v>9</v>
      </c>
      <c r="B22" t="s">
        <v>173</v>
      </c>
      <c r="C22">
        <v>2.2200000000000002</v>
      </c>
      <c r="E22">
        <f t="shared" ref="E22:P22" si="5">E17*$C22/100/12</f>
        <v>0</v>
      </c>
      <c r="F22">
        <f t="shared" si="5"/>
        <v>0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  <c r="Q22">
        <f>SUM(D22:P22)</f>
        <v>0</v>
      </c>
      <c r="R22">
        <f>Q22/13</f>
        <v>0</v>
      </c>
      <c r="T22">
        <f>(D22+P22)/2</f>
        <v>0</v>
      </c>
      <c r="V22">
        <f>R22-T22</f>
        <v>0</v>
      </c>
    </row>
    <row r="23" spans="1:22" ht="15" customHeight="1">
      <c r="A23">
        <f t="shared" si="1"/>
        <v>10</v>
      </c>
      <c r="B23" t="s">
        <v>170</v>
      </c>
      <c r="D23">
        <f>'Depreciation 2017'!P23</f>
        <v>0</v>
      </c>
      <c r="E23">
        <f>SUM(E19:E22)</f>
        <v>0</v>
      </c>
      <c r="F23">
        <f t="shared" ref="F23:P23" si="6">SUM(F19:F22)</f>
        <v>0</v>
      </c>
      <c r="G23">
        <f t="shared" si="6"/>
        <v>0</v>
      </c>
      <c r="H23">
        <f t="shared" si="6"/>
        <v>0</v>
      </c>
      <c r="I23">
        <f t="shared" si="6"/>
        <v>0</v>
      </c>
      <c r="J23">
        <f t="shared" si="6"/>
        <v>0</v>
      </c>
      <c r="K23">
        <f t="shared" si="6"/>
        <v>0</v>
      </c>
      <c r="L23">
        <f t="shared" si="6"/>
        <v>0</v>
      </c>
      <c r="M23">
        <f t="shared" si="6"/>
        <v>0</v>
      </c>
      <c r="N23">
        <f t="shared" si="6"/>
        <v>0</v>
      </c>
      <c r="O23">
        <f t="shared" si="6"/>
        <v>0</v>
      </c>
      <c r="P23">
        <f t="shared" si="6"/>
        <v>0</v>
      </c>
      <c r="Q23">
        <f>SUM(D23:P23)</f>
        <v>0</v>
      </c>
      <c r="R23">
        <f>Q23/13</f>
        <v>0</v>
      </c>
      <c r="T23">
        <f>(D23+P23)/2</f>
        <v>0</v>
      </c>
      <c r="V23">
        <f>R23-T23</f>
        <v>0</v>
      </c>
    </row>
    <row r="24" spans="1:22" ht="12.75" customHeight="1">
      <c r="A24">
        <f t="shared" si="1"/>
        <v>11</v>
      </c>
    </row>
    <row r="25" spans="1:22" ht="12.75" customHeight="1">
      <c r="A25">
        <f t="shared" si="1"/>
        <v>12</v>
      </c>
      <c r="B25" t="s">
        <v>174</v>
      </c>
      <c r="D25">
        <f t="shared" ref="D25:P25" si="7">D17-D23</f>
        <v>0</v>
      </c>
      <c r="E25">
        <f t="shared" si="7"/>
        <v>0</v>
      </c>
      <c r="F25">
        <f t="shared" si="7"/>
        <v>0</v>
      </c>
      <c r="G25">
        <f t="shared" si="7"/>
        <v>0</v>
      </c>
      <c r="H25">
        <f t="shared" si="7"/>
        <v>0</v>
      </c>
      <c r="I25">
        <f t="shared" si="7"/>
        <v>0</v>
      </c>
      <c r="J25">
        <f t="shared" si="7"/>
        <v>0</v>
      </c>
      <c r="K25">
        <f t="shared" si="7"/>
        <v>0</v>
      </c>
      <c r="L25">
        <f t="shared" si="7"/>
        <v>0</v>
      </c>
      <c r="M25">
        <f t="shared" si="7"/>
        <v>0</v>
      </c>
      <c r="N25">
        <f t="shared" si="7"/>
        <v>0</v>
      </c>
      <c r="O25">
        <f t="shared" si="7"/>
        <v>0</v>
      </c>
      <c r="P25">
        <f t="shared" si="7"/>
        <v>0</v>
      </c>
      <c r="Q25">
        <f>SUM(D25:P25)</f>
        <v>0</v>
      </c>
      <c r="R25">
        <f>Q25/13</f>
        <v>0</v>
      </c>
      <c r="T25">
        <f>(D25+P25)/2</f>
        <v>0</v>
      </c>
      <c r="V25">
        <f>R25-T25</f>
        <v>0</v>
      </c>
    </row>
    <row r="26" spans="1:22" ht="12.75" customHeight="1">
      <c r="A26">
        <f t="shared" si="1"/>
        <v>13</v>
      </c>
    </row>
    <row r="27" spans="1:22" ht="12.75" customHeight="1">
      <c r="A27">
        <f t="shared" si="1"/>
        <v>14</v>
      </c>
    </row>
    <row r="28" spans="1:22" ht="12.75" customHeight="1">
      <c r="A28">
        <f t="shared" si="1"/>
        <v>15</v>
      </c>
      <c r="B28" t="s">
        <v>175</v>
      </c>
      <c r="E28">
        <f t="shared" ref="E28:P28" si="8">D31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>SUM(D28:P28)</f>
        <v>0</v>
      </c>
      <c r="R28">
        <f>Q28/13</f>
        <v>0</v>
      </c>
      <c r="T28">
        <f>(D28+P28)/2</f>
        <v>0</v>
      </c>
      <c r="V28">
        <f>R28-T28</f>
        <v>0</v>
      </c>
    </row>
    <row r="29" spans="1:22" ht="12.75" customHeight="1">
      <c r="A29">
        <f t="shared" si="1"/>
        <v>16</v>
      </c>
      <c r="B29" t="s">
        <v>168</v>
      </c>
      <c r="K29">
        <f>'GI-34 doc 3 page 1 de 2'!D36</f>
        <v>0</v>
      </c>
      <c r="Q29">
        <f>SUM(D29:P29)</f>
        <v>0</v>
      </c>
      <c r="R29">
        <f>Q29/13</f>
        <v>0</v>
      </c>
      <c r="T29">
        <f>(D29+P29)/2</f>
        <v>0</v>
      </c>
      <c r="V29">
        <f>R29-T29</f>
        <v>0</v>
      </c>
    </row>
    <row r="30" spans="1:22" ht="12.75" customHeight="1">
      <c r="A30">
        <f t="shared" si="1"/>
        <v>17</v>
      </c>
      <c r="B30" t="s">
        <v>169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SUM(D30:P30)</f>
        <v>0</v>
      </c>
      <c r="R30">
        <f>Q30/13</f>
        <v>0</v>
      </c>
      <c r="T30">
        <f>(D30+P30)/2</f>
        <v>0</v>
      </c>
      <c r="V30">
        <f>R30-T30</f>
        <v>0</v>
      </c>
    </row>
    <row r="31" spans="1:22" ht="12.75" customHeight="1">
      <c r="A31">
        <f t="shared" si="1"/>
        <v>18</v>
      </c>
      <c r="B31" t="s">
        <v>170</v>
      </c>
      <c r="D31">
        <f>'Depreciation 2017'!P31</f>
        <v>0</v>
      </c>
      <c r="E31">
        <f t="shared" ref="E31:P31" si="9">SUM(E28:E30)</f>
        <v>0</v>
      </c>
      <c r="F31">
        <f t="shared" si="9"/>
        <v>0</v>
      </c>
      <c r="G31">
        <f t="shared" si="9"/>
        <v>0</v>
      </c>
      <c r="H31">
        <f t="shared" si="9"/>
        <v>0</v>
      </c>
      <c r="I31">
        <f t="shared" si="9"/>
        <v>0</v>
      </c>
      <c r="J31">
        <f t="shared" si="9"/>
        <v>0</v>
      </c>
      <c r="K31">
        <f t="shared" si="9"/>
        <v>0</v>
      </c>
      <c r="L31">
        <f t="shared" si="9"/>
        <v>0</v>
      </c>
      <c r="M31">
        <f t="shared" si="9"/>
        <v>0</v>
      </c>
      <c r="N31">
        <f t="shared" si="9"/>
        <v>0</v>
      </c>
      <c r="O31">
        <f t="shared" si="9"/>
        <v>0</v>
      </c>
      <c r="P31">
        <f t="shared" si="9"/>
        <v>0</v>
      </c>
      <c r="Q31">
        <f>SUM(D31:P31)</f>
        <v>0</v>
      </c>
      <c r="R31">
        <f>Q31/13</f>
        <v>0</v>
      </c>
      <c r="T31">
        <f>(D31+P31)/2</f>
        <v>0</v>
      </c>
      <c r="V31">
        <f>R31-T31</f>
        <v>0</v>
      </c>
    </row>
    <row r="32" spans="1:22" ht="12.75" customHeight="1">
      <c r="A32">
        <f t="shared" si="1"/>
        <v>19</v>
      </c>
    </row>
    <row r="33" spans="1:22" ht="12.75" customHeight="1">
      <c r="A33">
        <f t="shared" si="1"/>
        <v>20</v>
      </c>
      <c r="B33" t="s">
        <v>171</v>
      </c>
      <c r="E33">
        <f t="shared" ref="E33:P33" si="10">D37</f>
        <v>0</v>
      </c>
      <c r="F33">
        <f t="shared" si="10"/>
        <v>0</v>
      </c>
      <c r="G33">
        <f t="shared" si="10"/>
        <v>0</v>
      </c>
      <c r="H33">
        <f t="shared" si="10"/>
        <v>0</v>
      </c>
      <c r="I33">
        <f t="shared" si="10"/>
        <v>0</v>
      </c>
      <c r="J33">
        <f t="shared" si="10"/>
        <v>0</v>
      </c>
      <c r="K33">
        <f t="shared" si="10"/>
        <v>0</v>
      </c>
      <c r="L33">
        <f t="shared" si="10"/>
        <v>0</v>
      </c>
      <c r="M33">
        <f t="shared" si="10"/>
        <v>0</v>
      </c>
      <c r="N33">
        <f t="shared" si="10"/>
        <v>0</v>
      </c>
      <c r="O33">
        <f t="shared" si="10"/>
        <v>0</v>
      </c>
      <c r="P33">
        <f t="shared" si="10"/>
        <v>0</v>
      </c>
      <c r="Q33">
        <f>SUM(D33:P33)</f>
        <v>0</v>
      </c>
      <c r="R33">
        <f>Q33/13</f>
        <v>0</v>
      </c>
      <c r="T33">
        <f>(D33+P33)/2</f>
        <v>0</v>
      </c>
      <c r="V33">
        <f>R33-T33</f>
        <v>0</v>
      </c>
    </row>
    <row r="34" spans="1:22" ht="12.75" customHeight="1">
      <c r="A34">
        <f t="shared" si="1"/>
        <v>21</v>
      </c>
      <c r="B34" t="s">
        <v>172</v>
      </c>
      <c r="Q34">
        <f>SUM(D34:P34)</f>
        <v>0</v>
      </c>
      <c r="R34">
        <f>Q34/13</f>
        <v>0</v>
      </c>
      <c r="T34">
        <f>(D34+P34)/2</f>
        <v>0</v>
      </c>
      <c r="V34">
        <f>R34-T34</f>
        <v>0</v>
      </c>
    </row>
    <row r="35" spans="1:22" ht="12.75" customHeight="1">
      <c r="A35">
        <f t="shared" si="1"/>
        <v>22</v>
      </c>
      <c r="B35" t="s">
        <v>169</v>
      </c>
      <c r="E35">
        <f t="shared" ref="E35:P35" si="11">E30</f>
        <v>0</v>
      </c>
      <c r="F35">
        <f t="shared" si="11"/>
        <v>0</v>
      </c>
      <c r="G35">
        <f t="shared" si="11"/>
        <v>0</v>
      </c>
      <c r="H35">
        <f t="shared" si="11"/>
        <v>0</v>
      </c>
      <c r="I35">
        <f t="shared" si="11"/>
        <v>0</v>
      </c>
      <c r="J35">
        <f t="shared" si="11"/>
        <v>0</v>
      </c>
      <c r="K35">
        <f t="shared" si="11"/>
        <v>0</v>
      </c>
      <c r="L35">
        <f t="shared" si="11"/>
        <v>0</v>
      </c>
      <c r="M35">
        <f t="shared" si="11"/>
        <v>0</v>
      </c>
      <c r="N35">
        <f t="shared" si="11"/>
        <v>0</v>
      </c>
      <c r="O35">
        <f t="shared" si="11"/>
        <v>0</v>
      </c>
      <c r="P35">
        <f t="shared" si="11"/>
        <v>0</v>
      </c>
      <c r="Q35">
        <f>SUM(D34:P35)</f>
        <v>0</v>
      </c>
      <c r="R35">
        <f>Q35/13</f>
        <v>0</v>
      </c>
      <c r="T35">
        <f>(D35+P35)/2</f>
        <v>0</v>
      </c>
      <c r="V35">
        <f>R35-T35</f>
        <v>0</v>
      </c>
    </row>
    <row r="36" spans="1:22" ht="12.75" customHeight="1">
      <c r="A36">
        <f t="shared" si="1"/>
        <v>23</v>
      </c>
      <c r="B36" t="s">
        <v>173</v>
      </c>
      <c r="C36">
        <f>'[8]Coût de service'!R8*100</f>
        <v>4.5199999999999996</v>
      </c>
      <c r="E36">
        <f t="shared" ref="E36:P36" si="12">E31*$C36/100/12</f>
        <v>0</v>
      </c>
      <c r="F36">
        <f t="shared" si="12"/>
        <v>0</v>
      </c>
      <c r="G36">
        <f t="shared" si="12"/>
        <v>0</v>
      </c>
      <c r="H36">
        <f t="shared" si="12"/>
        <v>0</v>
      </c>
      <c r="I36">
        <f t="shared" si="12"/>
        <v>0</v>
      </c>
      <c r="J36">
        <f t="shared" si="12"/>
        <v>0</v>
      </c>
      <c r="K36">
        <f t="shared" si="12"/>
        <v>0</v>
      </c>
      <c r="L36">
        <f t="shared" si="12"/>
        <v>0</v>
      </c>
      <c r="M36">
        <f t="shared" si="12"/>
        <v>0</v>
      </c>
      <c r="N36">
        <f t="shared" si="12"/>
        <v>0</v>
      </c>
      <c r="O36">
        <f t="shared" si="12"/>
        <v>0</v>
      </c>
      <c r="P36">
        <f t="shared" si="12"/>
        <v>0</v>
      </c>
      <c r="Q36">
        <f>SUM(D36:P36)</f>
        <v>0</v>
      </c>
      <c r="R36">
        <f>Q36/13</f>
        <v>0</v>
      </c>
      <c r="T36">
        <f>(D36+P36)/2</f>
        <v>0</v>
      </c>
      <c r="V36">
        <f>R36-T36</f>
        <v>0</v>
      </c>
    </row>
    <row r="37" spans="1:22" ht="12.75" customHeight="1">
      <c r="A37">
        <f t="shared" si="1"/>
        <v>24</v>
      </c>
      <c r="B37" t="s">
        <v>170</v>
      </c>
      <c r="D37">
        <f>'Depreciation 2017'!P37</f>
        <v>0</v>
      </c>
      <c r="E37">
        <f t="shared" ref="E37:P37" si="13">SUM(E33:E36)</f>
        <v>0</v>
      </c>
      <c r="F37">
        <f t="shared" si="13"/>
        <v>0</v>
      </c>
      <c r="G37">
        <f t="shared" si="13"/>
        <v>0</v>
      </c>
      <c r="H37">
        <f t="shared" si="13"/>
        <v>0</v>
      </c>
      <c r="I37">
        <f t="shared" si="13"/>
        <v>0</v>
      </c>
      <c r="J37">
        <f t="shared" si="13"/>
        <v>0</v>
      </c>
      <c r="K37">
        <f t="shared" si="13"/>
        <v>0</v>
      </c>
      <c r="L37">
        <f t="shared" si="13"/>
        <v>0</v>
      </c>
      <c r="M37">
        <f t="shared" si="13"/>
        <v>0</v>
      </c>
      <c r="N37">
        <f t="shared" si="13"/>
        <v>0</v>
      </c>
      <c r="O37">
        <f t="shared" si="13"/>
        <v>0</v>
      </c>
      <c r="P37">
        <f t="shared" si="13"/>
        <v>0</v>
      </c>
      <c r="Q37">
        <f>SUM(D37:P37)</f>
        <v>0</v>
      </c>
      <c r="R37">
        <f>Q37/13</f>
        <v>0</v>
      </c>
      <c r="T37">
        <f>(D37+P37)/2</f>
        <v>0</v>
      </c>
      <c r="V37">
        <f>R37-T37</f>
        <v>0</v>
      </c>
    </row>
    <row r="38" spans="1:22" ht="12.75" customHeight="1">
      <c r="A38">
        <f t="shared" si="1"/>
        <v>25</v>
      </c>
    </row>
    <row r="39" spans="1:22" ht="12.75" customHeight="1">
      <c r="A39">
        <f t="shared" si="1"/>
        <v>26</v>
      </c>
      <c r="B39" t="s">
        <v>174</v>
      </c>
      <c r="D39">
        <f t="shared" ref="D39:P39" si="14">D31-D37</f>
        <v>0</v>
      </c>
      <c r="E39">
        <f t="shared" si="14"/>
        <v>0</v>
      </c>
      <c r="F39">
        <f t="shared" si="14"/>
        <v>0</v>
      </c>
      <c r="G39">
        <f t="shared" si="14"/>
        <v>0</v>
      </c>
      <c r="H39">
        <f t="shared" si="14"/>
        <v>0</v>
      </c>
      <c r="I39">
        <f t="shared" si="14"/>
        <v>0</v>
      </c>
      <c r="J39">
        <f t="shared" si="14"/>
        <v>0</v>
      </c>
      <c r="K39">
        <f t="shared" si="14"/>
        <v>0</v>
      </c>
      <c r="L39">
        <f t="shared" si="14"/>
        <v>0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  <c r="Q39">
        <f>SUM(D39:P39)</f>
        <v>0</v>
      </c>
      <c r="R39">
        <f>Q39/13</f>
        <v>0</v>
      </c>
      <c r="T39">
        <f>(D39+P39)/2</f>
        <v>0</v>
      </c>
      <c r="V39">
        <f>R39-T39</f>
        <v>0</v>
      </c>
    </row>
    <row r="40" spans="1:22" ht="12.75" customHeight="1">
      <c r="A40">
        <f t="shared" si="1"/>
        <v>27</v>
      </c>
    </row>
    <row r="41" spans="1:22" ht="12.75" customHeight="1">
      <c r="A41">
        <v>28</v>
      </c>
    </row>
    <row r="42" spans="1:22" ht="12.75" customHeight="1">
      <c r="A42">
        <v>29</v>
      </c>
      <c r="B42" t="s">
        <v>176</v>
      </c>
      <c r="E42">
        <f t="shared" ref="E42:P42" si="15">D45</f>
        <v>215520</v>
      </c>
      <c r="F42">
        <f t="shared" si="15"/>
        <v>215520</v>
      </c>
      <c r="G42">
        <f t="shared" si="15"/>
        <v>215520</v>
      </c>
      <c r="H42">
        <f t="shared" si="15"/>
        <v>215520</v>
      </c>
      <c r="I42">
        <f t="shared" si="15"/>
        <v>215520</v>
      </c>
      <c r="J42">
        <f t="shared" si="15"/>
        <v>215520</v>
      </c>
      <c r="K42">
        <f t="shared" si="15"/>
        <v>215520</v>
      </c>
      <c r="L42">
        <f t="shared" si="15"/>
        <v>215520</v>
      </c>
      <c r="M42">
        <f t="shared" si="15"/>
        <v>215520</v>
      </c>
      <c r="N42">
        <f t="shared" si="15"/>
        <v>215520</v>
      </c>
      <c r="O42">
        <f t="shared" si="15"/>
        <v>215520</v>
      </c>
      <c r="P42">
        <f t="shared" si="15"/>
        <v>215520</v>
      </c>
      <c r="Q42">
        <f>SUM(D42:P42)</f>
        <v>2586240</v>
      </c>
      <c r="R42">
        <f>Q42/13</f>
        <v>198941.53846153847</v>
      </c>
      <c r="T42">
        <f>(D42+P42)/2</f>
        <v>107760</v>
      </c>
      <c r="V42">
        <f>R42-T42</f>
        <v>91181.538461538468</v>
      </c>
    </row>
    <row r="43" spans="1:22" ht="12.75" customHeight="1">
      <c r="A43">
        <v>30</v>
      </c>
      <c r="B43" t="s">
        <v>168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>'GI-34 doc 3 page 1 de 2'!E36</f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f>SUM(D43:P43)</f>
        <v>0</v>
      </c>
      <c r="R43">
        <f>Q43/13</f>
        <v>0</v>
      </c>
      <c r="T43">
        <f>(D43+P43)/2</f>
        <v>0</v>
      </c>
      <c r="V43">
        <f>R43-T43</f>
        <v>0</v>
      </c>
    </row>
    <row r="44" spans="1:22" ht="12.75" customHeight="1">
      <c r="A44">
        <f t="shared" si="1"/>
        <v>31</v>
      </c>
      <c r="B44" t="s">
        <v>169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>SUM(D44:P44)</f>
        <v>0</v>
      </c>
      <c r="R44">
        <f>Q44/13</f>
        <v>0</v>
      </c>
      <c r="T44">
        <f>(D44+P44)/2</f>
        <v>0</v>
      </c>
      <c r="V44">
        <f>R44-T44</f>
        <v>0</v>
      </c>
    </row>
    <row r="45" spans="1:22" ht="12.75" customHeight="1">
      <c r="A45">
        <f t="shared" si="1"/>
        <v>32</v>
      </c>
      <c r="B45" t="s">
        <v>170</v>
      </c>
      <c r="D45">
        <f>'Depreciation 2017'!P45</f>
        <v>215520</v>
      </c>
      <c r="E45">
        <f t="shared" ref="E45:P45" si="16">SUM(E42:E44)</f>
        <v>215520</v>
      </c>
      <c r="F45">
        <f t="shared" si="16"/>
        <v>215520</v>
      </c>
      <c r="G45">
        <f t="shared" si="16"/>
        <v>215520</v>
      </c>
      <c r="H45">
        <f t="shared" si="16"/>
        <v>215520</v>
      </c>
      <c r="I45">
        <f t="shared" si="16"/>
        <v>215520</v>
      </c>
      <c r="J45">
        <f t="shared" si="16"/>
        <v>215520</v>
      </c>
      <c r="K45">
        <f t="shared" si="16"/>
        <v>215520</v>
      </c>
      <c r="L45">
        <f t="shared" si="16"/>
        <v>215520</v>
      </c>
      <c r="M45">
        <f t="shared" si="16"/>
        <v>215520</v>
      </c>
      <c r="N45">
        <f t="shared" si="16"/>
        <v>215520</v>
      </c>
      <c r="O45">
        <f t="shared" si="16"/>
        <v>215520</v>
      </c>
      <c r="P45">
        <f t="shared" si="16"/>
        <v>215520</v>
      </c>
      <c r="Q45">
        <f>SUM(D45:P45)</f>
        <v>2801760</v>
      </c>
      <c r="R45">
        <f>Q45/13</f>
        <v>215520</v>
      </c>
      <c r="T45">
        <f>(D45+P45)/2</f>
        <v>215520</v>
      </c>
      <c r="V45">
        <f>R45-T45</f>
        <v>0</v>
      </c>
    </row>
    <row r="46" spans="1:22" ht="12.75" customHeight="1">
      <c r="A46">
        <f t="shared" si="1"/>
        <v>33</v>
      </c>
    </row>
    <row r="47" spans="1:22" ht="12.75" customHeight="1">
      <c r="A47">
        <f t="shared" si="1"/>
        <v>34</v>
      </c>
      <c r="B47" t="s">
        <v>171</v>
      </c>
      <c r="E47">
        <f t="shared" ref="E47:P47" si="17">D51</f>
        <v>47145</v>
      </c>
      <c r="F47">
        <f t="shared" si="17"/>
        <v>51635</v>
      </c>
      <c r="G47">
        <f t="shared" si="17"/>
        <v>56125</v>
      </c>
      <c r="H47">
        <f t="shared" si="17"/>
        <v>60615</v>
      </c>
      <c r="I47">
        <f t="shared" si="17"/>
        <v>65105</v>
      </c>
      <c r="J47">
        <f t="shared" si="17"/>
        <v>69595</v>
      </c>
      <c r="K47">
        <f t="shared" si="17"/>
        <v>74085</v>
      </c>
      <c r="L47">
        <f t="shared" si="17"/>
        <v>78575</v>
      </c>
      <c r="M47">
        <f t="shared" si="17"/>
        <v>83065</v>
      </c>
      <c r="N47">
        <f t="shared" si="17"/>
        <v>87555</v>
      </c>
      <c r="O47">
        <f t="shared" si="17"/>
        <v>92045</v>
      </c>
      <c r="P47">
        <f t="shared" si="17"/>
        <v>96535</v>
      </c>
      <c r="Q47">
        <f>SUM(D47:P47)</f>
        <v>862080</v>
      </c>
      <c r="R47">
        <f>Q47/13</f>
        <v>66313.846153846156</v>
      </c>
      <c r="T47">
        <f>(D47+P47)/2</f>
        <v>48267.5</v>
      </c>
      <c r="V47">
        <f>R47-T47</f>
        <v>18046.346153846156</v>
      </c>
    </row>
    <row r="48" spans="1:22" ht="12.75" customHeight="1">
      <c r="A48">
        <f t="shared" si="1"/>
        <v>35</v>
      </c>
      <c r="B48" t="s">
        <v>172</v>
      </c>
      <c r="Q48">
        <f>SUM(D48:P48)</f>
        <v>0</v>
      </c>
      <c r="R48">
        <f>Q48/13</f>
        <v>0</v>
      </c>
      <c r="T48">
        <f>(D48+P48)/2</f>
        <v>0</v>
      </c>
      <c r="V48">
        <f>R48-T48</f>
        <v>0</v>
      </c>
    </row>
    <row r="49" spans="1:22" ht="12.75" customHeight="1">
      <c r="A49">
        <f t="shared" si="1"/>
        <v>36</v>
      </c>
      <c r="B49" t="s">
        <v>169</v>
      </c>
      <c r="E49">
        <f t="shared" ref="E49:P49" si="18">E44</f>
        <v>0</v>
      </c>
      <c r="F49">
        <f t="shared" si="18"/>
        <v>0</v>
      </c>
      <c r="G49">
        <f t="shared" si="18"/>
        <v>0</v>
      </c>
      <c r="H49">
        <f t="shared" si="18"/>
        <v>0</v>
      </c>
      <c r="I49">
        <f t="shared" si="18"/>
        <v>0</v>
      </c>
      <c r="J49">
        <f t="shared" si="18"/>
        <v>0</v>
      </c>
      <c r="K49">
        <f t="shared" si="18"/>
        <v>0</v>
      </c>
      <c r="L49">
        <f t="shared" si="18"/>
        <v>0</v>
      </c>
      <c r="M49">
        <f t="shared" si="18"/>
        <v>0</v>
      </c>
      <c r="N49">
        <f t="shared" si="18"/>
        <v>0</v>
      </c>
      <c r="O49">
        <f t="shared" si="18"/>
        <v>0</v>
      </c>
      <c r="P49">
        <f t="shared" si="18"/>
        <v>0</v>
      </c>
      <c r="Q49">
        <f>SUM(D48:P49)</f>
        <v>0</v>
      </c>
      <c r="R49">
        <f>Q49/13</f>
        <v>0</v>
      </c>
      <c r="T49">
        <f>(D49+P49)/2</f>
        <v>0</v>
      </c>
      <c r="V49">
        <f>R49-T49</f>
        <v>0</v>
      </c>
    </row>
    <row r="50" spans="1:22" ht="12.75" customHeight="1">
      <c r="A50">
        <f t="shared" si="1"/>
        <v>37</v>
      </c>
      <c r="B50" t="s">
        <v>173</v>
      </c>
      <c r="C50">
        <v>25</v>
      </c>
      <c r="E50">
        <f t="shared" ref="E50:P50" si="19">E45*$C50/100/12</f>
        <v>4490</v>
      </c>
      <c r="F50">
        <f t="shared" si="19"/>
        <v>4490</v>
      </c>
      <c r="G50">
        <f t="shared" si="19"/>
        <v>4490</v>
      </c>
      <c r="H50">
        <f t="shared" si="19"/>
        <v>4490</v>
      </c>
      <c r="I50">
        <f t="shared" si="19"/>
        <v>4490</v>
      </c>
      <c r="J50">
        <f t="shared" si="19"/>
        <v>4490</v>
      </c>
      <c r="K50">
        <f t="shared" si="19"/>
        <v>4490</v>
      </c>
      <c r="L50">
        <f t="shared" si="19"/>
        <v>4490</v>
      </c>
      <c r="M50">
        <f t="shared" si="19"/>
        <v>4490</v>
      </c>
      <c r="N50">
        <f t="shared" si="19"/>
        <v>4490</v>
      </c>
      <c r="O50">
        <f t="shared" si="19"/>
        <v>4490</v>
      </c>
      <c r="P50">
        <f t="shared" si="19"/>
        <v>4490</v>
      </c>
      <c r="Q50">
        <f>SUM(D50:P50)</f>
        <v>53880</v>
      </c>
      <c r="R50">
        <f>Q50/13</f>
        <v>4144.6153846153848</v>
      </c>
      <c r="T50">
        <f>(D50+P50)/2</f>
        <v>2245</v>
      </c>
      <c r="V50">
        <f>R50-T50</f>
        <v>1899.6153846153848</v>
      </c>
    </row>
    <row r="51" spans="1:22" ht="12.75" customHeight="1">
      <c r="A51">
        <f t="shared" si="1"/>
        <v>38</v>
      </c>
      <c r="B51" t="s">
        <v>170</v>
      </c>
      <c r="D51">
        <f>'Depreciation 2017'!P51</f>
        <v>47145</v>
      </c>
      <c r="E51">
        <f t="shared" ref="E51:P51" si="20">SUM(E47:E50)</f>
        <v>51635</v>
      </c>
      <c r="F51">
        <f t="shared" si="20"/>
        <v>56125</v>
      </c>
      <c r="G51">
        <f t="shared" si="20"/>
        <v>60615</v>
      </c>
      <c r="H51">
        <f t="shared" si="20"/>
        <v>65105</v>
      </c>
      <c r="I51">
        <f t="shared" si="20"/>
        <v>69595</v>
      </c>
      <c r="J51">
        <f t="shared" si="20"/>
        <v>74085</v>
      </c>
      <c r="K51">
        <f t="shared" si="20"/>
        <v>78575</v>
      </c>
      <c r="L51">
        <f t="shared" si="20"/>
        <v>83065</v>
      </c>
      <c r="M51">
        <f t="shared" si="20"/>
        <v>87555</v>
      </c>
      <c r="N51">
        <f t="shared" si="20"/>
        <v>92045</v>
      </c>
      <c r="O51">
        <f t="shared" si="20"/>
        <v>96535</v>
      </c>
      <c r="P51">
        <f t="shared" si="20"/>
        <v>101025</v>
      </c>
      <c r="Q51">
        <f>SUM(D51:P51)</f>
        <v>963105</v>
      </c>
      <c r="R51">
        <f>Q51/13</f>
        <v>74085</v>
      </c>
      <c r="T51">
        <f>(D51+P51)/2</f>
        <v>74085</v>
      </c>
      <c r="V51">
        <f>R51-T51</f>
        <v>0</v>
      </c>
    </row>
    <row r="52" spans="1:22" ht="12.75" customHeight="1">
      <c r="A52">
        <f t="shared" si="1"/>
        <v>39</v>
      </c>
    </row>
    <row r="53" spans="1:22" ht="12.75" customHeight="1">
      <c r="A53">
        <f t="shared" si="1"/>
        <v>40</v>
      </c>
      <c r="B53" t="s">
        <v>174</v>
      </c>
      <c r="D53">
        <f t="shared" ref="D53:P53" si="21">D45-D51</f>
        <v>168375</v>
      </c>
      <c r="E53">
        <f t="shared" si="21"/>
        <v>163885</v>
      </c>
      <c r="F53">
        <f t="shared" si="21"/>
        <v>159395</v>
      </c>
      <c r="G53">
        <f t="shared" si="21"/>
        <v>154905</v>
      </c>
      <c r="H53">
        <f t="shared" si="21"/>
        <v>150415</v>
      </c>
      <c r="I53">
        <f t="shared" si="21"/>
        <v>145925</v>
      </c>
      <c r="J53">
        <f t="shared" si="21"/>
        <v>141435</v>
      </c>
      <c r="K53">
        <f t="shared" si="21"/>
        <v>136945</v>
      </c>
      <c r="L53">
        <f t="shared" si="21"/>
        <v>132455</v>
      </c>
      <c r="M53">
        <f t="shared" si="21"/>
        <v>127965</v>
      </c>
      <c r="N53">
        <f t="shared" si="21"/>
        <v>123475</v>
      </c>
      <c r="O53">
        <f t="shared" si="21"/>
        <v>118985</v>
      </c>
      <c r="P53">
        <f t="shared" si="21"/>
        <v>114495</v>
      </c>
      <c r="Q53">
        <f>SUM(D53:P53)</f>
        <v>1838655</v>
      </c>
      <c r="R53">
        <f>Q53/13</f>
        <v>141435</v>
      </c>
      <c r="T53">
        <f>(D53+P53)/2</f>
        <v>141435</v>
      </c>
      <c r="V53">
        <f>R53-T53</f>
        <v>0</v>
      </c>
    </row>
    <row r="54" spans="1:22" ht="12.75" customHeight="1">
      <c r="A54">
        <f t="shared" si="1"/>
        <v>41</v>
      </c>
    </row>
    <row r="55" spans="1:22" ht="12.75" customHeight="1">
      <c r="A55">
        <f t="shared" si="1"/>
        <v>42</v>
      </c>
    </row>
    <row r="56" spans="1:22" ht="12.75" customHeight="1">
      <c r="A56">
        <f t="shared" si="1"/>
        <v>43</v>
      </c>
    </row>
    <row r="57" spans="1:22" ht="12.75" customHeight="1">
      <c r="A57">
        <f t="shared" si="1"/>
        <v>44</v>
      </c>
      <c r="B57" t="s">
        <v>177</v>
      </c>
      <c r="D57">
        <f>D14+D28+D42</f>
        <v>0</v>
      </c>
      <c r="E57">
        <f>E14+E28+E42</f>
        <v>215520</v>
      </c>
      <c r="F57">
        <f t="shared" ref="F57:P60" si="22">F14+F28+F42</f>
        <v>215520</v>
      </c>
      <c r="G57">
        <f t="shared" si="22"/>
        <v>215520</v>
      </c>
      <c r="H57">
        <f t="shared" si="22"/>
        <v>215520</v>
      </c>
      <c r="I57">
        <f t="shared" si="22"/>
        <v>215520</v>
      </c>
      <c r="J57">
        <f t="shared" si="22"/>
        <v>215520</v>
      </c>
      <c r="K57">
        <f t="shared" si="22"/>
        <v>215520</v>
      </c>
      <c r="L57">
        <f t="shared" si="22"/>
        <v>215520</v>
      </c>
      <c r="M57">
        <f t="shared" si="22"/>
        <v>215520</v>
      </c>
      <c r="N57">
        <f t="shared" si="22"/>
        <v>215520</v>
      </c>
      <c r="O57">
        <f t="shared" si="22"/>
        <v>215520</v>
      </c>
      <c r="P57">
        <f t="shared" si="22"/>
        <v>215520</v>
      </c>
      <c r="Q57">
        <f>SUM(D57:P57)</f>
        <v>2586240</v>
      </c>
      <c r="R57">
        <f>Q57/13</f>
        <v>198941.53846153847</v>
      </c>
      <c r="T57">
        <f>(D57+P57)/2</f>
        <v>107760</v>
      </c>
      <c r="V57">
        <f>R57-T57</f>
        <v>91181.538461538468</v>
      </c>
    </row>
    <row r="58" spans="1:22" ht="12.75" customHeight="1">
      <c r="A58">
        <f t="shared" si="1"/>
        <v>45</v>
      </c>
      <c r="B58" t="s">
        <v>178</v>
      </c>
      <c r="E58">
        <f>E15+E29+E43</f>
        <v>0</v>
      </c>
      <c r="F58">
        <f t="shared" si="22"/>
        <v>0</v>
      </c>
      <c r="G58">
        <f t="shared" si="22"/>
        <v>0</v>
      </c>
      <c r="H58">
        <f t="shared" si="22"/>
        <v>0</v>
      </c>
      <c r="I58">
        <f t="shared" si="22"/>
        <v>0</v>
      </c>
      <c r="J58">
        <f t="shared" si="22"/>
        <v>0</v>
      </c>
      <c r="K58">
        <f t="shared" si="22"/>
        <v>0</v>
      </c>
      <c r="L58">
        <f t="shared" si="22"/>
        <v>0</v>
      </c>
      <c r="M58">
        <f t="shared" si="22"/>
        <v>0</v>
      </c>
      <c r="N58">
        <f t="shared" si="22"/>
        <v>0</v>
      </c>
      <c r="O58">
        <f t="shared" si="22"/>
        <v>0</v>
      </c>
      <c r="P58">
        <f t="shared" si="22"/>
        <v>0</v>
      </c>
      <c r="Q58">
        <f>SUM(D58:P58)</f>
        <v>0</v>
      </c>
      <c r="R58">
        <f>Q58/13</f>
        <v>0</v>
      </c>
      <c r="T58">
        <f>(D58+P58)/2</f>
        <v>0</v>
      </c>
      <c r="V58">
        <f>R58-T58</f>
        <v>0</v>
      </c>
    </row>
    <row r="59" spans="1:22" ht="12.75" customHeight="1">
      <c r="A59">
        <v>46</v>
      </c>
      <c r="B59" t="s">
        <v>169</v>
      </c>
      <c r="E59">
        <f>E16+E30+E44</f>
        <v>0</v>
      </c>
      <c r="F59">
        <f t="shared" si="22"/>
        <v>0</v>
      </c>
      <c r="G59">
        <f t="shared" si="22"/>
        <v>0</v>
      </c>
      <c r="H59">
        <f t="shared" si="22"/>
        <v>0</v>
      </c>
      <c r="I59">
        <f t="shared" si="22"/>
        <v>0</v>
      </c>
      <c r="J59">
        <f t="shared" si="22"/>
        <v>0</v>
      </c>
      <c r="K59">
        <f t="shared" si="22"/>
        <v>0</v>
      </c>
      <c r="L59">
        <f t="shared" si="22"/>
        <v>0</v>
      </c>
      <c r="M59">
        <f t="shared" si="22"/>
        <v>0</v>
      </c>
      <c r="N59">
        <f t="shared" si="22"/>
        <v>0</v>
      </c>
      <c r="O59">
        <f t="shared" si="22"/>
        <v>0</v>
      </c>
      <c r="P59">
        <f t="shared" si="22"/>
        <v>0</v>
      </c>
      <c r="Q59">
        <f>SUM(D59:P59)</f>
        <v>0</v>
      </c>
      <c r="R59">
        <f>Q59/13</f>
        <v>0</v>
      </c>
      <c r="T59">
        <f>(D59+P59)/2</f>
        <v>0</v>
      </c>
      <c r="V59">
        <f>R59-T59</f>
        <v>0</v>
      </c>
    </row>
    <row r="60" spans="1:22" ht="15" customHeight="1">
      <c r="A60">
        <f t="shared" si="1"/>
        <v>47</v>
      </c>
      <c r="B60" t="s">
        <v>170</v>
      </c>
      <c r="D60">
        <f>D17+D31+D45</f>
        <v>215520</v>
      </c>
      <c r="E60">
        <f>E17+E31+E45</f>
        <v>215520</v>
      </c>
      <c r="F60">
        <f t="shared" si="22"/>
        <v>215520</v>
      </c>
      <c r="G60">
        <f t="shared" si="22"/>
        <v>215520</v>
      </c>
      <c r="H60">
        <f t="shared" si="22"/>
        <v>215520</v>
      </c>
      <c r="I60">
        <f t="shared" si="22"/>
        <v>215520</v>
      </c>
      <c r="J60">
        <f t="shared" si="22"/>
        <v>215520</v>
      </c>
      <c r="K60">
        <f t="shared" si="22"/>
        <v>215520</v>
      </c>
      <c r="L60">
        <f t="shared" si="22"/>
        <v>215520</v>
      </c>
      <c r="M60">
        <f t="shared" si="22"/>
        <v>215520</v>
      </c>
      <c r="N60">
        <f t="shared" si="22"/>
        <v>215520</v>
      </c>
      <c r="O60">
        <f t="shared" si="22"/>
        <v>215520</v>
      </c>
      <c r="P60">
        <f t="shared" si="22"/>
        <v>215520</v>
      </c>
      <c r="Q60">
        <f>SUM(D60:P60)</f>
        <v>2801760</v>
      </c>
      <c r="R60">
        <f>Q60/13</f>
        <v>215520</v>
      </c>
      <c r="T60">
        <f>(D60+P60)/2</f>
        <v>215520</v>
      </c>
      <c r="V60">
        <f>R60-T60</f>
        <v>0</v>
      </c>
    </row>
    <row r="61" spans="1:22" ht="12.75" customHeight="1">
      <c r="A61">
        <f t="shared" si="1"/>
        <v>48</v>
      </c>
    </row>
    <row r="62" spans="1:22" ht="15.75" customHeight="1">
      <c r="A62">
        <f t="shared" si="1"/>
        <v>49</v>
      </c>
    </row>
    <row r="63" spans="1:22" ht="12.75" customHeight="1">
      <c r="A63">
        <f t="shared" si="1"/>
        <v>50</v>
      </c>
    </row>
    <row r="64" spans="1:22" ht="12.75" customHeight="1">
      <c r="A64">
        <f t="shared" si="1"/>
        <v>51</v>
      </c>
      <c r="B64" t="s">
        <v>171</v>
      </c>
      <c r="D64">
        <f>D19+D33+D47</f>
        <v>0</v>
      </c>
      <c r="E64">
        <f>E19+E33+E47</f>
        <v>47145</v>
      </c>
      <c r="F64">
        <f t="shared" ref="F64:P68" si="23">F19+F33+F47</f>
        <v>51635</v>
      </c>
      <c r="G64">
        <f t="shared" si="23"/>
        <v>56125</v>
      </c>
      <c r="H64">
        <f t="shared" si="23"/>
        <v>60615</v>
      </c>
      <c r="I64">
        <f t="shared" si="23"/>
        <v>65105</v>
      </c>
      <c r="J64">
        <f t="shared" si="23"/>
        <v>69595</v>
      </c>
      <c r="K64">
        <f t="shared" si="23"/>
        <v>74085</v>
      </c>
      <c r="L64">
        <f t="shared" si="23"/>
        <v>78575</v>
      </c>
      <c r="M64">
        <f t="shared" si="23"/>
        <v>83065</v>
      </c>
      <c r="N64">
        <f t="shared" si="23"/>
        <v>87555</v>
      </c>
      <c r="O64">
        <f t="shared" si="23"/>
        <v>92045</v>
      </c>
      <c r="P64">
        <f t="shared" si="23"/>
        <v>96535</v>
      </c>
      <c r="Q64">
        <f>SUM(D64:P64)</f>
        <v>862080</v>
      </c>
      <c r="R64">
        <f>Q64/13</f>
        <v>66313.846153846156</v>
      </c>
      <c r="T64">
        <f>(D64+P64)/2</f>
        <v>48267.5</v>
      </c>
      <c r="V64">
        <f>R64-T64</f>
        <v>18046.346153846156</v>
      </c>
    </row>
    <row r="65" spans="1:22" ht="12.75" customHeight="1">
      <c r="A65">
        <f t="shared" si="1"/>
        <v>52</v>
      </c>
      <c r="B65" t="s">
        <v>172</v>
      </c>
      <c r="E65">
        <f>E20+E34+E48</f>
        <v>0</v>
      </c>
      <c r="F65">
        <f t="shared" si="23"/>
        <v>0</v>
      </c>
      <c r="G65">
        <f t="shared" si="23"/>
        <v>0</v>
      </c>
      <c r="H65">
        <f t="shared" si="23"/>
        <v>0</v>
      </c>
      <c r="I65">
        <f t="shared" si="23"/>
        <v>0</v>
      </c>
      <c r="J65">
        <f t="shared" si="23"/>
        <v>0</v>
      </c>
      <c r="K65">
        <f t="shared" si="23"/>
        <v>0</v>
      </c>
      <c r="L65">
        <f t="shared" si="23"/>
        <v>0</v>
      </c>
      <c r="M65">
        <f t="shared" si="23"/>
        <v>0</v>
      </c>
      <c r="N65">
        <f t="shared" si="23"/>
        <v>0</v>
      </c>
      <c r="O65">
        <f t="shared" si="23"/>
        <v>0</v>
      </c>
      <c r="P65">
        <f t="shared" si="23"/>
        <v>0</v>
      </c>
      <c r="Q65">
        <f>SUM(D65:P65)</f>
        <v>0</v>
      </c>
      <c r="R65">
        <f>Q65/13</f>
        <v>0</v>
      </c>
      <c r="T65">
        <f>(D65+P65)/2</f>
        <v>0</v>
      </c>
      <c r="V65">
        <f>R65-T65</f>
        <v>0</v>
      </c>
    </row>
    <row r="66" spans="1:22" ht="12.75" customHeight="1">
      <c r="A66">
        <f t="shared" si="1"/>
        <v>53</v>
      </c>
      <c r="B66" t="s">
        <v>169</v>
      </c>
      <c r="E66">
        <f>E21+E35+E49</f>
        <v>0</v>
      </c>
      <c r="F66">
        <f t="shared" si="23"/>
        <v>0</v>
      </c>
      <c r="G66">
        <f t="shared" si="23"/>
        <v>0</v>
      </c>
      <c r="H66">
        <f t="shared" si="23"/>
        <v>0</v>
      </c>
      <c r="I66">
        <f t="shared" si="23"/>
        <v>0</v>
      </c>
      <c r="J66">
        <f t="shared" si="23"/>
        <v>0</v>
      </c>
      <c r="K66">
        <f t="shared" si="23"/>
        <v>0</v>
      </c>
      <c r="L66">
        <f t="shared" si="23"/>
        <v>0</v>
      </c>
      <c r="M66">
        <f t="shared" si="23"/>
        <v>0</v>
      </c>
      <c r="N66">
        <f t="shared" si="23"/>
        <v>0</v>
      </c>
      <c r="O66">
        <f t="shared" si="23"/>
        <v>0</v>
      </c>
      <c r="P66">
        <f t="shared" si="23"/>
        <v>0</v>
      </c>
      <c r="Q66">
        <f>SUM(D66:P66)</f>
        <v>0</v>
      </c>
      <c r="R66">
        <f>Q66/13</f>
        <v>0</v>
      </c>
      <c r="T66">
        <f>(D66+P66)/2</f>
        <v>0</v>
      </c>
      <c r="V66">
        <f>R66-T66</f>
        <v>0</v>
      </c>
    </row>
    <row r="67" spans="1:22" ht="12.75" customHeight="1">
      <c r="A67">
        <f t="shared" si="1"/>
        <v>54</v>
      </c>
      <c r="B67" t="s">
        <v>173</v>
      </c>
      <c r="E67">
        <f>E22+E36+E50</f>
        <v>4490</v>
      </c>
      <c r="F67">
        <f t="shared" si="23"/>
        <v>4490</v>
      </c>
      <c r="G67">
        <f t="shared" si="23"/>
        <v>4490</v>
      </c>
      <c r="H67">
        <f t="shared" si="23"/>
        <v>4490</v>
      </c>
      <c r="I67">
        <f t="shared" si="23"/>
        <v>4490</v>
      </c>
      <c r="J67">
        <f t="shared" si="23"/>
        <v>4490</v>
      </c>
      <c r="K67">
        <f t="shared" si="23"/>
        <v>4490</v>
      </c>
      <c r="L67">
        <f t="shared" si="23"/>
        <v>4490</v>
      </c>
      <c r="M67">
        <f t="shared" si="23"/>
        <v>4490</v>
      </c>
      <c r="N67">
        <f t="shared" si="23"/>
        <v>4490</v>
      </c>
      <c r="O67">
        <f t="shared" si="23"/>
        <v>4490</v>
      </c>
      <c r="P67">
        <f t="shared" si="23"/>
        <v>4490</v>
      </c>
      <c r="Q67">
        <f>SUM(D67:P67)</f>
        <v>53880</v>
      </c>
      <c r="R67">
        <f>Q67/13</f>
        <v>4144.6153846153848</v>
      </c>
      <c r="T67">
        <f>(D67+P67)/2</f>
        <v>2245</v>
      </c>
      <c r="V67">
        <f>R67-T67</f>
        <v>1899.6153846153848</v>
      </c>
    </row>
    <row r="68" spans="1:22" ht="15.75" customHeight="1">
      <c r="A68">
        <f t="shared" si="1"/>
        <v>55</v>
      </c>
      <c r="B68" t="s">
        <v>170</v>
      </c>
      <c r="D68">
        <f>D23+D37+D51</f>
        <v>47145</v>
      </c>
      <c r="E68">
        <f>E23+E37+E51</f>
        <v>51635</v>
      </c>
      <c r="F68">
        <f t="shared" si="23"/>
        <v>56125</v>
      </c>
      <c r="G68">
        <f t="shared" si="23"/>
        <v>60615</v>
      </c>
      <c r="H68">
        <f t="shared" si="23"/>
        <v>65105</v>
      </c>
      <c r="I68">
        <f t="shared" si="23"/>
        <v>69595</v>
      </c>
      <c r="J68">
        <f t="shared" si="23"/>
        <v>74085</v>
      </c>
      <c r="K68">
        <f t="shared" si="23"/>
        <v>78575</v>
      </c>
      <c r="L68">
        <f t="shared" si="23"/>
        <v>83065</v>
      </c>
      <c r="M68">
        <f t="shared" si="23"/>
        <v>87555</v>
      </c>
      <c r="N68">
        <f t="shared" si="23"/>
        <v>92045</v>
      </c>
      <c r="O68">
        <f t="shared" si="23"/>
        <v>96535</v>
      </c>
      <c r="P68">
        <f t="shared" si="23"/>
        <v>101025</v>
      </c>
      <c r="Q68">
        <f>SUM(D68:P68)</f>
        <v>963105</v>
      </c>
      <c r="R68">
        <f>Q68/13</f>
        <v>74085</v>
      </c>
      <c r="T68">
        <f>(D68+P68)/2</f>
        <v>74085</v>
      </c>
      <c r="V68">
        <f>R68-T68</f>
        <v>0</v>
      </c>
    </row>
    <row r="69" spans="1:22" ht="12.75" customHeight="1">
      <c r="A69">
        <f t="shared" si="1"/>
        <v>56</v>
      </c>
    </row>
    <row r="70" spans="1:22" ht="12.75" customHeight="1">
      <c r="A70">
        <f t="shared" si="1"/>
        <v>57</v>
      </c>
      <c r="B70" t="s">
        <v>174</v>
      </c>
      <c r="D70">
        <f t="shared" ref="D70:P70" si="24">D60-D68</f>
        <v>168375</v>
      </c>
      <c r="E70">
        <f>E60-E68</f>
        <v>163885</v>
      </c>
      <c r="F70">
        <f t="shared" si="24"/>
        <v>159395</v>
      </c>
      <c r="G70">
        <f t="shared" si="24"/>
        <v>154905</v>
      </c>
      <c r="H70">
        <f t="shared" si="24"/>
        <v>150415</v>
      </c>
      <c r="I70">
        <f t="shared" si="24"/>
        <v>145925</v>
      </c>
      <c r="J70">
        <f t="shared" si="24"/>
        <v>141435</v>
      </c>
      <c r="K70">
        <f t="shared" si="24"/>
        <v>136945</v>
      </c>
      <c r="L70">
        <f t="shared" si="24"/>
        <v>132455</v>
      </c>
      <c r="M70">
        <f t="shared" si="24"/>
        <v>127965</v>
      </c>
      <c r="N70">
        <f t="shared" si="24"/>
        <v>123475</v>
      </c>
      <c r="O70">
        <f t="shared" si="24"/>
        <v>118985</v>
      </c>
      <c r="P70">
        <f t="shared" si="24"/>
        <v>114495</v>
      </c>
      <c r="Q70">
        <f>SUM(D70:P70)</f>
        <v>1838655</v>
      </c>
      <c r="R70">
        <f>Q70/13</f>
        <v>141435</v>
      </c>
      <c r="T70">
        <f>(D70+P70)/2</f>
        <v>141435</v>
      </c>
      <c r="V70">
        <f>R70-T70</f>
        <v>0</v>
      </c>
    </row>
    <row r="73" spans="1:22" ht="12.75" customHeight="1">
      <c r="P73">
        <f>P17-P23+P31-P37+P45-P51</f>
        <v>114495</v>
      </c>
    </row>
    <row r="75" spans="1:22" ht="12.75" customHeight="1">
      <c r="B75" t="s">
        <v>101</v>
      </c>
      <c r="E75">
        <f t="shared" ref="E75:P75" si="25">D78</f>
        <v>562100</v>
      </c>
      <c r="F75">
        <f t="shared" si="25"/>
        <v>562100</v>
      </c>
      <c r="G75">
        <f t="shared" si="25"/>
        <v>562100</v>
      </c>
      <c r="H75">
        <f t="shared" si="25"/>
        <v>562100</v>
      </c>
      <c r="I75">
        <f t="shared" si="25"/>
        <v>562100</v>
      </c>
      <c r="J75">
        <f t="shared" si="25"/>
        <v>562100</v>
      </c>
      <c r="K75">
        <f t="shared" si="25"/>
        <v>562100</v>
      </c>
      <c r="L75">
        <f t="shared" si="25"/>
        <v>562100</v>
      </c>
      <c r="M75">
        <f t="shared" si="25"/>
        <v>562100</v>
      </c>
      <c r="N75">
        <f t="shared" si="25"/>
        <v>562100</v>
      </c>
      <c r="O75">
        <f t="shared" si="25"/>
        <v>562100</v>
      </c>
      <c r="P75">
        <f t="shared" si="25"/>
        <v>562100</v>
      </c>
      <c r="Q75">
        <f>SUM(D75:P75)</f>
        <v>6745200</v>
      </c>
      <c r="R75">
        <f>Q75/13</f>
        <v>518861.53846153844</v>
      </c>
      <c r="T75">
        <f>(D75+P75)/2</f>
        <v>281050</v>
      </c>
      <c r="V75">
        <f>R75-T75</f>
        <v>237811.53846153844</v>
      </c>
    </row>
    <row r="76" spans="1:22" ht="12.75" customHeight="1">
      <c r="B76" t="s">
        <v>168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f>'GI-34 doc 3 page 1 de 2'!F36</f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f>SUM(D76:P76)</f>
        <v>0</v>
      </c>
      <c r="R76">
        <f>Q76/13</f>
        <v>0</v>
      </c>
      <c r="T76">
        <f>(D76+P76)/2</f>
        <v>0</v>
      </c>
      <c r="V76">
        <f>R76-T76</f>
        <v>0</v>
      </c>
    </row>
    <row r="77" spans="1:22" ht="12.75" customHeight="1">
      <c r="B77" t="s">
        <v>169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f>SUM(D77:P77)</f>
        <v>0</v>
      </c>
      <c r="R77">
        <f>Q77/13</f>
        <v>0</v>
      </c>
      <c r="T77">
        <f>(D77+P77)/2</f>
        <v>0</v>
      </c>
      <c r="V77">
        <f>R77-T77</f>
        <v>0</v>
      </c>
    </row>
    <row r="78" spans="1:22" ht="12.75" customHeight="1">
      <c r="B78" t="s">
        <v>170</v>
      </c>
      <c r="D78">
        <f>'Depreciation 2017'!P78</f>
        <v>562100</v>
      </c>
      <c r="E78">
        <f t="shared" ref="E78:P78" si="26">SUM(E75:E77)</f>
        <v>562100</v>
      </c>
      <c r="F78">
        <f t="shared" si="26"/>
        <v>562100</v>
      </c>
      <c r="G78">
        <f t="shared" si="26"/>
        <v>562100</v>
      </c>
      <c r="H78">
        <f t="shared" si="26"/>
        <v>562100</v>
      </c>
      <c r="I78">
        <f t="shared" si="26"/>
        <v>562100</v>
      </c>
      <c r="J78">
        <f t="shared" si="26"/>
        <v>562100</v>
      </c>
      <c r="K78">
        <f t="shared" si="26"/>
        <v>562100</v>
      </c>
      <c r="L78">
        <f t="shared" si="26"/>
        <v>562100</v>
      </c>
      <c r="M78">
        <f t="shared" si="26"/>
        <v>562100</v>
      </c>
      <c r="N78">
        <f t="shared" si="26"/>
        <v>562100</v>
      </c>
      <c r="O78">
        <f t="shared" si="26"/>
        <v>562100</v>
      </c>
      <c r="P78">
        <f t="shared" si="26"/>
        <v>562100</v>
      </c>
      <c r="Q78">
        <f>SUM(D78:P78)</f>
        <v>7307300</v>
      </c>
      <c r="R78">
        <f>Q78/13</f>
        <v>562100</v>
      </c>
      <c r="T78">
        <f>(D78+P78)/2</f>
        <v>562100</v>
      </c>
      <c r="V78">
        <f>R78-T78</f>
        <v>0</v>
      </c>
    </row>
    <row r="80" spans="1:22" ht="12.75" customHeight="1">
      <c r="B80" t="s">
        <v>179</v>
      </c>
      <c r="E80">
        <f t="shared" ref="E80:P80" si="27">D84</f>
        <v>320378.88888888893</v>
      </c>
      <c r="F80">
        <f t="shared" si="27"/>
        <v>335992.77777777781</v>
      </c>
      <c r="G80">
        <f t="shared" si="27"/>
        <v>351606.66666666669</v>
      </c>
      <c r="H80">
        <f t="shared" si="27"/>
        <v>367220.55555555556</v>
      </c>
      <c r="I80">
        <f t="shared" si="27"/>
        <v>382834.44444444444</v>
      </c>
      <c r="J80">
        <f t="shared" si="27"/>
        <v>398448.33333333331</v>
      </c>
      <c r="K80">
        <f t="shared" si="27"/>
        <v>414062.22222222219</v>
      </c>
      <c r="L80">
        <f t="shared" si="27"/>
        <v>429676.11111111107</v>
      </c>
      <c r="M80">
        <f t="shared" si="27"/>
        <v>445289.99999999994</v>
      </c>
      <c r="N80">
        <f t="shared" si="27"/>
        <v>460903.88888888882</v>
      </c>
      <c r="O80">
        <f t="shared" si="27"/>
        <v>476517.77777777769</v>
      </c>
      <c r="P80">
        <f t="shared" si="27"/>
        <v>492131.66666666657</v>
      </c>
      <c r="Q80">
        <f>SUM(D80:P80)</f>
        <v>4875063.333333334</v>
      </c>
      <c r="R80">
        <f>Q80/13</f>
        <v>375004.87179487187</v>
      </c>
      <c r="T80">
        <f>(D80+P80)/2</f>
        <v>246065.83333333328</v>
      </c>
      <c r="V80">
        <f>R80-T80</f>
        <v>128939.03846153858</v>
      </c>
    </row>
    <row r="81" spans="2:22" ht="12.75" customHeight="1">
      <c r="B81" t="s">
        <v>172</v>
      </c>
      <c r="Q81">
        <f>SUM(D81:P81)</f>
        <v>0</v>
      </c>
      <c r="R81">
        <f>Q81/13</f>
        <v>0</v>
      </c>
      <c r="T81">
        <f>(D81+P81)/2</f>
        <v>0</v>
      </c>
      <c r="V81">
        <f>R81-T81</f>
        <v>0</v>
      </c>
    </row>
    <row r="82" spans="2:22" ht="12.75" customHeight="1">
      <c r="B82" t="s">
        <v>169</v>
      </c>
      <c r="E82">
        <f t="shared" ref="E82:P82" si="28">E77</f>
        <v>0</v>
      </c>
      <c r="F82">
        <f t="shared" si="28"/>
        <v>0</v>
      </c>
      <c r="G82">
        <f t="shared" si="28"/>
        <v>0</v>
      </c>
      <c r="H82">
        <f t="shared" si="28"/>
        <v>0</v>
      </c>
      <c r="I82">
        <f t="shared" si="28"/>
        <v>0</v>
      </c>
      <c r="J82">
        <f t="shared" si="28"/>
        <v>0</v>
      </c>
      <c r="K82">
        <f t="shared" si="28"/>
        <v>0</v>
      </c>
      <c r="L82">
        <f t="shared" si="28"/>
        <v>0</v>
      </c>
      <c r="M82">
        <f t="shared" si="28"/>
        <v>0</v>
      </c>
      <c r="N82">
        <f t="shared" si="28"/>
        <v>0</v>
      </c>
      <c r="O82">
        <f t="shared" si="28"/>
        <v>0</v>
      </c>
      <c r="P82">
        <f t="shared" si="28"/>
        <v>0</v>
      </c>
      <c r="Q82">
        <f>SUM(D81:P82)</f>
        <v>0</v>
      </c>
      <c r="R82">
        <f>Q82/13</f>
        <v>0</v>
      </c>
      <c r="T82">
        <f>(D82+P82)/2</f>
        <v>0</v>
      </c>
      <c r="V82">
        <f>R82-T82</f>
        <v>0</v>
      </c>
    </row>
    <row r="83" spans="2:22" ht="12.75" customHeight="1">
      <c r="B83" t="s">
        <v>173</v>
      </c>
      <c r="C83">
        <f>100/3</f>
        <v>33.333333333333336</v>
      </c>
      <c r="E83">
        <f t="shared" ref="E83:P83" si="29">IF(E78-E80-(E78*$C83/100/12)&lt;0,E78-E80,E78*$C83/100/12)</f>
        <v>15613.888888888891</v>
      </c>
      <c r="F83">
        <f t="shared" si="29"/>
        <v>15613.888888888891</v>
      </c>
      <c r="G83">
        <f t="shared" si="29"/>
        <v>15613.888888888891</v>
      </c>
      <c r="H83">
        <f t="shared" si="29"/>
        <v>15613.888888888891</v>
      </c>
      <c r="I83">
        <f t="shared" si="29"/>
        <v>15613.888888888891</v>
      </c>
      <c r="J83">
        <f t="shared" si="29"/>
        <v>15613.888888888891</v>
      </c>
      <c r="K83">
        <f t="shared" si="29"/>
        <v>15613.888888888891</v>
      </c>
      <c r="L83">
        <f t="shared" si="29"/>
        <v>15613.888888888891</v>
      </c>
      <c r="M83">
        <f t="shared" si="29"/>
        <v>15613.888888888891</v>
      </c>
      <c r="N83">
        <f t="shared" si="29"/>
        <v>15613.888888888891</v>
      </c>
      <c r="O83">
        <f t="shared" si="29"/>
        <v>15613.888888888891</v>
      </c>
      <c r="P83">
        <f t="shared" si="29"/>
        <v>15613.888888888891</v>
      </c>
      <c r="Q83">
        <f>SUM(D83:P83)</f>
        <v>187366.66666666663</v>
      </c>
      <c r="R83">
        <f>Q83/13</f>
        <v>14412.82051282051</v>
      </c>
      <c r="T83">
        <f>(D83+P83)/2</f>
        <v>7806.9444444444453</v>
      </c>
      <c r="V83">
        <f>R83-T83</f>
        <v>6605.8760683760647</v>
      </c>
    </row>
    <row r="84" spans="2:22" ht="12.75" customHeight="1">
      <c r="B84" t="s">
        <v>170</v>
      </c>
      <c r="D84">
        <f>'Depreciation 2017'!P84</f>
        <v>320378.88888888893</v>
      </c>
      <c r="E84">
        <f t="shared" ref="E84:P84" si="30">SUM(E80:E83)</f>
        <v>335992.77777777781</v>
      </c>
      <c r="F84">
        <f t="shared" si="30"/>
        <v>351606.66666666669</v>
      </c>
      <c r="G84">
        <f t="shared" si="30"/>
        <v>367220.55555555556</v>
      </c>
      <c r="H84">
        <f t="shared" si="30"/>
        <v>382834.44444444444</v>
      </c>
      <c r="I84">
        <f t="shared" si="30"/>
        <v>398448.33333333331</v>
      </c>
      <c r="J84">
        <f t="shared" si="30"/>
        <v>414062.22222222219</v>
      </c>
      <c r="K84">
        <f t="shared" si="30"/>
        <v>429676.11111111107</v>
      </c>
      <c r="L84">
        <f t="shared" si="30"/>
        <v>445289.99999999994</v>
      </c>
      <c r="M84">
        <f t="shared" si="30"/>
        <v>460903.88888888882</v>
      </c>
      <c r="N84">
        <f t="shared" si="30"/>
        <v>476517.77777777769</v>
      </c>
      <c r="O84">
        <f t="shared" si="30"/>
        <v>492131.66666666657</v>
      </c>
      <c r="P84">
        <f t="shared" si="30"/>
        <v>507745.55555555545</v>
      </c>
      <c r="Q84">
        <f>SUM(D84:P84)</f>
        <v>5382808.888888889</v>
      </c>
      <c r="R84">
        <f>Q84/13</f>
        <v>414062.22222222225</v>
      </c>
      <c r="T84">
        <f>(D84+P84)/2</f>
        <v>414062.22222222219</v>
      </c>
      <c r="V84">
        <f>R84-T84</f>
        <v>0</v>
      </c>
    </row>
    <row r="86" spans="2:22" ht="12.75" customHeight="1">
      <c r="B86" t="s">
        <v>174</v>
      </c>
      <c r="D86">
        <f t="shared" ref="D86:P86" si="31">D78-D84</f>
        <v>241721.11111111107</v>
      </c>
      <c r="E86">
        <f t="shared" si="31"/>
        <v>226107.22222222219</v>
      </c>
      <c r="F86">
        <f t="shared" si="31"/>
        <v>210493.33333333331</v>
      </c>
      <c r="G86">
        <f t="shared" si="31"/>
        <v>194879.44444444444</v>
      </c>
      <c r="H86">
        <f t="shared" si="31"/>
        <v>179265.55555555556</v>
      </c>
      <c r="I86">
        <f t="shared" si="31"/>
        <v>163651.66666666669</v>
      </c>
      <c r="J86">
        <f t="shared" si="31"/>
        <v>148037.77777777781</v>
      </c>
      <c r="K86">
        <f t="shared" si="31"/>
        <v>132423.88888888893</v>
      </c>
      <c r="L86">
        <f t="shared" si="31"/>
        <v>116810.00000000006</v>
      </c>
      <c r="M86">
        <f t="shared" si="31"/>
        <v>101196.11111111118</v>
      </c>
      <c r="N86">
        <f t="shared" si="31"/>
        <v>85582.222222222306</v>
      </c>
      <c r="O86">
        <f t="shared" si="31"/>
        <v>69968.33333333343</v>
      </c>
      <c r="P86">
        <f t="shared" si="31"/>
        <v>54354.444444444554</v>
      </c>
      <c r="Q86">
        <f>SUM(D86:P86)</f>
        <v>1924491.1111111115</v>
      </c>
      <c r="R86">
        <f>Q86/13</f>
        <v>148037.77777777781</v>
      </c>
      <c r="T86">
        <f>(D86+P86)/2</f>
        <v>148037.77777777781</v>
      </c>
      <c r="V86">
        <f>R86-T86</f>
        <v>0</v>
      </c>
    </row>
    <row r="90" spans="2:22" ht="12.75" customHeight="1">
      <c r="B90" t="s">
        <v>180</v>
      </c>
      <c r="D90">
        <f>D75+D57</f>
        <v>0</v>
      </c>
      <c r="E90">
        <f t="shared" ref="D90:P93" si="32">E57+E75</f>
        <v>777620</v>
      </c>
      <c r="F90">
        <f t="shared" si="32"/>
        <v>777620</v>
      </c>
      <c r="G90">
        <f t="shared" si="32"/>
        <v>777620</v>
      </c>
      <c r="H90">
        <f t="shared" si="32"/>
        <v>777620</v>
      </c>
      <c r="I90">
        <f t="shared" si="32"/>
        <v>777620</v>
      </c>
      <c r="J90">
        <f t="shared" si="32"/>
        <v>777620</v>
      </c>
      <c r="K90">
        <f t="shared" si="32"/>
        <v>777620</v>
      </c>
      <c r="L90">
        <f t="shared" si="32"/>
        <v>777620</v>
      </c>
      <c r="M90">
        <f t="shared" si="32"/>
        <v>777620</v>
      </c>
      <c r="N90">
        <f t="shared" si="32"/>
        <v>777620</v>
      </c>
      <c r="O90">
        <f t="shared" si="32"/>
        <v>777620</v>
      </c>
      <c r="P90">
        <f t="shared" si="32"/>
        <v>777620</v>
      </c>
      <c r="Q90">
        <f>SUM(D90:P90)</f>
        <v>9331440</v>
      </c>
      <c r="R90">
        <f>Q90/13</f>
        <v>717803.07692307688</v>
      </c>
      <c r="T90">
        <f>(D90+P90)/2</f>
        <v>388810</v>
      </c>
      <c r="V90">
        <f>R90-T90</f>
        <v>328993.07692307688</v>
      </c>
    </row>
    <row r="91" spans="2:22" ht="12.75" customHeight="1">
      <c r="B91" t="s">
        <v>178</v>
      </c>
      <c r="D91">
        <f t="shared" si="32"/>
        <v>0</v>
      </c>
      <c r="E91">
        <f t="shared" si="32"/>
        <v>0</v>
      </c>
      <c r="F91">
        <f t="shared" si="32"/>
        <v>0</v>
      </c>
      <c r="G91">
        <f t="shared" si="32"/>
        <v>0</v>
      </c>
      <c r="H91">
        <f t="shared" si="32"/>
        <v>0</v>
      </c>
      <c r="I91">
        <f t="shared" si="32"/>
        <v>0</v>
      </c>
      <c r="J91">
        <f t="shared" si="32"/>
        <v>0</v>
      </c>
      <c r="K91">
        <f t="shared" si="32"/>
        <v>0</v>
      </c>
      <c r="L91">
        <f t="shared" si="32"/>
        <v>0</v>
      </c>
      <c r="M91">
        <f t="shared" si="32"/>
        <v>0</v>
      </c>
      <c r="N91">
        <f t="shared" si="32"/>
        <v>0</v>
      </c>
      <c r="O91">
        <f t="shared" si="32"/>
        <v>0</v>
      </c>
      <c r="P91">
        <f t="shared" si="32"/>
        <v>0</v>
      </c>
      <c r="Q91">
        <f>SUM(D91:P91)</f>
        <v>0</v>
      </c>
      <c r="R91">
        <f>Q91/13</f>
        <v>0</v>
      </c>
      <c r="T91">
        <f>(D91+P91)/2</f>
        <v>0</v>
      </c>
      <c r="V91">
        <f>R91-T91</f>
        <v>0</v>
      </c>
    </row>
    <row r="92" spans="2:22" ht="12.75" customHeight="1">
      <c r="B92" t="s">
        <v>169</v>
      </c>
      <c r="D92">
        <f t="shared" si="32"/>
        <v>0</v>
      </c>
      <c r="E92">
        <f t="shared" si="32"/>
        <v>0</v>
      </c>
      <c r="F92">
        <f t="shared" si="32"/>
        <v>0</v>
      </c>
      <c r="G92">
        <f t="shared" si="32"/>
        <v>0</v>
      </c>
      <c r="H92">
        <f t="shared" si="32"/>
        <v>0</v>
      </c>
      <c r="I92">
        <f t="shared" si="32"/>
        <v>0</v>
      </c>
      <c r="J92">
        <f t="shared" si="32"/>
        <v>0</v>
      </c>
      <c r="K92">
        <f t="shared" si="32"/>
        <v>0</v>
      </c>
      <c r="L92">
        <f t="shared" si="32"/>
        <v>0</v>
      </c>
      <c r="M92">
        <f t="shared" si="32"/>
        <v>0</v>
      </c>
      <c r="N92">
        <f t="shared" si="32"/>
        <v>0</v>
      </c>
      <c r="O92">
        <f t="shared" si="32"/>
        <v>0</v>
      </c>
      <c r="P92">
        <f t="shared" si="32"/>
        <v>0</v>
      </c>
      <c r="Q92">
        <f>SUM(D92:P92)</f>
        <v>0</v>
      </c>
      <c r="R92">
        <f>Q92/13</f>
        <v>0</v>
      </c>
      <c r="T92">
        <f>(D92+P92)/2</f>
        <v>0</v>
      </c>
      <c r="V92">
        <f>R92-T92</f>
        <v>0</v>
      </c>
    </row>
    <row r="93" spans="2:22" ht="12.75" customHeight="1">
      <c r="B93" t="s">
        <v>170</v>
      </c>
      <c r="D93">
        <f t="shared" si="32"/>
        <v>777620</v>
      </c>
      <c r="E93">
        <f t="shared" si="32"/>
        <v>777620</v>
      </c>
      <c r="F93">
        <f t="shared" si="32"/>
        <v>777620</v>
      </c>
      <c r="G93">
        <f t="shared" si="32"/>
        <v>777620</v>
      </c>
      <c r="H93">
        <f t="shared" si="32"/>
        <v>777620</v>
      </c>
      <c r="I93">
        <f t="shared" si="32"/>
        <v>777620</v>
      </c>
      <c r="J93">
        <f t="shared" si="32"/>
        <v>777620</v>
      </c>
      <c r="K93">
        <f t="shared" si="32"/>
        <v>777620</v>
      </c>
      <c r="L93">
        <f t="shared" si="32"/>
        <v>777620</v>
      </c>
      <c r="M93">
        <f t="shared" si="32"/>
        <v>777620</v>
      </c>
      <c r="N93">
        <f t="shared" si="32"/>
        <v>777620</v>
      </c>
      <c r="O93">
        <f t="shared" si="32"/>
        <v>777620</v>
      </c>
      <c r="P93">
        <f t="shared" si="32"/>
        <v>777620</v>
      </c>
      <c r="Q93">
        <f>SUM(D93:P93)</f>
        <v>10109060</v>
      </c>
      <c r="R93">
        <f>Q93/13</f>
        <v>777620</v>
      </c>
      <c r="T93">
        <f>(D93+P93)/2</f>
        <v>777620</v>
      </c>
      <c r="V93">
        <f>R93-T93</f>
        <v>0</v>
      </c>
    </row>
    <row r="95" spans="2:22" ht="16.5" customHeight="1"/>
    <row r="97" spans="2:22" ht="12.75" customHeight="1">
      <c r="B97" t="s">
        <v>171</v>
      </c>
      <c r="D97">
        <f>D64+D80</f>
        <v>0</v>
      </c>
      <c r="E97">
        <f t="shared" ref="D97:P101" si="33">E64+E80</f>
        <v>367523.88888888893</v>
      </c>
      <c r="F97">
        <f t="shared" si="33"/>
        <v>387627.77777777781</v>
      </c>
      <c r="G97">
        <f t="shared" si="33"/>
        <v>407731.66666666669</v>
      </c>
      <c r="H97">
        <f t="shared" si="33"/>
        <v>427835.55555555556</v>
      </c>
      <c r="I97">
        <f t="shared" si="33"/>
        <v>447939.44444444444</v>
      </c>
      <c r="J97">
        <f t="shared" si="33"/>
        <v>468043.33333333331</v>
      </c>
      <c r="K97">
        <f t="shared" si="33"/>
        <v>488147.22222222219</v>
      </c>
      <c r="L97">
        <f t="shared" si="33"/>
        <v>508251.11111111107</v>
      </c>
      <c r="M97">
        <f t="shared" si="33"/>
        <v>528355</v>
      </c>
      <c r="N97">
        <f t="shared" si="33"/>
        <v>548458.88888888876</v>
      </c>
      <c r="O97">
        <f t="shared" si="33"/>
        <v>568562.77777777775</v>
      </c>
      <c r="P97">
        <f t="shared" si="33"/>
        <v>588666.66666666651</v>
      </c>
      <c r="Q97">
        <f>SUM(D97:P97)</f>
        <v>5737143.333333334</v>
      </c>
      <c r="R97">
        <f>Q97/13</f>
        <v>441318.717948718</v>
      </c>
      <c r="T97">
        <f>(D97+P97)/2</f>
        <v>294333.33333333326</v>
      </c>
      <c r="V97">
        <f>R97-T97</f>
        <v>146985.38461538474</v>
      </c>
    </row>
    <row r="98" spans="2:22" ht="12.75" customHeight="1">
      <c r="B98" t="s">
        <v>172</v>
      </c>
      <c r="D98">
        <f t="shared" si="33"/>
        <v>0</v>
      </c>
      <c r="E98">
        <f t="shared" si="33"/>
        <v>0</v>
      </c>
      <c r="F98">
        <f t="shared" si="33"/>
        <v>0</v>
      </c>
      <c r="G98">
        <f t="shared" si="33"/>
        <v>0</v>
      </c>
      <c r="H98">
        <f t="shared" si="33"/>
        <v>0</v>
      </c>
      <c r="I98">
        <f t="shared" si="33"/>
        <v>0</v>
      </c>
      <c r="J98">
        <f t="shared" si="33"/>
        <v>0</v>
      </c>
      <c r="K98">
        <f t="shared" si="33"/>
        <v>0</v>
      </c>
      <c r="L98">
        <f t="shared" si="33"/>
        <v>0</v>
      </c>
      <c r="M98">
        <f t="shared" si="33"/>
        <v>0</v>
      </c>
      <c r="N98">
        <f t="shared" si="33"/>
        <v>0</v>
      </c>
      <c r="O98">
        <f t="shared" si="33"/>
        <v>0</v>
      </c>
      <c r="P98">
        <f t="shared" si="33"/>
        <v>0</v>
      </c>
      <c r="Q98">
        <f>SUM(D98:P98)</f>
        <v>0</v>
      </c>
      <c r="R98">
        <f>Q98/13</f>
        <v>0</v>
      </c>
      <c r="T98">
        <f>(D98+P98)/2</f>
        <v>0</v>
      </c>
      <c r="V98">
        <f>R98-T98</f>
        <v>0</v>
      </c>
    </row>
    <row r="99" spans="2:22" ht="12.75" customHeight="1">
      <c r="B99" t="s">
        <v>169</v>
      </c>
      <c r="D99">
        <f t="shared" si="33"/>
        <v>0</v>
      </c>
      <c r="E99">
        <f t="shared" si="33"/>
        <v>0</v>
      </c>
      <c r="F99">
        <f t="shared" si="33"/>
        <v>0</v>
      </c>
      <c r="G99">
        <f t="shared" si="33"/>
        <v>0</v>
      </c>
      <c r="H99">
        <f t="shared" si="33"/>
        <v>0</v>
      </c>
      <c r="I99">
        <f t="shared" si="33"/>
        <v>0</v>
      </c>
      <c r="J99">
        <f t="shared" si="33"/>
        <v>0</v>
      </c>
      <c r="K99">
        <f t="shared" si="33"/>
        <v>0</v>
      </c>
      <c r="L99">
        <f t="shared" si="33"/>
        <v>0</v>
      </c>
      <c r="M99">
        <f t="shared" si="33"/>
        <v>0</v>
      </c>
      <c r="N99">
        <f t="shared" si="33"/>
        <v>0</v>
      </c>
      <c r="O99">
        <f t="shared" si="33"/>
        <v>0</v>
      </c>
      <c r="P99">
        <f t="shared" si="33"/>
        <v>0</v>
      </c>
      <c r="Q99">
        <f>SUM(D99:P99)</f>
        <v>0</v>
      </c>
      <c r="R99">
        <f>Q99/13</f>
        <v>0</v>
      </c>
      <c r="T99">
        <f>(D99+P99)/2</f>
        <v>0</v>
      </c>
      <c r="V99">
        <f>R99-T99</f>
        <v>0</v>
      </c>
    </row>
    <row r="100" spans="2:22" ht="12.75" customHeight="1">
      <c r="B100" t="s">
        <v>173</v>
      </c>
      <c r="E100">
        <f t="shared" si="33"/>
        <v>20103.888888888891</v>
      </c>
      <c r="F100">
        <f t="shared" si="33"/>
        <v>20103.888888888891</v>
      </c>
      <c r="G100">
        <f t="shared" si="33"/>
        <v>20103.888888888891</v>
      </c>
      <c r="H100">
        <f t="shared" si="33"/>
        <v>20103.888888888891</v>
      </c>
      <c r="I100">
        <f t="shared" si="33"/>
        <v>20103.888888888891</v>
      </c>
      <c r="J100">
        <f t="shared" si="33"/>
        <v>20103.888888888891</v>
      </c>
      <c r="K100">
        <f t="shared" si="33"/>
        <v>20103.888888888891</v>
      </c>
      <c r="L100">
        <f t="shared" si="33"/>
        <v>20103.888888888891</v>
      </c>
      <c r="M100">
        <f t="shared" si="33"/>
        <v>20103.888888888891</v>
      </c>
      <c r="N100">
        <f t="shared" si="33"/>
        <v>20103.888888888891</v>
      </c>
      <c r="O100">
        <f t="shared" si="33"/>
        <v>20103.888888888891</v>
      </c>
      <c r="P100">
        <f t="shared" si="33"/>
        <v>20103.888888888891</v>
      </c>
      <c r="Q100">
        <f>SUM(D100:P100)</f>
        <v>241246.66666666663</v>
      </c>
      <c r="R100">
        <f>Q100/13</f>
        <v>18557.435897435895</v>
      </c>
      <c r="T100">
        <f>(D100+P100)/2</f>
        <v>10051.944444444445</v>
      </c>
      <c r="V100">
        <f>R100-T100</f>
        <v>8505.4914529914495</v>
      </c>
    </row>
    <row r="101" spans="2:22" ht="12.75" customHeight="1">
      <c r="B101" t="s">
        <v>170</v>
      </c>
      <c r="D101">
        <f>D68+D84</f>
        <v>367523.88888888893</v>
      </c>
      <c r="E101">
        <f t="shared" si="33"/>
        <v>387627.77777777781</v>
      </c>
      <c r="F101">
        <f t="shared" si="33"/>
        <v>407731.66666666669</v>
      </c>
      <c r="G101">
        <f t="shared" si="33"/>
        <v>427835.55555555556</v>
      </c>
      <c r="H101">
        <f t="shared" si="33"/>
        <v>447939.44444444444</v>
      </c>
      <c r="I101">
        <f t="shared" si="33"/>
        <v>468043.33333333331</v>
      </c>
      <c r="J101">
        <f t="shared" si="33"/>
        <v>488147.22222222219</v>
      </c>
      <c r="K101">
        <f t="shared" si="33"/>
        <v>508251.11111111107</v>
      </c>
      <c r="L101">
        <f t="shared" si="33"/>
        <v>528355</v>
      </c>
      <c r="M101">
        <f t="shared" si="33"/>
        <v>548458.88888888876</v>
      </c>
      <c r="N101">
        <f t="shared" si="33"/>
        <v>568562.77777777775</v>
      </c>
      <c r="O101">
        <f t="shared" si="33"/>
        <v>588666.66666666651</v>
      </c>
      <c r="P101">
        <f t="shared" si="33"/>
        <v>608770.5555555555</v>
      </c>
      <c r="Q101">
        <f>SUM(D101:P101)</f>
        <v>6345913.8888888899</v>
      </c>
      <c r="R101">
        <f>Q101/13</f>
        <v>488147.22222222231</v>
      </c>
      <c r="T101">
        <f>(D101+P101)/2</f>
        <v>488147.22222222225</v>
      </c>
      <c r="V101">
        <f>R101-T101</f>
        <v>0</v>
      </c>
    </row>
    <row r="103" spans="2:22" ht="12.75" customHeight="1">
      <c r="B103" t="s">
        <v>174</v>
      </c>
      <c r="D103">
        <f>D93-D101</f>
        <v>410096.11111111107</v>
      </c>
      <c r="E103">
        <f>E93-E101</f>
        <v>389992.22222222219</v>
      </c>
      <c r="F103">
        <f t="shared" ref="F103:P103" si="34">F93-F101</f>
        <v>369888.33333333331</v>
      </c>
      <c r="G103">
        <f t="shared" si="34"/>
        <v>349784.44444444444</v>
      </c>
      <c r="H103">
        <f t="shared" si="34"/>
        <v>329680.55555555556</v>
      </c>
      <c r="I103">
        <f t="shared" si="34"/>
        <v>309576.66666666669</v>
      </c>
      <c r="J103">
        <f t="shared" si="34"/>
        <v>289472.77777777781</v>
      </c>
      <c r="K103">
        <f t="shared" si="34"/>
        <v>269368.88888888893</v>
      </c>
      <c r="L103">
        <f t="shared" si="34"/>
        <v>249265</v>
      </c>
      <c r="M103">
        <f t="shared" si="34"/>
        <v>229161.11111111124</v>
      </c>
      <c r="N103">
        <f t="shared" si="34"/>
        <v>209057.22222222225</v>
      </c>
      <c r="O103">
        <f t="shared" si="34"/>
        <v>188953.33333333349</v>
      </c>
      <c r="P103">
        <f t="shared" si="34"/>
        <v>168849.4444444445</v>
      </c>
      <c r="Q103">
        <f>SUM(D103:P103)</f>
        <v>3763146.111111111</v>
      </c>
      <c r="R103">
        <f>Q103/13</f>
        <v>289472.77777777775</v>
      </c>
      <c r="T103">
        <f>(D103+P103)/2</f>
        <v>289472.77777777775</v>
      </c>
      <c r="V103">
        <f>R103-T103</f>
        <v>0</v>
      </c>
    </row>
    <row r="139" ht="16.5" customHeight="1"/>
  </sheetData>
  <mergeCells count="3">
    <mergeCell ref="A3:R3"/>
    <mergeCell ref="A4:T4"/>
    <mergeCell ref="A5:R5"/>
  </mergeCells>
  <printOptions horizontalCentered="1"/>
  <pageMargins left="0.27" right="0.25" top="0.47244094488188998" bottom="0.35433070866141703" header="0.23622047244094499" footer="0.15748031496063"/>
  <pageSetup scale="43" orientation="landscape" useFirstPageNumber="1" r:id="rId1"/>
  <headerFooter alignWithMargins="0"/>
  <rowBreaks count="2" manualBreakCount="2">
    <brk id="93" min="1" max="17" man="1"/>
    <brk id="1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E5F468B1997F134CB6C6EAAC69D2DBE7" ma:contentTypeVersion="0" ma:contentTypeDescription="" ma:contentTypeScope="" ma:versionID="0d3127273217b02da6f3df09a01cd2f7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b7e9dbe386427f7c04dd1b10a57eb55d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Titl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a091097b-8ae3-4832-a2b2-51f9a78aeacd">3</Phase>
    <Sujet xmlns="a091097b-8ae3-4832-a2b2-51f9a78aeacd">GI-34 Document 3 - (Révisé le 9 septembre 2015) - Fichiers Excel</Sujet>
    <Confidentiel xmlns="a091097b-8ae3-4832-a2b2-51f9a78aeacd">3</Confidentiel>
    <Projet xmlns="a091097b-8ae3-4832-a2b2-51f9a78aeacd">752</Projet>
    <Provenance xmlns="a091097b-8ae3-4832-a2b2-51f9a78aeacd">1</Provenance>
    <Hidden_UploadedAt xmlns="a091097b-8ae3-4832-a2b2-51f9a78aeacd">2023-02-08T00:24:38+00:00</Hidden_UploadedAt>
    <Accés_x0020_restreint xmlns="a091097b-8ae3-4832-a2b2-51f9a78aeacd">false</Accés_x0020_restreint>
    <Précision_x0020_de_x0020_document xmlns="a091097b-8ae3-4832-a2b2-51f9a78aeacd" xsi:nil="true"/>
    <Déposant xmlns="a091097b-8ae3-4832-a2b2-51f9a78aeacd">69</Déposant>
    <Sous-catégorie xmlns="a091097b-8ae3-4832-a2b2-51f9a78aeacd" xsi:nil="true"/>
    <Copie_x0020_papier_x0020_reçue xmlns="a091097b-8ae3-4832-a2b2-51f9a78aeacd">false</Copie_x0020_papier_x0020_reçue>
    <Cote_x0020_de_x0020_déposant xmlns="a091097b-8ae3-4832-a2b2-51f9a78aeacd">GI-34 Document 3 - (Révisé le 9 septembre 2015) - Fichiers Excel</Cote_x0020_de_x0020_déposant>
    <Inscrit_x0020_au_x0020_plumitif xmlns="a091097b-8ae3-4832-a2b2-51f9a78aeacd">false</Inscrit_x0020_au_x0020_plumitif>
    <Numéro_x0020_plumitif xmlns="a091097b-8ae3-4832-a2b2-51f9a78aeacd" xsi:nil="true"/>
    <Hidden_UploadedBy xmlns="a091097b-8ae3-4832-a2b2-51f9a78aeacd" xsi:nil="true"/>
    <Hidden_ApprovedBy xmlns="a091097b-8ae3-4832-a2b2-51f9a78aeacd" xsi:nil="true"/>
    <Statut xmlns="a091097b-8ae3-4832-a2b2-51f9a78aeacd" xsi:nil="true"/>
    <Catégorie_x0020_de_x0020_document xmlns="a091097b-8ae3-4832-a2b2-51f9a78aeacd">15</Catégorie_x0020_de_x0020_document>
    <Date_x0020_de_x0020_confidentialité_x0020_relevée xmlns="a091097b-8ae3-4832-a2b2-51f9a78aeacd" xsi:nil="true"/>
    <Hidden_ApprovedAt xmlns="a091097b-8ae3-4832-a2b2-51f9a78aeacd">2023-02-08T00:24:38+00:00</Hidden_ApprovedAt>
    <Cote_x0020_de_x0020_piéce xmlns="a091097b-8ae3-4832-a2b2-51f9a78aeacd">B-0241</Cote_x0020_de_x0020_piéce>
    <Diffusable_x0020_sur_x0020_le_x0020_Web xmlns="a091097b-8ae3-4832-a2b2-51f9a78aeacd">true</Diffusable_x0020_sur_x0020_le_x0020_Web>
    <Date_x0020_de_x0020_réception_x0020_copie_x0020_papier xmlns="a091097b-8ae3-4832-a2b2-51f9a78aeacd" xsi:nil="true"/>
    <Ne_x0020_pas_x0020_envoyer_x0020_d_x0027_alerte xmlns="a091097b-8ae3-4832-a2b2-51f9a78aeacd">false</Ne_x0020_pas_x0020_envoyer_x0020_d_x0027_alerte>
    <_dlc_DocId xmlns="a84ed267-86d5-4fa1-a3cb-2fed497fe84f">W2HFWTQUJJY6-1651953253-418</_dlc_DocId>
    <_dlc_DocIdUrl xmlns="a84ed267-86d5-4fa1-a3cb-2fed497fe84f">
      <Url>http://s10mtlweb:8081/752/_layouts/15/DocIdRedir.aspx?ID=W2HFWTQUJJY6-1651953253-418</Url>
      <Description>W2HFWTQUJJY6-1651953253-418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D28693A-228B-474A-BD02-0F6669F20184}"/>
</file>

<file path=customXml/itemProps2.xml><?xml version="1.0" encoding="utf-8"?>
<ds:datastoreItem xmlns:ds="http://schemas.openxmlformats.org/officeDocument/2006/customXml" ds:itemID="{B7270F1D-749D-4101-83AA-1746F71FEFA1}"/>
</file>

<file path=customXml/itemProps3.xml><?xml version="1.0" encoding="utf-8"?>
<ds:datastoreItem xmlns:ds="http://schemas.openxmlformats.org/officeDocument/2006/customXml" ds:itemID="{C7816FA0-A66D-4375-A9E2-724E0F4DA454}"/>
</file>

<file path=customXml/itemProps4.xml><?xml version="1.0" encoding="utf-8"?>
<ds:datastoreItem xmlns:ds="http://schemas.openxmlformats.org/officeDocument/2006/customXml" ds:itemID="{0550F4C2-D56C-40DE-BE50-2005783813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21</vt:i4>
      </vt:variant>
    </vt:vector>
  </HeadingPairs>
  <TitlesOfParts>
    <vt:vector size="34" baseType="lpstr">
      <vt:lpstr>Coût de serv-sensi -10%-pr pres</vt:lpstr>
      <vt:lpstr>Coût de serv-sensi +10%-pr pres</vt:lpstr>
      <vt:lpstr>Coût de service-sensi +10%</vt:lpstr>
      <vt:lpstr>Coût de service-sensi -10%</vt:lpstr>
      <vt:lpstr>GI-34 doc 3 page 1 de 2</vt:lpstr>
      <vt:lpstr>Depreciation 2015</vt:lpstr>
      <vt:lpstr>GI-34 doc 3 page 2 de 2</vt:lpstr>
      <vt:lpstr>Depreciation 2017</vt:lpstr>
      <vt:lpstr>Depreciation 2018</vt:lpstr>
      <vt:lpstr>Depreciation 2019</vt:lpstr>
      <vt:lpstr>Depreciation 2020</vt:lpstr>
      <vt:lpstr>Depreciation 2021</vt:lpstr>
      <vt:lpstr>Feuil1</vt:lpstr>
      <vt:lpstr>'Depreciation 2015'!AMORT2</vt:lpstr>
      <vt:lpstr>'Depreciation 2017'!AMORT2</vt:lpstr>
      <vt:lpstr>'Depreciation 2018'!AMORT2</vt:lpstr>
      <vt:lpstr>'Depreciation 2019'!AMORT2</vt:lpstr>
      <vt:lpstr>'Depreciation 2020'!AMORT2</vt:lpstr>
      <vt:lpstr>'Depreciation 2021'!AMORT2</vt:lpstr>
      <vt:lpstr>'GI-34 doc 3 page 2 de 2'!AMORT2</vt:lpstr>
      <vt:lpstr>'Coût de service-sensi +10%'!Print_Area</vt:lpstr>
      <vt:lpstr>'Coût de service-sensi -10%'!Print_Area</vt:lpstr>
      <vt:lpstr>'Coût de serv-sensi +10%-pr pres'!Print_Area</vt:lpstr>
      <vt:lpstr>'Coût de serv-sensi -10%-pr pres'!Print_Area</vt:lpstr>
      <vt:lpstr>'Depreciation 2015'!Print_Area</vt:lpstr>
      <vt:lpstr>'Depreciation 2017'!Print_Area</vt:lpstr>
      <vt:lpstr>'Depreciation 2018'!Print_Area</vt:lpstr>
      <vt:lpstr>'Depreciation 2019'!Print_Area</vt:lpstr>
      <vt:lpstr>'Depreciation 2020'!Print_Area</vt:lpstr>
      <vt:lpstr>'Depreciation 2021'!Print_Area</vt:lpstr>
      <vt:lpstr>'GI-34 doc 3 page 1 de 2'!Print_Area</vt:lpstr>
      <vt:lpstr>'GI-34 doc 3 page 2 de 2'!Print_Area</vt:lpstr>
      <vt:lpstr>'GI-34 doc 3 page 1 de 2'!Zone_d_impression</vt:lpstr>
      <vt:lpstr>'GI-34 doc 3 page 2 de 2'!Zone_d_impression</vt:lpstr>
    </vt:vector>
  </TitlesOfParts>
  <Company>Enbridge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GI-34 Doc 3 - Impact sur le coût de service du projet de réalisation du programme de francisation (Révisé le 9 septembre 2015)</dc:subject>
  <dc:creator>mauviell</dc:creator>
  <cp:lastModifiedBy>Mariane Bilodeau</cp:lastModifiedBy>
  <cp:lastPrinted>2015-09-09T13:41:32Z</cp:lastPrinted>
  <dcterms:created xsi:type="dcterms:W3CDTF">2010-02-12T13:51:37Z</dcterms:created>
  <dcterms:modified xsi:type="dcterms:W3CDTF">2015-09-09T15:21:36Z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4XLRetrievePerWS">
    <vt:lpwstr>Y</vt:lpwstr>
  </property>
  <property fmtid="{D5CDD505-2E9C-101B-9397-08002B2CF9AE}" pid="3" name="K4XLScatterRefresh">
    <vt:lpwstr>N</vt:lpwstr>
  </property>
  <property fmtid="{D5CDD505-2E9C-101B-9397-08002B2CF9AE}" pid="4" name="K4XLVersion">
    <vt:lpwstr>3.5.7.2796.5</vt:lpwstr>
  </property>
  <property fmtid="{D5CDD505-2E9C-101B-9397-08002B2CF9AE}" pid="5" name="K4XL KID">
    <vt:lpwstr/>
  </property>
  <property fmtid="{D5CDD505-2E9C-101B-9397-08002B2CF9AE}" pid="6" name="K4XL DBKID">
    <vt:lpwstr/>
  </property>
  <property fmtid="{D5CDD505-2E9C-101B-9397-08002B2CF9AE}" pid="7" name="ContentTypeId">
    <vt:lpwstr>0x010100F6681E3BDF397F418586AC591ADC81BB00E5F468B1997F134CB6C6EAAC69D2DBE7</vt:lpwstr>
  </property>
  <property fmtid="{D5CDD505-2E9C-101B-9397-08002B2CF9AE}" pid="9" name="Order">
    <vt:r8>1643800</vt:r8>
  </property>
  <property fmtid="{D5CDD505-2E9C-101B-9397-08002B2CF9AE}" pid="10" name="_dlc_DocIdItemGuid">
    <vt:lpwstr>a541537f-dfb5-4daa-b0f5-1d070b6eac57</vt:lpwstr>
  </property>
</Properties>
</file>