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450" windowWidth="24240" windowHeight="10455" activeTab="4"/>
  </bookViews>
  <sheets>
    <sheet name="GI-39 doc 3.1.1" sheetId="4" r:id="rId1"/>
    <sheet name="GI-39 doc 3.1_après coupures" sheetId="3" state="hidden" r:id="rId2"/>
    <sheet name="GI-39 doc 3.1_après coup_v1" sheetId="2" state="hidden" r:id="rId3"/>
    <sheet name="GI-39 doc 3.1_après coupureV1" sheetId="5" state="hidden" r:id="rId4"/>
    <sheet name="GI-39 doc 3.1_REVISE" sheetId="6" r:id="rId5"/>
  </sheets>
  <externalReferences>
    <externalReference r:id="rId6"/>
    <externalReference r:id="rId7"/>
    <externalReference r:id="rId8"/>
  </externalReferences>
  <definedNames>
    <definedName name="ACCOUNT" localSheetId="2">#REF!</definedName>
    <definedName name="ACCOUNT" localSheetId="1">#REF!</definedName>
    <definedName name="ACCOUNT" localSheetId="3">#REF!</definedName>
    <definedName name="ACCOUNT" localSheetId="4">#REF!</definedName>
    <definedName name="ACCOUNT">#REF!</definedName>
    <definedName name="account_budget2000">'[1]BUDGET 07'!$D$1:$D$65536</definedName>
    <definedName name="Actual">'[2]Actual 2014'!$O:$O</definedName>
    <definedName name="Budget">'[2]Budget 2015'!$O:$O</definedName>
    <definedName name="Budget11">'[3]Budget 2012R'!$O:$O</definedName>
    <definedName name="BUDGET2012" localSheetId="2">#REF!</definedName>
    <definedName name="BUDGET2012" localSheetId="1">#REF!</definedName>
    <definedName name="BUDGET2012" localSheetId="3">#REF!</definedName>
    <definedName name="BUDGET2012" localSheetId="4">#REF!</definedName>
    <definedName name="BUDGET2012">#REF!</definedName>
    <definedName name="COMPTE">'[2]Budget 2015'!$A:$A</definedName>
    <definedName name="compte11">'[3]Budget 2012R'!$A:$A</definedName>
    <definedName name="comptes">'[3]Actual 2012'!$A:$A</definedName>
    <definedName name="Forecast" localSheetId="2">#REF!</definedName>
    <definedName name="Forecast" localSheetId="1">#REF!</definedName>
    <definedName name="Forecast" localSheetId="3">#REF!</definedName>
    <definedName name="Forecast" localSheetId="4">#REF!</definedName>
    <definedName name="Forecast">#REF!</definedName>
    <definedName name="_xlnm.Print_Titles" localSheetId="0">'GI-39 doc 3.1.1'!$1:$5</definedName>
    <definedName name="montant_budget2000">'[1]BUDGET 07'!$C$1:$C$65536</definedName>
    <definedName name="Print_Area" localSheetId="0">'GI-39 doc 3.1.1'!$A$1:$M$345</definedName>
    <definedName name="Print_Area" localSheetId="2">'GI-39 doc 3.1_après coup_v1'!$A$1:$W$67</definedName>
    <definedName name="Print_Area" localSheetId="1">'GI-39 doc 3.1_après coupures'!$A$1:$W$67</definedName>
    <definedName name="Print_Area" localSheetId="3">'GI-39 doc 3.1_après coupureV1'!$A$1:$X$72</definedName>
    <definedName name="Print_Area" localSheetId="4">'GI-39 doc 3.1_REVISE'!$A$1:$Z$66</definedName>
    <definedName name="Print_Titles" localSheetId="0">'GI-39 doc 3.1.1'!$1:$5</definedName>
    <definedName name="Print_Titles" localSheetId="2">'GI-39 doc 3.1_après coup_v1'!$A:$C</definedName>
    <definedName name="Print_Titles" localSheetId="1">'GI-39 doc 3.1_après coupures'!$A:$C</definedName>
    <definedName name="Print_Titles" localSheetId="3">'GI-39 doc 3.1_après coupureV1'!$A:$C</definedName>
    <definedName name="Print_Titles" localSheetId="4">'GI-39 doc 3.1_REVISE'!$A:$D</definedName>
    <definedName name="_xlnm.Print_Area" localSheetId="0">'GI-39 doc 3.1.1'!$A$1:$M$342</definedName>
  </definedNames>
  <calcPr calcId="145621" iterate="1" iterateCount="200"/>
</workbook>
</file>

<file path=xl/calcChain.xml><?xml version="1.0" encoding="utf-8"?>
<calcChain xmlns="http://schemas.openxmlformats.org/spreadsheetml/2006/main">
  <c r="O31" i="6" l="1"/>
  <c r="O32" i="6"/>
  <c r="O33" i="6"/>
  <c r="O34" i="6"/>
  <c r="O35" i="6"/>
  <c r="O36" i="6"/>
  <c r="O37" i="6"/>
  <c r="O38" i="6"/>
  <c r="O39" i="6"/>
  <c r="O40" i="6"/>
  <c r="O41" i="6"/>
  <c r="O42" i="6"/>
  <c r="O43" i="6"/>
  <c r="O47" i="6"/>
  <c r="O13" i="6"/>
  <c r="O16" i="6"/>
  <c r="O19" i="6"/>
  <c r="O21" i="6"/>
  <c r="O22" i="6"/>
  <c r="O23" i="6"/>
  <c r="O25" i="6"/>
  <c r="O27" i="6"/>
  <c r="O28" i="6"/>
  <c r="O29" i="6"/>
  <c r="O30" i="6"/>
  <c r="J222" i="4" l="1"/>
  <c r="I222" i="4"/>
  <c r="H222" i="4"/>
  <c r="G222" i="4"/>
  <c r="F222" i="4"/>
  <c r="E222" i="4"/>
  <c r="L9" i="4" l="1"/>
  <c r="L338" i="4"/>
  <c r="L314" i="4"/>
  <c r="L305" i="4"/>
  <c r="L249" i="4"/>
  <c r="D200" i="4"/>
  <c r="L204" i="4"/>
  <c r="E200" i="4"/>
  <c r="L201" i="4"/>
  <c r="E10" i="4"/>
  <c r="L10" i="4" s="1"/>
  <c r="L168" i="4"/>
  <c r="D158" i="4"/>
  <c r="L158" i="4" s="1"/>
  <c r="E155" i="4"/>
  <c r="L116" i="4"/>
  <c r="L106" i="4"/>
  <c r="L96" i="4"/>
  <c r="M78" i="4"/>
  <c r="L33" i="4"/>
  <c r="L32" i="4"/>
  <c r="E78" i="4"/>
  <c r="L78" i="4" s="1"/>
  <c r="K107" i="4" l="1"/>
  <c r="J107" i="4"/>
  <c r="I107" i="4"/>
  <c r="H107" i="4"/>
  <c r="G107" i="4"/>
  <c r="F107" i="4"/>
  <c r="J250" i="4" l="1"/>
  <c r="I250" i="4"/>
  <c r="H250" i="4"/>
  <c r="G250" i="4"/>
  <c r="F250" i="4"/>
  <c r="E250" i="4"/>
  <c r="J36" i="4" l="1"/>
  <c r="K36" i="4"/>
  <c r="K97" i="4" l="1"/>
  <c r="J97" i="4"/>
  <c r="I97" i="4"/>
  <c r="H97" i="4"/>
  <c r="G97" i="4"/>
  <c r="F97" i="4"/>
  <c r="J204" i="4" l="1"/>
  <c r="J203" i="4"/>
  <c r="J202" i="4"/>
  <c r="J200" i="4"/>
  <c r="I204" i="4"/>
  <c r="I203" i="4"/>
  <c r="I202" i="4"/>
  <c r="I200" i="4"/>
  <c r="H204" i="4"/>
  <c r="H203" i="4"/>
  <c r="H202" i="4"/>
  <c r="H201" i="4"/>
  <c r="H200" i="4"/>
  <c r="G204" i="4"/>
  <c r="G203" i="4"/>
  <c r="G202" i="4"/>
  <c r="G200" i="4"/>
  <c r="F204" i="4"/>
  <c r="F203" i="4"/>
  <c r="F202" i="4"/>
  <c r="F200" i="4"/>
  <c r="E203" i="4"/>
  <c r="E202" i="4"/>
  <c r="E201" i="4"/>
  <c r="D203" i="4"/>
  <c r="L203" i="4" s="1"/>
  <c r="D202" i="4"/>
  <c r="L202" i="4" s="1"/>
  <c r="L200" i="4"/>
  <c r="L205" i="4" l="1"/>
  <c r="E205" i="4"/>
  <c r="D205" i="4"/>
  <c r="J205" i="4"/>
  <c r="I205" i="4"/>
  <c r="I206" i="4" s="1"/>
  <c r="H205" i="4"/>
  <c r="G205" i="4"/>
  <c r="F205" i="4"/>
  <c r="F206" i="4" s="1"/>
  <c r="J169" i="4"/>
  <c r="I169" i="4"/>
  <c r="H169" i="4"/>
  <c r="G169" i="4"/>
  <c r="F169" i="4"/>
  <c r="E169" i="4"/>
  <c r="J206" i="4" l="1"/>
  <c r="G206" i="4"/>
  <c r="H206" i="4"/>
  <c r="E206" i="4"/>
  <c r="J315" i="4"/>
  <c r="I315" i="4"/>
  <c r="H315" i="4"/>
  <c r="G315" i="4"/>
  <c r="F315" i="4"/>
  <c r="E315" i="4"/>
  <c r="H12" i="4" l="1"/>
  <c r="I12" i="4"/>
  <c r="J12" i="4"/>
  <c r="K12" i="4"/>
  <c r="G12" i="4"/>
  <c r="F12" i="4"/>
  <c r="J327" i="4" l="1"/>
  <c r="J326" i="4"/>
  <c r="I327" i="4"/>
  <c r="I326" i="4"/>
  <c r="H327" i="4"/>
  <c r="H326" i="4"/>
  <c r="G327" i="4"/>
  <c r="G326" i="4"/>
  <c r="F327" i="4"/>
  <c r="F326" i="4"/>
  <c r="E327" i="4"/>
  <c r="E326" i="4"/>
  <c r="D327" i="4"/>
  <c r="L327" i="4" s="1"/>
  <c r="D326" i="4"/>
  <c r="L326" i="4" s="1"/>
  <c r="J280" i="4"/>
  <c r="I280" i="4"/>
  <c r="H280" i="4"/>
  <c r="G280" i="4"/>
  <c r="F280" i="4"/>
  <c r="E280" i="4"/>
  <c r="D280" i="4"/>
  <c r="L280" i="4" s="1"/>
  <c r="E260" i="4"/>
  <c r="H261" i="4"/>
  <c r="J263" i="4"/>
  <c r="J262" i="4"/>
  <c r="J261" i="4"/>
  <c r="J260" i="4"/>
  <c r="J259" i="4"/>
  <c r="J258" i="4"/>
  <c r="I263" i="4"/>
  <c r="I262" i="4"/>
  <c r="I261" i="4"/>
  <c r="I260" i="4"/>
  <c r="I259" i="4"/>
  <c r="I258" i="4"/>
  <c r="H263" i="4"/>
  <c r="H262" i="4"/>
  <c r="H260" i="4"/>
  <c r="H259" i="4"/>
  <c r="H258" i="4"/>
  <c r="G263" i="4"/>
  <c r="G262" i="4"/>
  <c r="G261" i="4"/>
  <c r="G260" i="4"/>
  <c r="G259" i="4"/>
  <c r="G258" i="4"/>
  <c r="F263" i="4"/>
  <c r="F262" i="4"/>
  <c r="F261" i="4"/>
  <c r="F260" i="4"/>
  <c r="F259" i="4"/>
  <c r="F258" i="4"/>
  <c r="E258" i="4"/>
  <c r="E263" i="4"/>
  <c r="E262" i="4"/>
  <c r="E261" i="4"/>
  <c r="E259" i="4"/>
  <c r="D263" i="4"/>
  <c r="L263" i="4" s="1"/>
  <c r="D262" i="4"/>
  <c r="L262" i="4" s="1"/>
  <c r="D261" i="4"/>
  <c r="L261" i="4" s="1"/>
  <c r="D260" i="4"/>
  <c r="L260" i="4" s="1"/>
  <c r="D259" i="4"/>
  <c r="L259" i="4" s="1"/>
  <c r="D258" i="4"/>
  <c r="L258" i="4" s="1"/>
  <c r="J181" i="4"/>
  <c r="J182" i="4" s="1"/>
  <c r="J179" i="4"/>
  <c r="J178" i="4"/>
  <c r="I181" i="4"/>
  <c r="I179" i="4"/>
  <c r="I178" i="4"/>
  <c r="H181" i="4"/>
  <c r="H178" i="4"/>
  <c r="G181" i="4"/>
  <c r="G182" i="4" s="1"/>
  <c r="G179" i="4"/>
  <c r="G178" i="4"/>
  <c r="F181" i="4"/>
  <c r="F178" i="4"/>
  <c r="E181" i="4"/>
  <c r="E178" i="4"/>
  <c r="D181" i="4"/>
  <c r="L181" i="4" s="1"/>
  <c r="D178" i="4"/>
  <c r="L178" i="4" s="1"/>
  <c r="J158" i="4"/>
  <c r="J156" i="4"/>
  <c r="J155" i="4"/>
  <c r="I158" i="4"/>
  <c r="I159" i="4" s="1"/>
  <c r="I156" i="4"/>
  <c r="I155" i="4"/>
  <c r="H158" i="4"/>
  <c r="H159" i="4" s="1"/>
  <c r="H156" i="4"/>
  <c r="H155" i="4"/>
  <c r="G158" i="4"/>
  <c r="G156" i="4"/>
  <c r="G155" i="4"/>
  <c r="F158" i="4"/>
  <c r="F156" i="4"/>
  <c r="F155" i="4"/>
  <c r="E156" i="4"/>
  <c r="E158" i="4" s="1"/>
  <c r="E159" i="4" s="1"/>
  <c r="D156" i="4"/>
  <c r="L156" i="4" s="1"/>
  <c r="D155" i="4"/>
  <c r="L155" i="4" s="1"/>
  <c r="H132" i="4"/>
  <c r="J135" i="4"/>
  <c r="J133" i="4"/>
  <c r="J131" i="4"/>
  <c r="J130" i="4"/>
  <c r="I135" i="4"/>
  <c r="I133" i="4"/>
  <c r="I131" i="4"/>
  <c r="I130" i="4"/>
  <c r="H135" i="4"/>
  <c r="H133" i="4"/>
  <c r="H131" i="4"/>
  <c r="H130" i="4"/>
  <c r="G135" i="4"/>
  <c r="G133" i="4"/>
  <c r="G131" i="4"/>
  <c r="G130" i="4"/>
  <c r="F135" i="4"/>
  <c r="F133" i="4"/>
  <c r="F131" i="4"/>
  <c r="F130" i="4"/>
  <c r="E135" i="4"/>
  <c r="E134" i="4"/>
  <c r="E133" i="4"/>
  <c r="E132" i="4"/>
  <c r="E131" i="4"/>
  <c r="E130" i="4"/>
  <c r="D135" i="4"/>
  <c r="L135" i="4" s="1"/>
  <c r="D134" i="4"/>
  <c r="L134" i="4" s="1"/>
  <c r="D133" i="4"/>
  <c r="L133" i="4" s="1"/>
  <c r="D132" i="4"/>
  <c r="D131" i="4"/>
  <c r="L131" i="4" s="1"/>
  <c r="D130" i="4"/>
  <c r="L130" i="4" s="1"/>
  <c r="K78" i="4"/>
  <c r="K77" i="4"/>
  <c r="K76" i="4"/>
  <c r="J78" i="4"/>
  <c r="J77" i="4"/>
  <c r="J76" i="4"/>
  <c r="I79" i="4"/>
  <c r="I78" i="4"/>
  <c r="I77" i="4"/>
  <c r="I76" i="4"/>
  <c r="H79" i="4"/>
  <c r="H78" i="4"/>
  <c r="H77" i="4"/>
  <c r="H76" i="4"/>
  <c r="G79" i="4"/>
  <c r="G78" i="4"/>
  <c r="G77" i="4"/>
  <c r="G76" i="4"/>
  <c r="F79" i="4"/>
  <c r="F78" i="4"/>
  <c r="F77" i="4"/>
  <c r="F76" i="4"/>
  <c r="E79" i="4"/>
  <c r="E77" i="4"/>
  <c r="E76" i="4"/>
  <c r="L76" i="4" s="1"/>
  <c r="M76" i="4" s="1"/>
  <c r="G159" i="4" l="1"/>
  <c r="F159" i="4"/>
  <c r="J159" i="4"/>
  <c r="F182" i="4"/>
  <c r="I182" i="4"/>
  <c r="H182" i="4"/>
  <c r="E182" i="4"/>
  <c r="L136" i="4"/>
  <c r="L79" i="4"/>
  <c r="M79" i="4" s="1"/>
  <c r="L77" i="4"/>
  <c r="M77" i="4" s="1"/>
  <c r="E264" i="4"/>
  <c r="G80" i="4"/>
  <c r="K80" i="4"/>
  <c r="K81" i="4" s="1"/>
  <c r="J80" i="4"/>
  <c r="I80" i="4"/>
  <c r="H80" i="4"/>
  <c r="H81" i="4" s="1"/>
  <c r="F80" i="4"/>
  <c r="E136" i="4"/>
  <c r="G81" i="4" l="1"/>
  <c r="I81" i="4"/>
  <c r="J81" i="4"/>
  <c r="M80" i="4"/>
  <c r="J180" i="4"/>
  <c r="I180" i="4"/>
  <c r="H180" i="4"/>
  <c r="G180" i="4"/>
  <c r="F180" i="4"/>
  <c r="E180" i="4"/>
  <c r="D180" i="4"/>
  <c r="L180" i="4" s="1"/>
  <c r="E328" i="4" l="1"/>
  <c r="E329" i="4" s="1"/>
  <c r="F328" i="4"/>
  <c r="G328" i="4"/>
  <c r="H328" i="4"/>
  <c r="H329" i="4" s="1"/>
  <c r="I328" i="4"/>
  <c r="I329" i="4" s="1"/>
  <c r="J328" i="4"/>
  <c r="D328" i="4"/>
  <c r="L328" i="4" s="1"/>
  <c r="J329" i="4" l="1"/>
  <c r="F329" i="4"/>
  <c r="G329" i="4"/>
  <c r="F157" i="4"/>
  <c r="G157" i="4"/>
  <c r="H157" i="4"/>
  <c r="I157" i="4"/>
  <c r="J157" i="4"/>
  <c r="I136" i="4" l="1"/>
  <c r="I137" i="4" s="1"/>
  <c r="G136" i="4"/>
  <c r="H136" i="4"/>
  <c r="H137" i="4" s="1"/>
  <c r="F136" i="4"/>
  <c r="F137" i="4" s="1"/>
  <c r="D136" i="4"/>
  <c r="E137" i="4" s="1"/>
  <c r="G137" i="4" l="1"/>
  <c r="J339" i="4"/>
  <c r="I339" i="4"/>
  <c r="H339" i="4"/>
  <c r="G339" i="4"/>
  <c r="F339" i="4"/>
  <c r="E339" i="4"/>
  <c r="E306" i="4"/>
  <c r="J306" i="4"/>
  <c r="I306" i="4"/>
  <c r="H306" i="4"/>
  <c r="G306" i="4"/>
  <c r="F306" i="4"/>
  <c r="K117" i="4"/>
  <c r="H117" i="4"/>
  <c r="G117" i="4"/>
  <c r="J117" i="4"/>
  <c r="I117" i="4"/>
  <c r="F117" i="4"/>
  <c r="K41" i="4"/>
  <c r="K42" i="4" s="1"/>
  <c r="J41" i="4"/>
  <c r="J42" i="4" s="1"/>
  <c r="I41" i="4"/>
  <c r="I42" i="4" s="1"/>
  <c r="H41" i="4"/>
  <c r="H42" i="4" s="1"/>
  <c r="G41" i="4"/>
  <c r="G42" i="4" s="1"/>
  <c r="F41" i="4"/>
  <c r="F42" i="4" s="1"/>
  <c r="J39" i="4"/>
  <c r="J40" i="4" s="1"/>
  <c r="I39" i="4"/>
  <c r="I40" i="4" s="1"/>
  <c r="H39" i="4"/>
  <c r="H40" i="4" s="1"/>
  <c r="G39" i="4"/>
  <c r="G40" i="4" s="1"/>
  <c r="F39" i="4"/>
  <c r="F40" i="4" s="1"/>
  <c r="J38" i="4"/>
  <c r="I38" i="4"/>
  <c r="H38" i="4"/>
  <c r="G38" i="4"/>
  <c r="F38" i="4"/>
  <c r="E38" i="4"/>
  <c r="K39" i="4"/>
  <c r="K40" i="4" s="1"/>
  <c r="K34" i="4"/>
  <c r="H34" i="4"/>
  <c r="G34" i="4"/>
  <c r="F34" i="4"/>
  <c r="E34" i="4"/>
  <c r="L34" i="4" s="1"/>
  <c r="J33" i="4"/>
  <c r="J34" i="4" s="1"/>
  <c r="I33" i="4"/>
  <c r="I34" i="4" s="1"/>
  <c r="E63" i="4" l="1"/>
  <c r="F63" i="4"/>
  <c r="H63" i="4"/>
  <c r="K38" i="4"/>
  <c r="K63" i="4" s="1"/>
  <c r="E47" i="4"/>
  <c r="H47" i="4"/>
  <c r="G47" i="4"/>
  <c r="F47" i="4"/>
  <c r="I47" i="4"/>
  <c r="I63" i="4"/>
  <c r="J47" i="4"/>
  <c r="J63" i="4"/>
  <c r="G63" i="4"/>
  <c r="E58" i="6"/>
  <c r="R47" i="6"/>
  <c r="Q47" i="6"/>
  <c r="P47" i="6"/>
  <c r="R43" i="6"/>
  <c r="Q43" i="6"/>
  <c r="P43" i="6"/>
  <c r="R42" i="6"/>
  <c r="Q42" i="6"/>
  <c r="P42" i="6"/>
  <c r="R41" i="6"/>
  <c r="Q41" i="6"/>
  <c r="P41" i="6"/>
  <c r="R40" i="6"/>
  <c r="Q40" i="6"/>
  <c r="P40" i="6"/>
  <c r="R39" i="6"/>
  <c r="Q39" i="6"/>
  <c r="P39" i="6"/>
  <c r="R38" i="6"/>
  <c r="Q38" i="6"/>
  <c r="P38" i="6"/>
  <c r="R37" i="6"/>
  <c r="Q37" i="6"/>
  <c r="P37" i="6"/>
  <c r="R36" i="6"/>
  <c r="Q36" i="6"/>
  <c r="P36" i="6"/>
  <c r="R35" i="6"/>
  <c r="Q35" i="6"/>
  <c r="P35" i="6"/>
  <c r="R34" i="6"/>
  <c r="Q34" i="6"/>
  <c r="P34" i="6"/>
  <c r="R33" i="6"/>
  <c r="Q33" i="6"/>
  <c r="P33" i="6"/>
  <c r="R32" i="6"/>
  <c r="Q32" i="6"/>
  <c r="P32" i="6"/>
  <c r="R31" i="6"/>
  <c r="Q31" i="6"/>
  <c r="P31" i="6"/>
  <c r="R30" i="6"/>
  <c r="Q30" i="6"/>
  <c r="P30" i="6"/>
  <c r="R29" i="6"/>
  <c r="Q29" i="6"/>
  <c r="P29" i="6"/>
  <c r="R28" i="6"/>
  <c r="Q28" i="6"/>
  <c r="P28" i="6"/>
  <c r="R27" i="6"/>
  <c r="Q27" i="6"/>
  <c r="P27" i="6"/>
  <c r="M26" i="6"/>
  <c r="K26" i="6"/>
  <c r="J26" i="6"/>
  <c r="I26" i="6"/>
  <c r="H26" i="6"/>
  <c r="G26" i="6"/>
  <c r="R25" i="6"/>
  <c r="Q25" i="6"/>
  <c r="M25" i="6"/>
  <c r="P25" i="6" s="1"/>
  <c r="M24" i="6"/>
  <c r="L24" i="6"/>
  <c r="R23" i="6"/>
  <c r="Q23" i="6"/>
  <c r="P23" i="6"/>
  <c r="R22" i="6"/>
  <c r="Q22" i="6"/>
  <c r="P22" i="6"/>
  <c r="R21" i="6"/>
  <c r="Q21" i="6"/>
  <c r="P21" i="6"/>
  <c r="R20" i="6"/>
  <c r="Q20" i="6"/>
  <c r="R19" i="6"/>
  <c r="Q19" i="6"/>
  <c r="P19" i="6"/>
  <c r="R16" i="6"/>
  <c r="Q16" i="6"/>
  <c r="P16" i="6"/>
  <c r="S14" i="6"/>
  <c r="S17" i="6" s="1"/>
  <c r="S45" i="6" s="1"/>
  <c r="S50" i="6" s="1"/>
  <c r="R13" i="6"/>
  <c r="Q13" i="6"/>
  <c r="P13" i="6"/>
  <c r="M12" i="6"/>
  <c r="M14" i="6" s="1"/>
  <c r="L12" i="6"/>
  <c r="K12" i="6"/>
  <c r="K14" i="6" s="1"/>
  <c r="K17" i="6" s="1"/>
  <c r="K45" i="6" s="1"/>
  <c r="K50" i="6" s="1"/>
  <c r="J12" i="6"/>
  <c r="J14" i="6" s="1"/>
  <c r="J17" i="6" s="1"/>
  <c r="I12" i="6"/>
  <c r="I14" i="6" s="1"/>
  <c r="I17" i="6" s="1"/>
  <c r="H12" i="6"/>
  <c r="H14" i="6" s="1"/>
  <c r="H17" i="6" s="1"/>
  <c r="G12" i="6"/>
  <c r="G14" i="6" s="1"/>
  <c r="G17" i="6" s="1"/>
  <c r="G45" i="6" s="1"/>
  <c r="G50" i="6" s="1"/>
  <c r="A12" i="6"/>
  <c r="A13" i="6" s="1"/>
  <c r="A14" i="6" s="1"/>
  <c r="A16" i="6" s="1"/>
  <c r="A17"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5" i="6" s="1"/>
  <c r="A47" i="6" s="1"/>
  <c r="A50" i="6" s="1"/>
  <c r="R11" i="6"/>
  <c r="Q11" i="6"/>
  <c r="H45" i="6" l="1"/>
  <c r="H50" i="6" s="1"/>
  <c r="I45" i="6"/>
  <c r="I50" i="6" s="1"/>
  <c r="J45" i="6"/>
  <c r="J50" i="6" s="1"/>
  <c r="P12" i="6"/>
  <c r="L14" i="6"/>
  <c r="O12" i="6"/>
  <c r="Q24" i="6"/>
  <c r="O24" i="6"/>
  <c r="R24" i="6"/>
  <c r="Q12" i="6"/>
  <c r="I64" i="4"/>
  <c r="I65" i="4" s="1"/>
  <c r="G64" i="4"/>
  <c r="G65" i="4" s="1"/>
  <c r="F64" i="4"/>
  <c r="F65" i="4" s="1"/>
  <c r="K64" i="4"/>
  <c r="K65" i="4" s="1"/>
  <c r="G48" i="4"/>
  <c r="G49" i="4" s="1"/>
  <c r="K47" i="4"/>
  <c r="K48" i="4" s="1"/>
  <c r="K49" i="4" s="1"/>
  <c r="H64" i="4"/>
  <c r="H65" i="4" s="1"/>
  <c r="I48" i="4"/>
  <c r="I49" i="4" s="1"/>
  <c r="H48" i="4"/>
  <c r="H49" i="4" s="1"/>
  <c r="J64" i="4"/>
  <c r="J65" i="4" s="1"/>
  <c r="F48" i="4"/>
  <c r="F49" i="4" s="1"/>
  <c r="J48" i="4"/>
  <c r="J49" i="4" s="1"/>
  <c r="M17" i="6"/>
  <c r="P14" i="6"/>
  <c r="R14" i="6"/>
  <c r="P24" i="6"/>
  <c r="P26" i="6"/>
  <c r="L26" i="6"/>
  <c r="R12" i="6"/>
  <c r="E80" i="4"/>
  <c r="L80" i="4" l="1"/>
  <c r="F81" i="4"/>
  <c r="Q26" i="6"/>
  <c r="O26" i="6"/>
  <c r="L17" i="6"/>
  <c r="L45" i="6" s="1"/>
  <c r="O45" i="6" s="1"/>
  <c r="O14" i="6"/>
  <c r="Q14" i="6"/>
  <c r="R26" i="6"/>
  <c r="R17" i="6"/>
  <c r="M45" i="6"/>
  <c r="P17" i="6"/>
  <c r="I294" i="4"/>
  <c r="C294" i="4"/>
  <c r="H293" i="4"/>
  <c r="C293" i="4"/>
  <c r="G292" i="4"/>
  <c r="C292" i="4"/>
  <c r="J291" i="4"/>
  <c r="J296" i="4" s="1"/>
  <c r="I291" i="4"/>
  <c r="H291" i="4"/>
  <c r="G291" i="4"/>
  <c r="F291" i="4"/>
  <c r="C291" i="4"/>
  <c r="E290" i="4"/>
  <c r="C290" i="4"/>
  <c r="H289" i="4"/>
  <c r="G289" i="4"/>
  <c r="F289" i="4"/>
  <c r="E289" i="4"/>
  <c r="D289" i="4"/>
  <c r="C289" i="4"/>
  <c r="G288" i="4"/>
  <c r="F288" i="4"/>
  <c r="E288" i="4"/>
  <c r="D288" i="4"/>
  <c r="C288" i="4"/>
  <c r="F287" i="4"/>
  <c r="E287" i="4"/>
  <c r="D287" i="4"/>
  <c r="C287" i="4"/>
  <c r="E286" i="4"/>
  <c r="D286" i="4"/>
  <c r="C286" i="4"/>
  <c r="D285" i="4"/>
  <c r="C285" i="4"/>
  <c r="O17" i="6" l="1"/>
  <c r="Q17" i="6"/>
  <c r="H296" i="4"/>
  <c r="I296" i="4"/>
  <c r="E296" i="4"/>
  <c r="F296" i="4"/>
  <c r="L50" i="6"/>
  <c r="O50" i="6" s="1"/>
  <c r="Q45" i="6"/>
  <c r="R45" i="6"/>
  <c r="M50" i="6"/>
  <c r="P45" i="6"/>
  <c r="C296" i="4"/>
  <c r="D296" i="4"/>
  <c r="G296" i="4"/>
  <c r="Q50" i="6" l="1"/>
  <c r="R50" i="6"/>
  <c r="P50" i="6"/>
  <c r="J264" i="4" l="1"/>
  <c r="I264" i="4"/>
  <c r="H264" i="4"/>
  <c r="G264" i="4"/>
  <c r="F264" i="4"/>
  <c r="F265" i="4" s="1"/>
  <c r="D264" i="4"/>
  <c r="I265" i="4" l="1"/>
  <c r="L264" i="4"/>
  <c r="E265" i="4"/>
  <c r="J265" i="4"/>
  <c r="G265" i="4"/>
  <c r="H265" i="4"/>
  <c r="L12" i="5"/>
  <c r="K12" i="5"/>
  <c r="J12" i="5"/>
  <c r="I12" i="5"/>
  <c r="H12" i="5"/>
  <c r="G12" i="5"/>
  <c r="F12" i="5"/>
  <c r="J12" i="3"/>
  <c r="I12" i="3"/>
  <c r="H12" i="3"/>
  <c r="G12" i="3"/>
  <c r="F12" i="3"/>
  <c r="D68" i="5" l="1"/>
  <c r="K24" i="3"/>
  <c r="S59" i="5"/>
  <c r="P47" i="5"/>
  <c r="O47" i="5"/>
  <c r="N47" i="5"/>
  <c r="P43" i="5"/>
  <c r="O43" i="5"/>
  <c r="N43" i="5"/>
  <c r="P42" i="5"/>
  <c r="O42" i="5"/>
  <c r="N42" i="5"/>
  <c r="P41" i="5"/>
  <c r="O41" i="5"/>
  <c r="N41" i="5"/>
  <c r="P40" i="5"/>
  <c r="O40" i="5"/>
  <c r="N40" i="5"/>
  <c r="P39" i="5"/>
  <c r="O39" i="5"/>
  <c r="N39" i="5"/>
  <c r="P38" i="5"/>
  <c r="O38" i="5"/>
  <c r="N38" i="5"/>
  <c r="P37" i="5"/>
  <c r="O37" i="5"/>
  <c r="N37" i="5"/>
  <c r="P36" i="5"/>
  <c r="O36" i="5"/>
  <c r="N36" i="5"/>
  <c r="P35" i="5"/>
  <c r="O35" i="5"/>
  <c r="N35" i="5"/>
  <c r="P34" i="5"/>
  <c r="O34" i="5"/>
  <c r="N34" i="5"/>
  <c r="P33" i="5"/>
  <c r="O33" i="5"/>
  <c r="N33" i="5"/>
  <c r="P32" i="5"/>
  <c r="O32" i="5"/>
  <c r="N32" i="5"/>
  <c r="P31" i="5"/>
  <c r="O31" i="5"/>
  <c r="N31" i="5"/>
  <c r="P30" i="5"/>
  <c r="O30" i="5"/>
  <c r="N30" i="5"/>
  <c r="P29" i="5"/>
  <c r="O29" i="5"/>
  <c r="N29" i="5"/>
  <c r="P28" i="5"/>
  <c r="O28" i="5"/>
  <c r="N28" i="5"/>
  <c r="P27" i="5"/>
  <c r="O27" i="5"/>
  <c r="N27" i="5"/>
  <c r="L26" i="5"/>
  <c r="J26" i="5"/>
  <c r="I26" i="5"/>
  <c r="H26" i="5"/>
  <c r="G26" i="5"/>
  <c r="F26" i="5"/>
  <c r="N26" i="5" s="1"/>
  <c r="O25" i="5"/>
  <c r="L25" i="5"/>
  <c r="P25" i="5" s="1"/>
  <c r="L24" i="5"/>
  <c r="K24" i="5"/>
  <c r="O24" i="5" s="1"/>
  <c r="P23" i="5"/>
  <c r="O23" i="5"/>
  <c r="N23" i="5"/>
  <c r="P22" i="5"/>
  <c r="O22" i="5"/>
  <c r="N22" i="5"/>
  <c r="P21" i="5"/>
  <c r="O21" i="5"/>
  <c r="N21" i="5"/>
  <c r="P20" i="5"/>
  <c r="O20" i="5"/>
  <c r="P19" i="5"/>
  <c r="O19" i="5"/>
  <c r="N19" i="5"/>
  <c r="P16" i="5"/>
  <c r="O16" i="5"/>
  <c r="N16" i="5"/>
  <c r="Q14" i="5"/>
  <c r="Q17" i="5" s="1"/>
  <c r="Q45" i="5" s="1"/>
  <c r="Q50" i="5" s="1"/>
  <c r="L13" i="5"/>
  <c r="I13" i="5"/>
  <c r="I14" i="5" s="1"/>
  <c r="I17" i="5" s="1"/>
  <c r="I45" i="5" s="1"/>
  <c r="I50" i="5" s="1"/>
  <c r="I54" i="5" s="1"/>
  <c r="H13" i="5"/>
  <c r="H14" i="5" s="1"/>
  <c r="H17" i="5" s="1"/>
  <c r="H45" i="5" s="1"/>
  <c r="H50" i="5" s="1"/>
  <c r="H54" i="5" s="1"/>
  <c r="N12" i="5"/>
  <c r="K13" i="5"/>
  <c r="O12" i="5"/>
  <c r="G13" i="5"/>
  <c r="G14" i="5" s="1"/>
  <c r="G17" i="5" s="1"/>
  <c r="F13" i="5"/>
  <c r="F14" i="5" s="1"/>
  <c r="F17" i="5" s="1"/>
  <c r="P11" i="5"/>
  <c r="O11" i="5"/>
  <c r="L24" i="3"/>
  <c r="O26" i="5" l="1"/>
  <c r="F45" i="5"/>
  <c r="F50" i="5" s="1"/>
  <c r="F54" i="5" s="1"/>
  <c r="P24" i="5"/>
  <c r="K26" i="5"/>
  <c r="P26" i="5" s="1"/>
  <c r="G45" i="5"/>
  <c r="G50" i="5" s="1"/>
  <c r="G54" i="5" s="1"/>
  <c r="K14" i="5"/>
  <c r="P13" i="5"/>
  <c r="S60" i="5"/>
  <c r="Q54" i="5"/>
  <c r="P12" i="5"/>
  <c r="N24" i="5"/>
  <c r="J13" i="5"/>
  <c r="J14" i="5" s="1"/>
  <c r="J17" i="5" s="1"/>
  <c r="J45" i="5" s="1"/>
  <c r="J50" i="5" s="1"/>
  <c r="J54" i="5" s="1"/>
  <c r="L14" i="5"/>
  <c r="N13" i="5"/>
  <c r="N25" i="5"/>
  <c r="J136" i="4"/>
  <c r="J137" i="4" s="1"/>
  <c r="O13" i="5" l="1"/>
  <c r="N14" i="5"/>
  <c r="P14" i="5"/>
  <c r="L17" i="5"/>
  <c r="K17" i="5"/>
  <c r="O14" i="5"/>
  <c r="S59" i="3"/>
  <c r="P47" i="3"/>
  <c r="O47" i="3"/>
  <c r="N47" i="3"/>
  <c r="P43" i="3"/>
  <c r="O43" i="3"/>
  <c r="N43" i="3"/>
  <c r="P42" i="3"/>
  <c r="O42" i="3"/>
  <c r="N42" i="3"/>
  <c r="P41" i="3"/>
  <c r="O41" i="3"/>
  <c r="N41" i="3"/>
  <c r="P40" i="3"/>
  <c r="O40" i="3"/>
  <c r="N40" i="3"/>
  <c r="P39" i="3"/>
  <c r="O39" i="3"/>
  <c r="N39" i="3"/>
  <c r="P38" i="3"/>
  <c r="O38" i="3"/>
  <c r="N38" i="3"/>
  <c r="P37" i="3"/>
  <c r="O37" i="3"/>
  <c r="N37" i="3"/>
  <c r="P36" i="3"/>
  <c r="O36" i="3"/>
  <c r="N36" i="3"/>
  <c r="P35" i="3"/>
  <c r="O35" i="3"/>
  <c r="N35" i="3"/>
  <c r="P34" i="3"/>
  <c r="O34" i="3"/>
  <c r="N34" i="3"/>
  <c r="P33" i="3"/>
  <c r="O33" i="3"/>
  <c r="N33" i="3"/>
  <c r="P32" i="3"/>
  <c r="O32" i="3"/>
  <c r="N32" i="3"/>
  <c r="P31" i="3"/>
  <c r="O31" i="3"/>
  <c r="N31" i="3"/>
  <c r="P30" i="3"/>
  <c r="O30" i="3"/>
  <c r="N30" i="3"/>
  <c r="P29" i="3"/>
  <c r="O29" i="3"/>
  <c r="N29" i="3"/>
  <c r="P28" i="3"/>
  <c r="O28" i="3"/>
  <c r="N28" i="3"/>
  <c r="P27" i="3"/>
  <c r="O27" i="3"/>
  <c r="N27" i="3"/>
  <c r="L26" i="3"/>
  <c r="N26" i="3" s="1"/>
  <c r="K26" i="3"/>
  <c r="O26" i="3" s="1"/>
  <c r="J26" i="3"/>
  <c r="I26" i="3"/>
  <c r="H26" i="3"/>
  <c r="G26" i="3"/>
  <c r="F26" i="3"/>
  <c r="P25" i="3"/>
  <c r="O25" i="3"/>
  <c r="N25" i="3"/>
  <c r="L25" i="3"/>
  <c r="P24" i="3"/>
  <c r="O24" i="3"/>
  <c r="N24" i="3"/>
  <c r="P23" i="3"/>
  <c r="O23" i="3"/>
  <c r="N23" i="3"/>
  <c r="P22" i="3"/>
  <c r="O22" i="3"/>
  <c r="N22" i="3"/>
  <c r="P21" i="3"/>
  <c r="O21" i="3"/>
  <c r="N21" i="3"/>
  <c r="P20" i="3"/>
  <c r="O20" i="3"/>
  <c r="P19" i="3"/>
  <c r="O19" i="3"/>
  <c r="N19" i="3"/>
  <c r="Q17" i="3"/>
  <c r="Q45" i="3" s="1"/>
  <c r="Q50" i="3" s="1"/>
  <c r="P16" i="3"/>
  <c r="O16" i="3"/>
  <c r="N16" i="3"/>
  <c r="Q14" i="3"/>
  <c r="L13" i="3"/>
  <c r="I13" i="3"/>
  <c r="I14" i="3" s="1"/>
  <c r="I17" i="3" s="1"/>
  <c r="I45" i="3" s="1"/>
  <c r="I50" i="3" s="1"/>
  <c r="I54" i="3" s="1"/>
  <c r="H13" i="3"/>
  <c r="H14" i="3" s="1"/>
  <c r="H17" i="3" s="1"/>
  <c r="H45" i="3" s="1"/>
  <c r="H50" i="3" s="1"/>
  <c r="H54" i="3" s="1"/>
  <c r="L12" i="3"/>
  <c r="N12" i="3" s="1"/>
  <c r="K12" i="3"/>
  <c r="K13" i="3" s="1"/>
  <c r="J13" i="3"/>
  <c r="J14" i="3" s="1"/>
  <c r="J17" i="3" s="1"/>
  <c r="J45" i="3" s="1"/>
  <c r="J50" i="3" s="1"/>
  <c r="J54" i="3" s="1"/>
  <c r="G13" i="3"/>
  <c r="G14" i="3" s="1"/>
  <c r="G17" i="3" s="1"/>
  <c r="G45" i="3" s="1"/>
  <c r="G50" i="3" s="1"/>
  <c r="G54" i="3" s="1"/>
  <c r="F13" i="3"/>
  <c r="F14" i="3" s="1"/>
  <c r="F17" i="3" s="1"/>
  <c r="F45" i="3" s="1"/>
  <c r="F50" i="3" s="1"/>
  <c r="F54" i="3" s="1"/>
  <c r="P11" i="3"/>
  <c r="O11" i="3"/>
  <c r="N16" i="2"/>
  <c r="N23" i="2"/>
  <c r="O23" i="2"/>
  <c r="P23" i="2"/>
  <c r="O24" i="2"/>
  <c r="O25" i="2"/>
  <c r="L26" i="2"/>
  <c r="L25" i="2"/>
  <c r="N25" i="2" s="1"/>
  <c r="L24" i="2"/>
  <c r="N24" i="2" s="1"/>
  <c r="K26" i="2"/>
  <c r="J26" i="2"/>
  <c r="I26" i="2"/>
  <c r="H26" i="2"/>
  <c r="G26" i="2"/>
  <c r="F26" i="2"/>
  <c r="P37" i="2"/>
  <c r="P38" i="2"/>
  <c r="P39" i="2"/>
  <c r="P40" i="2"/>
  <c r="P41" i="2"/>
  <c r="P42" i="2"/>
  <c r="P43" i="2"/>
  <c r="P47" i="2"/>
  <c r="P16" i="2"/>
  <c r="P19" i="2"/>
  <c r="P20" i="2"/>
  <c r="P21" i="2"/>
  <c r="P22" i="2"/>
  <c r="P27" i="2"/>
  <c r="P28" i="2"/>
  <c r="P29" i="2"/>
  <c r="P30" i="2"/>
  <c r="P31" i="2"/>
  <c r="P32" i="2"/>
  <c r="P33" i="2"/>
  <c r="P34" i="2"/>
  <c r="P35" i="2"/>
  <c r="P36" i="2"/>
  <c r="P11" i="2"/>
  <c r="O40" i="2"/>
  <c r="O41" i="2"/>
  <c r="O42" i="2"/>
  <c r="O43" i="2"/>
  <c r="O47" i="2"/>
  <c r="O16" i="2"/>
  <c r="O19" i="2"/>
  <c r="O20" i="2"/>
  <c r="O21" i="2"/>
  <c r="O22" i="2"/>
  <c r="O27" i="2"/>
  <c r="O28" i="2"/>
  <c r="O29" i="2"/>
  <c r="O30" i="2"/>
  <c r="O31" i="2"/>
  <c r="O32" i="2"/>
  <c r="O33" i="2"/>
  <c r="O34" i="2"/>
  <c r="O35" i="2"/>
  <c r="O36" i="2"/>
  <c r="O37" i="2"/>
  <c r="O38" i="2"/>
  <c r="O39" i="2"/>
  <c r="O11" i="2"/>
  <c r="N35" i="2"/>
  <c r="N36" i="2"/>
  <c r="N37" i="2"/>
  <c r="N38" i="2"/>
  <c r="N39" i="2"/>
  <c r="N40" i="2"/>
  <c r="N41" i="2"/>
  <c r="N42" i="2"/>
  <c r="N43" i="2"/>
  <c r="N47" i="2"/>
  <c r="N19" i="2"/>
  <c r="N21" i="2"/>
  <c r="N22" i="2"/>
  <c r="N27" i="2"/>
  <c r="N28" i="2"/>
  <c r="N29" i="2"/>
  <c r="N30" i="2"/>
  <c r="N31" i="2"/>
  <c r="N32" i="2"/>
  <c r="N33" i="2"/>
  <c r="N34" i="2"/>
  <c r="L45" i="5" l="1"/>
  <c r="P17" i="5"/>
  <c r="N17" i="5"/>
  <c r="K45" i="5"/>
  <c r="O17" i="5"/>
  <c r="O13" i="3"/>
  <c r="K14" i="3"/>
  <c r="P13" i="3"/>
  <c r="S60" i="3"/>
  <c r="Q54" i="3"/>
  <c r="O12" i="3"/>
  <c r="P26" i="3"/>
  <c r="P12" i="3"/>
  <c r="N13" i="3"/>
  <c r="L14" i="3"/>
  <c r="P25" i="2"/>
  <c r="P24" i="2"/>
  <c r="N26" i="2"/>
  <c r="P26" i="2"/>
  <c r="O26" i="2"/>
  <c r="K50" i="5" l="1"/>
  <c r="O45" i="5"/>
  <c r="L50" i="5"/>
  <c r="P45" i="5"/>
  <c r="N45" i="5"/>
  <c r="N14" i="3"/>
  <c r="P14" i="3"/>
  <c r="L17" i="3"/>
  <c r="K17" i="3"/>
  <c r="O14" i="3"/>
  <c r="L54" i="5" l="1"/>
  <c r="N50" i="5"/>
  <c r="P50" i="5"/>
  <c r="K54" i="5"/>
  <c r="O50" i="5"/>
  <c r="O17" i="3"/>
  <c r="K45" i="3"/>
  <c r="P17" i="3"/>
  <c r="L45" i="3"/>
  <c r="N17" i="3"/>
  <c r="N45" i="3" l="1"/>
  <c r="P45" i="3"/>
  <c r="L50" i="3"/>
  <c r="K50" i="3"/>
  <c r="O45" i="3"/>
  <c r="K54" i="3" l="1"/>
  <c r="O50" i="3"/>
  <c r="L54" i="3"/>
  <c r="P50" i="3"/>
  <c r="N50" i="3"/>
  <c r="F13" i="2" l="1"/>
  <c r="F12" i="2"/>
  <c r="G12" i="2"/>
  <c r="G13" i="2" s="1"/>
  <c r="G14" i="2" s="1"/>
  <c r="G17" i="2" s="1"/>
  <c r="G45" i="2" s="1"/>
  <c r="G50" i="2" s="1"/>
  <c r="G54" i="2" s="1"/>
  <c r="H12" i="2"/>
  <c r="H13" i="2" s="1"/>
  <c r="I12" i="2"/>
  <c r="I13" i="2" s="1"/>
  <c r="J12" i="2"/>
  <c r="J13" i="2" s="1"/>
  <c r="K12" i="2"/>
  <c r="O12" i="2" s="1"/>
  <c r="L12" i="2"/>
  <c r="S59" i="2"/>
  <c r="Q14" i="2"/>
  <c r="Q17" i="2" s="1"/>
  <c r="Q45" i="2" s="1"/>
  <c r="Q50" i="2" s="1"/>
  <c r="N12" i="2" l="1"/>
  <c r="P12" i="2"/>
  <c r="L13" i="2"/>
  <c r="K13" i="2"/>
  <c r="O13" i="2" s="1"/>
  <c r="S60" i="2"/>
  <c r="F14" i="2"/>
  <c r="F17" i="2" s="1"/>
  <c r="F45" i="2" s="1"/>
  <c r="F50" i="2" s="1"/>
  <c r="F54" i="2" s="1"/>
  <c r="H14" i="2"/>
  <c r="H17" i="2" s="1"/>
  <c r="H45" i="2" s="1"/>
  <c r="H50" i="2" s="1"/>
  <c r="H54" i="2" s="1"/>
  <c r="I14" i="2"/>
  <c r="I17" i="2" s="1"/>
  <c r="I45" i="2" s="1"/>
  <c r="I50" i="2" s="1"/>
  <c r="I54" i="2" s="1"/>
  <c r="J14" i="2"/>
  <c r="J17" i="2" s="1"/>
  <c r="J45" i="2" s="1"/>
  <c r="J50" i="2" s="1"/>
  <c r="J54" i="2" s="1"/>
  <c r="Q54" i="2"/>
  <c r="K14" i="2" l="1"/>
  <c r="P13" i="2"/>
  <c r="N13" i="2"/>
  <c r="L14" i="2"/>
  <c r="K17" i="2"/>
  <c r="O14" i="2"/>
  <c r="N14" i="2" l="1"/>
  <c r="P14" i="2"/>
  <c r="L17" i="2"/>
  <c r="K45" i="2"/>
  <c r="O17" i="2"/>
  <c r="O45" i="2" l="1"/>
  <c r="K50" i="2"/>
  <c r="P17" i="2"/>
  <c r="N17" i="2"/>
  <c r="L45" i="2"/>
  <c r="K54" i="2" l="1"/>
  <c r="O50" i="2"/>
  <c r="L50" i="2"/>
  <c r="P45" i="2"/>
  <c r="N45" i="2"/>
  <c r="L54" i="2" l="1"/>
  <c r="P50" i="2"/>
  <c r="N50" i="2"/>
  <c r="D157" i="4"/>
  <c r="L157" i="4" s="1"/>
</calcChain>
</file>

<file path=xl/sharedStrings.xml><?xml version="1.0" encoding="utf-8"?>
<sst xmlns="http://schemas.openxmlformats.org/spreadsheetml/2006/main" count="807" uniqueCount="262">
  <si>
    <t>GAZIFÈRE INC</t>
  </si>
  <si>
    <t>SOMMAIRE DES CHARGES D'EXPLOITATION PAR NATURE</t>
  </si>
  <si>
    <t>CAUSE TARIFAIRE 2016</t>
  </si>
  <si>
    <t>Réel 2010</t>
  </si>
  <si>
    <t>Réel 2011</t>
  </si>
  <si>
    <t>Réel 2012</t>
  </si>
  <si>
    <t>Réel 2013</t>
  </si>
  <si>
    <t>Réel 2014</t>
  </si>
  <si>
    <t>(4+8) 2015</t>
  </si>
  <si>
    <t>Budget 2016</t>
  </si>
  <si>
    <t>Charges liées aux régime de retraite</t>
  </si>
  <si>
    <t>Autres avantages sociaux</t>
  </si>
  <si>
    <t>Avantages sociaux totaux</t>
  </si>
  <si>
    <t>Salaires</t>
  </si>
  <si>
    <t>Salaires et avantages sociaux</t>
  </si>
  <si>
    <t>Formation et développement des employés</t>
  </si>
  <si>
    <t>Relocalisation d'employés</t>
  </si>
  <si>
    <t>Matériel et fournitures - général</t>
  </si>
  <si>
    <t>Matériel et fournitures de bureau</t>
  </si>
  <si>
    <t>Maind'œuvre contrcactuelle</t>
  </si>
  <si>
    <t>Marketing</t>
  </si>
  <si>
    <t>Frais de bureautiques et services technologiques</t>
  </si>
  <si>
    <t>Autres frais externes</t>
  </si>
  <si>
    <t>Frais d'entretien et réparation</t>
  </si>
  <si>
    <t>Frais de fonctionnement et maintenance du parc de véhicules</t>
  </si>
  <si>
    <t>Location d'équipement</t>
  </si>
  <si>
    <t>Location de locaux et bureaux</t>
  </si>
  <si>
    <t>Frais de télécommunication</t>
  </si>
  <si>
    <t>Frais de déplacement et représentation</t>
  </si>
  <si>
    <t>Dommages et dégâts matériels</t>
  </si>
  <si>
    <t>Primes d'assurances</t>
  </si>
  <si>
    <t>Impôts fonciers et autres taxes</t>
  </si>
  <si>
    <t>Autres frais opérationnels et recouvrements de frais opérationnels (1)</t>
  </si>
  <si>
    <t>Dons et frais d'adhésion</t>
  </si>
  <si>
    <t>Provision pour mauvaises créances</t>
  </si>
  <si>
    <t>Frais bancaires</t>
  </si>
  <si>
    <t>Sous-total</t>
  </si>
  <si>
    <t>Portion des frais alloués aux activités non réglementées</t>
  </si>
  <si>
    <t>Charges d'exploitation</t>
  </si>
  <si>
    <t>Total présenté en Fermeture (2010@2013) ou en GI-28 doc 1</t>
  </si>
  <si>
    <t>Ecart</t>
  </si>
  <si>
    <t>(1)  Cette ligne est principalement composée des frais de gestion Groupe, de recouvrements et revenus récupérés des clients, par exemple, frais pour fermeture et/ou réouverture de compteurs, de frais récupérés autres et d'autres frais opérationnels</t>
  </si>
  <si>
    <t>GI-39</t>
  </si>
  <si>
    <t>Page 1 de 1</t>
  </si>
  <si>
    <t>Original: 2015-10-09</t>
  </si>
  <si>
    <t>Requête 3924-2015</t>
  </si>
  <si>
    <t>Document 3.1</t>
  </si>
  <si>
    <t>Explications des coupures</t>
  </si>
  <si>
    <t>révisé</t>
  </si>
  <si>
    <t>original</t>
  </si>
  <si>
    <t>-20 000  de frais professionnels dans les opérations, -75 000 de frais professionnels en réglementation -249 200 (124 600 * 2) de charges réglementaires/CFR retraite liquidé</t>
  </si>
  <si>
    <t>OK version révisée</t>
  </si>
  <si>
    <t>Bonification</t>
  </si>
  <si>
    <t>-</t>
  </si>
  <si>
    <t>Taux de croissance annuel moyen</t>
  </si>
  <si>
    <t>2010-2016</t>
  </si>
  <si>
    <t>2014-2015</t>
  </si>
  <si>
    <t>2015-2016</t>
  </si>
  <si>
    <t>supérieur à 5.1%</t>
  </si>
  <si>
    <t>inférieur à 0%</t>
  </si>
  <si>
    <t>supérieur à 2%</t>
  </si>
  <si>
    <t>supérieur à 1.9%</t>
  </si>
  <si>
    <t>Frais professionnels - comptabilité, impôts et vérification</t>
  </si>
  <si>
    <t>Frais professionnels - frais légaux</t>
  </si>
  <si>
    <t>Frais professionnels - consultants</t>
  </si>
  <si>
    <t>Frais réglementaires</t>
  </si>
  <si>
    <t>Voir explications données en GI-39, document 3.1.1, aux notes;</t>
  </si>
  <si>
    <t>(1)</t>
  </si>
  <si>
    <t>(2)</t>
  </si>
  <si>
    <t>(3)</t>
  </si>
  <si>
    <t>(4)</t>
  </si>
  <si>
    <t>(5)</t>
  </si>
  <si>
    <t>(6)</t>
  </si>
  <si>
    <t>JB / Lucie</t>
  </si>
  <si>
    <t>MBM</t>
  </si>
  <si>
    <t>MB</t>
  </si>
  <si>
    <t>JB</t>
  </si>
  <si>
    <t>(7)</t>
  </si>
  <si>
    <t>(8)</t>
  </si>
  <si>
    <t>(9)</t>
  </si>
  <si>
    <t>(10)</t>
  </si>
  <si>
    <t>(11)</t>
  </si>
  <si>
    <t>(12)</t>
  </si>
  <si>
    <t>(13)</t>
  </si>
  <si>
    <t>(14)</t>
  </si>
  <si>
    <t>(15)</t>
  </si>
  <si>
    <t>(16)</t>
  </si>
  <si>
    <t>(17)</t>
  </si>
  <si>
    <t>(18)</t>
  </si>
  <si>
    <t>Lucie</t>
  </si>
  <si>
    <t>(19)</t>
  </si>
  <si>
    <t>JB/Lucie</t>
  </si>
  <si>
    <t>(20)</t>
  </si>
  <si>
    <t>(21)</t>
  </si>
  <si>
    <t>MBM/Lucie</t>
  </si>
  <si>
    <t>(22)</t>
  </si>
  <si>
    <t>Maind'œuvre contractuelle</t>
  </si>
  <si>
    <t>ANALYSE DES ECARTS</t>
  </si>
  <si>
    <t>Frais professionnels - Consultants</t>
  </si>
  <si>
    <t>Opérations et entretien</t>
  </si>
  <si>
    <t>Ventes et communications</t>
  </si>
  <si>
    <t>Informatique</t>
  </si>
  <si>
    <t>Affaires réglementaires et budget</t>
  </si>
  <si>
    <t>Service à la clientèle</t>
  </si>
  <si>
    <t>Administration</t>
  </si>
  <si>
    <t xml:space="preserve">      Un montant additionnel de 91 000 $ s'ajoute pour 2016. En excluant ces deux montants, les charges de 2015 et de 2016 </t>
  </si>
  <si>
    <t xml:space="preserve">      auraient été respectivement de 112 671 $ et de 122 884 $.</t>
  </si>
  <si>
    <t xml:space="preserve">     associées aux études déposées en phase 2, 3 et 4.</t>
  </si>
  <si>
    <t xml:space="preserve">     tarifaire 2017.</t>
  </si>
  <si>
    <t>( C )</t>
  </si>
  <si>
    <t>( B )</t>
  </si>
  <si>
    <t>Autres frais opérationnels et recouvrements de frais opérationnels ( A )</t>
  </si>
  <si>
    <t>( A )  Cette ligne est principalement composée des frais de gestion Groupe, de recouvrements et revenus récupérés des clients, par exemple, frais pour fermeture et/ou réouverture de compteurs, de frais récupérés autres et d'autres frais opérationnels</t>
  </si>
  <si>
    <t>( B ) Le (4+8) 2015 a été ajusté de -20 000$ au niveau des Frais professionnels - frais légaux suite à la constation que cette dépense ne surviendra pas, ni même qu'il faille une provision de même nature concernant 2016 (voir note © à cet effet.</t>
  </si>
  <si>
    <t>( C ) Le budget 2016 a été ajusté des éléments suivants:</t>
  </si>
  <si>
    <t>Autres services</t>
  </si>
  <si>
    <t>Total</t>
  </si>
  <si>
    <t>L'évolution de la charge de dons et de frais d'adhésion est principalement reliée au service des ventes et des communications.</t>
  </si>
  <si>
    <t>Montant réajusté pour tenir compte de la sous ou sur estimation, tel que présenté à la GI-41, document 1, page 50.</t>
  </si>
  <si>
    <t>Résultat du tableau de bord de Gazifère</t>
  </si>
  <si>
    <t>2013 a obtenu un niveau largement inférieur en relation avec le résultat du tableau de bord.</t>
  </si>
  <si>
    <t>Ventes et communication</t>
  </si>
  <si>
    <t>Affaires réglementaires</t>
  </si>
  <si>
    <t>Les années 2015 et 2016 font ressortir des changements principalement dans le secteur des Affaires réglementaires, des Ventes et communication</t>
  </si>
  <si>
    <t>ainsi que Opérations et entretien. Ces changements sont en lien avec l'arrivée de trois nouveaux directeurs, avec des objectifs et tâches différentes.</t>
  </si>
  <si>
    <t xml:space="preserve">En ce qui concerne les Affaires réglementaires, il y a l'aspect représentation gouvernementale ainsi que l'ajout d'une ressource en 2016, incluant </t>
  </si>
  <si>
    <t>des formations et des conférences, dans l'objectif d'améliorer l'expertise interne.</t>
  </si>
  <si>
    <t>Main d'œuvre contractuelle</t>
  </si>
  <si>
    <t>Opérations et maintenance</t>
  </si>
  <si>
    <t>Autres</t>
  </si>
  <si>
    <t>Formation des employés</t>
  </si>
  <si>
    <t>Bourses et gratifications</t>
  </si>
  <si>
    <t>Remboursement d'études des employés de Gazifère</t>
  </si>
  <si>
    <t>Cadeaux de reconnaissances</t>
  </si>
  <si>
    <t>La formation des employés représente des formations comme Ambulance St-Jean, la RBQ, des formations techniques nécessaires pour les affaires de Gazifère, etc.</t>
  </si>
  <si>
    <t xml:space="preserve">Les bourses et gratifications sont reliés à deux éléments. En ce qui concerne les bourses d'études, elles sont offertes aux enfants des employés de </t>
  </si>
  <si>
    <t xml:space="preserve">Gazifère. Ainsi, l'élément principal qui explique la variation de ce poste est l'âge des enfants et leur intérêt à poursuivre des études. Quant aux </t>
  </si>
  <si>
    <t>gratifications, il s'agit de petits cadeaux de reconnaissance marquant le nombre d'années chez Gazifère. Ces gratifications sont aux 5 ans.</t>
  </si>
  <si>
    <t>Quant au remboursement d'études des employés de Gazifère, il s'agit d'employés qui poursuivent des études, Gazifère remboursant une portion de ces études.</t>
  </si>
  <si>
    <t>Auto-Assurance</t>
  </si>
  <si>
    <t>Dommages $</t>
  </si>
  <si>
    <t>Ce compte varie en fonction des dommages survenus dans l'année. Selon l'ordonnance D-90-33, la méthode indique ce qui suit :  Règle du minimum : si la somme des paiements de réclamations d'un exercice donné est inférieure à 10 000$, la charge sera entièrement amortie dans l'exercice ou cet amortissement sera intégré aux tarifs.  Pour les montants plus grands que 10 000$, ils seront amortis de façon linéaire sur 5 ans dans l'année ou ils seront inclus dans les tarifs.</t>
  </si>
  <si>
    <t>Autres frais opérationnels et recouvrements de frais opérationnels ( A )  ( D )</t>
  </si>
  <si>
    <t>( D ) Il y a eu une reclassification entre les lignes 3 et 28 depuis la version originale de ce document en date du 9 octobre 2015, qui consiste à;</t>
  </si>
  <si>
    <t xml:space="preserve">  -reclasser les charges sociales recouvrées d'une société sœur, apparaissant dans la ligne 28, contre les charges sociales de la ligne 3.  Pour information, Gazifère fournit un service de traitement de paie pour une société sœur.  La charge salariale de cette société soeur apparait dans un centre de coût non réglementé, donc n'apparaissant pas ici.  Par contre, les charges sociales étant centralisées dans le service Administration, il faut neutraliser l'impact de ces charges sociales puisqu'elles sont récupérées à 100%. Cependant, la neutralisation apparaissait originalement dans la ligne 28. Il apparaissait pertinent de neutraliser l'impact de ces charges sociales recouvrées contre leur comptabilisation originale, pour fins d'analyse.</t>
  </si>
  <si>
    <t xml:space="preserve">    - reclasser les charges sociales capitalisées, apparaissant dans un compte de recouvrement de la ligne 28, contre les charges sociales de la ligne 3.  Autrement dit, la dépense de charges sociales se présente dans un compte faisant partie de la ligne 3 et lorsqu'une portion des charges sociales est extraite pour être capitalisées, ce mouvement apparait dans un compte de la ligne 28.  Il apparaissait pertinent de neutraliser l'impact des charges sociales capitalisées contre leur comptabilisation originale, pour fins d'analyse.</t>
  </si>
  <si>
    <t>( C ) Le budget 2016 a été ajusté des éléments suivants, tel que mentionné en audience:</t>
  </si>
  <si>
    <t>Autres avantages sociaux - autres que bonification et retraite</t>
  </si>
  <si>
    <t>ETC Cadres</t>
  </si>
  <si>
    <t>ETC - Non cadres</t>
  </si>
  <si>
    <t>ETC totaux</t>
  </si>
  <si>
    <t>Variation ETC Cadres</t>
  </si>
  <si>
    <t xml:space="preserve">  en %</t>
  </si>
  <si>
    <t>Variation ETC Non cadres</t>
  </si>
  <si>
    <t>Ratio Salaires et avantages sociaux autres que retraite et bonifications / ETC</t>
  </si>
  <si>
    <t>Variation en $</t>
  </si>
  <si>
    <t>Variation en %</t>
  </si>
  <si>
    <t>Augmentations salariales</t>
  </si>
  <si>
    <t>2.75% - 3%</t>
  </si>
  <si>
    <t>2.75% - 3.23%</t>
  </si>
  <si>
    <t>2.5% - 3.3%</t>
  </si>
  <si>
    <t>2% - 3%</t>
  </si>
  <si>
    <t>2 - 2.5%</t>
  </si>
  <si>
    <t>◦ Le groupe a lancé un programme intitulé "Bien-être" en 2015, consistant à encourager les employés à se pré-occuper de leur bien-être physique et moral en offrant des cours en-ligne, de l'information, en lançant divers programmes tels que la prise de données bio-métriques des employés pour les sensibiliser à leur taux de cholestérol, taux de graisse etc ou encore en lançant des défis visant à favoriser l'exercice physique.  Ce programme, qui remplace un précédent programme du même type, a un coût supérieur estimé à 12 000$.</t>
  </si>
  <si>
    <t>A titre d'exemple, 2015 et 2016 connaissent une hausse plus marquée du ratio, à mettre en relation avec le nombre plus important d'augmentation d'ETC cadres.</t>
  </si>
  <si>
    <t>Avantages sociaux autres que charges de retraite et bonification et salaires</t>
  </si>
  <si>
    <r>
      <rPr>
        <i/>
        <sz val="11"/>
        <color theme="1"/>
        <rFont val="Calibri"/>
        <family val="2"/>
        <scheme val="minor"/>
      </rPr>
      <t>1</t>
    </r>
    <r>
      <rPr>
        <sz val="11"/>
        <color theme="1"/>
        <rFont val="Calibri"/>
        <family val="2"/>
        <scheme val="minor"/>
      </rPr>
      <t xml:space="preserve"> - L'écart entre 2014 et 2015 s'explique principalement par l'ajout de 20 000 $ découlant de l'amortissement du compte relié à la francisation.</t>
    </r>
  </si>
  <si>
    <r>
      <rPr>
        <i/>
        <sz val="11"/>
        <color theme="1"/>
        <rFont val="Calibri"/>
        <family val="2"/>
        <scheme val="minor"/>
      </rPr>
      <t>2</t>
    </r>
    <r>
      <rPr>
        <sz val="11"/>
        <color theme="1"/>
        <rFont val="Calibri"/>
        <family val="2"/>
        <scheme val="minor"/>
      </rPr>
      <t xml:space="preserve"> - Entre 2014 et 2015, un montant de 20 000 $ relié à la francisation s'ajoute de manière permanente dans le service des communications.</t>
    </r>
  </si>
  <si>
    <r>
      <rPr>
        <i/>
        <sz val="11"/>
        <color theme="1"/>
        <rFont val="Calibri"/>
        <family val="2"/>
        <scheme val="minor"/>
      </rPr>
      <t>4</t>
    </r>
    <r>
      <rPr>
        <sz val="11"/>
        <color theme="1"/>
        <rFont val="Calibri"/>
        <family val="2"/>
        <scheme val="minor"/>
      </rPr>
      <t xml:space="preserve"> - L'évolution des frais de consultants est en relation avec la nature des dossiers réglementaires, incluant les services de EGD (tarification, études de faisabilité, etc.).</t>
    </r>
  </si>
  <si>
    <t>Mauvaises créances</t>
  </si>
  <si>
    <t>Concernant les années 2012 à 2016, Gazifère tente de gérer le plus étroitement possible ses mauvaises créances, notamment en mettant un effort accru par le biais du service de crédit et recouvrement. On peut voir à cet effet une hausse des frais d'agence de collection et dépenses connexes en pièce GI-41, document 1.1.</t>
  </si>
  <si>
    <t>Autres frais opérationnels et recouvrements de frais opérationnels</t>
  </si>
  <si>
    <t>Les services entre compagnies affiliées sont facturés à Gazifère directement s'ils visent à combler un besoin spécifique de Gazifère ou sont facturés selon une méthode d'allocation des coûts stable dans le temps s'ils ont une nature de type ''management fees''. Lorsqu'il s'agit de frais de nature ''mangement fees'', la variation a été causée, outre l'inflation, par l'étendue des services offerts par le groupe ainsi que par leur variation au niveau d'Enbridge inc principalement. Pour plus de détails concernant  cette mécanique associée aux charges entre compagnies affiliées, veuillez vous référer à la pièce GI-12, document 1.1.</t>
  </si>
  <si>
    <t>Les charges professionnelles relatives aux frais légaux ont connu une augmentation ponctuelle en 2014 suite au traitement du dossier d'une entente avec la Ville de Gatineau concernant les emprises municipales et du règlement des réclamations connexes ainsi qu'au traitement d'une situation de ressources humaines particulière, non récurrente.</t>
  </si>
  <si>
    <t>Le montant estimé et budgété de frais légaux pour les années 2015 et 2016 tentait d'évaluer un niveau de frais légaux certes moindre que l'année 2014, mais réflétant les dossiers en cours et tenant compte du fait que tous les dossiers ne sont pas prévisibles.  Malgré cela, il appert que la provision 2015 sera nettement insuffisante.</t>
  </si>
  <si>
    <r>
      <rPr>
        <i/>
        <sz val="11"/>
        <color theme="1"/>
        <rFont val="Calibri"/>
        <family val="2"/>
        <scheme val="minor"/>
      </rPr>
      <t>3</t>
    </r>
    <r>
      <rPr>
        <sz val="11"/>
        <color theme="1"/>
        <rFont val="Calibri"/>
        <family val="2"/>
        <scheme val="minor"/>
      </rPr>
      <t xml:space="preserve"> - Les frais professionnels ont été présentés à compter de 2012 dans le compte Autres frais externes. Il s'agit principalement des frais associés </t>
    </r>
  </si>
  <si>
    <t>Les dépenses de marketing des Communications ont été abordées en audience et auparavant en DDR, veuillez vous référer par exemple aux pièces GI-39, document 3, question 5.4, page 20 de 35 et GI-41, document 1, questions 9.7 et 9.8, page 37 de 61.</t>
  </si>
  <si>
    <t xml:space="preserve">Les revenus du Service à la clientèle comprennent les frais de remises en service, les frais pour paiement non honorés ainsi que les frais d'avis de rappel. Ils visent à récupérer certains frais du Service à la clientèle, particulièrement des frais de crédits et recouvrement, tel que cela est expliqué en pièce GI-41, document 1, questions 10.1, 10.3 et 10.4. Bien que les revenus aient augmenté d'année en année, tout comme les charges qu'ils visent à récupérer, ils ont augmenté dans une moindre proportion puisque les frais applicables aux clients (revenus pour Gazifère) sont restés les mêmes (selon les Conditions de service et Tarif). </t>
  </si>
  <si>
    <t>Opération &amp; Entretien</t>
  </si>
  <si>
    <t>Vente &amp; Communication</t>
  </si>
  <si>
    <t>Dans les dépenses de marketing qui apparaissent ici, outre les dépenses de marketing des Communications, on trouve également quelques autres frais dont les publications d'Avis publics relatifs aux dossiers réglementés de l'année en cours, des frais d'affichage de poste ainsi que les amortissements des programmes commerciaux à compter de 2016.</t>
  </si>
  <si>
    <t xml:space="preserve">À noter qu'à compter de 2012, les charges de formations techniques autrefois chargées sous la rubrique Autres frais externes ont été reclassé à l'intérieur de la </t>
  </si>
  <si>
    <t>rubrique Formation et développement des employés.</t>
  </si>
  <si>
    <t xml:space="preserve">Pour le service à la clientèle, il s'agit des coûts encourus pour l'entreprise qui effectue la relève des compteurs pour Gazifère. 2011 représente une année complète de lectures </t>
  </si>
  <si>
    <t>L'année 2010 a connu une mauvaise créance importante relative a un client dans le secteur papetier qui est tombé sous la Loi sur les arrangements avec les créanciers. Une portion de cette mauvaise créance a aussi impacté l'année 2011.</t>
  </si>
  <si>
    <t>Les frais de télécommunication sont à peu près stables entre 2010 et 2016, bien que les frais de cellulaires augmentent et que les frais de lignes fixes et équipements diminuent. A cet égard, une révision des équipements et lignes Bell a été effectuée en 2014 et a résulté en un crédit et une économie, ce qui explique la baisse de cette année particulièrement.</t>
  </si>
  <si>
    <t xml:space="preserve">L'élément le plus déterminant dans l'analyse des avantages sociaux autres que charges de retraite et bonification et les salaires est le ETC. Nous analysons donc en relatation avec cet inducteur de coût.
</t>
  </si>
  <si>
    <t>Certains éléments particuliers doivent être traités autrement afin de mieux expliquer la variation dans le ratio.</t>
  </si>
  <si>
    <t>◦ En 2015, une charge salariale exceptionnelle est liée au règlement d'une situation de ressources humaines (mentionné à la pièce GI-39, document 5.1, note 1 et dans la pièce GI-40, document 1, réponse 26.1, page 30 de 38).</t>
  </si>
  <si>
    <t>◦ En 2014, un événement non récurrent lié à un traitement des congés payés est intégré aux données. En effet, 21 employés de Gazifère se sont vus payer un montant total de 53 000$ relatif à des congés payés accumulés non pris.  En 2000, le Groupe a changé sa méthode de calcul des congés "gagnés".  C'est-à-dire que précédemment à cette date, la période de référence pour cumuler des congés payés était de juillet à juin.  A compter de 2000, la période de référence a été changée pour l'année civile (janvier à décembre). Il en a résulté un droit de 2.5 semaines de vacances à prendre pour certains employés.  Plusieurs se sont prévalus de prendre ces jours de congés cette année là, d'autres ont préféré attendre de quitter l'entreprise pour se les faire verser.  En 2014, cette pratique étant lourde à gérer et à suivre, le Groupe a décidé de payer les vacances dues aux employés concernés, résultant en cet élément non récurrent de 53 000$.</t>
  </si>
  <si>
    <t xml:space="preserve">En excluant ces éléments particulier de l'analyse, on retrouve le tableau suivant : </t>
  </si>
  <si>
    <t>Le fait que les mouvements d'ETC soient des cadres ou non, explique en grande partie les variations.  En effet, les cadres ont une masse salariale la plupart du temps plus élevée que le ratio. Lorsque l'évolution des ETC se porte principalement sur la catégorie cadres, le ratio augmente de façon plus marquée. À l'inverse, le ratio a tendance à diminuer s'il s'agit d'une évolution à la baisse du nombre de cadres.</t>
  </si>
  <si>
    <t>La fluctuation du montant est en relation avec le nombre d'individus désirant poursuivre des études. En 2010, un crédit exceptionnel a eu lieu.</t>
  </si>
  <si>
    <t>Quant à l'année 2012, il s'agit d'un phénomène particulier, où Gazifère a dû changer plusieurs valves après avoir trouvé une anomalie dans plusieurs installations.</t>
  </si>
  <si>
    <t xml:space="preserve">Une part importante de la bonification dépend en grande partie des résultats du tableau de bord interne de Gazifère. On remarque d'ailleurs que l'année </t>
  </si>
  <si>
    <t>Montant de la dépense (estimé de l'année en cours incluant les sur ou sous estimation de l'année précédente)</t>
  </si>
  <si>
    <t>◦ Notre plan d'assurance santé connait une hause (débutée en 2014, se poursuivant en 2015 et un peu en 2016).  Cela provient du fait d'une augmentation du nombre de salariés adhérents, combiné à une augmentation des réclamations, ce sur-coût est  assumé par Gazifère jusqu'à ce que les taux prélevés sur les paies soient ajustés en 2016.  On estime l'impact à 35 000$ pour 2015 et 12 000$ de plus pour 2016.</t>
  </si>
  <si>
    <t xml:space="preserve">On remarque que le ratio salaire est impacté en 2015 et 2016 par le phénomène de la "marche", notamment dans le secteur administration, en lien avec l'ajout de cadres ayant des salaires plus élevés. Les prochaines années devraient revoir une diminution du ratio, la "marche" ayant été franchie. </t>
  </si>
  <si>
    <t>Ajusté</t>
  </si>
  <si>
    <t>Réel</t>
  </si>
  <si>
    <t>Dans ce poste, on remarque une grande variabilité annuellement, en relation avec les besoins, qui ne sont pas stables d'année en année. L'écart comparativement à l'indice inflation + croissance est plus difficile à mettre en relation. L'écart en valeur reste relativement faible, à 31 800 $.</t>
  </si>
  <si>
    <t>Montant équivalent 2010  X 4,19 % annuellement</t>
  </si>
  <si>
    <t xml:space="preserve">Cette rubrique comprend du petit outillage, du matériel de soudure, les uniformes ainsi que des programmes reconnaissance liés à la sécurité au travail.
En 2013, Gazifère a procédé au changement complet des uniformes dû aux normes des vêtements anti-feu qui avaient évolué. En 2014, le renouvellement ne s'est pas fait, mais reprend en 2015 et 2016.  Ces uniformes sont plus coûteux que les précédents.  </t>
  </si>
  <si>
    <t>Comparativement au facteur inflation + croissance, les coûts sont inférieurs de près de 32 000 $.</t>
  </si>
  <si>
    <t>Ce dossier lié aux ressources humaines a démarré en 2013 et s'est clos en 2015. Le montant des frais professionnels légaux au 31 octobre 2015 sont de 130 000$, déjà au-dessus du montant prévu et ce dépassement est lié à la fin du traitement de ce dossier, ainsi que dans une moindre mesure, au traitement d'un nouveau dossier lié à la demande du Ministère des transports du Québec de déplacer notre conduite principale sous le pont Fournier. Ces informations n'étaient pas présentes au moment de faire la prévision 4+8.</t>
  </si>
  <si>
    <t xml:space="preserve">Sur la période, on remarque que les sommes engagées ont varié beaucoup. Le budget de 2016 à 123 000 $ est plus élevé que le montant comparatif 2010 ajusté du facteur d'inflation + croissance. </t>
  </si>
  <si>
    <t>L'analyse comparative inflation + croissance démontre que le secteur propose des charges inférieures aux comparables 2010, tout en prenant en considération que des frais de 111 000 $ reliés à la francisation sont inclus. Les frais reliés à l'informatique sont exclus de l'analyse de cette rubrique.</t>
  </si>
  <si>
    <t>En 2015 et 2016, un montant de 60 000 $ et de 34 000 $ explique en partie l'écart entre 2014 et 2015/16. Ces montants découlent de la surveillance accrue sur une portion du réseau de Gazifère (Jacques-Cartier-Fournier-Montclair). De plus, à compter de 2015, il est à noter que  l'ajout de l'impartition pour un montant de 78 800 $ est incorporé.</t>
  </si>
  <si>
    <t>D'un point de vue global, en retirant les mêmes coûts, l'écart est de 65 700 $.</t>
  </si>
  <si>
    <t>La comparaison avec le facteur inflation + croissance démontre un coût supérieur de 43 600 $.</t>
  </si>
  <si>
    <t>La majeure partie des coûts est relié au service à la clientèle, via l'envoi postal des comptes.</t>
  </si>
  <si>
    <t xml:space="preserve">L'année 2012, dans les autres services, représente une année exceptionnelle, via l'envoi postal d'une mise en garde à l'égard d'un concurrent qui portait atteinte </t>
  </si>
  <si>
    <t>est légèrement supérieur au montat 2010 ajusté pour l'inflation et la croissance sur la période.</t>
  </si>
  <si>
    <t>Malgré la hausse importante des frais de timbre sur la période, le total des coûts pour cette rubrique, en excluant l'élément additionnel informatique</t>
  </si>
  <si>
    <t>Les charges informatiques apparaissant en 2012 proviennent du reclassement associé aux frais professionnels - Consultants. Sur la période 2010-2016, la hausse des coûts est inférieure au taux d'inflation + facteur de productivité. (À noter que le montant de 236.9 est calculé en fonction d'un montant 2010 de 175.8 pour 2010 inflationné sur la période).</t>
  </si>
  <si>
    <t xml:space="preserve">L'augmentation des charges à compter de 2015 découle principalement de deux éléments, soit une partie du reclassement provenant du compte Autres frais externes, </t>
  </si>
  <si>
    <t>ainsi que des matériaux qui n'étaient pas chargés par EGD avant 2015.</t>
  </si>
  <si>
    <t xml:space="preserve">D'un point de vue global, l'écart entre la comparaison inflation + croissance et les charges globales démontrent un écart de 7 400 $. </t>
  </si>
  <si>
    <t>Le poste inclut l’amortissement de la flotte de véhicules pour les opérations, des dépenses d’équipement et de maintenance entourant la gestion de la flotte et du garage des opérations. En 2015, les coûts de gestion de la flotte (amortissement et entretien) ont cru de 15 003 $, en lien avec le vieillissement de la flotte de véhicules, entrainant des coûts d’entretien additionnels. En 2016, Gazifère compte remplacer 4 véhicules (2 de 2006 et 2 de 2007) et ajouter un véhicule, en lien avec l’ajout d’un poste aux opérations. L’ajustement (pour les 4 véhicules remplacés) et l’ajout d’amortissement (pour le véhicule additionnel) ainsi que l’ajustement à la prévision des coûts d’entretien de l’ensemble des véhicules ajoutent un montant de 5852 $ en 2016, sur une hausse totale de 6285 $.</t>
  </si>
  <si>
    <t>Sur la durée, le coût est supérieur au comparable 2010 + inflation + croissance qui s'établit à 681 200 $. Cependant, en considérant que la hausse aux 5 ans vient tout juste de se produire (partie en 2015, restant en 2016), le comparable devrait se rétablir dans les prochaines années.</t>
  </si>
  <si>
    <t>La comparaison 2010 + inflation + croissance est moindre de 32 800 $.</t>
  </si>
  <si>
    <t>Dans le secteur des ventes, c'est la participation à des foires commerciales, davantage de rencontres avec nos partenaires (Gaz Métro, EGD) afin de trouver</t>
  </si>
  <si>
    <t>des solutions technologiques pour le développement des ventes dans les niches de marché qui échappent à Gazifère actuellement.</t>
  </si>
  <si>
    <t>En ce qui concerne le service des Opérations et entretien, il s'agit principalement d'inscriptions à des conférence pour un montant de 10 000 $ à compter</t>
  </si>
  <si>
    <t>de 2016, ce qui était peu pratiqué par le passé.</t>
  </si>
  <si>
    <t>On note une diminution de la charge nette en 2012 suite à un nombre de dommages et de relocalisations refacturés plus important de l'ordre de 26 000 $ et 35 000 $ respectivement.</t>
  </si>
  <si>
    <t>De nombreuses explications ont été fournies sur le budget additionnel de commandites en 2016, notamment à la GI-28, document 3.1.</t>
  </si>
  <si>
    <t>Par ailleurs, les dépenses de ce secteur sont, sur la période 2010-2016, d'un niveau inférieur à l'inflation et à la croissance.</t>
  </si>
  <si>
    <t>Conséquemment, la bonification des employés a cru plus rapidement que l'inflation et la croissance sur la période.</t>
  </si>
  <si>
    <t>Enfin, pour comparer adéquatement l'évolution de la bonification avec 2010, on doit utiliser le montant réajusté de 2010, de 744 000 $ comme point de départ.</t>
  </si>
  <si>
    <t>Le programme de bonification est plus généreux envers les cadres supérieurs. Conséquemment, malgré les très bons résultats en 2014, le fait que certains postes</t>
  </si>
  <si>
    <t>cadres aient été vacants explique en partie l'écart comparatif avec 2015. Il faut également considérer qu'il y a eu l'ajout de postes en 2015 et en 2016 pour expliquer</t>
  </si>
  <si>
    <t>le reste de la croissance de la bonification pour ces années.</t>
  </si>
  <si>
    <t>Formation technique a été reclassée à la rubrique Formation et développement des employés.</t>
  </si>
  <si>
    <t xml:space="preserve">mensuelles alors qu'il s'agissait de seulement 5 mois de lectures mensuelles en 2010. Sur la période 2011 à 2016, soit après l'implantation de la lecture mensuelle, la croissance </t>
  </si>
  <si>
    <t>Durant la période, Gazifère a vu son nombre de clients augmenter, compensé en partie par la mise en place de la facture en ligne. Ainsi, entre 2015 et 2016,</t>
  </si>
  <si>
    <t>Enfin, en ce qui concerne les charges informatiques, il s'agit d'un service de maintenance des logiciels et des équipements relié à l'introduction du nouveau</t>
  </si>
  <si>
    <t>système téléphonique.</t>
  </si>
  <si>
    <t>Révisé: 2015-11-12</t>
  </si>
  <si>
    <t>2010-2015</t>
  </si>
  <si>
    <t>Cette rubrique, qui comprend papeterie, frais d'abonnements (journaux, revues spécialisées), frais d'impression et petits équipements informatiques est stable dans le temps. Le montant plus élevé de 2012 s'explique principalement par les efforts de communication portés vers les clients pour mieux les informer à l'égard de Service au Foyer du Québec, dont les activités portaient atteinte à la réputation de Gazifère.  L'impact ici est une hausse du coût de l'encart et des accroche-portes associés à cette communication. Voir également la pièce GI-41, document 1, réponse à la question 9.8, en page 37 de 61.</t>
  </si>
  <si>
    <t xml:space="preserve">      à Distributech (facturation) et d'autres services de consultants notamment pour pour CIS.</t>
  </si>
  <si>
    <t xml:space="preserve">     2010 était l'année de la remise à niveau du mécanisme incitatif ainsi qu'un dossier de taux de rendement, 2015 inclus des sommes additionnelles </t>
  </si>
  <si>
    <t xml:space="preserve">     2016 inclus des frais de consultants notamment pour la révision du mécanisme incitatif, pour le traitement de la phase 4, ainsi que pour la production du dossier </t>
  </si>
  <si>
    <t>En retraitant 2016 de l'impartition et Jacques-Cartier-Fournier-Montclair, on arrive à un montant de 1 221 294 $ afin de rendre les coûts de 2016 comparables à ceux de 2010. Comparativement, l'écart le budget découlant du facteur inflation + croissance est de 108 500 $ pour le service des opérations et maintenance.</t>
  </si>
  <si>
    <t>malgré la hausse du nombre de clients, il est prévu que le nombre de factures imprimées passe de 402 743 à 399 155. Cependant, l'élément le plus important à</t>
  </si>
  <si>
    <t xml:space="preserve"> tenir en compte est l'évolution du coût du timbre, qui est totalement hors de contrôle de Gazifère. Celui-ci est passé de 59 cents en 2011 à 72 cents en 2015 et</t>
  </si>
  <si>
    <t>une prévision de 77 cents en 2016. Cette croissance est largement au-dessus de l'inflation.</t>
  </si>
  <si>
    <t>à la réputation de Gazifère. Cette mise en garde a été envoyée à l'ensemble de la clientèle et a été comptabilisée au service des ventes et communication.</t>
  </si>
  <si>
    <t xml:space="preserve">Les charges d'opérations et entretien ont diminué de manière très importante entre 2010 et 2011 suite à plusieurs reclassements. Notamment, une portion associée à la </t>
  </si>
  <si>
    <t>Sur la période, les frais de fonctionnement de 196 900$ sont légèrement supérieurs au comparable 2010 + inflation + croissance de 188 200 $.</t>
  </si>
  <si>
    <t>Sous la rubrique "Location de locaux et bureaux" on y retrouve principalement la location du bâtiment ainsi que des frais d'entreposage d'archives à l'extérieur.</t>
  </si>
  <si>
    <t>Les variations de cette rubrique s'expliquent principalement par les variations de la location du bâtiment. Veuillez vous référer à la pièce GI-39 document 3, réponse 9.1, page 30 de 35. Prendre note que la colonne 2010, ligne du loyer doit se lire 320 335$ au lieu de 351 853$ (Correction : janvier à novembre 2010 à 13.85 p.c. et décembre 2010 à 15.35 p.c. et non 12 mois à 15.35).</t>
  </si>
  <si>
    <t>De manière globale, les frais de déplacement et de représentation ont été inférieurs au taux de 4,19% (inflation et croissance) sur la période.</t>
  </si>
  <si>
    <t>À compter de 2013, l'application de la clé de rapartition des assurances pour les directeurs et les officiers a été suivie avec plus de rigueur, sur la même base, soit le nombre de directeurs et d'officiers par entreprise. Après 2013, le coût de ces assurances a diminué, expliquant la réduction que l'on retrouve sur la période de 2013 à 2016, en plus de l'évolution générale communes aux entités Enbridge à l'effet que le nombre de directeurs et d'officiers a évolué.</t>
  </si>
  <si>
    <t>Les autres frais opérationnels comprennent principalement des services entre compagnies affiliées autres que les bonifications, les frais de vérification et les primes d'assurances. Ils comprennent également les revenus du Service à la clientèle (Crédit et recouvrement) et certains frais du Service des Opérations qui sont récupérés auprès des clients ou contracteurs et qui ont donc un impact quasi neutre ici.</t>
  </si>
  <si>
    <t>D'un point de vue comparatif, ces frais ont surpassé la comparaison croissance + inflation. Cela découle notamment de l'application des méthodes d'allocation de coûts d'Enbridge en relation avec l'évolution des services offerts.</t>
  </si>
  <si>
    <t>des coûts a été inférieure au taux d'inflation + croissance. En effet, en prenant un montant de 278 900$, ajusté du facteur de 4,19 % sur 5 ans, on arrive à un montant de 342 500$, que l'on compare à 319 300$.</t>
  </si>
  <si>
    <t>Lorsque l'on effectue l'analyse comparative inflation + croissance, on se rend compte qu'au total, il y un coût additionnel de 23 800 $ sur la période. En excluant le crédit exceptionnel de 2010 pour le remboursement des études des employés de Gazifère, si on y applique un niveau normal (ex. 6 000 $, dont le résultat se retrouve dans la colonne ajustée), les charges 2010 deviennent alors plus comparables avec l'évolution inflation + croissance.</t>
  </si>
  <si>
    <t>(a)</t>
  </si>
  <si>
    <r>
      <t>(a) En pièce GI-40, document 1, page 12 de 38, réponse 13.1, le nombre d'ETC total est de 59.7.  Il comporte une coquille de 0.5ETC au niveau du service Informatique. Le nombre d'ETC de ce service en 2016 devrait se lire 7.53 et non 7.0</t>
    </r>
    <r>
      <rPr>
        <i/>
        <sz val="11"/>
        <rFont val="Calibri"/>
        <family val="2"/>
        <scheme val="minor"/>
      </rPr>
      <t xml:space="preserve">3 </t>
    </r>
    <r>
      <rPr>
        <i/>
        <sz val="11"/>
        <rFont val="Calibri"/>
        <family val="2"/>
      </rPr>
      <t>(voir pièce GI-40, document 1, révisée en date du 11 novembre, 2015)</t>
    </r>
    <r>
      <rPr>
        <i/>
        <sz val="11"/>
        <rFont val="Calibri"/>
        <family val="2"/>
        <scheme val="minor"/>
      </rPr>
      <t>. La pièce GI-39, document 3, en page 6 de 35, présente un tableau des ETC 2016 correcte à 7.53 (4.45 + 3.08 = 7.53) et ne doit donc pas être révisée. Le total des ETC est donc de 60.2.</t>
    </r>
  </si>
  <si>
    <t>( B ) Le (4+8) 2015 a été ajusté de -20 000$ au niveau des Frais professionnels - frais légaux suite à la constatation qu'une dépense ne surviendra pas (frais légaux au niveau du service des Opérations et entretien), ni même qu'il faille une provision de même nature concernant 2016 (voir note ( C ) à cet effet.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</si>
</sst>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_);[Red]\(&quot;$&quot;#,##0.00\)"/>
    <numFmt numFmtId="44" formatCode="_(&quot;$&quot;* #,##0.00_);_(&quot;$&quot;* \(#,##0.00\);_(&quot;$&quot;* &quot;-&quot;??_);_(@_)"/>
    <numFmt numFmtId="43" formatCode="_(* #,##0.00_);_(* \(#,##0.00\);_(* &quot;-&quot;??_);_(@_)"/>
    <numFmt numFmtId="164" formatCode="#,##0.0"/>
    <numFmt numFmtId="165" formatCode="#,##0.0_);[Red]\(#,##0.0\)"/>
    <numFmt numFmtId="166" formatCode="_-* #,##0.00_-;\-* #,##0.00_-;_-* &quot;-&quot;??_-;_-@_-"/>
    <numFmt numFmtId="167" formatCode="_ * #,##0.00_)\ _$_ ;_ * \(#,##0.00\)\ _$_ ;_ * &quot;-&quot;??_)\ _$_ ;_ @_ "/>
    <numFmt numFmtId="168" formatCode=";;;"/>
    <numFmt numFmtId="169" formatCode="0.0%"/>
    <numFmt numFmtId="170" formatCode="0.0"/>
    <numFmt numFmtId="171" formatCode="_(&quot;$&quot;* #,##0_);_(&quot;$&quot;* \(#,##0\);_(&quot;$&quot;* &quot;-&quot;??_);_(@_)"/>
    <numFmt numFmtId="172" formatCode="_(* #,##0_);_(* \(#,##0\);_(* &quot;-&quot;??_);_(@_)"/>
  </numFmts>
  <fonts count="47">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Helvetica-Narrow"/>
      <family val="2"/>
    </font>
    <font>
      <sz val="10"/>
      <name val="Arial"/>
      <family val="2"/>
    </font>
    <font>
      <sz val="10"/>
      <name val="Geneva"/>
      <family val="2"/>
    </font>
    <font>
      <sz val="11"/>
      <color indexed="62"/>
      <name val="Calibri"/>
      <family val="2"/>
    </font>
    <font>
      <sz val="10"/>
      <name val="Arial MT"/>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8"/>
      <color indexed="56"/>
      <name val="Cambria"/>
      <family val="2"/>
    </font>
    <font>
      <b/>
      <sz val="11"/>
      <color indexed="8"/>
      <name val="Calibri"/>
      <family val="2"/>
    </font>
    <font>
      <sz val="8"/>
      <color theme="1"/>
      <name val="Calibri"/>
      <family val="2"/>
      <scheme val="minor"/>
    </font>
    <font>
      <b/>
      <sz val="10.5"/>
      <color theme="1"/>
      <name val="Calibri"/>
      <family val="2"/>
      <scheme val="minor"/>
    </font>
    <font>
      <i/>
      <sz val="11"/>
      <color theme="1"/>
      <name val="Calibri"/>
      <family val="2"/>
      <scheme val="minor"/>
    </font>
    <font>
      <u/>
      <sz val="11"/>
      <name val="Calibri"/>
      <family val="2"/>
      <scheme val="minor"/>
    </font>
    <font>
      <b/>
      <sz val="14"/>
      <color theme="1"/>
      <name val="Calibri"/>
      <family val="2"/>
      <scheme val="minor"/>
    </font>
    <font>
      <sz val="10"/>
      <name val="MS Sans Serif"/>
      <family val="2"/>
    </font>
    <font>
      <sz val="10"/>
      <color theme="1"/>
      <name val="Calibri"/>
      <family val="2"/>
      <scheme val="minor"/>
    </font>
    <font>
      <sz val="11"/>
      <color rgb="FFFF0000"/>
      <name val="Calibri"/>
      <family val="2"/>
      <scheme val="minor"/>
    </font>
    <font>
      <b/>
      <sz val="12"/>
      <color theme="1"/>
      <name val="Calibri"/>
      <family val="2"/>
      <scheme val="minor"/>
    </font>
    <font>
      <i/>
      <sz val="10"/>
      <color theme="1"/>
      <name val="Calibri"/>
      <family val="2"/>
      <scheme val="minor"/>
    </font>
    <font>
      <sz val="10"/>
      <name val="Calibri"/>
      <family val="2"/>
      <scheme val="minor"/>
    </font>
    <font>
      <sz val="10.5"/>
      <name val="Calibri"/>
      <family val="2"/>
      <scheme val="minor"/>
    </font>
    <font>
      <sz val="10.5"/>
      <color theme="1"/>
      <name val="Calibri"/>
      <family val="2"/>
      <scheme val="minor"/>
    </font>
    <font>
      <i/>
      <sz val="11"/>
      <name val="Calibri"/>
      <family val="2"/>
      <scheme val="minor"/>
    </font>
    <font>
      <i/>
      <sz val="11"/>
      <name val="Calibri"/>
      <family val="2"/>
    </font>
    <font>
      <sz val="12"/>
      <color theme="1"/>
      <name val="Calibri"/>
      <family val="2"/>
      <scheme val="minor"/>
    </font>
    <font>
      <sz val="10"/>
      <name val="Helvetica-Narrow"/>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2"/>
        <bgColor indexed="64"/>
      </patternFill>
    </fill>
  </fills>
  <borders count="15">
    <border>
      <left/>
      <right/>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s>
  <cellStyleXfs count="725">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10" fillId="0" borderId="4" applyNumberFormat="0" applyFill="0" applyAlignment="0" applyProtection="0"/>
    <xf numFmtId="0" fontId="11" fillId="21" borderId="5" applyNumberFormat="0" applyAlignment="0" applyProtection="0"/>
    <xf numFmtId="0" fontId="11" fillId="21" borderId="5" applyNumberFormat="0" applyAlignment="0" applyProtection="0"/>
    <xf numFmtId="0" fontId="11" fillId="21" borderId="5" applyNumberFormat="0" applyAlignment="0" applyProtection="0"/>
    <xf numFmtId="0" fontId="11" fillId="21" borderId="5" applyNumberFormat="0" applyAlignment="0" applyProtection="0"/>
    <xf numFmtId="165" fontId="12" fillId="0" borderId="0" applyFont="0" applyFill="0" applyBorder="0" applyAlignment="0" applyProtection="0"/>
    <xf numFmtId="166" fontId="1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3" fillId="0" borderId="0" applyFont="0" applyFill="0" applyBorder="0" applyAlignment="0" applyProtection="0"/>
    <xf numFmtId="0" fontId="5" fillId="22" borderId="6" applyNumberFormat="0" applyFont="0" applyAlignment="0" applyProtection="0"/>
    <xf numFmtId="8" fontId="14" fillId="0" borderId="0" applyFont="0" applyFill="0" applyBorder="0" applyAlignment="0" applyProtection="0"/>
    <xf numFmtId="0" fontId="15" fillId="7" borderId="3" applyNumberFormat="0" applyAlignment="0" applyProtection="0"/>
    <xf numFmtId="0" fontId="13" fillId="0" borderId="0"/>
    <xf numFmtId="0" fontId="16"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8" fontId="12" fillId="0" borderId="0" applyFont="0" applyFill="0" applyBorder="0" applyAlignment="0" applyProtection="0"/>
    <xf numFmtId="0" fontId="15" fillId="7" borderId="3" applyNumberFormat="0" applyAlignment="0" applyProtection="0"/>
    <xf numFmtId="0" fontId="15" fillId="7" borderId="3" applyNumberFormat="0" applyAlignment="0" applyProtection="0"/>
    <xf numFmtId="0" fontId="15" fillId="7" borderId="3" applyNumberFormat="0" applyAlignment="0" applyProtection="0"/>
    <xf numFmtId="0" fontId="15" fillId="7" borderId="3" applyNumberFormat="0" applyAlignment="0" applyProtection="0"/>
    <xf numFmtId="0" fontId="8" fillId="3" borderId="0" applyNumberFormat="0" applyBorder="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167" fontId="1" fillId="0" borderId="0" applyFont="0" applyFill="0" applyBorder="0" applyAlignment="0" applyProtection="0"/>
    <xf numFmtId="167" fontId="1" fillId="0" borderId="0" applyFont="0" applyFill="0" applyBorder="0" applyAlignment="0" applyProtection="0"/>
    <xf numFmtId="43" fontId="1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13" fillId="0" borderId="0" applyFont="0" applyFill="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5" fillId="22" borderId="6" applyNumberFormat="0" applyFont="0" applyAlignment="0" applyProtection="0"/>
    <xf numFmtId="0" fontId="5" fillId="22" borderId="6" applyNumberFormat="0" applyFont="0" applyAlignment="0" applyProtection="0"/>
    <xf numFmtId="0" fontId="5" fillId="22" borderId="6" applyNumberFormat="0" applyFont="0" applyAlignment="0" applyProtection="0"/>
    <xf numFmtId="0" fontId="5" fillId="22" borderId="6" applyNumberFormat="0" applyFont="0" applyAlignment="0" applyProtection="0"/>
    <xf numFmtId="0" fontId="23" fillId="20" borderId="10" applyNumberFormat="0" applyAlignment="0" applyProtection="0"/>
    <xf numFmtId="0" fontId="23" fillId="20" borderId="10" applyNumberFormat="0" applyAlignment="0" applyProtection="0"/>
    <xf numFmtId="0" fontId="23" fillId="20" borderId="10" applyNumberFormat="0" applyAlignment="0" applyProtection="0"/>
    <xf numFmtId="0" fontId="23" fillId="20" borderId="10" applyNumberFormat="0" applyAlignment="0" applyProtection="0"/>
    <xf numFmtId="40" fontId="24" fillId="24" borderId="0">
      <alignment horizontal="right"/>
    </xf>
    <xf numFmtId="0" fontId="25" fillId="24" borderId="0">
      <alignment horizontal="right"/>
    </xf>
    <xf numFmtId="0" fontId="26" fillId="24" borderId="11"/>
    <xf numFmtId="0" fontId="26" fillId="0" borderId="0" applyBorder="0">
      <alignment horizontal="centerContinuous"/>
    </xf>
    <xf numFmtId="0" fontId="27" fillId="0" borderId="0" applyBorder="0">
      <alignment horizontal="centerContinuous"/>
    </xf>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8" fillId="4" borderId="0" applyNumberFormat="0" applyBorder="0" applyAlignment="0" applyProtection="0"/>
    <xf numFmtId="0" fontId="23" fillId="20" borderId="10" applyNumberFormat="0" applyAlignment="0" applyProtection="0"/>
    <xf numFmtId="0" fontId="1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9" fillId="0" borderId="12" applyNumberFormat="0" applyFill="0" applyAlignment="0" applyProtection="0"/>
    <xf numFmtId="0" fontId="29" fillId="0" borderId="12" applyNumberFormat="0" applyFill="0" applyAlignment="0" applyProtection="0"/>
    <xf numFmtId="0" fontId="29" fillId="0" borderId="12" applyNumberFormat="0" applyFill="0" applyAlignment="0" applyProtection="0"/>
    <xf numFmtId="0" fontId="29" fillId="0" borderId="12" applyNumberFormat="0" applyFill="0" applyAlignment="0" applyProtection="0"/>
    <xf numFmtId="0" fontId="11" fillId="21" borderId="5"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35" fillId="0" borderId="0"/>
    <xf numFmtId="0" fontId="13" fillId="0" borderId="0"/>
    <xf numFmtId="43" fontId="1" fillId="0" borderId="0" applyFont="0" applyFill="0" applyBorder="0" applyAlignment="0" applyProtection="0"/>
    <xf numFmtId="168" fontId="46" fillId="0" borderId="0" applyFont="0" applyFill="0" applyBorder="0" applyAlignment="0" applyProtection="0"/>
    <xf numFmtId="165" fontId="46" fillId="0" borderId="0" applyFont="0" applyFill="0" applyBorder="0" applyAlignment="0" applyProtection="0"/>
    <xf numFmtId="43" fontId="35" fillId="0" borderId="0" applyFont="0" applyFill="0" applyBorder="0" applyAlignment="0" applyProtection="0"/>
  </cellStyleXfs>
  <cellXfs count="199">
    <xf numFmtId="0" fontId="0" fillId="0" borderId="0" xfId="0"/>
    <xf numFmtId="0" fontId="0" fillId="0" borderId="0" xfId="0" applyFill="1"/>
    <xf numFmtId="0" fontId="0" fillId="0" borderId="0" xfId="0" quotePrefix="1"/>
    <xf numFmtId="0" fontId="4" fillId="0" borderId="0" xfId="0" applyFont="1" applyBorder="1"/>
    <xf numFmtId="0" fontId="4" fillId="0" borderId="0" xfId="0" applyFont="1"/>
    <xf numFmtId="0" fontId="3" fillId="0" borderId="0" xfId="0" applyFont="1" applyFill="1" applyBorder="1" applyAlignment="1">
      <alignment horizontal="right"/>
    </xf>
    <xf numFmtId="0" fontId="3" fillId="0" borderId="0" xfId="0" applyFont="1" applyBorder="1" applyAlignment="1">
      <alignment horizontal="right"/>
    </xf>
    <xf numFmtId="49" fontId="4" fillId="0" borderId="0" xfId="0" applyNumberFormat="1" applyFont="1" applyFill="1" applyBorder="1" applyAlignment="1" applyProtection="1">
      <alignment horizontal="left" vertical="top"/>
      <protection locked="0"/>
    </xf>
    <xf numFmtId="3" fontId="4" fillId="0" borderId="0" xfId="0" applyNumberFormat="1" applyFont="1" applyFill="1" applyAlignment="1">
      <alignment horizontal="right"/>
    </xf>
    <xf numFmtId="0" fontId="0" fillId="0" borderId="0" xfId="0" applyBorder="1"/>
    <xf numFmtId="0" fontId="3" fillId="0" borderId="0" xfId="0" applyFont="1"/>
    <xf numFmtId="164" fontId="4" fillId="0" borderId="0" xfId="0" applyNumberFormat="1" applyFont="1"/>
    <xf numFmtId="0" fontId="2" fillId="0" borderId="0" xfId="0" applyFont="1" applyBorder="1"/>
    <xf numFmtId="0" fontId="2" fillId="0" borderId="0" xfId="0" applyFont="1"/>
    <xf numFmtId="0" fontId="4" fillId="0" borderId="0" xfId="0" applyFont="1" applyFill="1" applyBorder="1"/>
    <xf numFmtId="49" fontId="4" fillId="0" borderId="1" xfId="0" applyNumberFormat="1" applyFont="1" applyFill="1" applyBorder="1" applyAlignment="1" applyProtection="1">
      <alignment horizontal="left" vertical="top"/>
      <protection locked="0"/>
    </xf>
    <xf numFmtId="0" fontId="4" fillId="0" borderId="1" xfId="0" applyFont="1" applyFill="1" applyBorder="1"/>
    <xf numFmtId="164" fontId="4" fillId="0" borderId="1" xfId="0" applyNumberFormat="1" applyFont="1" applyFill="1" applyBorder="1" applyAlignment="1">
      <alignment horizontal="right"/>
    </xf>
    <xf numFmtId="164" fontId="4" fillId="0" borderId="0" xfId="0" applyNumberFormat="1" applyFont="1" applyFill="1" applyBorder="1" applyAlignment="1">
      <alignment horizontal="right"/>
    </xf>
    <xf numFmtId="49" fontId="3" fillId="0" borderId="0" xfId="0" applyNumberFormat="1" applyFont="1" applyFill="1" applyBorder="1" applyAlignment="1" applyProtection="1">
      <alignment horizontal="left" vertical="top"/>
      <protection locked="0"/>
    </xf>
    <xf numFmtId="0" fontId="3" fillId="0" borderId="0" xfId="0" applyFont="1" applyFill="1" applyBorder="1"/>
    <xf numFmtId="0" fontId="3" fillId="0" borderId="1" xfId="0" applyFont="1" applyFill="1" applyBorder="1"/>
    <xf numFmtId="3" fontId="4" fillId="0" borderId="0" xfId="0" applyNumberFormat="1" applyFont="1" applyFill="1" applyBorder="1" applyAlignment="1">
      <alignment horizontal="right"/>
    </xf>
    <xf numFmtId="49" fontId="3" fillId="0" borderId="2" xfId="0" applyNumberFormat="1" applyFont="1" applyFill="1" applyBorder="1" applyAlignment="1" applyProtection="1">
      <alignment horizontal="left" vertical="top"/>
      <protection locked="0"/>
    </xf>
    <xf numFmtId="0" fontId="3" fillId="0" borderId="2" xfId="0" applyFont="1" applyFill="1" applyBorder="1"/>
    <xf numFmtId="164" fontId="3" fillId="0" borderId="2" xfId="0" applyNumberFormat="1" applyFont="1" applyFill="1" applyBorder="1" applyAlignment="1">
      <alignment horizontal="right"/>
    </xf>
    <xf numFmtId="0" fontId="2" fillId="0" borderId="0" xfId="0" applyFont="1" applyFill="1" applyBorder="1"/>
    <xf numFmtId="3" fontId="0" fillId="0" borderId="0" xfId="0" applyNumberFormat="1" applyFont="1" applyFill="1" applyBorder="1" applyAlignment="1">
      <alignment horizontal="right"/>
    </xf>
    <xf numFmtId="0" fontId="0" fillId="0" borderId="0" xfId="0" applyFill="1" applyBorder="1"/>
    <xf numFmtId="3" fontId="0" fillId="0" borderId="0" xfId="0" applyNumberFormat="1" applyFill="1" applyBorder="1" applyAlignment="1">
      <alignment horizontal="right"/>
    </xf>
    <xf numFmtId="3" fontId="2" fillId="0" borderId="0" xfId="0" applyNumberFormat="1" applyFont="1" applyFill="1" applyBorder="1" applyAlignment="1">
      <alignment horizontal="right"/>
    </xf>
    <xf numFmtId="3" fontId="2" fillId="0" borderId="0" xfId="0" applyNumberFormat="1" applyFont="1" applyFill="1" applyBorder="1"/>
    <xf numFmtId="0" fontId="2" fillId="0" borderId="1" xfId="0" applyFont="1" applyBorder="1"/>
    <xf numFmtId="0" fontId="3" fillId="0" borderId="0" xfId="0" applyFont="1" applyBorder="1" applyAlignment="1">
      <alignment horizontal="center"/>
    </xf>
    <xf numFmtId="0" fontId="3" fillId="0" borderId="0" xfId="0" applyFont="1" applyFill="1" applyBorder="1" applyAlignment="1">
      <alignment horizontal="center"/>
    </xf>
    <xf numFmtId="49" fontId="4" fillId="0" borderId="0" xfId="0" quotePrefix="1" applyNumberFormat="1" applyFont="1" applyFill="1" applyBorder="1" applyAlignment="1" applyProtection="1">
      <alignment horizontal="left" vertical="top" wrapText="1"/>
      <protection locked="0"/>
    </xf>
    <xf numFmtId="0" fontId="3" fillId="0" borderId="0" xfId="0" applyFont="1" applyFill="1" applyBorder="1" applyAlignment="1">
      <alignment horizontal="left"/>
    </xf>
    <xf numFmtId="164" fontId="3" fillId="0" borderId="0" xfId="0" applyNumberFormat="1" applyFont="1" applyFill="1" applyBorder="1" applyAlignment="1">
      <alignment horizontal="right"/>
    </xf>
    <xf numFmtId="164" fontId="0" fillId="0" borderId="0" xfId="0" applyNumberFormat="1"/>
    <xf numFmtId="169" fontId="4" fillId="0" borderId="0" xfId="717" applyNumberFormat="1" applyFont="1"/>
    <xf numFmtId="169" fontId="4" fillId="0" borderId="1" xfId="717" applyNumberFormat="1" applyFont="1" applyBorder="1"/>
    <xf numFmtId="169" fontId="4" fillId="0" borderId="0" xfId="717" applyNumberFormat="1" applyFont="1" applyAlignment="1">
      <alignment horizontal="right"/>
    </xf>
    <xf numFmtId="169" fontId="4" fillId="0" borderId="2" xfId="717" applyNumberFormat="1" applyFont="1" applyBorder="1"/>
    <xf numFmtId="164" fontId="4" fillId="0" borderId="0" xfId="0" applyNumberFormat="1" applyFont="1" applyBorder="1"/>
    <xf numFmtId="0" fontId="3" fillId="27" borderId="0" xfId="0" applyFont="1" applyFill="1" applyBorder="1" applyAlignment="1">
      <alignment horizontal="center"/>
    </xf>
    <xf numFmtId="0" fontId="3" fillId="0" borderId="0" xfId="0" applyFont="1" applyFill="1" applyBorder="1" applyAlignment="1"/>
    <xf numFmtId="0" fontId="3" fillId="26" borderId="0" xfId="0" applyFont="1" applyFill="1" applyBorder="1" applyAlignment="1"/>
    <xf numFmtId="0" fontId="3" fillId="28" borderId="0" xfId="0" applyFont="1" applyFill="1" applyBorder="1" applyAlignment="1">
      <alignment horizontal="center"/>
    </xf>
    <xf numFmtId="0" fontId="3" fillId="29" borderId="0" xfId="0" applyFont="1" applyFill="1" applyBorder="1" applyAlignment="1"/>
    <xf numFmtId="170" fontId="4" fillId="0" borderId="0" xfId="0" applyNumberFormat="1" applyFont="1" applyFill="1" applyBorder="1"/>
    <xf numFmtId="49" fontId="4" fillId="25" borderId="0" xfId="0" applyNumberFormat="1" applyFont="1" applyFill="1" applyBorder="1" applyAlignment="1" applyProtection="1">
      <alignment horizontal="left" vertical="top"/>
      <protection locked="0"/>
    </xf>
    <xf numFmtId="0" fontId="4" fillId="25" borderId="0" xfId="0" applyFont="1" applyFill="1"/>
    <xf numFmtId="49" fontId="4" fillId="30" borderId="0" xfId="0" applyNumberFormat="1" applyFont="1" applyFill="1" applyBorder="1" applyAlignment="1" applyProtection="1">
      <alignment horizontal="left" vertical="top"/>
      <protection locked="0"/>
    </xf>
    <xf numFmtId="49" fontId="3" fillId="30" borderId="0" xfId="0" applyNumberFormat="1" applyFont="1" applyFill="1" applyBorder="1" applyAlignment="1" applyProtection="1">
      <alignment horizontal="left" vertical="top"/>
      <protection locked="0"/>
    </xf>
    <xf numFmtId="49" fontId="4" fillId="31" borderId="0" xfId="0" applyNumberFormat="1" applyFont="1" applyFill="1" applyBorder="1" applyAlignment="1" applyProtection="1">
      <alignment horizontal="left" vertical="top"/>
      <protection locked="0"/>
    </xf>
    <xf numFmtId="169" fontId="4" fillId="0" borderId="0" xfId="717" applyNumberFormat="1" applyFont="1" applyFill="1" applyAlignment="1">
      <alignment horizontal="right"/>
    </xf>
    <xf numFmtId="169" fontId="4" fillId="0" borderId="0" xfId="717" applyNumberFormat="1" applyFont="1" applyFill="1"/>
    <xf numFmtId="169" fontId="4" fillId="0" borderId="1" xfId="717" applyNumberFormat="1" applyFont="1" applyFill="1" applyBorder="1"/>
    <xf numFmtId="0" fontId="2" fillId="0" borderId="0" xfId="0" quotePrefix="1" applyFont="1" applyAlignment="1">
      <alignment horizontal="right"/>
    </xf>
    <xf numFmtId="0" fontId="3" fillId="0" borderId="0" xfId="0" applyFont="1" applyBorder="1" applyAlignment="1">
      <alignment horizontal="center"/>
    </xf>
    <xf numFmtId="0" fontId="3" fillId="0" borderId="0" xfId="0" applyFont="1" applyFill="1" applyBorder="1" applyAlignment="1">
      <alignment horizontal="center"/>
    </xf>
    <xf numFmtId="49" fontId="4" fillId="0" borderId="0" xfId="0" quotePrefix="1" applyNumberFormat="1" applyFont="1" applyFill="1" applyBorder="1" applyAlignment="1" applyProtection="1">
      <alignment horizontal="left" vertical="top" wrapText="1"/>
      <protection locked="0"/>
    </xf>
    <xf numFmtId="171" fontId="0" fillId="0" borderId="0" xfId="718" applyNumberFormat="1" applyFont="1"/>
    <xf numFmtId="0" fontId="0" fillId="0" borderId="0" xfId="0" applyAlignment="1">
      <alignment horizontal="left" vertical="center" wrapText="1"/>
    </xf>
    <xf numFmtId="3" fontId="4" fillId="0" borderId="0" xfId="0" quotePrefix="1" applyNumberFormat="1" applyFont="1" applyFill="1" applyAlignment="1">
      <alignment horizontal="right"/>
    </xf>
    <xf numFmtId="164" fontId="33" fillId="0" borderId="0" xfId="0" applyNumberFormat="1" applyFont="1"/>
    <xf numFmtId="0" fontId="0" fillId="0" borderId="0" xfId="0" applyAlignment="1">
      <alignment wrapText="1"/>
    </xf>
    <xf numFmtId="0" fontId="32" fillId="0" borderId="0" xfId="0" applyFont="1"/>
    <xf numFmtId="9" fontId="32" fillId="0" borderId="0" xfId="0" applyNumberFormat="1" applyFont="1"/>
    <xf numFmtId="9" fontId="0" fillId="0" borderId="0" xfId="0" applyNumberFormat="1"/>
    <xf numFmtId="0" fontId="34" fillId="0" borderId="0" xfId="0" applyFont="1"/>
    <xf numFmtId="0" fontId="2" fillId="0" borderId="0" xfId="0" applyFont="1" applyAlignment="1">
      <alignment horizontal="center"/>
    </xf>
    <xf numFmtId="49" fontId="4" fillId="0" borderId="0" xfId="0" applyNumberFormat="1" applyFont="1" applyFill="1" applyBorder="1" applyAlignment="1">
      <alignment horizontal="left" vertical="top"/>
    </xf>
    <xf numFmtId="0" fontId="2" fillId="0" borderId="0" xfId="0" applyFont="1" applyBorder="1" applyAlignment="1"/>
    <xf numFmtId="0" fontId="0" fillId="0" borderId="0" xfId="0" applyAlignment="1">
      <alignment horizontal="left" vertical="center" wrapText="1"/>
    </xf>
    <xf numFmtId="0" fontId="2" fillId="32" borderId="0" xfId="0" quotePrefix="1" applyFont="1" applyFill="1" applyAlignment="1">
      <alignment horizontal="right"/>
    </xf>
    <xf numFmtId="0" fontId="35" fillId="0" borderId="0" xfId="719"/>
    <xf numFmtId="0" fontId="2" fillId="0" borderId="13" xfId="0" applyFont="1" applyBorder="1" applyAlignment="1">
      <alignment horizontal="center"/>
    </xf>
    <xf numFmtId="0" fontId="0" fillId="0" borderId="0" xfId="0"/>
    <xf numFmtId="3" fontId="0" fillId="0" borderId="0" xfId="0" applyNumberFormat="1" applyFill="1" applyAlignment="1">
      <alignment horizontal="right"/>
    </xf>
    <xf numFmtId="0" fontId="3" fillId="0" borderId="0" xfId="0" applyFont="1" applyBorder="1" applyAlignment="1">
      <alignment horizontal="center"/>
    </xf>
    <xf numFmtId="49" fontId="4" fillId="0" borderId="0" xfId="0" quotePrefix="1" applyNumberFormat="1" applyFont="1" applyFill="1" applyBorder="1" applyAlignment="1" applyProtection="1">
      <alignment horizontal="left" vertical="top" wrapText="1"/>
      <protection locked="0"/>
    </xf>
    <xf numFmtId="0" fontId="3" fillId="0" borderId="0" xfId="0" applyFont="1" applyFill="1" applyBorder="1" applyAlignment="1">
      <alignment horizontal="center"/>
    </xf>
    <xf numFmtId="0" fontId="35" fillId="0" borderId="0" xfId="720" applyFont="1" applyFill="1" applyAlignment="1">
      <alignment horizontal="left" wrapText="1"/>
    </xf>
    <xf numFmtId="0" fontId="0" fillId="0" borderId="0" xfId="0" applyFont="1" applyAlignment="1">
      <alignment horizontal="center"/>
    </xf>
    <xf numFmtId="0" fontId="4" fillId="0" borderId="0" xfId="0" applyFont="1" applyFill="1"/>
    <xf numFmtId="0" fontId="3" fillId="0" borderId="0" xfId="0" applyFont="1" applyFill="1"/>
    <xf numFmtId="0" fontId="0" fillId="0" borderId="0" xfId="0" applyAlignment="1">
      <alignment horizontal="left" vertical="center" wrapText="1"/>
    </xf>
    <xf numFmtId="170" fontId="0" fillId="0" borderId="0" xfId="0" applyNumberFormat="1"/>
    <xf numFmtId="0" fontId="0" fillId="0" borderId="1" xfId="0" applyBorder="1"/>
    <xf numFmtId="170" fontId="0" fillId="0" borderId="1" xfId="0" applyNumberFormat="1" applyBorder="1"/>
    <xf numFmtId="170" fontId="0" fillId="33" borderId="1" xfId="0" applyNumberFormat="1" applyFill="1" applyBorder="1"/>
    <xf numFmtId="169" fontId="36" fillId="0" borderId="1" xfId="717" applyNumberFormat="1" applyFont="1" applyBorder="1"/>
    <xf numFmtId="0" fontId="0" fillId="0" borderId="0" xfId="0" applyAlignment="1">
      <alignment horizontal="left" wrapText="1"/>
    </xf>
    <xf numFmtId="2" fontId="0" fillId="0" borderId="0" xfId="0" applyNumberFormat="1" applyAlignment="1">
      <alignment horizontal="right" wrapText="1"/>
    </xf>
    <xf numFmtId="0" fontId="36" fillId="0" borderId="0" xfId="0" applyFont="1" applyAlignment="1">
      <alignment horizontal="right"/>
    </xf>
    <xf numFmtId="2" fontId="36" fillId="0" borderId="0" xfId="0" applyNumberFormat="1" applyFont="1"/>
    <xf numFmtId="169" fontId="36" fillId="0" borderId="0" xfId="717" applyNumberFormat="1" applyFont="1"/>
    <xf numFmtId="2" fontId="36" fillId="0" borderId="0" xfId="0" applyNumberFormat="1" applyFont="1" applyFill="1" applyAlignment="1">
      <alignment horizontal="right"/>
    </xf>
    <xf numFmtId="0" fontId="0" fillId="0" borderId="0" xfId="0" applyAlignment="1">
      <alignment horizontal="right"/>
    </xf>
    <xf numFmtId="169" fontId="0" fillId="0" borderId="0" xfId="717" applyNumberFormat="1" applyFont="1"/>
    <xf numFmtId="164" fontId="0" fillId="0" borderId="1" xfId="0" applyNumberFormat="1" applyBorder="1"/>
    <xf numFmtId="0" fontId="36" fillId="0" borderId="0" xfId="0" applyFont="1"/>
    <xf numFmtId="164" fontId="36" fillId="0" borderId="0" xfId="0" applyNumberFormat="1" applyFont="1"/>
    <xf numFmtId="164" fontId="4" fillId="0" borderId="1" xfId="0" applyNumberFormat="1" applyFont="1" applyBorder="1"/>
    <xf numFmtId="0" fontId="3" fillId="0" borderId="0" xfId="0" applyFont="1" applyBorder="1" applyAlignment="1"/>
    <xf numFmtId="0" fontId="38" fillId="0" borderId="0" xfId="0" applyFont="1"/>
    <xf numFmtId="0" fontId="0" fillId="0" borderId="14" xfId="0" applyBorder="1"/>
    <xf numFmtId="49" fontId="3" fillId="0" borderId="0" xfId="0" applyNumberFormat="1" applyFont="1" applyFill="1" applyBorder="1" applyAlignment="1">
      <alignment horizontal="left" vertical="top"/>
    </xf>
    <xf numFmtId="0" fontId="39" fillId="0" borderId="0" xfId="0" applyFont="1" applyAlignment="1">
      <alignment horizontal="left"/>
    </xf>
    <xf numFmtId="3" fontId="4" fillId="0" borderId="14" xfId="0" applyNumberFormat="1" applyFont="1" applyFill="1" applyBorder="1" applyAlignment="1">
      <alignment horizontal="right"/>
    </xf>
    <xf numFmtId="164" fontId="0" fillId="0" borderId="0" xfId="0" applyNumberFormat="1" applyFill="1" applyAlignment="1">
      <alignment horizontal="right"/>
    </xf>
    <xf numFmtId="0" fontId="40" fillId="0" borderId="0" xfId="720" applyFont="1"/>
    <xf numFmtId="0" fontId="40" fillId="0" borderId="0" xfId="720" applyFont="1" applyFill="1"/>
    <xf numFmtId="164" fontId="0" fillId="0" borderId="14" xfId="0" applyNumberFormat="1" applyFill="1" applyBorder="1" applyAlignment="1">
      <alignment horizontal="right"/>
    </xf>
    <xf numFmtId="2" fontId="0" fillId="0" borderId="14" xfId="0" applyNumberFormat="1" applyBorder="1" applyAlignment="1">
      <alignment horizontal="right" wrapText="1"/>
    </xf>
    <xf numFmtId="0" fontId="2" fillId="0" borderId="0" xfId="0" quotePrefix="1" applyFont="1"/>
    <xf numFmtId="0" fontId="0" fillId="0" borderId="0" xfId="0" applyAlignment="1">
      <alignment vertical="center"/>
    </xf>
    <xf numFmtId="0" fontId="37" fillId="0" borderId="0" xfId="0" applyFont="1"/>
    <xf numFmtId="164" fontId="4" fillId="0" borderId="0" xfId="0" applyNumberFormat="1" applyFont="1" applyFill="1"/>
    <xf numFmtId="164" fontId="4" fillId="0" borderId="0" xfId="0" applyNumberFormat="1" applyFont="1"/>
    <xf numFmtId="164" fontId="0" fillId="0" borderId="0" xfId="0" applyNumberFormat="1" applyFill="1" applyAlignment="1">
      <alignment horizontal="right"/>
    </xf>
    <xf numFmtId="164" fontId="0" fillId="0" borderId="14" xfId="0" applyNumberFormat="1" applyFill="1" applyBorder="1" applyAlignment="1">
      <alignment horizontal="right"/>
    </xf>
    <xf numFmtId="164" fontId="0" fillId="0" borderId="0" xfId="0" applyNumberFormat="1"/>
    <xf numFmtId="164" fontId="0" fillId="0" borderId="0" xfId="0" applyNumberFormat="1" applyFill="1" applyAlignment="1">
      <alignment horizontal="right"/>
    </xf>
    <xf numFmtId="164" fontId="0" fillId="0" borderId="14" xfId="0" applyNumberFormat="1" applyFill="1" applyBorder="1" applyAlignment="1">
      <alignment horizontal="right"/>
    </xf>
    <xf numFmtId="164" fontId="4" fillId="0" borderId="0" xfId="0" applyNumberFormat="1" applyFont="1"/>
    <xf numFmtId="164" fontId="0" fillId="0" borderId="0" xfId="0" applyNumberFormat="1"/>
    <xf numFmtId="164" fontId="0" fillId="0" borderId="0" xfId="0" applyNumberFormat="1" applyFill="1" applyAlignment="1">
      <alignment horizontal="right"/>
    </xf>
    <xf numFmtId="164" fontId="0" fillId="0" borderId="14" xfId="0" applyNumberFormat="1" applyFill="1" applyBorder="1" applyAlignment="1">
      <alignment horizontal="right"/>
    </xf>
    <xf numFmtId="43" fontId="0" fillId="0" borderId="0" xfId="721" applyFont="1"/>
    <xf numFmtId="0" fontId="0" fillId="0" borderId="0" xfId="0" applyAlignment="1">
      <alignment horizontal="left" wrapText="1"/>
    </xf>
    <xf numFmtId="49" fontId="4" fillId="0" borderId="0" xfId="0" applyNumberFormat="1" applyFont="1" applyFill="1" applyBorder="1" applyAlignment="1" applyProtection="1">
      <alignment horizontal="left" vertical="top" wrapText="1"/>
      <protection locked="0"/>
    </xf>
    <xf numFmtId="164" fontId="0" fillId="0" borderId="0" xfId="0" applyNumberFormat="1" applyBorder="1"/>
    <xf numFmtId="164" fontId="0" fillId="0" borderId="0" xfId="0" applyNumberFormat="1" applyFill="1"/>
    <xf numFmtId="3" fontId="2" fillId="0" borderId="0" xfId="0" applyNumberFormat="1" applyFont="1" applyFill="1" applyBorder="1" applyAlignment="1">
      <alignment horizontal="center"/>
    </xf>
    <xf numFmtId="0" fontId="2" fillId="0" borderId="0" xfId="0" applyFont="1" applyFill="1"/>
    <xf numFmtId="0" fontId="0" fillId="0" borderId="0" xfId="0"/>
    <xf numFmtId="0" fontId="0" fillId="0" borderId="0" xfId="0" applyFill="1"/>
    <xf numFmtId="49" fontId="4" fillId="0" borderId="0" xfId="0" applyNumberFormat="1" applyFont="1" applyFill="1" applyBorder="1" applyAlignment="1" applyProtection="1">
      <alignment horizontal="left" vertical="top"/>
      <protection locked="0"/>
    </xf>
    <xf numFmtId="0" fontId="0" fillId="0" borderId="0" xfId="0"/>
    <xf numFmtId="0" fontId="2" fillId="0" borderId="0" xfId="0" applyFont="1"/>
    <xf numFmtId="164" fontId="0" fillId="0" borderId="0" xfId="0" applyNumberFormat="1" applyFill="1" applyBorder="1" applyAlignment="1">
      <alignment horizontal="right"/>
    </xf>
    <xf numFmtId="0" fontId="0" fillId="0" borderId="0" xfId="0" applyAlignment="1">
      <alignment horizontal="left" vertical="center" wrapText="1"/>
    </xf>
    <xf numFmtId="0" fontId="2" fillId="0" borderId="0" xfId="0" quotePrefix="1" applyFont="1" applyFill="1"/>
    <xf numFmtId="0" fontId="38" fillId="0" borderId="0" xfId="0" applyFont="1" applyFill="1"/>
    <xf numFmtId="0" fontId="0" fillId="0" borderId="0" xfId="0" applyAlignment="1">
      <alignment horizontal="left" vertical="center" wrapText="1"/>
    </xf>
    <xf numFmtId="0" fontId="0" fillId="34" borderId="0" xfId="0" applyFill="1"/>
    <xf numFmtId="0" fontId="3" fillId="34" borderId="0" xfId="0" applyFont="1" applyFill="1" applyBorder="1" applyAlignment="1">
      <alignment horizontal="right"/>
    </xf>
    <xf numFmtId="164" fontId="0" fillId="34" borderId="0" xfId="0" applyNumberFormat="1" applyFill="1" applyBorder="1" applyAlignment="1">
      <alignment horizontal="right"/>
    </xf>
    <xf numFmtId="164" fontId="0" fillId="34" borderId="0" xfId="0" applyNumberFormat="1" applyFill="1"/>
    <xf numFmtId="170" fontId="0" fillId="34" borderId="0" xfId="0" applyNumberFormat="1" applyFill="1"/>
    <xf numFmtId="171" fontId="0" fillId="34" borderId="0" xfId="718" applyNumberFormat="1" applyFont="1" applyFill="1"/>
    <xf numFmtId="164" fontId="0" fillId="34" borderId="0" xfId="0" applyNumberFormat="1" applyFill="1" applyAlignment="1">
      <alignment horizontal="right"/>
    </xf>
    <xf numFmtId="9" fontId="0" fillId="0" borderId="0" xfId="0" applyNumberFormat="1" applyBorder="1"/>
    <xf numFmtId="164" fontId="0" fillId="34" borderId="13" xfId="0" applyNumberFormat="1" applyFill="1" applyBorder="1" applyAlignment="1">
      <alignment horizontal="right"/>
    </xf>
    <xf numFmtId="164" fontId="0" fillId="34" borderId="13" xfId="0" applyNumberFormat="1" applyFill="1" applyBorder="1"/>
    <xf numFmtId="170" fontId="0" fillId="0" borderId="0" xfId="0" applyNumberFormat="1" applyFill="1" applyBorder="1" applyAlignment="1">
      <alignment horizontal="center"/>
    </xf>
    <xf numFmtId="1" fontId="0" fillId="0" borderId="0" xfId="0" applyNumberFormat="1" applyFill="1"/>
    <xf numFmtId="164" fontId="0" fillId="0" borderId="14" xfId="0" applyNumberFormat="1" applyFill="1" applyBorder="1"/>
    <xf numFmtId="49" fontId="4" fillId="0" borderId="0" xfId="0" quotePrefix="1" applyNumberFormat="1" applyFont="1" applyFill="1" applyBorder="1" applyAlignment="1" applyProtection="1">
      <alignment horizontal="left" vertical="top" wrapText="1"/>
      <protection locked="0"/>
    </xf>
    <xf numFmtId="0" fontId="3" fillId="0" borderId="0" xfId="0" applyFont="1" applyFill="1" applyBorder="1" applyAlignment="1">
      <alignment horizontal="center"/>
    </xf>
    <xf numFmtId="172" fontId="0" fillId="0" borderId="0" xfId="721" applyNumberFormat="1" applyFont="1"/>
    <xf numFmtId="0" fontId="0" fillId="0" borderId="0" xfId="0" applyAlignment="1">
      <alignment vertical="top"/>
    </xf>
    <xf numFmtId="0" fontId="36" fillId="0" borderId="14" xfId="0" applyFont="1" applyBorder="1"/>
    <xf numFmtId="164" fontId="36" fillId="0" borderId="14" xfId="0" applyNumberFormat="1" applyFont="1" applyBorder="1"/>
    <xf numFmtId="0" fontId="2" fillId="0" borderId="0" xfId="0" quotePrefix="1" applyFont="1" applyFill="1" applyAlignment="1">
      <alignment horizontal="right"/>
    </xf>
    <xf numFmtId="0" fontId="32" fillId="0" borderId="0" xfId="0" quotePrefix="1" applyFont="1"/>
    <xf numFmtId="164" fontId="0" fillId="34" borderId="0" xfId="0" applyNumberFormat="1" applyFill="1" applyBorder="1" applyAlignment="1">
      <alignment horizontal="center"/>
    </xf>
    <xf numFmtId="164" fontId="0" fillId="34" borderId="14" xfId="0" applyNumberFormat="1" applyFill="1" applyBorder="1" applyAlignment="1">
      <alignment horizontal="center"/>
    </xf>
    <xf numFmtId="0" fontId="42" fillId="34" borderId="0" xfId="0" applyFont="1" applyFill="1" applyBorder="1" applyAlignment="1">
      <alignment horizontal="center" wrapText="1"/>
    </xf>
    <xf numFmtId="0" fontId="42" fillId="34" borderId="13" xfId="0" applyFont="1" applyFill="1" applyBorder="1" applyAlignment="1">
      <alignment horizontal="center" wrapText="1"/>
    </xf>
    <xf numFmtId="164" fontId="0" fillId="34" borderId="13" xfId="0" applyNumberFormat="1" applyFill="1" applyBorder="1" applyAlignment="1">
      <alignment horizontal="center"/>
    </xf>
    <xf numFmtId="49" fontId="4" fillId="0" borderId="0" xfId="0" applyNumberFormat="1" applyFont="1" applyFill="1" applyBorder="1" applyAlignment="1" applyProtection="1">
      <alignment horizontal="left" vertical="top" wrapText="1"/>
      <protection locked="0"/>
    </xf>
    <xf numFmtId="170" fontId="0" fillId="34" borderId="14" xfId="0" applyNumberFormat="1" applyFill="1" applyBorder="1" applyAlignment="1">
      <alignment horizontal="center"/>
    </xf>
    <xf numFmtId="0" fontId="0" fillId="0" borderId="0" xfId="0" applyAlignment="1">
      <alignment horizontal="left" vertical="top" wrapText="1"/>
    </xf>
    <xf numFmtId="170" fontId="0" fillId="34" borderId="0" xfId="0" applyNumberFormat="1" applyFill="1" applyBorder="1" applyAlignment="1">
      <alignment horizontal="center"/>
    </xf>
    <xf numFmtId="164" fontId="0" fillId="34" borderId="0" xfId="0" applyNumberFormat="1" applyFill="1" applyAlignment="1">
      <alignment horizontal="center"/>
    </xf>
    <xf numFmtId="0" fontId="2" fillId="0" borderId="0" xfId="0" quotePrefix="1" applyFont="1" applyAlignment="1">
      <alignment horizontal="center" wrapText="1"/>
    </xf>
    <xf numFmtId="0" fontId="32" fillId="0" borderId="0" xfId="0" applyFont="1" applyAlignment="1">
      <alignment horizontal="left" wrapText="1"/>
    </xf>
    <xf numFmtId="0" fontId="0" fillId="0" borderId="0" xfId="0" applyAlignment="1">
      <alignment horizontal="left" wrapText="1"/>
    </xf>
    <xf numFmtId="0" fontId="0" fillId="0" borderId="0" xfId="0" quotePrefix="1" applyAlignment="1">
      <alignment horizontal="left" wrapText="1"/>
    </xf>
    <xf numFmtId="0" fontId="3" fillId="0" borderId="0" xfId="0" applyFont="1" applyBorder="1" applyAlignment="1">
      <alignment horizontal="center"/>
    </xf>
    <xf numFmtId="170" fontId="0" fillId="34" borderId="0" xfId="0" applyNumberFormat="1" applyFill="1" applyAlignment="1">
      <alignment horizontal="center"/>
    </xf>
    <xf numFmtId="164" fontId="4" fillId="34" borderId="1" xfId="0" applyNumberFormat="1" applyFont="1" applyFill="1" applyBorder="1" applyAlignment="1">
      <alignment horizontal="center"/>
    </xf>
    <xf numFmtId="0" fontId="45" fillId="0" borderId="0" xfId="0" applyFont="1" applyAlignment="1">
      <alignment horizontal="left" wrapText="1"/>
    </xf>
    <xf numFmtId="0" fontId="0" fillId="0" borderId="0" xfId="0" applyAlignment="1">
      <alignment horizontal="left" vertical="center" wrapText="1"/>
    </xf>
    <xf numFmtId="0" fontId="41" fillId="0" borderId="0" xfId="720" applyFont="1" applyFill="1" applyAlignment="1">
      <alignment horizontal="left" wrapText="1"/>
    </xf>
    <xf numFmtId="3" fontId="0" fillId="0" borderId="0" xfId="0" applyNumberFormat="1" applyFont="1" applyFill="1" applyBorder="1" applyAlignment="1">
      <alignment horizontal="left" vertical="top" wrapText="1"/>
    </xf>
    <xf numFmtId="0" fontId="0" fillId="0" borderId="0" xfId="0" applyFill="1" applyAlignment="1">
      <alignment horizontal="left" vertical="top" wrapText="1"/>
    </xf>
    <xf numFmtId="164" fontId="0" fillId="0" borderId="0" xfId="0" applyNumberFormat="1" applyFill="1" applyBorder="1" applyAlignment="1">
      <alignment horizontal="center"/>
    </xf>
    <xf numFmtId="170" fontId="0" fillId="34" borderId="13" xfId="0" applyNumberFormat="1" applyFill="1" applyBorder="1" applyAlignment="1">
      <alignment horizontal="center"/>
    </xf>
    <xf numFmtId="170" fontId="0" fillId="34" borderId="14" xfId="0" applyNumberFormat="1" applyFill="1" applyBorder="1" applyAlignment="1">
      <alignment horizontal="center" wrapText="1"/>
    </xf>
    <xf numFmtId="170" fontId="0" fillId="34" borderId="0" xfId="0" applyNumberFormat="1" applyFill="1" applyBorder="1" applyAlignment="1">
      <alignment horizontal="center" wrapText="1"/>
    </xf>
    <xf numFmtId="170" fontId="0" fillId="34" borderId="13" xfId="0" applyNumberFormat="1" applyFill="1" applyBorder="1" applyAlignment="1">
      <alignment horizontal="center" wrapText="1"/>
    </xf>
    <xf numFmtId="0" fontId="30" fillId="0" borderId="0" xfId="0" quotePrefix="1" applyFont="1" applyAlignment="1">
      <alignment horizontal="left" wrapText="1"/>
    </xf>
    <xf numFmtId="49" fontId="4" fillId="0" borderId="0" xfId="0" quotePrefix="1" applyNumberFormat="1" applyFont="1" applyFill="1" applyBorder="1" applyAlignment="1" applyProtection="1">
      <alignment horizontal="left" vertical="top" wrapText="1"/>
      <protection locked="0"/>
    </xf>
    <xf numFmtId="0" fontId="31" fillId="0" borderId="0" xfId="0" applyFont="1" applyAlignment="1">
      <alignment horizontal="center" wrapText="1"/>
    </xf>
    <xf numFmtId="0" fontId="3" fillId="0" borderId="0" xfId="0" applyFont="1" applyFill="1" applyBorder="1" applyAlignment="1">
      <alignment horizontal="center"/>
    </xf>
  </cellXfs>
  <cellStyles count="725">
    <cellStyle name="20 % - Accent1 2" xfId="1"/>
    <cellStyle name="20 % - Accent2 2" xfId="2"/>
    <cellStyle name="20 % - Accent3 2" xfId="3"/>
    <cellStyle name="20 % - Accent4 2" xfId="4"/>
    <cellStyle name="20 % - Accent5 2" xfId="5"/>
    <cellStyle name="20 % - Accent6 2" xfId="6"/>
    <cellStyle name="20% - Accent1 2" xfId="7"/>
    <cellStyle name="20% - Accent1 3" xfId="8"/>
    <cellStyle name="20% - Accent1 4" xfId="9"/>
    <cellStyle name="20% - Accent1 5" xfId="10"/>
    <cellStyle name="20% - Accent2 2" xfId="11"/>
    <cellStyle name="20% - Accent2 3" xfId="12"/>
    <cellStyle name="20% - Accent2 4" xfId="13"/>
    <cellStyle name="20% - Accent2 5" xfId="14"/>
    <cellStyle name="20% - Accent3 2" xfId="15"/>
    <cellStyle name="20% - Accent3 3" xfId="16"/>
    <cellStyle name="20% - Accent3 4" xfId="17"/>
    <cellStyle name="20% - Accent3 5" xfId="18"/>
    <cellStyle name="20% - Accent4 2" xfId="19"/>
    <cellStyle name="20% - Accent4 3" xfId="20"/>
    <cellStyle name="20% - Accent4 4" xfId="21"/>
    <cellStyle name="20% - Accent4 5" xfId="22"/>
    <cellStyle name="20% - Accent5 2" xfId="23"/>
    <cellStyle name="20% - Accent5 3" xfId="24"/>
    <cellStyle name="20% - Accent5 4" xfId="25"/>
    <cellStyle name="20% - Accent5 5" xfId="26"/>
    <cellStyle name="20% - Accent6 2" xfId="27"/>
    <cellStyle name="20% - Accent6 3" xfId="28"/>
    <cellStyle name="20% - Accent6 4" xfId="29"/>
    <cellStyle name="20% - Accent6 5" xfId="30"/>
    <cellStyle name="40 % - Accent1 2" xfId="31"/>
    <cellStyle name="40 % - Accent2 2" xfId="32"/>
    <cellStyle name="40 % - Accent3 2" xfId="33"/>
    <cellStyle name="40 % - Accent4 2" xfId="34"/>
    <cellStyle name="40 % - Accent5 2" xfId="35"/>
    <cellStyle name="40 % - Accent6 2" xfId="36"/>
    <cellStyle name="40% - Accent1 2" xfId="37"/>
    <cellStyle name="40% - Accent1 3" xfId="38"/>
    <cellStyle name="40% - Accent1 4" xfId="39"/>
    <cellStyle name="40% - Accent1 5" xfId="40"/>
    <cellStyle name="40% - Accent2 2" xfId="41"/>
    <cellStyle name="40% - Accent2 3" xfId="42"/>
    <cellStyle name="40% - Accent2 4" xfId="43"/>
    <cellStyle name="40% - Accent2 5" xfId="44"/>
    <cellStyle name="40% - Accent3 2" xfId="45"/>
    <cellStyle name="40% - Accent3 3" xfId="46"/>
    <cellStyle name="40% - Accent3 4" xfId="47"/>
    <cellStyle name="40% - Accent3 5" xfId="48"/>
    <cellStyle name="40% - Accent4 2" xfId="49"/>
    <cellStyle name="40% - Accent4 3" xfId="50"/>
    <cellStyle name="40% - Accent4 4" xfId="51"/>
    <cellStyle name="40% - Accent4 5" xfId="52"/>
    <cellStyle name="40% - Accent5 2" xfId="53"/>
    <cellStyle name="40% - Accent5 3" xfId="54"/>
    <cellStyle name="40% - Accent5 4" xfId="55"/>
    <cellStyle name="40% - Accent5 5" xfId="56"/>
    <cellStyle name="40% - Accent6 2" xfId="57"/>
    <cellStyle name="40% - Accent6 3" xfId="58"/>
    <cellStyle name="40% - Accent6 4" xfId="59"/>
    <cellStyle name="40% - Accent6 5" xfId="60"/>
    <cellStyle name="60 % - Accent1 2" xfId="61"/>
    <cellStyle name="60 % - Accent2 2" xfId="62"/>
    <cellStyle name="60 % - Accent3 2" xfId="63"/>
    <cellStyle name="60 % - Accent4 2" xfId="64"/>
    <cellStyle name="60 % - Accent5 2" xfId="65"/>
    <cellStyle name="60 % - Accent6 2" xfId="66"/>
    <cellStyle name="60% - Accent1 2" xfId="67"/>
    <cellStyle name="60% - Accent1 3" xfId="68"/>
    <cellStyle name="60% - Accent1 4" xfId="69"/>
    <cellStyle name="60% - Accent1 5" xfId="70"/>
    <cellStyle name="60% - Accent2 2" xfId="71"/>
    <cellStyle name="60% - Accent2 3" xfId="72"/>
    <cellStyle name="60% - Accent2 4" xfId="73"/>
    <cellStyle name="60% - Accent2 5" xfId="74"/>
    <cellStyle name="60% - Accent3 2" xfId="75"/>
    <cellStyle name="60% - Accent3 3" xfId="76"/>
    <cellStyle name="60% - Accent3 4" xfId="77"/>
    <cellStyle name="60% - Accent3 5" xfId="78"/>
    <cellStyle name="60% - Accent4 2" xfId="79"/>
    <cellStyle name="60% - Accent4 3" xfId="80"/>
    <cellStyle name="60% - Accent4 4" xfId="81"/>
    <cellStyle name="60% - Accent4 5" xfId="82"/>
    <cellStyle name="60% - Accent5 2" xfId="83"/>
    <cellStyle name="60% - Accent5 3" xfId="84"/>
    <cellStyle name="60% - Accent5 4" xfId="85"/>
    <cellStyle name="60% - Accent5 5" xfId="86"/>
    <cellStyle name="60% - Accent6 2" xfId="87"/>
    <cellStyle name="60% - Accent6 3" xfId="88"/>
    <cellStyle name="60% - Accent6 4" xfId="89"/>
    <cellStyle name="60% - Accent6 5" xfId="90"/>
    <cellStyle name="Accent1 2" xfId="91"/>
    <cellStyle name="Accent1 3" xfId="92"/>
    <cellStyle name="Accent1 4" xfId="93"/>
    <cellStyle name="Accent1 5" xfId="94"/>
    <cellStyle name="Accent2 2" xfId="95"/>
    <cellStyle name="Accent2 3" xfId="96"/>
    <cellStyle name="Accent2 4" xfId="97"/>
    <cellStyle name="Accent2 5" xfId="98"/>
    <cellStyle name="Accent3 2" xfId="99"/>
    <cellStyle name="Accent3 3" xfId="100"/>
    <cellStyle name="Accent3 4" xfId="101"/>
    <cellStyle name="Accent3 5" xfId="102"/>
    <cellStyle name="Accent4 2" xfId="103"/>
    <cellStyle name="Accent4 3" xfId="104"/>
    <cellStyle name="Accent4 4" xfId="105"/>
    <cellStyle name="Accent4 5" xfId="106"/>
    <cellStyle name="Accent5 2" xfId="107"/>
    <cellStyle name="Accent5 3" xfId="108"/>
    <cellStyle name="Accent5 4" xfId="109"/>
    <cellStyle name="Accent5 5" xfId="110"/>
    <cellStyle name="Accent6 2" xfId="111"/>
    <cellStyle name="Accent6 3" xfId="112"/>
    <cellStyle name="Accent6 4" xfId="113"/>
    <cellStyle name="Accent6 5" xfId="114"/>
    <cellStyle name="Avertissement 2" xfId="115"/>
    <cellStyle name="Bad 2" xfId="116"/>
    <cellStyle name="Bad 3" xfId="117"/>
    <cellStyle name="Bad 4" xfId="118"/>
    <cellStyle name="Bad 5" xfId="119"/>
    <cellStyle name="Calcul 2" xfId="120"/>
    <cellStyle name="Calculation 2" xfId="121"/>
    <cellStyle name="Calculation 3" xfId="122"/>
    <cellStyle name="Calculation 4" xfId="123"/>
    <cellStyle name="Calculation 5" xfId="124"/>
    <cellStyle name="Cellule liée 2" xfId="125"/>
    <cellStyle name="Check Cell 2" xfId="126"/>
    <cellStyle name="Check Cell 3" xfId="127"/>
    <cellStyle name="Check Cell 4" xfId="128"/>
    <cellStyle name="Check Cell 5" xfId="129"/>
    <cellStyle name="Comma [0.0]" xfId="130"/>
    <cellStyle name="Comma [0.0] 2" xfId="723"/>
    <cellStyle name="Comma 2" xfId="131"/>
    <cellStyle name="Comma 3" xfId="132"/>
    <cellStyle name="Comma 3 2" xfId="133"/>
    <cellStyle name="Comma 4" xfId="134"/>
    <cellStyle name="Comma 5" xfId="135"/>
    <cellStyle name="Comma 5 2" xfId="136"/>
    <cellStyle name="Comma 6" xfId="137"/>
    <cellStyle name="Commentaire 2" xfId="138"/>
    <cellStyle name="Currency_Final2000 TAA_Template" xfId="139"/>
    <cellStyle name="Entrée 2" xfId="140"/>
    <cellStyle name="Excel Built-in Normal" xfId="141"/>
    <cellStyle name="Exhibits" xfId="142"/>
    <cellStyle name="Explanatory Text 2" xfId="143"/>
    <cellStyle name="Explanatory Text 3" xfId="144"/>
    <cellStyle name="Explanatory Text 4" xfId="145"/>
    <cellStyle name="Explanatory Text 5" xfId="146"/>
    <cellStyle name="Good 2" xfId="147"/>
    <cellStyle name="Good 3" xfId="148"/>
    <cellStyle name="Good 4" xfId="149"/>
    <cellStyle name="Good 5" xfId="150"/>
    <cellStyle name="Heading 1 2" xfId="151"/>
    <cellStyle name="Heading 1 3" xfId="152"/>
    <cellStyle name="Heading 1 4" xfId="153"/>
    <cellStyle name="Heading 1 5" xfId="154"/>
    <cellStyle name="Heading 2 2" xfId="155"/>
    <cellStyle name="Heading 2 3" xfId="156"/>
    <cellStyle name="Heading 2 4" xfId="157"/>
    <cellStyle name="Heading 2 5" xfId="158"/>
    <cellStyle name="Heading 3 2" xfId="159"/>
    <cellStyle name="Heading 3 3" xfId="160"/>
    <cellStyle name="Heading 3 4" xfId="161"/>
    <cellStyle name="Heading 3 5" xfId="162"/>
    <cellStyle name="Heading 4 2" xfId="163"/>
    <cellStyle name="Heading 4 3" xfId="164"/>
    <cellStyle name="Heading 4 4" xfId="165"/>
    <cellStyle name="Heading 4 5" xfId="166"/>
    <cellStyle name="Hidden" xfId="167"/>
    <cellStyle name="Hidden 2" xfId="722"/>
    <cellStyle name="Input 2" xfId="168"/>
    <cellStyle name="Input 3" xfId="169"/>
    <cellStyle name="Input 4" xfId="170"/>
    <cellStyle name="Input 5" xfId="171"/>
    <cellStyle name="Insatisfaisant 2" xfId="172"/>
    <cellStyle name="Linked Cell 2" xfId="173"/>
    <cellStyle name="Linked Cell 3" xfId="174"/>
    <cellStyle name="Linked Cell 4" xfId="175"/>
    <cellStyle name="Linked Cell 5" xfId="176"/>
    <cellStyle name="Milliers" xfId="721" builtinId="3"/>
    <cellStyle name="Milliers 2" xfId="177"/>
    <cellStyle name="Milliers 2 2" xfId="178"/>
    <cellStyle name="Milliers 2 3" xfId="179"/>
    <cellStyle name="Milliers 3" xfId="180"/>
    <cellStyle name="Milliers 4" xfId="181"/>
    <cellStyle name="Milliers 5" xfId="182"/>
    <cellStyle name="Milliers 6" xfId="724"/>
    <cellStyle name="Monétaire" xfId="718" builtinId="4"/>
    <cellStyle name="Monétaire 2" xfId="183"/>
    <cellStyle name="Neutral 2" xfId="184"/>
    <cellStyle name="Neutral 3" xfId="185"/>
    <cellStyle name="Neutral 4" xfId="186"/>
    <cellStyle name="Neutral 5" xfId="187"/>
    <cellStyle name="Neutre 2" xfId="188"/>
    <cellStyle name="Normal" xfId="0" builtinId="0"/>
    <cellStyle name="Normal 10" xfId="189"/>
    <cellStyle name="Normal 10 2" xfId="190"/>
    <cellStyle name="Normal 10 2 2" xfId="191"/>
    <cellStyle name="Normal 10 3" xfId="192"/>
    <cellStyle name="Normal 10 4" xfId="193"/>
    <cellStyle name="Normal 11" xfId="194"/>
    <cellStyle name="Normal 11 2" xfId="195"/>
    <cellStyle name="Normal 11 2 2" xfId="196"/>
    <cellStyle name="Normal 11 3" xfId="197"/>
    <cellStyle name="Normal 11 4" xfId="198"/>
    <cellStyle name="Normal 12" xfId="199"/>
    <cellStyle name="Normal 12 2" xfId="200"/>
    <cellStyle name="Normal 12 2 2" xfId="201"/>
    <cellStyle name="Normal 12 3" xfId="202"/>
    <cellStyle name="Normal 12 4" xfId="203"/>
    <cellStyle name="Normal 13" xfId="204"/>
    <cellStyle name="Normal 13 10" xfId="205"/>
    <cellStyle name="Normal 13 11" xfId="206"/>
    <cellStyle name="Normal 13 12" xfId="207"/>
    <cellStyle name="Normal 13 13" xfId="208"/>
    <cellStyle name="Normal 13 14" xfId="209"/>
    <cellStyle name="Normal 13 15" xfId="210"/>
    <cellStyle name="Normal 13 16" xfId="211"/>
    <cellStyle name="Normal 13 17" xfId="212"/>
    <cellStyle name="Normal 13 18" xfId="213"/>
    <cellStyle name="Normal 13 2" xfId="214"/>
    <cellStyle name="Normal 13 2 2" xfId="215"/>
    <cellStyle name="Normal 13 2 3" xfId="216"/>
    <cellStyle name="Normal 13 3" xfId="217"/>
    <cellStyle name="Normal 13 4" xfId="218"/>
    <cellStyle name="Normal 13 5" xfId="219"/>
    <cellStyle name="Normal 13 6" xfId="220"/>
    <cellStyle name="Normal 13 7" xfId="221"/>
    <cellStyle name="Normal 13 8" xfId="222"/>
    <cellStyle name="Normal 13 9" xfId="223"/>
    <cellStyle name="Normal 14" xfId="224"/>
    <cellStyle name="Normal 14 10" xfId="225"/>
    <cellStyle name="Normal 14 11" xfId="226"/>
    <cellStyle name="Normal 14 12" xfId="227"/>
    <cellStyle name="Normal 14 13" xfId="228"/>
    <cellStyle name="Normal 14 14" xfId="229"/>
    <cellStyle name="Normal 14 15" xfId="230"/>
    <cellStyle name="Normal 14 2" xfId="231"/>
    <cellStyle name="Normal 14 2 2" xfId="232"/>
    <cellStyle name="Normal 14 3" xfId="233"/>
    <cellStyle name="Normal 14 4" xfId="234"/>
    <cellStyle name="Normal 14 5" xfId="235"/>
    <cellStyle name="Normal 14 6" xfId="236"/>
    <cellStyle name="Normal 14 7" xfId="237"/>
    <cellStyle name="Normal 14 8" xfId="238"/>
    <cellStyle name="Normal 14 9" xfId="239"/>
    <cellStyle name="Normal 15" xfId="240"/>
    <cellStyle name="Normal 15 2" xfId="241"/>
    <cellStyle name="Normal 15 2 2" xfId="242"/>
    <cellStyle name="Normal 15 3" xfId="243"/>
    <cellStyle name="Normal 15 4" xfId="244"/>
    <cellStyle name="Normal 16" xfId="245"/>
    <cellStyle name="Normal 16 10" xfId="246"/>
    <cellStyle name="Normal 16 11" xfId="247"/>
    <cellStyle name="Normal 16 12" xfId="248"/>
    <cellStyle name="Normal 16 13" xfId="249"/>
    <cellStyle name="Normal 16 14" xfId="250"/>
    <cellStyle name="Normal 16 15" xfId="251"/>
    <cellStyle name="Normal 16 2" xfId="252"/>
    <cellStyle name="Normal 16 2 2" xfId="253"/>
    <cellStyle name="Normal 16 3" xfId="254"/>
    <cellStyle name="Normal 16 4" xfId="255"/>
    <cellStyle name="Normal 16 5" xfId="256"/>
    <cellStyle name="Normal 16 6" xfId="257"/>
    <cellStyle name="Normal 16 7" xfId="258"/>
    <cellStyle name="Normal 16 8" xfId="259"/>
    <cellStyle name="Normal 16 9" xfId="260"/>
    <cellStyle name="Normal 17" xfId="261"/>
    <cellStyle name="Normal 17 2" xfId="262"/>
    <cellStyle name="Normal 17 2 2" xfId="263"/>
    <cellStyle name="Normal 17 3" xfId="264"/>
    <cellStyle name="Normal 17 4" xfId="265"/>
    <cellStyle name="Normal 18" xfId="266"/>
    <cellStyle name="Normal 18 2" xfId="267"/>
    <cellStyle name="Normal 19" xfId="268"/>
    <cellStyle name="Normal 19 2" xfId="269"/>
    <cellStyle name="Normal 19 3" xfId="270"/>
    <cellStyle name="Normal 2" xfId="271"/>
    <cellStyle name="Normal 2 2" xfId="272"/>
    <cellStyle name="Normal 2 3" xfId="273"/>
    <cellStyle name="Normal 20" xfId="274"/>
    <cellStyle name="Normal 20 2" xfId="275"/>
    <cellStyle name="Normal 20 2 2" xfId="276"/>
    <cellStyle name="Normal 20 3" xfId="277"/>
    <cellStyle name="Normal 21" xfId="278"/>
    <cellStyle name="Normal 21 2" xfId="279"/>
    <cellStyle name="Normal 21 3" xfId="280"/>
    <cellStyle name="Normal 21 4" xfId="281"/>
    <cellStyle name="Normal 22" xfId="282"/>
    <cellStyle name="Normal 22 2" xfId="283"/>
    <cellStyle name="Normal 22 3" xfId="284"/>
    <cellStyle name="Normal 22 4" xfId="285"/>
    <cellStyle name="Normal 23" xfId="286"/>
    <cellStyle name="Normal 23 2" xfId="287"/>
    <cellStyle name="Normal 24" xfId="288"/>
    <cellStyle name="Normal 25" xfId="289"/>
    <cellStyle name="Normal 25 10" xfId="290"/>
    <cellStyle name="Normal 25 11" xfId="291"/>
    <cellStyle name="Normal 25 12" xfId="292"/>
    <cellStyle name="Normal 25 13" xfId="293"/>
    <cellStyle name="Normal 25 14" xfId="294"/>
    <cellStyle name="Normal 25 2" xfId="295"/>
    <cellStyle name="Normal 25 3" xfId="296"/>
    <cellStyle name="Normal 25 4" xfId="297"/>
    <cellStyle name="Normal 25 5" xfId="298"/>
    <cellStyle name="Normal 25 6" xfId="299"/>
    <cellStyle name="Normal 25 7" xfId="300"/>
    <cellStyle name="Normal 25 8" xfId="301"/>
    <cellStyle name="Normal 25 9" xfId="302"/>
    <cellStyle name="Normal 26" xfId="303"/>
    <cellStyle name="Normal 27" xfId="304"/>
    <cellStyle name="Normal 27 10" xfId="305"/>
    <cellStyle name="Normal 27 11" xfId="306"/>
    <cellStyle name="Normal 27 12" xfId="307"/>
    <cellStyle name="Normal 27 13" xfId="308"/>
    <cellStyle name="Normal 27 14" xfId="309"/>
    <cellStyle name="Normal 27 2" xfId="310"/>
    <cellStyle name="Normal 27 3" xfId="311"/>
    <cellStyle name="Normal 27 4" xfId="312"/>
    <cellStyle name="Normal 27 5" xfId="313"/>
    <cellStyle name="Normal 27 6" xfId="314"/>
    <cellStyle name="Normal 27 7" xfId="315"/>
    <cellStyle name="Normal 27 8" xfId="316"/>
    <cellStyle name="Normal 27 9" xfId="317"/>
    <cellStyle name="Normal 28" xfId="318"/>
    <cellStyle name="Normal 28 10" xfId="319"/>
    <cellStyle name="Normal 28 11" xfId="320"/>
    <cellStyle name="Normal 28 12" xfId="321"/>
    <cellStyle name="Normal 28 13" xfId="322"/>
    <cellStyle name="Normal 28 14" xfId="323"/>
    <cellStyle name="Normal 28 2" xfId="324"/>
    <cellStyle name="Normal 28 3" xfId="325"/>
    <cellStyle name="Normal 28 4" xfId="326"/>
    <cellStyle name="Normal 28 5" xfId="327"/>
    <cellStyle name="Normal 28 6" xfId="328"/>
    <cellStyle name="Normal 28 7" xfId="329"/>
    <cellStyle name="Normal 28 8" xfId="330"/>
    <cellStyle name="Normal 28 9" xfId="331"/>
    <cellStyle name="Normal 29" xfId="332"/>
    <cellStyle name="Normal 3" xfId="333"/>
    <cellStyle name="Normal 3 2" xfId="334"/>
    <cellStyle name="Normal 3 3" xfId="335"/>
    <cellStyle name="Normal 3 4" xfId="336"/>
    <cellStyle name="Normal 3 4 2" xfId="337"/>
    <cellStyle name="Normal 3 5" xfId="338"/>
    <cellStyle name="Normal 3 5 2" xfId="339"/>
    <cellStyle name="Normal 3 6" xfId="340"/>
    <cellStyle name="Normal 30" xfId="341"/>
    <cellStyle name="Normal 31" xfId="342"/>
    <cellStyle name="Normal 31 10" xfId="343"/>
    <cellStyle name="Normal 31 11" xfId="344"/>
    <cellStyle name="Normal 31 12" xfId="345"/>
    <cellStyle name="Normal 31 13" xfId="346"/>
    <cellStyle name="Normal 31 14" xfId="347"/>
    <cellStyle name="Normal 31 2" xfId="348"/>
    <cellStyle name="Normal 31 3" xfId="349"/>
    <cellStyle name="Normal 31 4" xfId="350"/>
    <cellStyle name="Normal 31 5" xfId="351"/>
    <cellStyle name="Normal 31 6" xfId="352"/>
    <cellStyle name="Normal 31 7" xfId="353"/>
    <cellStyle name="Normal 31 8" xfId="354"/>
    <cellStyle name="Normal 31 9" xfId="355"/>
    <cellStyle name="Normal 32" xfId="356"/>
    <cellStyle name="Normal 32 10" xfId="357"/>
    <cellStyle name="Normal 32 11" xfId="358"/>
    <cellStyle name="Normal 32 12" xfId="359"/>
    <cellStyle name="Normal 32 13" xfId="360"/>
    <cellStyle name="Normal 32 14" xfId="361"/>
    <cellStyle name="Normal 32 2" xfId="362"/>
    <cellStyle name="Normal 32 3" xfId="363"/>
    <cellStyle name="Normal 32 4" xfId="364"/>
    <cellStyle name="Normal 32 5" xfId="365"/>
    <cellStyle name="Normal 32 6" xfId="366"/>
    <cellStyle name="Normal 32 7" xfId="367"/>
    <cellStyle name="Normal 32 8" xfId="368"/>
    <cellStyle name="Normal 32 9" xfId="369"/>
    <cellStyle name="Normal 33" xfId="370"/>
    <cellStyle name="Normal 33 10" xfId="371"/>
    <cellStyle name="Normal 33 11" xfId="372"/>
    <cellStyle name="Normal 33 12" xfId="373"/>
    <cellStyle name="Normal 33 13" xfId="374"/>
    <cellStyle name="Normal 33 14" xfId="375"/>
    <cellStyle name="Normal 33 2" xfId="376"/>
    <cellStyle name="Normal 33 3" xfId="377"/>
    <cellStyle name="Normal 33 4" xfId="378"/>
    <cellStyle name="Normal 33 5" xfId="379"/>
    <cellStyle name="Normal 33 6" xfId="380"/>
    <cellStyle name="Normal 33 7" xfId="381"/>
    <cellStyle name="Normal 33 8" xfId="382"/>
    <cellStyle name="Normal 33 9" xfId="383"/>
    <cellStyle name="Normal 34" xfId="384"/>
    <cellStyle name="Normal 34 10" xfId="385"/>
    <cellStyle name="Normal 34 11" xfId="386"/>
    <cellStyle name="Normal 34 12" xfId="387"/>
    <cellStyle name="Normal 34 13" xfId="388"/>
    <cellStyle name="Normal 34 14" xfId="389"/>
    <cellStyle name="Normal 34 2" xfId="390"/>
    <cellStyle name="Normal 34 3" xfId="391"/>
    <cellStyle name="Normal 34 4" xfId="392"/>
    <cellStyle name="Normal 34 5" xfId="393"/>
    <cellStyle name="Normal 34 6" xfId="394"/>
    <cellStyle name="Normal 34 7" xfId="395"/>
    <cellStyle name="Normal 34 8" xfId="396"/>
    <cellStyle name="Normal 34 9" xfId="397"/>
    <cellStyle name="Normal 35" xfId="398"/>
    <cellStyle name="Normal 35 10" xfId="399"/>
    <cellStyle name="Normal 35 11" xfId="400"/>
    <cellStyle name="Normal 35 12" xfId="401"/>
    <cellStyle name="Normal 35 13" xfId="402"/>
    <cellStyle name="Normal 35 14" xfId="403"/>
    <cellStyle name="Normal 35 2" xfId="404"/>
    <cellStyle name="Normal 35 3" xfId="405"/>
    <cellStyle name="Normal 35 4" xfId="406"/>
    <cellStyle name="Normal 35 5" xfId="407"/>
    <cellStyle name="Normal 35 6" xfId="408"/>
    <cellStyle name="Normal 35 7" xfId="409"/>
    <cellStyle name="Normal 35 8" xfId="410"/>
    <cellStyle name="Normal 35 9" xfId="411"/>
    <cellStyle name="Normal 36" xfId="412"/>
    <cellStyle name="Normal 37" xfId="413"/>
    <cellStyle name="Normal 38" xfId="414"/>
    <cellStyle name="Normal 39" xfId="415"/>
    <cellStyle name="Normal 4" xfId="416"/>
    <cellStyle name="Normal 4 2" xfId="417"/>
    <cellStyle name="Normal 4 3" xfId="418"/>
    <cellStyle name="Normal 4 4" xfId="419"/>
    <cellStyle name="Normal 4 4 2" xfId="420"/>
    <cellStyle name="Normal 4 5" xfId="421"/>
    <cellStyle name="Normal 4 5 2" xfId="422"/>
    <cellStyle name="Normal 40" xfId="423"/>
    <cellStyle name="Normal 40 10" xfId="424"/>
    <cellStyle name="Normal 40 11" xfId="425"/>
    <cellStyle name="Normal 40 12" xfId="426"/>
    <cellStyle name="Normal 40 13" xfId="427"/>
    <cellStyle name="Normal 40 14" xfId="428"/>
    <cellStyle name="Normal 40 15" xfId="429"/>
    <cellStyle name="Normal 40 16" xfId="430"/>
    <cellStyle name="Normal 40 2" xfId="431"/>
    <cellStyle name="Normal 40 3" xfId="432"/>
    <cellStyle name="Normal 40 4" xfId="433"/>
    <cellStyle name="Normal 40 5" xfId="434"/>
    <cellStyle name="Normal 40 6" xfId="435"/>
    <cellStyle name="Normal 40 7" xfId="436"/>
    <cellStyle name="Normal 40 8" xfId="437"/>
    <cellStyle name="Normal 40 9" xfId="438"/>
    <cellStyle name="Normal 41" xfId="439"/>
    <cellStyle name="Normal 41 10" xfId="440"/>
    <cellStyle name="Normal 41 11" xfId="441"/>
    <cellStyle name="Normal 41 12" xfId="442"/>
    <cellStyle name="Normal 41 13" xfId="443"/>
    <cellStyle name="Normal 41 14" xfId="444"/>
    <cellStyle name="Normal 41 15" xfId="445"/>
    <cellStyle name="Normal 41 16" xfId="446"/>
    <cellStyle name="Normal 41 2" xfId="447"/>
    <cellStyle name="Normal 41 3" xfId="448"/>
    <cellStyle name="Normal 41 4" xfId="449"/>
    <cellStyle name="Normal 41 5" xfId="450"/>
    <cellStyle name="Normal 41 6" xfId="451"/>
    <cellStyle name="Normal 41 7" xfId="452"/>
    <cellStyle name="Normal 41 8" xfId="453"/>
    <cellStyle name="Normal 41 9" xfId="454"/>
    <cellStyle name="Normal 42" xfId="455"/>
    <cellStyle name="Normal 42 10" xfId="456"/>
    <cellStyle name="Normal 42 11" xfId="457"/>
    <cellStyle name="Normal 42 12" xfId="458"/>
    <cellStyle name="Normal 42 13" xfId="459"/>
    <cellStyle name="Normal 42 14" xfId="460"/>
    <cellStyle name="Normal 42 15" xfId="461"/>
    <cellStyle name="Normal 42 16" xfId="462"/>
    <cellStyle name="Normal 42 2" xfId="463"/>
    <cellStyle name="Normal 42 3" xfId="464"/>
    <cellStyle name="Normal 42 4" xfId="465"/>
    <cellStyle name="Normal 42 5" xfId="466"/>
    <cellStyle name="Normal 42 6" xfId="467"/>
    <cellStyle name="Normal 42 7" xfId="468"/>
    <cellStyle name="Normal 42 8" xfId="469"/>
    <cellStyle name="Normal 42 9" xfId="470"/>
    <cellStyle name="Normal 43" xfId="471"/>
    <cellStyle name="Normal 43 10" xfId="472"/>
    <cellStyle name="Normal 43 11" xfId="473"/>
    <cellStyle name="Normal 43 12" xfId="474"/>
    <cellStyle name="Normal 43 13" xfId="475"/>
    <cellStyle name="Normal 43 14" xfId="476"/>
    <cellStyle name="Normal 43 15" xfId="477"/>
    <cellStyle name="Normal 43 16" xfId="478"/>
    <cellStyle name="Normal 43 2" xfId="479"/>
    <cellStyle name="Normal 43 3" xfId="480"/>
    <cellStyle name="Normal 43 4" xfId="481"/>
    <cellStyle name="Normal 43 5" xfId="482"/>
    <cellStyle name="Normal 43 6" xfId="483"/>
    <cellStyle name="Normal 43 7" xfId="484"/>
    <cellStyle name="Normal 43 8" xfId="485"/>
    <cellStyle name="Normal 43 9" xfId="486"/>
    <cellStyle name="Normal 44" xfId="487"/>
    <cellStyle name="Normal 44 10" xfId="488"/>
    <cellStyle name="Normal 44 11" xfId="489"/>
    <cellStyle name="Normal 44 12" xfId="490"/>
    <cellStyle name="Normal 44 13" xfId="491"/>
    <cellStyle name="Normal 44 14" xfId="492"/>
    <cellStyle name="Normal 44 15" xfId="493"/>
    <cellStyle name="Normal 44 16" xfId="494"/>
    <cellStyle name="Normal 44 2" xfId="495"/>
    <cellStyle name="Normal 44 3" xfId="496"/>
    <cellStyle name="Normal 44 4" xfId="497"/>
    <cellStyle name="Normal 44 5" xfId="498"/>
    <cellStyle name="Normal 44 6" xfId="499"/>
    <cellStyle name="Normal 44 7" xfId="500"/>
    <cellStyle name="Normal 44 8" xfId="501"/>
    <cellStyle name="Normal 44 9" xfId="502"/>
    <cellStyle name="Normal 45" xfId="503"/>
    <cellStyle name="Normal 45 10" xfId="504"/>
    <cellStyle name="Normal 45 11" xfId="505"/>
    <cellStyle name="Normal 45 12" xfId="506"/>
    <cellStyle name="Normal 45 13" xfId="507"/>
    <cellStyle name="Normal 45 14" xfId="508"/>
    <cellStyle name="Normal 45 15" xfId="509"/>
    <cellStyle name="Normal 45 16" xfId="510"/>
    <cellStyle name="Normal 45 2" xfId="511"/>
    <cellStyle name="Normal 45 3" xfId="512"/>
    <cellStyle name="Normal 45 4" xfId="513"/>
    <cellStyle name="Normal 45 5" xfId="514"/>
    <cellStyle name="Normal 45 6" xfId="515"/>
    <cellStyle name="Normal 45 7" xfId="516"/>
    <cellStyle name="Normal 45 8" xfId="517"/>
    <cellStyle name="Normal 45 9" xfId="518"/>
    <cellStyle name="Normal 46" xfId="519"/>
    <cellStyle name="Normal 46 10" xfId="520"/>
    <cellStyle name="Normal 46 11" xfId="521"/>
    <cellStyle name="Normal 46 12" xfId="522"/>
    <cellStyle name="Normal 46 13" xfId="523"/>
    <cellStyle name="Normal 46 14" xfId="524"/>
    <cellStyle name="Normal 46 15" xfId="525"/>
    <cellStyle name="Normal 46 16" xfId="526"/>
    <cellStyle name="Normal 46 2" xfId="527"/>
    <cellStyle name="Normal 46 3" xfId="528"/>
    <cellStyle name="Normal 46 4" xfId="529"/>
    <cellStyle name="Normal 46 5" xfId="530"/>
    <cellStyle name="Normal 46 6" xfId="531"/>
    <cellStyle name="Normal 46 7" xfId="532"/>
    <cellStyle name="Normal 46 8" xfId="533"/>
    <cellStyle name="Normal 46 9" xfId="534"/>
    <cellStyle name="Normal 47" xfId="535"/>
    <cellStyle name="Normal 47 10" xfId="536"/>
    <cellStyle name="Normal 47 11" xfId="537"/>
    <cellStyle name="Normal 47 12" xfId="538"/>
    <cellStyle name="Normal 47 13" xfId="539"/>
    <cellStyle name="Normal 47 14" xfId="540"/>
    <cellStyle name="Normal 47 15" xfId="541"/>
    <cellStyle name="Normal 47 16" xfId="542"/>
    <cellStyle name="Normal 47 2" xfId="543"/>
    <cellStyle name="Normal 47 3" xfId="544"/>
    <cellStyle name="Normal 47 4" xfId="545"/>
    <cellStyle name="Normal 47 5" xfId="546"/>
    <cellStyle name="Normal 47 6" xfId="547"/>
    <cellStyle name="Normal 47 7" xfId="548"/>
    <cellStyle name="Normal 47 8" xfId="549"/>
    <cellStyle name="Normal 47 9" xfId="550"/>
    <cellStyle name="Normal 48" xfId="551"/>
    <cellStyle name="Normal 48 10" xfId="552"/>
    <cellStyle name="Normal 48 11" xfId="553"/>
    <cellStyle name="Normal 48 12" xfId="554"/>
    <cellStyle name="Normal 48 13" xfId="555"/>
    <cellStyle name="Normal 48 14" xfId="556"/>
    <cellStyle name="Normal 48 15" xfId="557"/>
    <cellStyle name="Normal 48 16" xfId="558"/>
    <cellStyle name="Normal 48 2" xfId="559"/>
    <cellStyle name="Normal 48 3" xfId="560"/>
    <cellStyle name="Normal 48 4" xfId="561"/>
    <cellStyle name="Normal 48 5" xfId="562"/>
    <cellStyle name="Normal 48 6" xfId="563"/>
    <cellStyle name="Normal 48 7" xfId="564"/>
    <cellStyle name="Normal 48 8" xfId="565"/>
    <cellStyle name="Normal 48 9" xfId="566"/>
    <cellStyle name="Normal 49" xfId="567"/>
    <cellStyle name="Normal 49 10" xfId="568"/>
    <cellStyle name="Normal 49 11" xfId="569"/>
    <cellStyle name="Normal 49 12" xfId="570"/>
    <cellStyle name="Normal 49 13" xfId="571"/>
    <cellStyle name="Normal 49 14" xfId="572"/>
    <cellStyle name="Normal 49 15" xfId="573"/>
    <cellStyle name="Normal 49 16" xfId="574"/>
    <cellStyle name="Normal 49 2" xfId="575"/>
    <cellStyle name="Normal 49 3" xfId="576"/>
    <cellStyle name="Normal 49 4" xfId="577"/>
    <cellStyle name="Normal 49 5" xfId="578"/>
    <cellStyle name="Normal 49 6" xfId="579"/>
    <cellStyle name="Normal 49 7" xfId="580"/>
    <cellStyle name="Normal 49 8" xfId="581"/>
    <cellStyle name="Normal 49 9" xfId="582"/>
    <cellStyle name="Normal 5" xfId="583"/>
    <cellStyle name="Normal 50" xfId="584"/>
    <cellStyle name="Normal 50 10" xfId="585"/>
    <cellStyle name="Normal 50 11" xfId="586"/>
    <cellStyle name="Normal 50 12" xfId="587"/>
    <cellStyle name="Normal 50 13" xfId="588"/>
    <cellStyle name="Normal 50 14" xfId="589"/>
    <cellStyle name="Normal 50 2" xfId="590"/>
    <cellStyle name="Normal 50 3" xfId="591"/>
    <cellStyle name="Normal 50 4" xfId="592"/>
    <cellStyle name="Normal 50 5" xfId="593"/>
    <cellStyle name="Normal 50 6" xfId="594"/>
    <cellStyle name="Normal 50 7" xfId="595"/>
    <cellStyle name="Normal 50 8" xfId="596"/>
    <cellStyle name="Normal 50 9" xfId="597"/>
    <cellStyle name="Normal 51" xfId="598"/>
    <cellStyle name="Normal 51 10" xfId="599"/>
    <cellStyle name="Normal 51 11" xfId="600"/>
    <cellStyle name="Normal 51 12" xfId="601"/>
    <cellStyle name="Normal 51 13" xfId="602"/>
    <cellStyle name="Normal 51 14" xfId="603"/>
    <cellStyle name="Normal 51 15" xfId="604"/>
    <cellStyle name="Normal 51 16" xfId="605"/>
    <cellStyle name="Normal 51 2" xfId="606"/>
    <cellStyle name="Normal 51 3" xfId="607"/>
    <cellStyle name="Normal 51 4" xfId="608"/>
    <cellStyle name="Normal 51 5" xfId="609"/>
    <cellStyle name="Normal 51 6" xfId="610"/>
    <cellStyle name="Normal 51 7" xfId="611"/>
    <cellStyle name="Normal 51 8" xfId="612"/>
    <cellStyle name="Normal 51 9" xfId="613"/>
    <cellStyle name="Normal 52" xfId="614"/>
    <cellStyle name="Normal 53" xfId="615"/>
    <cellStyle name="Normal 54" xfId="719"/>
    <cellStyle name="Normal 6" xfId="616"/>
    <cellStyle name="Normal 6 10" xfId="617"/>
    <cellStyle name="Normal 6 11" xfId="618"/>
    <cellStyle name="Normal 6 12" xfId="619"/>
    <cellStyle name="Normal 6 13" xfId="620"/>
    <cellStyle name="Normal 6 14" xfId="621"/>
    <cellStyle name="Normal 6 2" xfId="622"/>
    <cellStyle name="Normal 6 2 2" xfId="623"/>
    <cellStyle name="Normal 6 3" xfId="624"/>
    <cellStyle name="Normal 6 4" xfId="625"/>
    <cellStyle name="Normal 6 4 2" xfId="626"/>
    <cellStyle name="Normal 6 5" xfId="627"/>
    <cellStyle name="Normal 6 6" xfId="628"/>
    <cellStyle name="Normal 6 6 2" xfId="629"/>
    <cellStyle name="Normal 6 7" xfId="630"/>
    <cellStyle name="Normal 6 8" xfId="631"/>
    <cellStyle name="Normal 6 9" xfId="632"/>
    <cellStyle name="Normal 7" xfId="633"/>
    <cellStyle name="Normal 7 2" xfId="634"/>
    <cellStyle name="Normal 7 2 2" xfId="635"/>
    <cellStyle name="Normal 7 3" xfId="636"/>
    <cellStyle name="Normal 7 4" xfId="637"/>
    <cellStyle name="Normal 8" xfId="638"/>
    <cellStyle name="Normal 8 10" xfId="639"/>
    <cellStyle name="Normal 8 11" xfId="640"/>
    <cellStyle name="Normal 8 12" xfId="641"/>
    <cellStyle name="Normal 8 13" xfId="642"/>
    <cellStyle name="Normal 8 14" xfId="643"/>
    <cellStyle name="Normal 8 15" xfId="644"/>
    <cellStyle name="Normal 8 2" xfId="645"/>
    <cellStyle name="Normal 8 2 2" xfId="646"/>
    <cellStyle name="Normal 8 3" xfId="647"/>
    <cellStyle name="Normal 8 4" xfId="648"/>
    <cellStyle name="Normal 8 5" xfId="649"/>
    <cellStyle name="Normal 8 6" xfId="650"/>
    <cellStyle name="Normal 8 7" xfId="651"/>
    <cellStyle name="Normal 8 8" xfId="652"/>
    <cellStyle name="Normal 8 9" xfId="653"/>
    <cellStyle name="Normal 9" xfId="654"/>
    <cellStyle name="Normal 9 10" xfId="655"/>
    <cellStyle name="Normal 9 11" xfId="656"/>
    <cellStyle name="Normal 9 12" xfId="657"/>
    <cellStyle name="Normal 9 13" xfId="658"/>
    <cellStyle name="Normal 9 14" xfId="659"/>
    <cellStyle name="Normal 9 15" xfId="660"/>
    <cellStyle name="Normal 9 2" xfId="661"/>
    <cellStyle name="Normal 9 2 2" xfId="662"/>
    <cellStyle name="Normal 9 3" xfId="663"/>
    <cellStyle name="Normal 9 4" xfId="664"/>
    <cellStyle name="Normal 9 5" xfId="665"/>
    <cellStyle name="Normal 9 6" xfId="666"/>
    <cellStyle name="Normal 9 7" xfId="667"/>
    <cellStyle name="Normal 9 8" xfId="668"/>
    <cellStyle name="Normal 9 9" xfId="669"/>
    <cellStyle name="Normal_Book2" xfId="720"/>
    <cellStyle name="Note 2" xfId="670"/>
    <cellStyle name="Note 3" xfId="671"/>
    <cellStyle name="Note 4" xfId="672"/>
    <cellStyle name="Note 5" xfId="673"/>
    <cellStyle name="Output 2" xfId="674"/>
    <cellStyle name="Output 3" xfId="675"/>
    <cellStyle name="Output 4" xfId="676"/>
    <cellStyle name="Output 5" xfId="677"/>
    <cellStyle name="Output Amounts" xfId="678"/>
    <cellStyle name="Output Column Headings" xfId="679"/>
    <cellStyle name="Output Line Items" xfId="680"/>
    <cellStyle name="Output Report Heading" xfId="681"/>
    <cellStyle name="Output Report Title" xfId="682"/>
    <cellStyle name="Percent 2" xfId="683"/>
    <cellStyle name="Percent 2 2" xfId="684"/>
    <cellStyle name="Percent 2 3" xfId="685"/>
    <cellStyle name="Percent 2 4" xfId="686"/>
    <cellStyle name="Percent 2 4 2" xfId="687"/>
    <cellStyle name="Percent 3" xfId="688"/>
    <cellStyle name="Percent 3 2" xfId="689"/>
    <cellStyle name="Pourcentage" xfId="717" builtinId="5"/>
    <cellStyle name="Pourcentage 2" xfId="690"/>
    <cellStyle name="Pourcentage 2 2" xfId="691"/>
    <cellStyle name="Pourcentage 2 3" xfId="692"/>
    <cellStyle name="Pourcentage 3" xfId="693"/>
    <cellStyle name="Pourcentage 4" xfId="694"/>
    <cellStyle name="Pourcentage 5" xfId="695"/>
    <cellStyle name="Satisfaisant 2" xfId="696"/>
    <cellStyle name="Sortie 2" xfId="697"/>
    <cellStyle name="Texte explicatif 2" xfId="698"/>
    <cellStyle name="Title 2" xfId="699"/>
    <cellStyle name="Title 3" xfId="700"/>
    <cellStyle name="Title 4" xfId="701"/>
    <cellStyle name="Title 5" xfId="702"/>
    <cellStyle name="Titre 2" xfId="703"/>
    <cellStyle name="Titre 1 2" xfId="704"/>
    <cellStyle name="Titre 2 2" xfId="705"/>
    <cellStyle name="Titre 3 2" xfId="706"/>
    <cellStyle name="Titre 4 2" xfId="707"/>
    <cellStyle name="Total 2" xfId="708"/>
    <cellStyle name="Total 3" xfId="709"/>
    <cellStyle name="Total 4" xfId="710"/>
    <cellStyle name="Total 5" xfId="711"/>
    <cellStyle name="Vérification 2" xfId="712"/>
    <cellStyle name="Warning Text 2" xfId="713"/>
    <cellStyle name="Warning Text 3" xfId="714"/>
    <cellStyle name="Warning Text 4" xfId="715"/>
    <cellStyle name="Warning Text 5" xfId="716"/>
  </cellStyles>
  <dxfs count="39">
    <dxf>
      <fill>
        <patternFill>
          <bgColor theme="5" tint="0.39994506668294322"/>
        </patternFill>
      </fill>
    </dxf>
    <dxf>
      <fill>
        <patternFill>
          <bgColor theme="5" tint="0.39994506668294322"/>
        </patternFill>
      </fill>
    </dxf>
    <dxf>
      <fill>
        <patternFill>
          <bgColor rgb="FFFFC000"/>
        </patternFill>
      </fill>
    </dxf>
    <dxf>
      <fill>
        <patternFill>
          <bgColor theme="5" tint="0.39994506668294322"/>
        </patternFill>
      </fill>
    </dxf>
    <dxf>
      <fill>
        <patternFill>
          <bgColor rgb="FFFFC000"/>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9" tint="0.59996337778862885"/>
        </patternFill>
      </fill>
    </dxf>
    <dxf>
      <fill>
        <patternFill>
          <bgColor theme="5" tint="0.39994506668294322"/>
        </patternFill>
      </fill>
    </dxf>
    <dxf>
      <fill>
        <patternFill>
          <bgColor theme="5" tint="0.39994506668294322"/>
        </patternFill>
      </fill>
    </dxf>
    <dxf>
      <fill>
        <patternFill>
          <bgColor rgb="FFFFC000"/>
        </patternFill>
      </fill>
    </dxf>
    <dxf>
      <fill>
        <patternFill>
          <bgColor theme="5" tint="0.39994506668294322"/>
        </patternFill>
      </fill>
    </dxf>
    <dxf>
      <fill>
        <patternFill>
          <bgColor rgb="FFFFC000"/>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9" tint="0.59996337778862885"/>
        </patternFill>
      </fill>
    </dxf>
    <dxf>
      <fill>
        <patternFill>
          <bgColor theme="5" tint="0.39994506668294322"/>
        </patternFill>
      </fill>
    </dxf>
    <dxf>
      <fill>
        <patternFill>
          <bgColor theme="5" tint="0.39994506668294322"/>
        </patternFill>
      </fill>
    </dxf>
    <dxf>
      <fill>
        <patternFill>
          <bgColor rgb="FFFFC000"/>
        </patternFill>
      </fill>
    </dxf>
    <dxf>
      <fill>
        <patternFill>
          <bgColor theme="5" tint="0.39994506668294322"/>
        </patternFill>
      </fill>
    </dxf>
    <dxf>
      <fill>
        <patternFill>
          <bgColor rgb="FFFFC000"/>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9" tint="0.59996337778862885"/>
        </patternFill>
      </fill>
    </dxf>
    <dxf>
      <fill>
        <patternFill>
          <bgColor theme="5" tint="0.39994506668294322"/>
        </patternFill>
      </fill>
    </dxf>
    <dxf>
      <fill>
        <patternFill>
          <bgColor theme="5" tint="0.39994506668294322"/>
        </patternFill>
      </fill>
    </dxf>
    <dxf>
      <fill>
        <patternFill>
          <bgColor rgb="FFFFC000"/>
        </patternFill>
      </fill>
    </dxf>
    <dxf>
      <fill>
        <patternFill>
          <bgColor theme="5" tint="0.39994506668294322"/>
        </patternFill>
      </fill>
    </dxf>
    <dxf>
      <fill>
        <patternFill>
          <bgColor rgb="FFFFC000"/>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9" tint="0.59996337778862885"/>
        </patternFill>
      </fill>
    </dxf>
    <dxf>
      <fill>
        <patternFill>
          <bgColor theme="5" tint="0.39994506668294322"/>
        </patternFill>
      </fill>
    </dxf>
    <dxf>
      <fill>
        <patternFill>
          <bgColor theme="5" tint="0.3999450666829432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17</xdr:col>
      <xdr:colOff>121920</xdr:colOff>
      <xdr:row>21</xdr:row>
      <xdr:rowOff>66675</xdr:rowOff>
    </xdr:from>
    <xdr:to>
      <xdr:col>17</xdr:col>
      <xdr:colOff>238125</xdr:colOff>
      <xdr:row>27</xdr:row>
      <xdr:rowOff>9525</xdr:rowOff>
    </xdr:to>
    <xdr:sp macro="" textlink="">
      <xdr:nvSpPr>
        <xdr:cNvPr id="2" name="Accolade ouvrante 1"/>
        <xdr:cNvSpPr/>
      </xdr:nvSpPr>
      <xdr:spPr>
        <a:xfrm>
          <a:off x="15659100" y="3981450"/>
          <a:ext cx="0" cy="1085850"/>
        </a:xfrm>
        <a:prstGeom prst="leftBrace">
          <a:avLst>
            <a:gd name="adj1" fmla="val 8333"/>
            <a:gd name="adj2" fmla="val 4555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121920</xdr:colOff>
      <xdr:row>21</xdr:row>
      <xdr:rowOff>66675</xdr:rowOff>
    </xdr:from>
    <xdr:to>
      <xdr:col>17</xdr:col>
      <xdr:colOff>238125</xdr:colOff>
      <xdr:row>27</xdr:row>
      <xdr:rowOff>9525</xdr:rowOff>
    </xdr:to>
    <xdr:sp macro="" textlink="">
      <xdr:nvSpPr>
        <xdr:cNvPr id="2" name="Accolade ouvrante 1"/>
        <xdr:cNvSpPr/>
      </xdr:nvSpPr>
      <xdr:spPr>
        <a:xfrm>
          <a:off x="13521690" y="3640455"/>
          <a:ext cx="116205" cy="514350"/>
        </a:xfrm>
        <a:prstGeom prst="leftBrace">
          <a:avLst>
            <a:gd name="adj1" fmla="val 8333"/>
            <a:gd name="adj2" fmla="val 4555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121920</xdr:colOff>
      <xdr:row>21</xdr:row>
      <xdr:rowOff>66675</xdr:rowOff>
    </xdr:from>
    <xdr:to>
      <xdr:col>17</xdr:col>
      <xdr:colOff>238125</xdr:colOff>
      <xdr:row>27</xdr:row>
      <xdr:rowOff>9525</xdr:rowOff>
    </xdr:to>
    <xdr:sp macro="" textlink="">
      <xdr:nvSpPr>
        <xdr:cNvPr id="2" name="Accolade ouvrante 1"/>
        <xdr:cNvSpPr/>
      </xdr:nvSpPr>
      <xdr:spPr>
        <a:xfrm>
          <a:off x="15659100" y="4038600"/>
          <a:ext cx="0" cy="1085850"/>
        </a:xfrm>
        <a:prstGeom prst="leftBrace">
          <a:avLst>
            <a:gd name="adj1" fmla="val 8333"/>
            <a:gd name="adj2" fmla="val 4555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121920</xdr:colOff>
      <xdr:row>21</xdr:row>
      <xdr:rowOff>66675</xdr:rowOff>
    </xdr:from>
    <xdr:to>
      <xdr:col>19</xdr:col>
      <xdr:colOff>238125</xdr:colOff>
      <xdr:row>27</xdr:row>
      <xdr:rowOff>9525</xdr:rowOff>
    </xdr:to>
    <xdr:sp macro="" textlink="">
      <xdr:nvSpPr>
        <xdr:cNvPr id="2" name="Accolade ouvrante 1"/>
        <xdr:cNvSpPr/>
      </xdr:nvSpPr>
      <xdr:spPr>
        <a:xfrm>
          <a:off x="15801975" y="4038600"/>
          <a:ext cx="0" cy="1085850"/>
        </a:xfrm>
        <a:prstGeom prst="leftBrace">
          <a:avLst>
            <a:gd name="adj1" fmla="val 8333"/>
            <a:gd name="adj2" fmla="val 4555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igelowl/Local%20Settings/Temporary%20Internet%20Files/Content.Outlook/DS752VJ0/Budget%20LPLP%202008%20v9%20(new%20present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30%20(F2015-B2016)%20et%20GI-x%20Doc%20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ADMIN/BUDGET/2013%20&amp;%202012%20Forecast/R&#233;el%202012%20vs%20Budget%202013%20et%20Stretch/R&#233;el%202012%20vs%20Budget%202013/cc25430%20r&#233;el%202012%20vs%20budget%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GP BUDGET2007"/>
      <sheetName val="TITLE"/>
      <sheetName val="cashflow july 06"/>
      <sheetName val="Bilan July 06"/>
      <sheetName val="BS"/>
      <sheetName val="P&amp;L"/>
      <sheetName val="Cash flow"/>
      <sheetName val="ENERGY SALES $"/>
      <sheetName val="ENERGY SALES (GW H)"/>
      <sheetName val="ENERGY SALE"/>
      <sheetName val="O&amp;M"/>
      <sheetName val="admin"/>
      <sheetName val="GLPT-TRUST MAN"/>
      <sheetName val="----"/>
      <sheetName val="Actual 2006"/>
      <sheetName val="BUDGET 07"/>
      <sheetName val="Actual YTD"/>
      <sheetName val="TRIAL BALANCE"/>
      <sheetName val="GL STATS"/>
      <sheetName val="Gen 2007"/>
      <sheetName val="Gen 2008"/>
      <sheetName val="Deficiency"/>
      <sheetName val="Red. contra"/>
      <sheetName val="REDEVANCE CONTRAC (51002)"/>
      <sheetName val="Red. statu"/>
      <sheetName val="REDEVANCE STATUTAIRE (51001)"/>
      <sheetName val="ASSURANCE (71811)"/>
      <sheetName val="OTHER REVENUES"/>
      <sheetName val="SALES AND MARKETING"/>
      <sheetName val="START UP COST"/>
      <sheetName val="SALAIRES (61111)"/>
      <sheetName val="GAGES D'OPERATION(61212)"/>
      <sheetName val="GAGES D'ENTRETIEN (61211)"/>
      <sheetName val="MATERIAUX ENTRETIEN (71211)"/>
      <sheetName val="LIBRE SERVICE (71213)"/>
      <sheetName val="CONTRACTEURS (71111)"/>
      <sheetName val="OUTILS (71231)"/>
      <sheetName val="Achat-Magasin (1153)"/>
      <sheetName val="SERVICES PROFESSIONNEL (71331)"/>
      <sheetName val="EXPLOITATION RESERVOIRS (71412)"/>
      <sheetName val="TÉLÉPHONE(72814)"/>
      <sheetName val="COMMUNICATIONS(72818)"/>
      <sheetName val="EQUIPEMENT IT (71511-71521)"/>
      <sheetName val="SERV PROF. - IT (73902)"/>
      <sheetName val="ELECTRICITE(71442)"/>
      <sheetName val="LOCATION (71411)"/>
      <sheetName val="FRAIS DÉPLACEMENT(71701-71721)"/>
      <sheetName val="REPAS(71731)"/>
      <sheetName val="CONVENTION &amp; CONFÉRENCE (63111)"/>
      <sheetName val="COTISATION &amp; AFFILIATION(63131)"/>
      <sheetName val="VEHICULE (1154)"/>
      <sheetName val="LOCATION VEHICULE (71631)"/>
      <sheetName val="E&amp;R VEHICULE (71612)"/>
      <sheetName val="ESSENCE (71611)"/>
      <sheetName val="IMMATRICULATION (71613)"/>
      <sheetName val="TERRAIN PRIVÉS(1174)"/>
      <sheetName val="MATERIAUX-ADMIN (72211) "/>
      <sheetName val="CONTRACTEUR-ADMIN (72111)"/>
      <sheetName val="SALAIRE-ADMIN(61111)"/>
      <sheetName val="RÉM VARIABLE-ADMIN (60100)"/>
      <sheetName val="FOURNITURE-ADMIN (72813)"/>
      <sheetName val="SERV PROF-ADMIN (72331)"/>
      <sheetName val="FRAIS LEGAUX-ADMIN (72311)"/>
      <sheetName val="LOCATION-ADMIN (72811)"/>
      <sheetName val="FRAIS DÉPLACEMENT-ADMIN (72701)"/>
      <sheetName val="CONV ET CONF-ADMIN(72112)"/>
      <sheetName val="COT ET AFF-ADMIN(72131)"/>
      <sheetName val="TELEPHONE-ADMIN(72814)"/>
      <sheetName val="FORMATION-ADMIN(63101)"/>
      <sheetName val="REPAS-ADMIN(72731)"/>
      <sheetName val="SERVICE FEES-ADMIN(4610x)"/>
      <sheetName val="MAJOR MAINTENANCE"/>
      <sheetName val="CORPORATE (1100)"/>
      <sheetName val="MASSON (1101)"/>
      <sheetName val="DUFFERIN (1102)"/>
      <sheetName val="HIGH FALLS (1103)"/>
      <sheetName val="LES CEDRES (1121)"/>
      <sheetName val="KIAMIKA (1122)"/>
      <sheetName val="MITCH (1123)"/>
      <sheetName val="GEST. EXPLOITATION (1131)"/>
      <sheetName val="RESEAU TRANSPORT(1134)"/>
      <sheetName val="GEST.ENTRETIEN (1151)"/>
      <sheetName val="ACHAT (1153)"/>
      <sheetName val="BÉNÉFICE MARGINAUX (1156)"/>
      <sheetName val="ENVIRONNEMENT (1171)"/>
      <sheetName val="DIVERS RH ET COMMUNICAT (1182)"/>
      <sheetName val="SANTÉ ET SÉCURITÉ (1183)"/>
      <sheetName val="RELATIONS AVEC MILIEU (1185)"/>
      <sheetName val="EXTRAORDINARY EXP (76991)"/>
      <sheetName val="FORMATION(118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
          <cell r="C5">
            <v>20328749.899999999</v>
          </cell>
          <cell r="D5" t="str">
            <v>1100-11110-00</v>
          </cell>
        </row>
        <row r="6">
          <cell r="C6">
            <v>0</v>
          </cell>
          <cell r="D6" t="str">
            <v>1100-11111-00</v>
          </cell>
        </row>
        <row r="7">
          <cell r="C7">
            <v>0</v>
          </cell>
          <cell r="D7" t="str">
            <v>1100-11112-00</v>
          </cell>
        </row>
        <row r="8">
          <cell r="C8">
            <v>0</v>
          </cell>
          <cell r="D8" t="str">
            <v>1100-11113-00</v>
          </cell>
        </row>
        <row r="9">
          <cell r="C9">
            <v>0</v>
          </cell>
          <cell r="D9" t="str">
            <v>1100-11115-00</v>
          </cell>
        </row>
        <row r="10">
          <cell r="C10">
            <v>0</v>
          </cell>
          <cell r="D10" t="str">
            <v>1100-11120-00</v>
          </cell>
        </row>
        <row r="11">
          <cell r="C11">
            <v>0</v>
          </cell>
          <cell r="D11" t="str">
            <v>1100-11121-00</v>
          </cell>
        </row>
        <row r="12">
          <cell r="C12">
            <v>0</v>
          </cell>
          <cell r="D12" t="str">
            <v>1100-11131-00</v>
          </cell>
        </row>
        <row r="13">
          <cell r="C13">
            <v>0</v>
          </cell>
          <cell r="D13" t="str">
            <v>1100-11132-00</v>
          </cell>
        </row>
        <row r="14">
          <cell r="C14">
            <v>0</v>
          </cell>
          <cell r="D14" t="str">
            <v>1100-11211-00</v>
          </cell>
        </row>
        <row r="15">
          <cell r="C15">
            <v>2934886.19</v>
          </cell>
          <cell r="D15" t="str">
            <v>1100-11313-00</v>
          </cell>
        </row>
        <row r="16">
          <cell r="C16">
            <v>0</v>
          </cell>
          <cell r="D16" t="str">
            <v>1100-11314-00</v>
          </cell>
        </row>
        <row r="17">
          <cell r="C17">
            <v>0</v>
          </cell>
          <cell r="D17" t="str">
            <v>1100-11350-00</v>
          </cell>
        </row>
        <row r="18">
          <cell r="C18">
            <v>0</v>
          </cell>
          <cell r="D18" t="str">
            <v>1100-11380-00</v>
          </cell>
        </row>
        <row r="19">
          <cell r="C19">
            <v>0</v>
          </cell>
          <cell r="D19" t="str">
            <v>1100-11381-00</v>
          </cell>
        </row>
        <row r="20">
          <cell r="C20">
            <v>0</v>
          </cell>
          <cell r="D20" t="str">
            <v>1100-11382-00</v>
          </cell>
        </row>
        <row r="21">
          <cell r="C21">
            <v>0</v>
          </cell>
          <cell r="D21" t="str">
            <v>1100-11383-00</v>
          </cell>
        </row>
        <row r="22">
          <cell r="C22">
            <v>0</v>
          </cell>
          <cell r="D22" t="str">
            <v>1100-11384-00</v>
          </cell>
        </row>
        <row r="23">
          <cell r="C23">
            <v>0</v>
          </cell>
          <cell r="D23" t="str">
            <v>1100-11385-00</v>
          </cell>
        </row>
        <row r="24">
          <cell r="C24">
            <v>0</v>
          </cell>
          <cell r="D24" t="str">
            <v>1100-11386-00</v>
          </cell>
        </row>
        <row r="25">
          <cell r="C25">
            <v>0</v>
          </cell>
          <cell r="D25" t="str">
            <v>1100-11387-00</v>
          </cell>
        </row>
        <row r="26">
          <cell r="C26">
            <v>0</v>
          </cell>
          <cell r="D26" t="str">
            <v>1100-11388-00</v>
          </cell>
        </row>
        <row r="27">
          <cell r="C27">
            <v>0</v>
          </cell>
          <cell r="D27" t="str">
            <v>1100-11389-00</v>
          </cell>
        </row>
        <row r="28">
          <cell r="C28">
            <v>0</v>
          </cell>
          <cell r="D28" t="str">
            <v>1100-11390-00</v>
          </cell>
        </row>
        <row r="29">
          <cell r="C29">
            <v>0</v>
          </cell>
          <cell r="D29" t="str">
            <v>1100-11391-00</v>
          </cell>
        </row>
        <row r="30">
          <cell r="C30">
            <v>0</v>
          </cell>
          <cell r="D30" t="str">
            <v>1100-11392-00</v>
          </cell>
        </row>
        <row r="31">
          <cell r="C31">
            <v>0</v>
          </cell>
          <cell r="D31" t="str">
            <v>1100-11431-00</v>
          </cell>
        </row>
        <row r="32">
          <cell r="C32">
            <v>0</v>
          </cell>
          <cell r="D32" t="str">
            <v>1100-11432-00</v>
          </cell>
        </row>
        <row r="33">
          <cell r="C33">
            <v>1282224.67</v>
          </cell>
          <cell r="D33" t="str">
            <v>1100-11433-00</v>
          </cell>
        </row>
        <row r="34">
          <cell r="C34">
            <v>0</v>
          </cell>
          <cell r="D34" t="str">
            <v>1100-11434-00</v>
          </cell>
        </row>
        <row r="35">
          <cell r="C35">
            <v>0</v>
          </cell>
          <cell r="D35" t="str">
            <v>1100-11435-00</v>
          </cell>
        </row>
        <row r="36">
          <cell r="C36">
            <v>241008.13</v>
          </cell>
          <cell r="D36" t="str">
            <v>1100-11611-00</v>
          </cell>
        </row>
        <row r="37">
          <cell r="C37">
            <v>0</v>
          </cell>
          <cell r="D37" t="str">
            <v>1100-11615-00</v>
          </cell>
        </row>
        <row r="38">
          <cell r="C38">
            <v>697898.88</v>
          </cell>
          <cell r="D38" t="str">
            <v>1100-11711-00</v>
          </cell>
        </row>
        <row r="39">
          <cell r="C39">
            <v>0</v>
          </cell>
          <cell r="D39" t="str">
            <v>1100-11715-00</v>
          </cell>
        </row>
        <row r="40">
          <cell r="C40">
            <v>0</v>
          </cell>
          <cell r="D40" t="str">
            <v>1100-11721-00</v>
          </cell>
        </row>
        <row r="41">
          <cell r="C41">
            <v>0.48</v>
          </cell>
          <cell r="D41" t="str">
            <v>1100-11731-00</v>
          </cell>
        </row>
        <row r="42">
          <cell r="C42">
            <v>0</v>
          </cell>
          <cell r="D42" t="str">
            <v>1100-11740-00</v>
          </cell>
        </row>
        <row r="43">
          <cell r="C43">
            <v>0</v>
          </cell>
          <cell r="D43" t="str">
            <v>1100-11741-00</v>
          </cell>
        </row>
        <row r="44">
          <cell r="C44">
            <v>0</v>
          </cell>
          <cell r="D44" t="str">
            <v>1100-11742-00</v>
          </cell>
        </row>
        <row r="45">
          <cell r="C45">
            <v>0</v>
          </cell>
          <cell r="D45" t="str">
            <v>1100-11743-00</v>
          </cell>
        </row>
        <row r="46">
          <cell r="C46">
            <v>0</v>
          </cell>
          <cell r="D46" t="str">
            <v>1100-11744-00</v>
          </cell>
        </row>
        <row r="47">
          <cell r="C47">
            <v>0</v>
          </cell>
          <cell r="D47" t="str">
            <v>1100-11745-00</v>
          </cell>
        </row>
        <row r="48">
          <cell r="C48">
            <v>0</v>
          </cell>
          <cell r="D48" t="str">
            <v>1100-11746-00</v>
          </cell>
        </row>
        <row r="49">
          <cell r="C49">
            <v>0</v>
          </cell>
          <cell r="D49" t="str">
            <v>1100-11747-00</v>
          </cell>
        </row>
        <row r="50">
          <cell r="C50">
            <v>0</v>
          </cell>
          <cell r="D50" t="str">
            <v>1100-11748-00</v>
          </cell>
        </row>
        <row r="51">
          <cell r="C51">
            <v>0</v>
          </cell>
          <cell r="D51" t="str">
            <v>1100-11749-00</v>
          </cell>
        </row>
        <row r="52">
          <cell r="C52">
            <v>0</v>
          </cell>
          <cell r="D52" t="str">
            <v>1100-11750-00</v>
          </cell>
        </row>
        <row r="53">
          <cell r="C53">
            <v>0</v>
          </cell>
          <cell r="D53" t="str">
            <v>1100-11751-00</v>
          </cell>
        </row>
        <row r="54">
          <cell r="C54">
            <v>0</v>
          </cell>
          <cell r="D54" t="str">
            <v>1100-12010-00</v>
          </cell>
        </row>
        <row r="55">
          <cell r="C55">
            <v>0</v>
          </cell>
          <cell r="D55" t="str">
            <v>1100-12110-00</v>
          </cell>
        </row>
        <row r="56">
          <cell r="C56">
            <v>355380755.13999999</v>
          </cell>
          <cell r="D56" t="str">
            <v>1100-12130-00</v>
          </cell>
        </row>
        <row r="57">
          <cell r="C57">
            <v>0</v>
          </cell>
          <cell r="D57" t="str">
            <v>1100-12131-00</v>
          </cell>
        </row>
        <row r="58">
          <cell r="C58">
            <v>0</v>
          </cell>
          <cell r="D58" t="str">
            <v>1100-12150-00</v>
          </cell>
        </row>
        <row r="59">
          <cell r="C59">
            <v>0</v>
          </cell>
          <cell r="D59" t="str">
            <v>1100-12160-00</v>
          </cell>
        </row>
        <row r="60">
          <cell r="C60">
            <v>0</v>
          </cell>
          <cell r="D60" t="str">
            <v>1100-12210-00</v>
          </cell>
        </row>
        <row r="61">
          <cell r="C61">
            <v>-18823259.809999999</v>
          </cell>
          <cell r="D61" t="str">
            <v>1100-12230-00</v>
          </cell>
        </row>
        <row r="62">
          <cell r="C62">
            <v>0</v>
          </cell>
          <cell r="D62" t="str">
            <v>1100-12231-00</v>
          </cell>
        </row>
        <row r="63">
          <cell r="C63">
            <v>0</v>
          </cell>
          <cell r="D63" t="str">
            <v>1100-12250-00</v>
          </cell>
        </row>
        <row r="64">
          <cell r="C64">
            <v>0</v>
          </cell>
          <cell r="D64" t="str">
            <v>1100-12260-00</v>
          </cell>
        </row>
        <row r="65">
          <cell r="C65">
            <v>0</v>
          </cell>
          <cell r="D65" t="str">
            <v>1100-12511-00</v>
          </cell>
        </row>
        <row r="66">
          <cell r="C66">
            <v>0</v>
          </cell>
          <cell r="D66" t="str">
            <v>1100-12512-00</v>
          </cell>
        </row>
        <row r="67">
          <cell r="C67">
            <v>0</v>
          </cell>
          <cell r="D67" t="str">
            <v>1100-12513-00</v>
          </cell>
        </row>
        <row r="68">
          <cell r="C68">
            <v>0</v>
          </cell>
          <cell r="D68" t="str">
            <v>1100-13120-00</v>
          </cell>
        </row>
        <row r="69">
          <cell r="C69">
            <v>6771461.5499999998</v>
          </cell>
          <cell r="D69" t="str">
            <v>1100-13121-00</v>
          </cell>
        </row>
        <row r="70">
          <cell r="C70">
            <v>0</v>
          </cell>
          <cell r="D70" t="str">
            <v>1100-13126-00</v>
          </cell>
        </row>
        <row r="71">
          <cell r="C71">
            <v>0</v>
          </cell>
          <cell r="D71" t="str">
            <v>1100-13127-00</v>
          </cell>
        </row>
        <row r="72">
          <cell r="C72">
            <v>0</v>
          </cell>
          <cell r="D72" t="str">
            <v>1100-13128-00</v>
          </cell>
        </row>
        <row r="73">
          <cell r="C73">
            <v>0</v>
          </cell>
          <cell r="D73" t="str">
            <v>1100-13129-00</v>
          </cell>
        </row>
        <row r="74">
          <cell r="C74">
            <v>-758433.24</v>
          </cell>
          <cell r="D74" t="str">
            <v>1100-13130-00</v>
          </cell>
        </row>
        <row r="75">
          <cell r="C75">
            <v>0</v>
          </cell>
          <cell r="D75" t="str">
            <v>1100-13137-00</v>
          </cell>
        </row>
        <row r="76">
          <cell r="C76">
            <v>0</v>
          </cell>
          <cell r="D76" t="str">
            <v>1100-13138-00</v>
          </cell>
        </row>
        <row r="77">
          <cell r="C77">
            <v>0</v>
          </cell>
          <cell r="D77" t="str">
            <v>1100-13139-00</v>
          </cell>
        </row>
        <row r="78">
          <cell r="C78">
            <v>0</v>
          </cell>
          <cell r="D78" t="str">
            <v>1100-13301-00</v>
          </cell>
        </row>
        <row r="79">
          <cell r="C79">
            <v>0</v>
          </cell>
          <cell r="D79" t="str">
            <v>1100-13302-00</v>
          </cell>
        </row>
        <row r="80">
          <cell r="C80">
            <v>0</v>
          </cell>
          <cell r="D80" t="str">
            <v>1100-13303-00</v>
          </cell>
        </row>
        <row r="81">
          <cell r="C81">
            <v>-2460649.4300000002</v>
          </cell>
          <cell r="D81" t="str">
            <v>1100-21111-00</v>
          </cell>
        </row>
        <row r="82">
          <cell r="C82">
            <v>0</v>
          </cell>
          <cell r="D82" t="str">
            <v>1100-21121-00</v>
          </cell>
        </row>
        <row r="83">
          <cell r="C83">
            <v>0</v>
          </cell>
          <cell r="D83" t="str">
            <v>1100-21210-00</v>
          </cell>
        </row>
        <row r="84">
          <cell r="C84">
            <v>0</v>
          </cell>
          <cell r="D84" t="str">
            <v>1100-21211-00</v>
          </cell>
        </row>
        <row r="85">
          <cell r="C85">
            <v>0</v>
          </cell>
          <cell r="D85" t="str">
            <v>1100-21212-00</v>
          </cell>
        </row>
        <row r="86">
          <cell r="C86">
            <v>-606996.06000000006</v>
          </cell>
          <cell r="D86" t="str">
            <v>1100-21215-00</v>
          </cell>
        </row>
        <row r="87">
          <cell r="C87">
            <v>0</v>
          </cell>
          <cell r="D87" t="str">
            <v>1100-21231-00</v>
          </cell>
        </row>
        <row r="88">
          <cell r="C88">
            <v>0</v>
          </cell>
          <cell r="D88" t="str">
            <v>1100-21232-00</v>
          </cell>
        </row>
        <row r="89">
          <cell r="C89">
            <v>-577501</v>
          </cell>
          <cell r="D89" t="str">
            <v>1100-21233-00</v>
          </cell>
        </row>
        <row r="90">
          <cell r="C90">
            <v>0</v>
          </cell>
          <cell r="D90" t="str">
            <v>1100-21311-00</v>
          </cell>
        </row>
        <row r="91">
          <cell r="C91">
            <v>0</v>
          </cell>
          <cell r="D91" t="str">
            <v>1100-21325-00</v>
          </cell>
        </row>
        <row r="92">
          <cell r="C92">
            <v>-170000</v>
          </cell>
          <cell r="D92" t="str">
            <v>1100-21333-00</v>
          </cell>
        </row>
        <row r="93">
          <cell r="C93">
            <v>0</v>
          </cell>
          <cell r="D93" t="str">
            <v>1100-21411-00</v>
          </cell>
        </row>
        <row r="94">
          <cell r="C94">
            <v>0</v>
          </cell>
          <cell r="D94" t="str">
            <v>1100-21412-00</v>
          </cell>
        </row>
        <row r="95">
          <cell r="C95">
            <v>0</v>
          </cell>
          <cell r="D95" t="str">
            <v>1100-21611-00</v>
          </cell>
        </row>
        <row r="96">
          <cell r="C96">
            <v>0</v>
          </cell>
          <cell r="D96" t="str">
            <v>1100-21621-00</v>
          </cell>
        </row>
        <row r="97">
          <cell r="C97">
            <v>-2981834.81</v>
          </cell>
          <cell r="D97" t="str">
            <v>1100-21656-00</v>
          </cell>
        </row>
        <row r="98">
          <cell r="C98">
            <v>0</v>
          </cell>
          <cell r="D98" t="str">
            <v>1100-21711-00</v>
          </cell>
        </row>
        <row r="99">
          <cell r="C99">
            <v>0</v>
          </cell>
          <cell r="D99" t="str">
            <v>1100-21720-00</v>
          </cell>
        </row>
        <row r="100">
          <cell r="C100">
            <v>0</v>
          </cell>
          <cell r="D100" t="str">
            <v>1100-21721-00</v>
          </cell>
        </row>
        <row r="101">
          <cell r="C101">
            <v>0</v>
          </cell>
          <cell r="D101" t="str">
            <v>1100-21722-00</v>
          </cell>
        </row>
        <row r="102">
          <cell r="C102">
            <v>0</v>
          </cell>
          <cell r="D102" t="str">
            <v>1100-22005-00</v>
          </cell>
        </row>
        <row r="103">
          <cell r="C103">
            <v>0</v>
          </cell>
          <cell r="D103" t="str">
            <v>1100-22010-00</v>
          </cell>
        </row>
        <row r="104">
          <cell r="C104">
            <v>0</v>
          </cell>
          <cell r="D104" t="str">
            <v>1100-22012-00</v>
          </cell>
        </row>
        <row r="105">
          <cell r="C105">
            <v>0</v>
          </cell>
          <cell r="D105" t="str">
            <v>1100-22013-00</v>
          </cell>
        </row>
        <row r="106">
          <cell r="C106">
            <v>0</v>
          </cell>
          <cell r="D106" t="str">
            <v>1100-22017-00</v>
          </cell>
        </row>
        <row r="107">
          <cell r="C107">
            <v>0</v>
          </cell>
          <cell r="D107" t="str">
            <v>1100-22018-00</v>
          </cell>
        </row>
        <row r="108">
          <cell r="C108">
            <v>0</v>
          </cell>
          <cell r="D108" t="str">
            <v>1100-22040-00</v>
          </cell>
        </row>
        <row r="109">
          <cell r="C109">
            <v>0</v>
          </cell>
          <cell r="D109" t="str">
            <v>1100-22041-00</v>
          </cell>
        </row>
        <row r="110">
          <cell r="C110">
            <v>-71690150</v>
          </cell>
          <cell r="D110" t="str">
            <v>1100-22306-00</v>
          </cell>
        </row>
        <row r="111">
          <cell r="C111">
            <v>-225000000</v>
          </cell>
          <cell r="D111" t="str">
            <v>1100-22308-00</v>
          </cell>
        </row>
        <row r="112">
          <cell r="C112">
            <v>0</v>
          </cell>
          <cell r="D112" t="str">
            <v>1100-22447-00</v>
          </cell>
        </row>
        <row r="113">
          <cell r="C113">
            <v>0</v>
          </cell>
          <cell r="D113" t="str">
            <v>1100-22448-00</v>
          </cell>
        </row>
        <row r="114">
          <cell r="C114">
            <v>0</v>
          </cell>
          <cell r="D114" t="str">
            <v>1100-22449-00</v>
          </cell>
        </row>
        <row r="115">
          <cell r="C115">
            <v>-89833390</v>
          </cell>
          <cell r="D115" t="str">
            <v>1100-31111-00</v>
          </cell>
        </row>
        <row r="116">
          <cell r="C116">
            <v>0</v>
          </cell>
          <cell r="D116" t="str">
            <v>1100-31112-00</v>
          </cell>
        </row>
        <row r="117">
          <cell r="C117">
            <v>-29142285.670000002</v>
          </cell>
          <cell r="D117" t="str">
            <v>1100-31211-00</v>
          </cell>
        </row>
        <row r="118">
          <cell r="C118">
            <v>0</v>
          </cell>
          <cell r="D118" t="str">
            <v>1100-31314-00</v>
          </cell>
        </row>
        <row r="119">
          <cell r="C119">
            <v>72914469.260000005</v>
          </cell>
          <cell r="D119" t="str">
            <v>1100-31410-00</v>
          </cell>
        </row>
        <row r="120">
          <cell r="C120">
            <v>-33255046.039999999</v>
          </cell>
          <cell r="D120" t="str">
            <v>1100-41001-00</v>
          </cell>
        </row>
        <row r="121">
          <cell r="C121">
            <v>0</v>
          </cell>
          <cell r="D121" t="str">
            <v>1100-41003-00</v>
          </cell>
        </row>
        <row r="122">
          <cell r="C122">
            <v>0</v>
          </cell>
          <cell r="D122" t="str">
            <v>1100-41501-00</v>
          </cell>
        </row>
        <row r="123">
          <cell r="C123">
            <v>-24197054.829999998</v>
          </cell>
          <cell r="D123" t="str">
            <v>1100-41902-00</v>
          </cell>
        </row>
        <row r="124">
          <cell r="C124">
            <v>0</v>
          </cell>
          <cell r="D124" t="str">
            <v>1100-43001-00</v>
          </cell>
        </row>
        <row r="125">
          <cell r="C125">
            <v>0</v>
          </cell>
          <cell r="D125" t="str">
            <v>1100-43506-00</v>
          </cell>
        </row>
        <row r="126">
          <cell r="C126">
            <v>-40000</v>
          </cell>
          <cell r="D126" t="str">
            <v>1100-46001-00</v>
          </cell>
        </row>
        <row r="127">
          <cell r="C127">
            <v>0</v>
          </cell>
          <cell r="D127" t="str">
            <v>1100-46012-00</v>
          </cell>
        </row>
        <row r="128">
          <cell r="C128">
            <v>770702.86</v>
          </cell>
          <cell r="D128" t="str">
            <v>1100-41906-00</v>
          </cell>
        </row>
        <row r="129">
          <cell r="C129">
            <v>650000</v>
          </cell>
          <cell r="D129" t="str">
            <v>1100-52201-00</v>
          </cell>
        </row>
        <row r="130">
          <cell r="C130">
            <v>125000</v>
          </cell>
          <cell r="D130" t="str">
            <v>1100-52202-OA</v>
          </cell>
        </row>
        <row r="131">
          <cell r="C131">
            <v>330000</v>
          </cell>
          <cell r="D131" t="str">
            <v>1100-72999-00</v>
          </cell>
        </row>
        <row r="132">
          <cell r="C132">
            <v>588616.5</v>
          </cell>
          <cell r="D132" t="str">
            <v>1100-75000-00</v>
          </cell>
        </row>
        <row r="133">
          <cell r="C133">
            <v>8600000</v>
          </cell>
          <cell r="D133" t="str">
            <v>1100-81111-00</v>
          </cell>
        </row>
        <row r="134">
          <cell r="C134">
            <v>339000</v>
          </cell>
          <cell r="D134" t="str">
            <v>1100-90101-OA</v>
          </cell>
        </row>
        <row r="135">
          <cell r="C135">
            <v>52500</v>
          </cell>
          <cell r="D135" t="str">
            <v>1100-91111-00</v>
          </cell>
        </row>
        <row r="136">
          <cell r="C136">
            <v>0</v>
          </cell>
          <cell r="D136" t="str">
            <v>1100-91114-00</v>
          </cell>
        </row>
        <row r="137">
          <cell r="C137">
            <v>0</v>
          </cell>
          <cell r="D137" t="str">
            <v>1100-91321-00</v>
          </cell>
        </row>
        <row r="138">
          <cell r="C138">
            <v>12510000</v>
          </cell>
          <cell r="D138" t="str">
            <v>1100-91329-00</v>
          </cell>
        </row>
        <row r="139">
          <cell r="C139">
            <v>0</v>
          </cell>
          <cell r="D139" t="str">
            <v>1100-99997-00</v>
          </cell>
        </row>
        <row r="140">
          <cell r="C140">
            <v>1767313.74</v>
          </cell>
          <cell r="D140" t="str">
            <v>1101-51001-00</v>
          </cell>
        </row>
        <row r="141">
          <cell r="C141">
            <v>27553.75</v>
          </cell>
          <cell r="D141" t="str">
            <v>1101-51002-00</v>
          </cell>
        </row>
        <row r="142">
          <cell r="C142">
            <v>283976</v>
          </cell>
          <cell r="D142" t="str">
            <v>1101-61211-OA</v>
          </cell>
        </row>
        <row r="143">
          <cell r="C143">
            <v>0</v>
          </cell>
          <cell r="D143" t="str">
            <v>1101-71111-MM</v>
          </cell>
        </row>
        <row r="144">
          <cell r="C144">
            <v>65000</v>
          </cell>
          <cell r="D144" t="str">
            <v>1101-71111-OA</v>
          </cell>
        </row>
        <row r="145">
          <cell r="C145">
            <v>0</v>
          </cell>
          <cell r="D145" t="str">
            <v>1101-71211-MM</v>
          </cell>
        </row>
        <row r="146">
          <cell r="C146">
            <v>100000</v>
          </cell>
          <cell r="D146" t="str">
            <v>1101-71211-OA</v>
          </cell>
        </row>
        <row r="147">
          <cell r="C147">
            <v>0</v>
          </cell>
          <cell r="D147" t="str">
            <v>1101-71224-OA</v>
          </cell>
        </row>
        <row r="148">
          <cell r="C148">
            <v>0</v>
          </cell>
          <cell r="D148" t="str">
            <v>1101-71225-OA</v>
          </cell>
        </row>
        <row r="149">
          <cell r="C149">
            <v>11000</v>
          </cell>
          <cell r="D149" t="str">
            <v>1101-71231-OA</v>
          </cell>
        </row>
        <row r="150">
          <cell r="C150">
            <v>0</v>
          </cell>
          <cell r="D150" t="str">
            <v>1101-71331-MM</v>
          </cell>
        </row>
        <row r="151">
          <cell r="C151">
            <v>0</v>
          </cell>
          <cell r="D151" t="str">
            <v>1101-71331-OA</v>
          </cell>
        </row>
        <row r="152">
          <cell r="C152">
            <v>8500</v>
          </cell>
          <cell r="D152" t="str">
            <v>1101-71701-OA</v>
          </cell>
        </row>
        <row r="153">
          <cell r="C153">
            <v>0</v>
          </cell>
          <cell r="D153" t="str">
            <v>1101-71731-MM</v>
          </cell>
        </row>
        <row r="154">
          <cell r="C154">
            <v>1000</v>
          </cell>
          <cell r="D154" t="str">
            <v>1101-71732-OA</v>
          </cell>
        </row>
        <row r="155">
          <cell r="C155">
            <v>0</v>
          </cell>
          <cell r="D155" t="str">
            <v>1101-77611-MM</v>
          </cell>
        </row>
        <row r="156">
          <cell r="C156">
            <v>0</v>
          </cell>
          <cell r="D156" t="str">
            <v>1101-77611-OA</v>
          </cell>
        </row>
        <row r="157">
          <cell r="C157">
            <v>0</v>
          </cell>
          <cell r="D157" t="str">
            <v>1101-78611-OA</v>
          </cell>
        </row>
        <row r="158">
          <cell r="C158">
            <v>0</v>
          </cell>
          <cell r="D158" t="str">
            <v>1101-80111-OA</v>
          </cell>
        </row>
        <row r="159">
          <cell r="C159">
            <v>589104.57999999996</v>
          </cell>
          <cell r="D159" t="str">
            <v>1102-51001-00</v>
          </cell>
        </row>
        <row r="160">
          <cell r="C160">
            <v>72466</v>
          </cell>
          <cell r="D160" t="str">
            <v>1102-61211-OA</v>
          </cell>
        </row>
        <row r="161">
          <cell r="C161">
            <v>0</v>
          </cell>
          <cell r="D161" t="str">
            <v>1102-71111-MM</v>
          </cell>
        </row>
        <row r="162">
          <cell r="C162">
            <v>25000</v>
          </cell>
          <cell r="D162" t="str">
            <v>1102-71111-OA</v>
          </cell>
        </row>
        <row r="163">
          <cell r="C163">
            <v>0</v>
          </cell>
          <cell r="D163" t="str">
            <v>1102-71211-MM</v>
          </cell>
        </row>
        <row r="164">
          <cell r="C164">
            <v>27000</v>
          </cell>
          <cell r="D164" t="str">
            <v>1102-71211-OA</v>
          </cell>
        </row>
        <row r="165">
          <cell r="C165">
            <v>0</v>
          </cell>
          <cell r="D165" t="str">
            <v>1102-71225-MM</v>
          </cell>
        </row>
        <row r="166">
          <cell r="C166">
            <v>0</v>
          </cell>
          <cell r="D166" t="str">
            <v>1102-71225-OA</v>
          </cell>
        </row>
        <row r="167">
          <cell r="C167">
            <v>11000</v>
          </cell>
          <cell r="D167" t="str">
            <v>1102-71231-OA</v>
          </cell>
        </row>
        <row r="168">
          <cell r="C168">
            <v>0</v>
          </cell>
          <cell r="D168" t="str">
            <v>1102-71331-MM</v>
          </cell>
        </row>
        <row r="169">
          <cell r="C169">
            <v>0</v>
          </cell>
          <cell r="D169" t="str">
            <v>1102-71331-OA</v>
          </cell>
        </row>
        <row r="170">
          <cell r="C170">
            <v>0</v>
          </cell>
          <cell r="D170" t="str">
            <v>1102-71621-OA</v>
          </cell>
        </row>
        <row r="171">
          <cell r="C171">
            <v>3000</v>
          </cell>
          <cell r="D171" t="str">
            <v>1102-71701-OA</v>
          </cell>
        </row>
        <row r="172">
          <cell r="C172">
            <v>1000</v>
          </cell>
          <cell r="D172" t="str">
            <v>1102-71732-OA</v>
          </cell>
        </row>
        <row r="173">
          <cell r="C173">
            <v>0</v>
          </cell>
          <cell r="D173" t="str">
            <v>1102-77611-MM</v>
          </cell>
        </row>
        <row r="174">
          <cell r="C174">
            <v>0</v>
          </cell>
          <cell r="D174" t="str">
            <v>1102-77611-OA</v>
          </cell>
        </row>
        <row r="175">
          <cell r="C175">
            <v>0</v>
          </cell>
          <cell r="D175" t="str">
            <v>1102-78611-OA</v>
          </cell>
        </row>
        <row r="176">
          <cell r="C176">
            <v>0</v>
          </cell>
          <cell r="D176" t="str">
            <v>1102-80111-OA</v>
          </cell>
        </row>
        <row r="177">
          <cell r="C177">
            <v>1570945.54</v>
          </cell>
          <cell r="D177" t="str">
            <v>1103-51001-00</v>
          </cell>
        </row>
        <row r="178">
          <cell r="C178">
            <v>49659.07</v>
          </cell>
          <cell r="D178" t="str">
            <v>1103-51002-00</v>
          </cell>
        </row>
        <row r="179">
          <cell r="C179">
            <v>50000</v>
          </cell>
          <cell r="D179" t="str">
            <v>1103-51003-00</v>
          </cell>
        </row>
        <row r="180">
          <cell r="C180">
            <v>375811</v>
          </cell>
          <cell r="D180" t="str">
            <v>1103-61211-OA</v>
          </cell>
        </row>
        <row r="181">
          <cell r="C181">
            <v>0</v>
          </cell>
          <cell r="D181" t="str">
            <v>1103-71111-MM</v>
          </cell>
        </row>
        <row r="182">
          <cell r="C182">
            <v>75000</v>
          </cell>
          <cell r="D182" t="str">
            <v>1103-71111-OA</v>
          </cell>
        </row>
        <row r="183">
          <cell r="C183">
            <v>0</v>
          </cell>
          <cell r="D183" t="str">
            <v>1103-71211-MM</v>
          </cell>
        </row>
        <row r="184">
          <cell r="C184">
            <v>59000</v>
          </cell>
          <cell r="D184" t="str">
            <v>1103-71211-OA</v>
          </cell>
        </row>
        <row r="185">
          <cell r="C185">
            <v>0</v>
          </cell>
          <cell r="D185" t="str">
            <v>1103-71224-OA</v>
          </cell>
        </row>
        <row r="186">
          <cell r="C186">
            <v>0</v>
          </cell>
          <cell r="D186" t="str">
            <v>1103-71225-MM</v>
          </cell>
        </row>
        <row r="187">
          <cell r="C187">
            <v>0</v>
          </cell>
          <cell r="D187" t="str">
            <v>1103-71225-OA</v>
          </cell>
        </row>
        <row r="188">
          <cell r="C188">
            <v>11000</v>
          </cell>
          <cell r="D188" t="str">
            <v>1103-71231-OA</v>
          </cell>
        </row>
        <row r="189">
          <cell r="C189">
            <v>0</v>
          </cell>
          <cell r="D189" t="str">
            <v>1103-71331-MM</v>
          </cell>
        </row>
        <row r="190">
          <cell r="C190">
            <v>0</v>
          </cell>
          <cell r="D190" t="str">
            <v>1103-71331-OA</v>
          </cell>
        </row>
        <row r="191">
          <cell r="C191">
            <v>0</v>
          </cell>
          <cell r="D191" t="str">
            <v>1103-71621-MM</v>
          </cell>
        </row>
        <row r="192">
          <cell r="C192">
            <v>0</v>
          </cell>
          <cell r="D192" t="str">
            <v>1103-71621-OA</v>
          </cell>
        </row>
        <row r="193">
          <cell r="C193">
            <v>15000</v>
          </cell>
          <cell r="D193" t="str">
            <v>1103-71701-OA</v>
          </cell>
        </row>
        <row r="194">
          <cell r="C194">
            <v>1000</v>
          </cell>
          <cell r="D194" t="str">
            <v>1103-71732-OA</v>
          </cell>
        </row>
        <row r="195">
          <cell r="C195">
            <v>0</v>
          </cell>
          <cell r="D195" t="str">
            <v>1103-77611-MM</v>
          </cell>
        </row>
        <row r="196">
          <cell r="C196">
            <v>0</v>
          </cell>
          <cell r="D196" t="str">
            <v>1103-77611-OA</v>
          </cell>
        </row>
        <row r="197">
          <cell r="C197">
            <v>0</v>
          </cell>
          <cell r="D197" t="str">
            <v>1103-78611-OA</v>
          </cell>
        </row>
        <row r="198">
          <cell r="C198">
            <v>0</v>
          </cell>
          <cell r="D198" t="str">
            <v>1103-80111-OA</v>
          </cell>
        </row>
        <row r="199">
          <cell r="C199">
            <v>0</v>
          </cell>
          <cell r="D199" t="str">
            <v>1104-51001-00</v>
          </cell>
        </row>
        <row r="200">
          <cell r="C200">
            <v>173093.12</v>
          </cell>
          <cell r="D200" t="str">
            <v>1121-51001-00</v>
          </cell>
        </row>
        <row r="201">
          <cell r="C201">
            <v>367114.56</v>
          </cell>
          <cell r="D201" t="str">
            <v>1121-51002-00</v>
          </cell>
        </row>
        <row r="202">
          <cell r="C202">
            <v>23500</v>
          </cell>
          <cell r="D202" t="str">
            <v>1121-51003-00</v>
          </cell>
        </row>
        <row r="203">
          <cell r="C203">
            <v>16866</v>
          </cell>
          <cell r="D203" t="str">
            <v>1121-61211-OA</v>
          </cell>
        </row>
        <row r="204">
          <cell r="C204">
            <v>60000</v>
          </cell>
          <cell r="D204" t="str">
            <v>1121-71111-OA</v>
          </cell>
        </row>
        <row r="205">
          <cell r="C205">
            <v>0</v>
          </cell>
          <cell r="D205" t="str">
            <v>1121-71211-MM</v>
          </cell>
        </row>
        <row r="206">
          <cell r="C206">
            <v>13000</v>
          </cell>
          <cell r="D206" t="str">
            <v>1121-71211-OA</v>
          </cell>
        </row>
        <row r="207">
          <cell r="C207">
            <v>0</v>
          </cell>
          <cell r="D207" t="str">
            <v>1121-71225-OA</v>
          </cell>
        </row>
        <row r="208">
          <cell r="C208">
            <v>0</v>
          </cell>
          <cell r="D208" t="str">
            <v>1121-71331-MM</v>
          </cell>
        </row>
        <row r="209">
          <cell r="C209">
            <v>5000</v>
          </cell>
          <cell r="D209" t="str">
            <v>1121-71331-OA</v>
          </cell>
        </row>
        <row r="210">
          <cell r="C210">
            <v>765000</v>
          </cell>
          <cell r="D210" t="str">
            <v>1121-71412-OA</v>
          </cell>
        </row>
        <row r="211">
          <cell r="C211">
            <v>0</v>
          </cell>
          <cell r="D211" t="str">
            <v>1121-71701-OA</v>
          </cell>
        </row>
        <row r="212">
          <cell r="C212">
            <v>0</v>
          </cell>
          <cell r="D212" t="str">
            <v>1121-77611-OA</v>
          </cell>
        </row>
        <row r="213">
          <cell r="C213">
            <v>38305.230000000003</v>
          </cell>
          <cell r="D213" t="str">
            <v>1122-51002-00</v>
          </cell>
        </row>
        <row r="214">
          <cell r="C214">
            <v>3000</v>
          </cell>
          <cell r="D214" t="str">
            <v>1122-61211-OA</v>
          </cell>
        </row>
        <row r="215">
          <cell r="C215">
            <v>0</v>
          </cell>
          <cell r="D215" t="str">
            <v>1122-71111-MM</v>
          </cell>
        </row>
        <row r="216">
          <cell r="C216">
            <v>0</v>
          </cell>
          <cell r="D216" t="str">
            <v>1122-71331-MM</v>
          </cell>
        </row>
        <row r="217">
          <cell r="C217">
            <v>0</v>
          </cell>
          <cell r="D217" t="str">
            <v>1122-71412-OA</v>
          </cell>
        </row>
        <row r="218">
          <cell r="C218">
            <v>0</v>
          </cell>
          <cell r="D218" t="str">
            <v>1122-71701-OA</v>
          </cell>
        </row>
        <row r="219">
          <cell r="C219">
            <v>0</v>
          </cell>
          <cell r="D219" t="str">
            <v>1122-71731-OA</v>
          </cell>
        </row>
        <row r="220">
          <cell r="C220">
            <v>0</v>
          </cell>
          <cell r="D220" t="str">
            <v>1122-77611-MM</v>
          </cell>
        </row>
        <row r="221">
          <cell r="C221">
            <v>0</v>
          </cell>
          <cell r="D221" t="str">
            <v>1122-77611-OA</v>
          </cell>
        </row>
        <row r="222">
          <cell r="C222">
            <v>50863.67</v>
          </cell>
          <cell r="D222" t="str">
            <v>1123-51002-00</v>
          </cell>
        </row>
        <row r="223">
          <cell r="C223">
            <v>3000</v>
          </cell>
          <cell r="D223" t="str">
            <v>1123-61211-OA</v>
          </cell>
        </row>
        <row r="224">
          <cell r="C224">
            <v>0</v>
          </cell>
          <cell r="D224" t="str">
            <v>1123-71111-MM</v>
          </cell>
        </row>
        <row r="225">
          <cell r="C225">
            <v>0</v>
          </cell>
          <cell r="D225" t="str">
            <v>1123-71211-MM</v>
          </cell>
        </row>
        <row r="226">
          <cell r="C226">
            <v>0</v>
          </cell>
          <cell r="D226" t="str">
            <v>1123-71331-MM</v>
          </cell>
        </row>
        <row r="227">
          <cell r="C227">
            <v>0</v>
          </cell>
          <cell r="D227" t="str">
            <v>1123-71412-OA</v>
          </cell>
        </row>
        <row r="228">
          <cell r="C228">
            <v>0</v>
          </cell>
          <cell r="D228" t="str">
            <v>1123-71701-OA</v>
          </cell>
        </row>
        <row r="229">
          <cell r="C229">
            <v>0</v>
          </cell>
          <cell r="D229" t="str">
            <v>1123-71731-OA</v>
          </cell>
        </row>
        <row r="230">
          <cell r="C230">
            <v>0</v>
          </cell>
          <cell r="D230" t="str">
            <v>1123-77611-OA</v>
          </cell>
        </row>
        <row r="231">
          <cell r="C231">
            <v>537000</v>
          </cell>
          <cell r="D231" t="str">
            <v>1131-61212-OA</v>
          </cell>
        </row>
        <row r="232">
          <cell r="C232">
            <v>0</v>
          </cell>
          <cell r="D232" t="str">
            <v>1131-71225-OA</v>
          </cell>
        </row>
        <row r="233">
          <cell r="C233">
            <v>0</v>
          </cell>
          <cell r="D233" t="str">
            <v>1131-71331-MM</v>
          </cell>
        </row>
        <row r="234">
          <cell r="C234">
            <v>0</v>
          </cell>
          <cell r="D234" t="str">
            <v>1131-71331-OA</v>
          </cell>
        </row>
        <row r="235">
          <cell r="C235">
            <v>3000</v>
          </cell>
          <cell r="D235" t="str">
            <v>1131-71701-OA</v>
          </cell>
        </row>
        <row r="236">
          <cell r="C236">
            <v>2000</v>
          </cell>
          <cell r="D236" t="str">
            <v>1131-71732-OA</v>
          </cell>
        </row>
        <row r="237">
          <cell r="C237">
            <v>0</v>
          </cell>
          <cell r="D237" t="str">
            <v>1131-77611-OA</v>
          </cell>
        </row>
        <row r="238">
          <cell r="C238">
            <v>0</v>
          </cell>
          <cell r="D238" t="str">
            <v>1131-78611-OA</v>
          </cell>
        </row>
        <row r="239">
          <cell r="C239">
            <v>0</v>
          </cell>
          <cell r="D239" t="str">
            <v>1131-80111-OA</v>
          </cell>
        </row>
        <row r="240">
          <cell r="C240">
            <v>68466</v>
          </cell>
          <cell r="D240" t="str">
            <v>1134-61211-OA</v>
          </cell>
        </row>
        <row r="241">
          <cell r="C241">
            <v>0</v>
          </cell>
          <cell r="D241" t="str">
            <v>1134-71111-MM</v>
          </cell>
        </row>
        <row r="242">
          <cell r="C242">
            <v>80000</v>
          </cell>
          <cell r="D242" t="str">
            <v>1134-71111-OA</v>
          </cell>
        </row>
        <row r="243">
          <cell r="C243">
            <v>0</v>
          </cell>
          <cell r="D243" t="str">
            <v>1134-71211-MM</v>
          </cell>
        </row>
        <row r="244">
          <cell r="C244">
            <v>46000</v>
          </cell>
          <cell r="D244" t="str">
            <v>1134-71211-OA</v>
          </cell>
        </row>
        <row r="245">
          <cell r="C245">
            <v>0</v>
          </cell>
          <cell r="D245" t="str">
            <v>1134-71225-MM</v>
          </cell>
        </row>
        <row r="246">
          <cell r="C246">
            <v>0</v>
          </cell>
          <cell r="D246" t="str">
            <v>1134-71225-OA</v>
          </cell>
        </row>
        <row r="247">
          <cell r="C247">
            <v>0</v>
          </cell>
          <cell r="D247" t="str">
            <v>1134-71331-MM</v>
          </cell>
        </row>
        <row r="248">
          <cell r="C248">
            <v>10000</v>
          </cell>
          <cell r="D248" t="str">
            <v>1134-71331-OA</v>
          </cell>
        </row>
        <row r="249">
          <cell r="C249">
            <v>0</v>
          </cell>
          <cell r="D249" t="str">
            <v>1134-71621-MM</v>
          </cell>
        </row>
        <row r="250">
          <cell r="C250">
            <v>0</v>
          </cell>
          <cell r="D250" t="str">
            <v>1134-71621-OA</v>
          </cell>
        </row>
        <row r="251">
          <cell r="C251">
            <v>0</v>
          </cell>
          <cell r="D251" t="str">
            <v>1134-71701-OA</v>
          </cell>
        </row>
        <row r="252">
          <cell r="C252">
            <v>0</v>
          </cell>
          <cell r="D252" t="str">
            <v>1134-77611-MM</v>
          </cell>
        </row>
        <row r="253">
          <cell r="C253">
            <v>0</v>
          </cell>
          <cell r="D253" t="str">
            <v>1134-77611-OA</v>
          </cell>
        </row>
        <row r="254">
          <cell r="C254">
            <v>0</v>
          </cell>
          <cell r="D254" t="str">
            <v>1134-78611-OA</v>
          </cell>
        </row>
        <row r="255">
          <cell r="C255">
            <v>0</v>
          </cell>
          <cell r="D255" t="str">
            <v>1134-80111-OA</v>
          </cell>
        </row>
        <row r="256">
          <cell r="C256">
            <v>-84300</v>
          </cell>
          <cell r="D256" t="str">
            <v>1151-46101-00</v>
          </cell>
        </row>
        <row r="257">
          <cell r="C257">
            <v>-176900</v>
          </cell>
          <cell r="D257" t="str">
            <v>1151-46102-00</v>
          </cell>
        </row>
        <row r="258">
          <cell r="C258">
            <v>-27000</v>
          </cell>
          <cell r="D258" t="str">
            <v>1151-46104-00</v>
          </cell>
        </row>
        <row r="259">
          <cell r="C259">
            <v>1050000</v>
          </cell>
          <cell r="D259" t="str">
            <v>1151-61111-OA</v>
          </cell>
        </row>
        <row r="260">
          <cell r="C260">
            <v>0</v>
          </cell>
          <cell r="D260" t="str">
            <v>1151-63111-OA</v>
          </cell>
        </row>
        <row r="261">
          <cell r="C261">
            <v>0</v>
          </cell>
          <cell r="D261" t="str">
            <v>1151-63131-OA</v>
          </cell>
        </row>
        <row r="262">
          <cell r="C262">
            <v>0</v>
          </cell>
          <cell r="D262" t="str">
            <v>1151-71181-OA</v>
          </cell>
        </row>
        <row r="263">
          <cell r="C263">
            <v>0</v>
          </cell>
          <cell r="D263" t="str">
            <v>1151-71211-MM</v>
          </cell>
        </row>
        <row r="264">
          <cell r="C264">
            <v>0</v>
          </cell>
          <cell r="D264" t="str">
            <v>1151-71211-OA</v>
          </cell>
        </row>
        <row r="265">
          <cell r="C265">
            <v>0</v>
          </cell>
          <cell r="D265" t="str">
            <v>1151-71212-OA</v>
          </cell>
        </row>
        <row r="266">
          <cell r="C266">
            <v>6000</v>
          </cell>
          <cell r="D266" t="str">
            <v>1151-71213-OA</v>
          </cell>
        </row>
        <row r="267">
          <cell r="C267">
            <v>0</v>
          </cell>
          <cell r="D267" t="str">
            <v>1151-71225-OA</v>
          </cell>
        </row>
        <row r="268">
          <cell r="C268">
            <v>0</v>
          </cell>
          <cell r="D268" t="str">
            <v>1151-71231-OA</v>
          </cell>
        </row>
        <row r="269">
          <cell r="C269">
            <v>0</v>
          </cell>
          <cell r="D269" t="str">
            <v>1151-71331-MM</v>
          </cell>
        </row>
        <row r="270">
          <cell r="C270">
            <v>105000</v>
          </cell>
          <cell r="D270" t="str">
            <v>1151-71331-OA</v>
          </cell>
        </row>
        <row r="271">
          <cell r="C271">
            <v>0</v>
          </cell>
          <cell r="D271" t="str">
            <v>1151-71412-OA</v>
          </cell>
        </row>
        <row r="272">
          <cell r="C272">
            <v>7000</v>
          </cell>
          <cell r="D272" t="str">
            <v>1151-71442-OA</v>
          </cell>
        </row>
        <row r="273">
          <cell r="C273">
            <v>25000</v>
          </cell>
          <cell r="D273" t="str">
            <v>1151-71511-OA</v>
          </cell>
        </row>
        <row r="274">
          <cell r="C274">
            <v>0</v>
          </cell>
          <cell r="D274" t="str">
            <v>1151-71514-OA</v>
          </cell>
        </row>
        <row r="275">
          <cell r="C275">
            <v>4000</v>
          </cell>
          <cell r="D275" t="str">
            <v>1151-71611-OA</v>
          </cell>
        </row>
        <row r="276">
          <cell r="C276">
            <v>0</v>
          </cell>
          <cell r="D276" t="str">
            <v>1151-71613-OA</v>
          </cell>
        </row>
        <row r="277">
          <cell r="C277">
            <v>0</v>
          </cell>
          <cell r="D277" t="str">
            <v>1151-71621-MM</v>
          </cell>
        </row>
        <row r="278">
          <cell r="C278">
            <v>8000</v>
          </cell>
          <cell r="D278" t="str">
            <v>1151-71621-OA</v>
          </cell>
        </row>
        <row r="279">
          <cell r="C279">
            <v>0</v>
          </cell>
          <cell r="D279" t="str">
            <v>1151-71631-OA</v>
          </cell>
        </row>
        <row r="280">
          <cell r="C280">
            <v>0</v>
          </cell>
          <cell r="D280" t="str">
            <v>1151-71701-MM</v>
          </cell>
        </row>
        <row r="281">
          <cell r="C281">
            <v>31500</v>
          </cell>
          <cell r="D281" t="str">
            <v>1151-71701-OA</v>
          </cell>
        </row>
        <row r="282">
          <cell r="C282">
            <v>0</v>
          </cell>
          <cell r="D282" t="str">
            <v>1151-71731-MM</v>
          </cell>
        </row>
        <row r="283">
          <cell r="C283">
            <v>11000</v>
          </cell>
          <cell r="D283" t="str">
            <v>1151-71731-OA</v>
          </cell>
        </row>
        <row r="284">
          <cell r="C284">
            <v>0</v>
          </cell>
          <cell r="D284" t="str">
            <v>1151-71813-OA</v>
          </cell>
        </row>
        <row r="285">
          <cell r="C285">
            <v>0</v>
          </cell>
          <cell r="D285" t="str">
            <v>1151-71814-OA</v>
          </cell>
        </row>
        <row r="286">
          <cell r="C286">
            <v>130000</v>
          </cell>
          <cell r="D286" t="str">
            <v>1151-71818-OA</v>
          </cell>
        </row>
        <row r="287">
          <cell r="C287">
            <v>0</v>
          </cell>
          <cell r="D287" t="str">
            <v>1151-72311-OA</v>
          </cell>
        </row>
        <row r="288">
          <cell r="C288">
            <v>0</v>
          </cell>
          <cell r="D288" t="str">
            <v>1151-72814-MM</v>
          </cell>
        </row>
        <row r="289">
          <cell r="C289">
            <v>2689800</v>
          </cell>
          <cell r="D289" t="str">
            <v>1151-73111-MM</v>
          </cell>
        </row>
        <row r="290">
          <cell r="C290">
            <v>952000</v>
          </cell>
          <cell r="D290" t="str">
            <v>1151-73800-OA</v>
          </cell>
        </row>
        <row r="291">
          <cell r="C291">
            <v>217120</v>
          </cell>
          <cell r="D291" t="str">
            <v>1151-73902-OA</v>
          </cell>
        </row>
        <row r="292">
          <cell r="C292">
            <v>0</v>
          </cell>
          <cell r="D292" t="str">
            <v>1151-77611-MM</v>
          </cell>
        </row>
        <row r="293">
          <cell r="C293">
            <v>0</v>
          </cell>
          <cell r="D293" t="str">
            <v>1151-77611-OA</v>
          </cell>
        </row>
        <row r="294">
          <cell r="C294">
            <v>0</v>
          </cell>
          <cell r="D294" t="str">
            <v>1151-78611-OA</v>
          </cell>
        </row>
        <row r="295">
          <cell r="C295">
            <v>0</v>
          </cell>
          <cell r="D295" t="str">
            <v>1151-80111-OA</v>
          </cell>
        </row>
        <row r="296">
          <cell r="C296">
            <v>5000</v>
          </cell>
          <cell r="D296" t="str">
            <v>1153-71221-OA</v>
          </cell>
        </row>
        <row r="297">
          <cell r="C297">
            <v>0</v>
          </cell>
          <cell r="D297" t="str">
            <v>1153-71222-OA</v>
          </cell>
        </row>
        <row r="298">
          <cell r="C298">
            <v>5000</v>
          </cell>
          <cell r="D298" t="str">
            <v>1153-71223-OA</v>
          </cell>
        </row>
        <row r="299">
          <cell r="C299">
            <v>0</v>
          </cell>
          <cell r="D299" t="str">
            <v>1153-71224-OA</v>
          </cell>
        </row>
        <row r="300">
          <cell r="C300">
            <v>0</v>
          </cell>
          <cell r="D300" t="str">
            <v>1153-71225-OA</v>
          </cell>
        </row>
        <row r="301">
          <cell r="C301">
            <v>5000</v>
          </cell>
          <cell r="D301" t="str">
            <v>1153-71331-OA</v>
          </cell>
        </row>
        <row r="302">
          <cell r="C302">
            <v>0</v>
          </cell>
          <cell r="D302" t="str">
            <v>1154-71225-OA</v>
          </cell>
        </row>
        <row r="303">
          <cell r="C303">
            <v>22000</v>
          </cell>
          <cell r="D303" t="str">
            <v>1154-71611-OA</v>
          </cell>
        </row>
        <row r="304">
          <cell r="C304">
            <v>12000</v>
          </cell>
          <cell r="D304" t="str">
            <v>1154-71612-OA</v>
          </cell>
        </row>
        <row r="305">
          <cell r="C305">
            <v>8000</v>
          </cell>
          <cell r="D305" t="str">
            <v>1154-71613-OA</v>
          </cell>
        </row>
        <row r="306">
          <cell r="C306">
            <v>51600</v>
          </cell>
          <cell r="D306" t="str">
            <v>1154-71631-OA</v>
          </cell>
        </row>
        <row r="307">
          <cell r="C307">
            <v>0</v>
          </cell>
          <cell r="D307" t="str">
            <v>1154-77611-OA</v>
          </cell>
        </row>
        <row r="308">
          <cell r="C308">
            <v>168000</v>
          </cell>
          <cell r="D308" t="str">
            <v>1156-61131-OA</v>
          </cell>
        </row>
        <row r="309">
          <cell r="C309">
            <v>8500</v>
          </cell>
          <cell r="D309" t="str">
            <v>1156-61132-OA</v>
          </cell>
        </row>
        <row r="310">
          <cell r="C310">
            <v>5000</v>
          </cell>
          <cell r="D310" t="str">
            <v>1156-61151-OA</v>
          </cell>
        </row>
        <row r="311">
          <cell r="C311">
            <v>2500</v>
          </cell>
          <cell r="D311" t="str">
            <v>1156-61213-OA</v>
          </cell>
        </row>
        <row r="312">
          <cell r="C312">
            <v>59136</v>
          </cell>
          <cell r="D312" t="str">
            <v>1156-61214-OA</v>
          </cell>
        </row>
        <row r="313">
          <cell r="C313">
            <v>78325</v>
          </cell>
          <cell r="D313" t="str">
            <v>1156-62111-OA</v>
          </cell>
        </row>
        <row r="314">
          <cell r="C314">
            <v>47300</v>
          </cell>
          <cell r="D314" t="str">
            <v>1156-62121-OA</v>
          </cell>
        </row>
        <row r="315">
          <cell r="C315">
            <v>0</v>
          </cell>
          <cell r="D315" t="str">
            <v>1156-62122-OA</v>
          </cell>
        </row>
        <row r="316">
          <cell r="C316">
            <v>137500</v>
          </cell>
          <cell r="D316" t="str">
            <v>1156-62131-OA</v>
          </cell>
        </row>
        <row r="317">
          <cell r="C317">
            <v>19500</v>
          </cell>
          <cell r="D317" t="str">
            <v>1156-62141-OA</v>
          </cell>
        </row>
        <row r="318">
          <cell r="C318">
            <v>2608</v>
          </cell>
          <cell r="D318" t="str">
            <v>1156-62142-OA</v>
          </cell>
        </row>
        <row r="319">
          <cell r="C319">
            <v>323000</v>
          </cell>
          <cell r="D319" t="str">
            <v>1156-62151-OA</v>
          </cell>
        </row>
        <row r="320">
          <cell r="C320">
            <v>18700</v>
          </cell>
          <cell r="D320" t="str">
            <v>1156-62152-OA</v>
          </cell>
        </row>
        <row r="321">
          <cell r="C321">
            <v>31000</v>
          </cell>
          <cell r="D321" t="str">
            <v>1156-62153-OA</v>
          </cell>
        </row>
        <row r="322">
          <cell r="C322">
            <v>122500</v>
          </cell>
          <cell r="D322" t="str">
            <v>1156-62191-OA</v>
          </cell>
        </row>
        <row r="323">
          <cell r="C323">
            <v>10000</v>
          </cell>
          <cell r="D323" t="str">
            <v>1171-71111-OA</v>
          </cell>
        </row>
        <row r="324">
          <cell r="C324">
            <v>20000</v>
          </cell>
          <cell r="D324" t="str">
            <v>1171-71211-OA</v>
          </cell>
        </row>
        <row r="325">
          <cell r="C325">
            <v>30000</v>
          </cell>
          <cell r="D325" t="str">
            <v>1171-71331-OA</v>
          </cell>
        </row>
        <row r="326">
          <cell r="C326">
            <v>0</v>
          </cell>
          <cell r="D326" t="str">
            <v>1171-71621-OA</v>
          </cell>
        </row>
        <row r="327">
          <cell r="C327">
            <v>0</v>
          </cell>
          <cell r="D327" t="str">
            <v>1171-71701-OA</v>
          </cell>
        </row>
        <row r="328">
          <cell r="C328">
            <v>40000</v>
          </cell>
          <cell r="D328" t="str">
            <v>1174-61111-OA</v>
          </cell>
        </row>
        <row r="329">
          <cell r="C329">
            <v>20000</v>
          </cell>
          <cell r="D329" t="str">
            <v>1174-71211-OA</v>
          </cell>
        </row>
        <row r="330">
          <cell r="C330">
            <v>0</v>
          </cell>
          <cell r="D330" t="str">
            <v>1174-71225-OA</v>
          </cell>
        </row>
        <row r="331">
          <cell r="C331">
            <v>50000</v>
          </cell>
          <cell r="D331" t="str">
            <v>1174-71331-OA</v>
          </cell>
        </row>
        <row r="332">
          <cell r="C332">
            <v>0</v>
          </cell>
          <cell r="D332" t="str">
            <v>1174-71621-OA</v>
          </cell>
        </row>
        <row r="333">
          <cell r="C333">
            <v>5000</v>
          </cell>
          <cell r="D333" t="str">
            <v>1174-71701-OA</v>
          </cell>
        </row>
        <row r="334">
          <cell r="C334">
            <v>0</v>
          </cell>
          <cell r="D334" t="str">
            <v>1174-77611-OA</v>
          </cell>
        </row>
        <row r="335">
          <cell r="C335">
            <v>0</v>
          </cell>
          <cell r="D335" t="str">
            <v>1174-78611-OA</v>
          </cell>
        </row>
        <row r="336">
          <cell r="C336">
            <v>0</v>
          </cell>
          <cell r="D336" t="str">
            <v>1174-80111-OA</v>
          </cell>
        </row>
        <row r="337">
          <cell r="C337">
            <v>-127700</v>
          </cell>
          <cell r="D337" t="str">
            <v>1181-46101-00</v>
          </cell>
        </row>
        <row r="338">
          <cell r="C338">
            <v>-194100</v>
          </cell>
          <cell r="D338" t="str">
            <v>1181-46102-00</v>
          </cell>
        </row>
        <row r="339">
          <cell r="C339">
            <v>-12000</v>
          </cell>
          <cell r="D339" t="str">
            <v>1181-46105-00</v>
          </cell>
        </row>
        <row r="340">
          <cell r="C340">
            <v>170000</v>
          </cell>
          <cell r="D340" t="str">
            <v>1181-60100-OA</v>
          </cell>
        </row>
        <row r="341">
          <cell r="C341">
            <v>262500</v>
          </cell>
          <cell r="D341" t="str">
            <v>1181-61111-OA</v>
          </cell>
        </row>
        <row r="342">
          <cell r="C342">
            <v>52000</v>
          </cell>
          <cell r="D342" t="str">
            <v>1181-72111-OA</v>
          </cell>
        </row>
        <row r="343">
          <cell r="C343">
            <v>25000</v>
          </cell>
          <cell r="D343" t="str">
            <v>1181-72112-OA</v>
          </cell>
        </row>
        <row r="344">
          <cell r="C344">
            <v>10000</v>
          </cell>
          <cell r="D344" t="str">
            <v>1181-72131-OA</v>
          </cell>
        </row>
        <row r="345">
          <cell r="C345">
            <v>5000</v>
          </cell>
          <cell r="D345" t="str">
            <v>1181-72211-OA</v>
          </cell>
        </row>
        <row r="346">
          <cell r="C346">
            <v>0</v>
          </cell>
          <cell r="D346" t="str">
            <v>1181-72225-OA</v>
          </cell>
        </row>
        <row r="347">
          <cell r="C347">
            <v>80000</v>
          </cell>
          <cell r="D347" t="str">
            <v>1181-72311-OA</v>
          </cell>
        </row>
        <row r="348">
          <cell r="C348">
            <v>31000</v>
          </cell>
          <cell r="D348" t="str">
            <v>1181-72331-OA</v>
          </cell>
        </row>
        <row r="349">
          <cell r="C349">
            <v>0</v>
          </cell>
          <cell r="D349" t="str">
            <v>1181-72621-OA</v>
          </cell>
        </row>
        <row r="350">
          <cell r="C350">
            <v>5000</v>
          </cell>
          <cell r="D350" t="str">
            <v>1181-72701-OA</v>
          </cell>
        </row>
        <row r="351">
          <cell r="C351">
            <v>3000</v>
          </cell>
          <cell r="D351" t="str">
            <v>1181-72731-OA</v>
          </cell>
        </row>
        <row r="352">
          <cell r="C352">
            <v>205700</v>
          </cell>
          <cell r="D352" t="str">
            <v>1181-72811-OA</v>
          </cell>
        </row>
        <row r="353">
          <cell r="C353">
            <v>63000</v>
          </cell>
          <cell r="D353" t="str">
            <v>1181-72813-OA</v>
          </cell>
        </row>
        <row r="354">
          <cell r="C354">
            <v>69000</v>
          </cell>
          <cell r="D354" t="str">
            <v>1181-72814-OA</v>
          </cell>
        </row>
        <row r="355">
          <cell r="C355">
            <v>15000</v>
          </cell>
          <cell r="D355" t="str">
            <v>1182-61311-OA</v>
          </cell>
        </row>
        <row r="356">
          <cell r="C356">
            <v>15000</v>
          </cell>
          <cell r="D356" t="str">
            <v>1182-72181-OA</v>
          </cell>
        </row>
        <row r="357">
          <cell r="C357">
            <v>50000</v>
          </cell>
          <cell r="D357" t="str">
            <v>1182-72331-OA</v>
          </cell>
        </row>
        <row r="358">
          <cell r="C358">
            <v>17000</v>
          </cell>
          <cell r="D358" t="str">
            <v>1182-72514-OA</v>
          </cell>
        </row>
        <row r="359">
          <cell r="C359">
            <v>0</v>
          </cell>
          <cell r="D359" t="str">
            <v>1183-71211-MM</v>
          </cell>
        </row>
        <row r="360">
          <cell r="C360">
            <v>50000</v>
          </cell>
          <cell r="D360" t="str">
            <v>1183-71211-OA</v>
          </cell>
        </row>
        <row r="361">
          <cell r="C361">
            <v>0</v>
          </cell>
          <cell r="D361" t="str">
            <v>1183-71225-OA</v>
          </cell>
        </row>
        <row r="362">
          <cell r="C362">
            <v>70000</v>
          </cell>
          <cell r="D362" t="str">
            <v>1183-71331-OA</v>
          </cell>
        </row>
        <row r="363">
          <cell r="C363">
            <v>0</v>
          </cell>
          <cell r="D363" t="str">
            <v>1183-77611-OA</v>
          </cell>
        </row>
        <row r="364">
          <cell r="C364">
            <v>0</v>
          </cell>
          <cell r="D364" t="str">
            <v>1185-71331-MM</v>
          </cell>
        </row>
        <row r="365">
          <cell r="C365">
            <v>0</v>
          </cell>
          <cell r="D365" t="str">
            <v>1185-72311-OA</v>
          </cell>
        </row>
        <row r="366">
          <cell r="C366">
            <v>50000</v>
          </cell>
          <cell r="D366" t="str">
            <v>1185-72331-OA</v>
          </cell>
        </row>
        <row r="367">
          <cell r="C367">
            <v>65000</v>
          </cell>
          <cell r="D367" t="str">
            <v>1185-72512-OA</v>
          </cell>
        </row>
        <row r="368">
          <cell r="C368">
            <v>55000</v>
          </cell>
          <cell r="D368" t="str">
            <v>1185-72513-OA</v>
          </cell>
        </row>
        <row r="369">
          <cell r="C369">
            <v>100000</v>
          </cell>
          <cell r="D369" t="str">
            <v>1185-72518-OA</v>
          </cell>
        </row>
        <row r="370">
          <cell r="C370">
            <v>0</v>
          </cell>
          <cell r="D370" t="str">
            <v>1185-72701-OA</v>
          </cell>
        </row>
        <row r="371">
          <cell r="C371">
            <v>0</v>
          </cell>
          <cell r="D371" t="str">
            <v>1185-77611-OA</v>
          </cell>
        </row>
        <row r="372">
          <cell r="C372">
            <v>164000</v>
          </cell>
          <cell r="D372" t="str">
            <v>1186-63101-OA</v>
          </cell>
        </row>
        <row r="373">
          <cell r="C373">
            <v>0</v>
          </cell>
          <cell r="D373" t="str">
            <v>1186-63111-OA</v>
          </cell>
        </row>
        <row r="374">
          <cell r="C374">
            <v>0</v>
          </cell>
          <cell r="D374" t="str">
            <v>1186-71211-OA</v>
          </cell>
        </row>
        <row r="375">
          <cell r="C375">
            <v>0</v>
          </cell>
          <cell r="D375" t="str">
            <v>1186-71331-OA</v>
          </cell>
        </row>
        <row r="376">
          <cell r="C376">
            <v>0</v>
          </cell>
          <cell r="D376" t="str">
            <v>1186-71621-OA</v>
          </cell>
        </row>
        <row r="377">
          <cell r="C377">
            <v>0</v>
          </cell>
          <cell r="D377" t="str">
            <v>1186-71701-OA</v>
          </cell>
        </row>
        <row r="378">
          <cell r="C378">
            <v>0</v>
          </cell>
          <cell r="D378" t="str">
            <v>1186-71731-OA</v>
          </cell>
        </row>
        <row r="379">
          <cell r="C379">
            <v>0</v>
          </cell>
          <cell r="D379" t="str">
            <v>1186-77611-OA</v>
          </cell>
        </row>
        <row r="380">
          <cell r="C380">
            <v>0</v>
          </cell>
          <cell r="D380" t="str">
            <v>1192-46102-00</v>
          </cell>
        </row>
        <row r="381">
          <cell r="C381">
            <v>0</v>
          </cell>
          <cell r="D381" t="str">
            <v>1192-72111-SU</v>
          </cell>
        </row>
        <row r="382">
          <cell r="C382">
            <v>0</v>
          </cell>
          <cell r="D382" t="str">
            <v>1192-72211-SU</v>
          </cell>
        </row>
        <row r="383">
          <cell r="C383">
            <v>0</v>
          </cell>
          <cell r="D383" t="str">
            <v>1192-72311-OA</v>
          </cell>
        </row>
        <row r="384">
          <cell r="C384">
            <v>0</v>
          </cell>
          <cell r="D384" t="str">
            <v>1192-72311-SU</v>
          </cell>
        </row>
        <row r="385">
          <cell r="C385">
            <v>0</v>
          </cell>
          <cell r="D385" t="str">
            <v>1192-72331-OA</v>
          </cell>
        </row>
        <row r="386">
          <cell r="C386">
            <v>0</v>
          </cell>
          <cell r="D386" t="str">
            <v>1192-72331-SU</v>
          </cell>
        </row>
        <row r="387">
          <cell r="C387">
            <v>0</v>
          </cell>
          <cell r="D387" t="str">
            <v>1192-72515-OA</v>
          </cell>
        </row>
        <row r="388">
          <cell r="C388">
            <v>0</v>
          </cell>
          <cell r="D388" t="str">
            <v>1192-72518-SU</v>
          </cell>
        </row>
        <row r="389">
          <cell r="C389">
            <v>0</v>
          </cell>
          <cell r="D389" t="str">
            <v>1192-72621-SU</v>
          </cell>
        </row>
        <row r="390">
          <cell r="C390">
            <v>0</v>
          </cell>
          <cell r="D390" t="str">
            <v>1192-72701-SU</v>
          </cell>
        </row>
        <row r="391">
          <cell r="C391">
            <v>0</v>
          </cell>
          <cell r="D391" t="str">
            <v>1192-72731-SU</v>
          </cell>
        </row>
        <row r="392">
          <cell r="C392">
            <v>0</v>
          </cell>
          <cell r="D392" t="str">
            <v>1192-73800-OA</v>
          </cell>
        </row>
        <row r="393">
          <cell r="C393">
            <v>0</v>
          </cell>
          <cell r="D393" t="str">
            <v>1192-77611-SU</v>
          </cell>
        </row>
        <row r="395">
          <cell r="C395">
            <v>-7.0000020787119865E-2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CC25430</v>
          </cell>
          <cell r="O1">
            <v>0</v>
          </cell>
        </row>
        <row r="2">
          <cell r="A2" t="str">
            <v>PTOTAL</v>
          </cell>
          <cell r="O2">
            <v>0</v>
          </cell>
        </row>
        <row r="3">
          <cell r="A3" t="str">
            <v>CCAD</v>
          </cell>
          <cell r="O3">
            <v>0</v>
          </cell>
        </row>
        <row r="4">
          <cell r="A4" t="str">
            <v>OTHTOTAL</v>
          </cell>
          <cell r="O4">
            <v>0</v>
          </cell>
        </row>
        <row r="5">
          <cell r="A5" t="str">
            <v>DIM6SET</v>
          </cell>
          <cell r="O5">
            <v>0</v>
          </cell>
        </row>
        <row r="6">
          <cell r="A6">
            <v>0</v>
          </cell>
          <cell r="O6" t="str">
            <v>BYR15</v>
          </cell>
        </row>
        <row r="7">
          <cell r="A7">
            <v>0</v>
          </cell>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386977</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386977</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1550</v>
          </cell>
        </row>
        <row r="86">
          <cell r="A86" t="str">
            <v>A60406</v>
          </cell>
          <cell r="O86">
            <v>0</v>
          </cell>
        </row>
        <row r="87">
          <cell r="A87" t="str">
            <v>A60412</v>
          </cell>
          <cell r="O87">
            <v>0</v>
          </cell>
        </row>
        <row r="88">
          <cell r="A88" t="str">
            <v>P6040</v>
          </cell>
          <cell r="O88">
            <v>1550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2052</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2052</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829</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829</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1194</v>
          </cell>
        </row>
        <row r="270">
          <cell r="A270" t="str">
            <v>A70407</v>
          </cell>
          <cell r="O270">
            <v>0</v>
          </cell>
        </row>
        <row r="271">
          <cell r="A271" t="str">
            <v>A70409</v>
          </cell>
          <cell r="O271">
            <v>0</v>
          </cell>
        </row>
        <row r="272">
          <cell r="A272" t="str">
            <v>P7040</v>
          </cell>
          <cell r="O272">
            <v>1194</v>
          </cell>
        </row>
        <row r="273">
          <cell r="A273" t="str">
            <v>A70501</v>
          </cell>
          <cell r="O273">
            <v>1298</v>
          </cell>
        </row>
        <row r="274">
          <cell r="A274" t="str">
            <v>A70503</v>
          </cell>
          <cell r="O274">
            <v>2053</v>
          </cell>
        </row>
        <row r="275">
          <cell r="A275" t="str">
            <v>A70505</v>
          </cell>
          <cell r="O275">
            <v>715</v>
          </cell>
        </row>
        <row r="276">
          <cell r="A276" t="str">
            <v>A70507</v>
          </cell>
          <cell r="O276">
            <v>4175</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8241</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562</v>
          </cell>
        </row>
        <row r="306">
          <cell r="A306" t="str">
            <v>A70811</v>
          </cell>
          <cell r="O306">
            <v>0</v>
          </cell>
        </row>
        <row r="307">
          <cell r="A307" t="str">
            <v>P7080</v>
          </cell>
          <cell r="O307">
            <v>562</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0</v>
          </cell>
        </row>
        <row r="356">
          <cell r="A356" t="str">
            <v>A79958</v>
          </cell>
          <cell r="O356">
            <v>-5600</v>
          </cell>
        </row>
        <row r="357">
          <cell r="A357" t="str">
            <v>P7995</v>
          </cell>
          <cell r="O357">
            <v>-5600</v>
          </cell>
        </row>
        <row r="358">
          <cell r="A358" t="str">
            <v>OAPPP</v>
          </cell>
          <cell r="O358">
            <v>395805</v>
          </cell>
        </row>
        <row r="359">
          <cell r="O359">
            <v>0</v>
          </cell>
        </row>
        <row r="360">
          <cell r="A360" t="str">
            <v>QTAG</v>
          </cell>
          <cell r="O360">
            <v>0</v>
          </cell>
        </row>
      </sheetData>
      <sheetData sheetId="1">
        <row r="1">
          <cell r="O1">
            <v>0</v>
          </cell>
        </row>
        <row r="2">
          <cell r="O2">
            <v>0</v>
          </cell>
        </row>
        <row r="3">
          <cell r="O3">
            <v>0</v>
          </cell>
        </row>
        <row r="4">
          <cell r="O4">
            <v>0</v>
          </cell>
        </row>
        <row r="5">
          <cell r="O5">
            <v>0</v>
          </cell>
        </row>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268850.57</v>
          </cell>
        </row>
        <row r="42">
          <cell r="O42">
            <v>0</v>
          </cell>
        </row>
        <row r="43">
          <cell r="O43">
            <v>0</v>
          </cell>
        </row>
        <row r="44">
          <cell r="O44">
            <v>0</v>
          </cell>
        </row>
        <row r="45">
          <cell r="O45">
            <v>0</v>
          </cell>
        </row>
        <row r="46">
          <cell r="O46">
            <v>0</v>
          </cell>
        </row>
        <row r="47">
          <cell r="O47">
            <v>22682.27</v>
          </cell>
        </row>
        <row r="48">
          <cell r="O48">
            <v>27500</v>
          </cell>
        </row>
        <row r="49">
          <cell r="O49">
            <v>0</v>
          </cell>
        </row>
        <row r="50">
          <cell r="O50">
            <v>0</v>
          </cell>
        </row>
        <row r="51">
          <cell r="O51">
            <v>0</v>
          </cell>
        </row>
        <row r="52">
          <cell r="O52">
            <v>0</v>
          </cell>
        </row>
        <row r="53">
          <cell r="O53">
            <v>6743.91</v>
          </cell>
        </row>
        <row r="54">
          <cell r="O54">
            <v>15425.03</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341201.78</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270.02999999999997</v>
          </cell>
        </row>
        <row r="107">
          <cell r="O107">
            <v>0</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270.02999999999997</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2698.93</v>
          </cell>
        </row>
        <row r="126">
          <cell r="O126">
            <v>0</v>
          </cell>
        </row>
        <row r="127">
          <cell r="O127">
            <v>0</v>
          </cell>
        </row>
        <row r="128">
          <cell r="O128">
            <v>2698.93</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2502.71</v>
          </cell>
        </row>
        <row r="142">
          <cell r="O142">
            <v>0</v>
          </cell>
        </row>
        <row r="143">
          <cell r="O143">
            <v>0</v>
          </cell>
        </row>
        <row r="144">
          <cell r="O144">
            <v>2502.71</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72.260000000000005</v>
          </cell>
        </row>
        <row r="154">
          <cell r="O154">
            <v>0</v>
          </cell>
        </row>
        <row r="155">
          <cell r="O155">
            <v>0</v>
          </cell>
        </row>
        <row r="156">
          <cell r="O156">
            <v>0</v>
          </cell>
        </row>
        <row r="157">
          <cell r="O157">
            <v>0</v>
          </cell>
        </row>
        <row r="158">
          <cell r="O158">
            <v>72.260000000000005</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71.819999999999993</v>
          </cell>
        </row>
        <row r="171">
          <cell r="O171">
            <v>0</v>
          </cell>
        </row>
        <row r="172">
          <cell r="O172">
            <v>71.819999999999993</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1493.31</v>
          </cell>
        </row>
        <row r="270">
          <cell r="O270">
            <v>0</v>
          </cell>
        </row>
        <row r="271">
          <cell r="O271">
            <v>0</v>
          </cell>
        </row>
        <row r="272">
          <cell r="O272">
            <v>1493.31</v>
          </cell>
        </row>
        <row r="273">
          <cell r="O273">
            <v>950.91</v>
          </cell>
        </row>
        <row r="274">
          <cell r="O274">
            <v>459.43</v>
          </cell>
        </row>
        <row r="275">
          <cell r="O275">
            <v>150.33000000000001</v>
          </cell>
        </row>
        <row r="276">
          <cell r="O276">
            <v>854.1</v>
          </cell>
        </row>
        <row r="277">
          <cell r="O277">
            <v>12.61</v>
          </cell>
        </row>
        <row r="278">
          <cell r="O278">
            <v>0</v>
          </cell>
        </row>
        <row r="279">
          <cell r="O279">
            <v>0</v>
          </cell>
        </row>
        <row r="280">
          <cell r="O280">
            <v>0</v>
          </cell>
        </row>
        <row r="281">
          <cell r="O281">
            <v>2427.38</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0</v>
          </cell>
        </row>
        <row r="339">
          <cell r="O339">
            <v>0</v>
          </cell>
        </row>
        <row r="340">
          <cell r="O340">
            <v>0</v>
          </cell>
        </row>
        <row r="341">
          <cell r="O341">
            <v>0</v>
          </cell>
        </row>
        <row r="342">
          <cell r="O342">
            <v>0</v>
          </cell>
        </row>
        <row r="343">
          <cell r="O343">
            <v>0</v>
          </cell>
        </row>
        <row r="344">
          <cell r="O344">
            <v>0</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350738.22</v>
          </cell>
        </row>
        <row r="360">
          <cell r="O360">
            <v>0</v>
          </cell>
        </row>
      </sheetData>
      <sheetData sheetId="2">
        <row r="65">
          <cell r="O65">
            <v>394447</v>
          </cell>
        </row>
      </sheetData>
      <sheetData sheetId="3" refreshError="1"/>
      <sheetData sheetId="4">
        <row r="66">
          <cell r="C66">
            <v>341201.78</v>
          </cell>
        </row>
      </sheetData>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2R"/>
      <sheetName val="Budget 2013"/>
      <sheetName val="Actual 2012"/>
      <sheetName val="INSTRUCTIONS"/>
      <sheetName val="INPUT"/>
      <sheetName val="Réel 2012 vs Budget 2013"/>
    </sheetNames>
    <sheetDataSet>
      <sheetData sheetId="0">
        <row r="1">
          <cell r="A1" t="str">
            <v>CC25430</v>
          </cell>
          <cell r="O1">
            <v>0</v>
          </cell>
        </row>
        <row r="2">
          <cell r="A2" t="str">
            <v>PTOTAL</v>
          </cell>
          <cell r="O2">
            <v>0</v>
          </cell>
        </row>
        <row r="3">
          <cell r="A3" t="str">
            <v>CCAD</v>
          </cell>
          <cell r="O3">
            <v>0</v>
          </cell>
        </row>
        <row r="4">
          <cell r="A4" t="str">
            <v>OTHTOTAL</v>
          </cell>
          <cell r="O4">
            <v>0</v>
          </cell>
        </row>
        <row r="5">
          <cell r="A5" t="str">
            <v>DIM6SET</v>
          </cell>
          <cell r="O5">
            <v>0</v>
          </cell>
        </row>
        <row r="6">
          <cell r="A6">
            <v>0</v>
          </cell>
          <cell r="O6" t="str">
            <v>BYR12R</v>
          </cell>
        </row>
        <row r="7">
          <cell r="A7">
            <v>0</v>
          </cell>
          <cell r="O7" t="str">
            <v>2012 Budget (Reg)</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170195.43</v>
          </cell>
        </row>
        <row r="42">
          <cell r="A42" t="str">
            <v>A60103</v>
          </cell>
          <cell r="O42">
            <v>151286.70000000001</v>
          </cell>
        </row>
        <row r="43">
          <cell r="A43" t="str">
            <v>A60105</v>
          </cell>
          <cell r="O43">
            <v>0</v>
          </cell>
        </row>
        <row r="44">
          <cell r="A44" t="str">
            <v>A60107</v>
          </cell>
          <cell r="O44">
            <v>0</v>
          </cell>
        </row>
        <row r="45">
          <cell r="A45" t="str">
            <v>A60109</v>
          </cell>
          <cell r="O45">
            <v>19122.32</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340604.45</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700</v>
          </cell>
        </row>
        <row r="86">
          <cell r="A86" t="str">
            <v>A60406</v>
          </cell>
          <cell r="O86">
            <v>0</v>
          </cell>
        </row>
        <row r="87">
          <cell r="A87" t="str">
            <v>A60412</v>
          </cell>
          <cell r="O87">
            <v>0</v>
          </cell>
        </row>
        <row r="88">
          <cell r="A88" t="str">
            <v>P6040</v>
          </cell>
          <cell r="O88">
            <v>700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P6100</v>
          </cell>
          <cell r="O103">
            <v>0</v>
          </cell>
        </row>
        <row r="104">
          <cell r="A104" t="str">
            <v>A61101</v>
          </cell>
          <cell r="O104">
            <v>0</v>
          </cell>
        </row>
        <row r="105">
          <cell r="A105" t="str">
            <v>A61103</v>
          </cell>
          <cell r="O105">
            <v>1934.18</v>
          </cell>
        </row>
        <row r="106">
          <cell r="A106" t="str">
            <v>A61105</v>
          </cell>
          <cell r="O106">
            <v>0</v>
          </cell>
        </row>
        <row r="107">
          <cell r="A107" t="str">
            <v>A61107</v>
          </cell>
          <cell r="O107">
            <v>0</v>
          </cell>
        </row>
        <row r="108">
          <cell r="A108" t="str">
            <v>A61109</v>
          </cell>
          <cell r="O108">
            <v>0</v>
          </cell>
        </row>
        <row r="109">
          <cell r="A109" t="str">
            <v>A61111</v>
          </cell>
          <cell r="O109">
            <v>0</v>
          </cell>
        </row>
        <row r="110">
          <cell r="A110" t="str">
            <v>A61113</v>
          </cell>
          <cell r="O110">
            <v>0</v>
          </cell>
        </row>
        <row r="111">
          <cell r="A111" t="str">
            <v>A61115</v>
          </cell>
          <cell r="O111">
            <v>0</v>
          </cell>
        </row>
        <row r="112">
          <cell r="A112" t="str">
            <v>A61116</v>
          </cell>
          <cell r="O112">
            <v>0</v>
          </cell>
        </row>
        <row r="113">
          <cell r="A113" t="str">
            <v>A61117</v>
          </cell>
          <cell r="O113">
            <v>0</v>
          </cell>
        </row>
        <row r="114">
          <cell r="A114" t="str">
            <v>A61119</v>
          </cell>
          <cell r="O114">
            <v>0</v>
          </cell>
        </row>
        <row r="115">
          <cell r="A115" t="str">
            <v>P6110</v>
          </cell>
          <cell r="O115">
            <v>1934.18</v>
          </cell>
        </row>
        <row r="116">
          <cell r="A116" t="str">
            <v>A61201</v>
          </cell>
          <cell r="O116">
            <v>0</v>
          </cell>
        </row>
        <row r="117">
          <cell r="A117" t="str">
            <v>A61299</v>
          </cell>
          <cell r="O117">
            <v>0</v>
          </cell>
        </row>
        <row r="118">
          <cell r="A118" t="str">
            <v>P6120</v>
          </cell>
          <cell r="O118">
            <v>0</v>
          </cell>
        </row>
        <row r="119">
          <cell r="A119" t="str">
            <v>A61501</v>
          </cell>
          <cell r="O119">
            <v>0</v>
          </cell>
        </row>
        <row r="120">
          <cell r="A120" t="str">
            <v>A61503</v>
          </cell>
          <cell r="O120">
            <v>0</v>
          </cell>
        </row>
        <row r="121">
          <cell r="A121" t="str">
            <v>A61505</v>
          </cell>
          <cell r="O121">
            <v>0</v>
          </cell>
        </row>
        <row r="122">
          <cell r="A122" t="str">
            <v>A61507</v>
          </cell>
          <cell r="O122">
            <v>0</v>
          </cell>
        </row>
        <row r="123">
          <cell r="A123" t="str">
            <v>A61509</v>
          </cell>
          <cell r="O123">
            <v>0</v>
          </cell>
        </row>
        <row r="124">
          <cell r="A124" t="str">
            <v>A61511</v>
          </cell>
          <cell r="O124">
            <v>0</v>
          </cell>
        </row>
        <row r="125">
          <cell r="A125" t="str">
            <v>A61512</v>
          </cell>
          <cell r="O125">
            <v>0</v>
          </cell>
        </row>
        <row r="126">
          <cell r="A126" t="str">
            <v>A61513</v>
          </cell>
          <cell r="O126">
            <v>0</v>
          </cell>
        </row>
        <row r="127">
          <cell r="A127" t="str">
            <v>P6150</v>
          </cell>
          <cell r="O127">
            <v>0</v>
          </cell>
        </row>
        <row r="128">
          <cell r="A128" t="str">
            <v>A61601</v>
          </cell>
          <cell r="O128">
            <v>0</v>
          </cell>
        </row>
        <row r="129">
          <cell r="A129" t="str">
            <v>A61603</v>
          </cell>
          <cell r="O129">
            <v>0</v>
          </cell>
        </row>
        <row r="130">
          <cell r="A130" t="str">
            <v>A61605</v>
          </cell>
          <cell r="O130">
            <v>0</v>
          </cell>
        </row>
        <row r="131">
          <cell r="A131" t="str">
            <v>A61607</v>
          </cell>
          <cell r="O131">
            <v>0</v>
          </cell>
        </row>
        <row r="132">
          <cell r="A132" t="str">
            <v>A61609</v>
          </cell>
          <cell r="O132">
            <v>0</v>
          </cell>
        </row>
        <row r="133">
          <cell r="A133" t="str">
            <v>A61611</v>
          </cell>
          <cell r="O133">
            <v>0</v>
          </cell>
        </row>
        <row r="134">
          <cell r="A134" t="str">
            <v>A61606</v>
          </cell>
          <cell r="O134">
            <v>0</v>
          </cell>
        </row>
        <row r="135">
          <cell r="A135" t="str">
            <v>P6160</v>
          </cell>
          <cell r="O135">
            <v>0</v>
          </cell>
        </row>
        <row r="136">
          <cell r="A136" t="str">
            <v>A61551</v>
          </cell>
          <cell r="O136">
            <v>0</v>
          </cell>
        </row>
        <row r="137">
          <cell r="A137" t="str">
            <v>A61553</v>
          </cell>
          <cell r="O137">
            <v>0</v>
          </cell>
        </row>
        <row r="138">
          <cell r="A138" t="str">
            <v>A61555</v>
          </cell>
          <cell r="O138">
            <v>0</v>
          </cell>
        </row>
        <row r="139">
          <cell r="A139" t="str">
            <v>A61557</v>
          </cell>
          <cell r="O139">
            <v>0</v>
          </cell>
        </row>
        <row r="140">
          <cell r="A140" t="str">
            <v>A61559</v>
          </cell>
          <cell r="O140">
            <v>0</v>
          </cell>
        </row>
        <row r="141">
          <cell r="A141" t="str">
            <v>A61561</v>
          </cell>
          <cell r="O141">
            <v>0</v>
          </cell>
        </row>
        <row r="142">
          <cell r="A142" t="str">
            <v>A61563</v>
          </cell>
          <cell r="O142">
            <v>0</v>
          </cell>
        </row>
        <row r="143">
          <cell r="A143" t="str">
            <v>P6155</v>
          </cell>
          <cell r="O143">
            <v>0</v>
          </cell>
        </row>
        <row r="144">
          <cell r="A144" t="str">
            <v>A61701</v>
          </cell>
          <cell r="O144">
            <v>0</v>
          </cell>
        </row>
        <row r="145">
          <cell r="A145" t="str">
            <v>A61703</v>
          </cell>
          <cell r="O145">
            <v>0</v>
          </cell>
        </row>
        <row r="146">
          <cell r="A146" t="str">
            <v>A61705</v>
          </cell>
          <cell r="O146">
            <v>0</v>
          </cell>
        </row>
        <row r="147">
          <cell r="A147" t="str">
            <v>A61706</v>
          </cell>
          <cell r="O147">
            <v>0</v>
          </cell>
        </row>
        <row r="148">
          <cell r="A148" t="str">
            <v>A61707</v>
          </cell>
          <cell r="O148">
            <v>0</v>
          </cell>
        </row>
        <row r="149">
          <cell r="A149" t="str">
            <v>A61709</v>
          </cell>
          <cell r="O149">
            <v>0</v>
          </cell>
        </row>
        <row r="150">
          <cell r="A150" t="str">
            <v>A61711</v>
          </cell>
          <cell r="O150">
            <v>0</v>
          </cell>
        </row>
        <row r="151">
          <cell r="A151" t="str">
            <v>A61713</v>
          </cell>
          <cell r="O151">
            <v>0</v>
          </cell>
        </row>
        <row r="152">
          <cell r="A152" t="str">
            <v>A61715</v>
          </cell>
          <cell r="O152">
            <v>1026.1300000000001</v>
          </cell>
        </row>
        <row r="153">
          <cell r="A153" t="str">
            <v>A61717</v>
          </cell>
          <cell r="O153">
            <v>0</v>
          </cell>
        </row>
        <row r="154">
          <cell r="A154" t="str">
            <v>A61719</v>
          </cell>
          <cell r="O154">
            <v>0</v>
          </cell>
        </row>
        <row r="155">
          <cell r="A155" t="str">
            <v>A61721</v>
          </cell>
          <cell r="O155">
            <v>0</v>
          </cell>
        </row>
        <row r="156">
          <cell r="A156" t="str">
            <v>A61723</v>
          </cell>
          <cell r="O156">
            <v>0</v>
          </cell>
        </row>
        <row r="157">
          <cell r="A157" t="str">
            <v>P6170</v>
          </cell>
          <cell r="O157">
            <v>1026.1300000000001</v>
          </cell>
        </row>
        <row r="158">
          <cell r="A158" t="str">
            <v>A61803</v>
          </cell>
          <cell r="O158">
            <v>0</v>
          </cell>
        </row>
        <row r="159">
          <cell r="A159" t="str">
            <v>A61805</v>
          </cell>
          <cell r="O159">
            <v>0</v>
          </cell>
        </row>
        <row r="160">
          <cell r="A160" t="str">
            <v>A61809</v>
          </cell>
          <cell r="O160">
            <v>0</v>
          </cell>
        </row>
        <row r="161">
          <cell r="A161" t="str">
            <v>P6180</v>
          </cell>
          <cell r="O161">
            <v>0</v>
          </cell>
        </row>
        <row r="162">
          <cell r="A162" t="str">
            <v>A61901</v>
          </cell>
          <cell r="O162">
            <v>0</v>
          </cell>
        </row>
        <row r="163">
          <cell r="A163" t="str">
            <v>A61902</v>
          </cell>
          <cell r="O163">
            <v>0</v>
          </cell>
        </row>
        <row r="164">
          <cell r="A164" t="str">
            <v>A61903</v>
          </cell>
          <cell r="O164">
            <v>0</v>
          </cell>
        </row>
        <row r="165">
          <cell r="A165" t="str">
            <v>A61905</v>
          </cell>
          <cell r="O165">
            <v>0</v>
          </cell>
        </row>
        <row r="166">
          <cell r="A166" t="str">
            <v>A61909</v>
          </cell>
          <cell r="O166">
            <v>0</v>
          </cell>
        </row>
        <row r="167">
          <cell r="A167" t="str">
            <v>A61910</v>
          </cell>
          <cell r="O167">
            <v>0</v>
          </cell>
        </row>
        <row r="168">
          <cell r="A168" t="str">
            <v>A61911</v>
          </cell>
          <cell r="O168">
            <v>0</v>
          </cell>
        </row>
        <row r="169">
          <cell r="A169" t="str">
            <v>A61999</v>
          </cell>
          <cell r="O169">
            <v>0</v>
          </cell>
        </row>
        <row r="170">
          <cell r="A170" t="str">
            <v>A61906</v>
          </cell>
          <cell r="O170">
            <v>0</v>
          </cell>
        </row>
        <row r="171">
          <cell r="A171" t="str">
            <v>P6190</v>
          </cell>
          <cell r="O171">
            <v>0</v>
          </cell>
        </row>
        <row r="172">
          <cell r="A172" t="str">
            <v>A62001</v>
          </cell>
          <cell r="O172">
            <v>0</v>
          </cell>
        </row>
        <row r="173">
          <cell r="A173" t="str">
            <v>A62002</v>
          </cell>
          <cell r="O173">
            <v>0</v>
          </cell>
        </row>
        <row r="174">
          <cell r="A174" t="str">
            <v>A62003</v>
          </cell>
          <cell r="O174">
            <v>0</v>
          </cell>
        </row>
        <row r="175">
          <cell r="A175" t="str">
            <v>A62004</v>
          </cell>
          <cell r="O175">
            <v>0</v>
          </cell>
        </row>
        <row r="176">
          <cell r="A176" t="str">
            <v>A62005</v>
          </cell>
          <cell r="O176">
            <v>0</v>
          </cell>
        </row>
        <row r="177">
          <cell r="A177" t="str">
            <v>A62006</v>
          </cell>
          <cell r="O177">
            <v>0</v>
          </cell>
        </row>
        <row r="178">
          <cell r="A178" t="str">
            <v>A62007</v>
          </cell>
          <cell r="O178">
            <v>0</v>
          </cell>
        </row>
        <row r="179">
          <cell r="A179" t="str">
            <v>A62008</v>
          </cell>
          <cell r="O179">
            <v>0</v>
          </cell>
        </row>
        <row r="180">
          <cell r="A180" t="str">
            <v>A62009</v>
          </cell>
          <cell r="O180">
            <v>0</v>
          </cell>
        </row>
        <row r="181">
          <cell r="A181" t="str">
            <v>A62010</v>
          </cell>
          <cell r="O181">
            <v>0</v>
          </cell>
        </row>
        <row r="182">
          <cell r="A182" t="str">
            <v>A62012</v>
          </cell>
          <cell r="O182">
            <v>0</v>
          </cell>
        </row>
        <row r="183">
          <cell r="A183" t="str">
            <v>A62013</v>
          </cell>
          <cell r="O183">
            <v>0</v>
          </cell>
        </row>
        <row r="184">
          <cell r="A184" t="str">
            <v>A62014</v>
          </cell>
          <cell r="O184">
            <v>0</v>
          </cell>
        </row>
        <row r="185">
          <cell r="A185" t="str">
            <v>A62015</v>
          </cell>
          <cell r="O185">
            <v>0</v>
          </cell>
        </row>
        <row r="186">
          <cell r="A186" t="str">
            <v>A62016</v>
          </cell>
          <cell r="O186">
            <v>0</v>
          </cell>
        </row>
        <row r="187">
          <cell r="A187" t="str">
            <v>A62017</v>
          </cell>
          <cell r="O187">
            <v>0</v>
          </cell>
        </row>
        <row r="188">
          <cell r="A188" t="str">
            <v>A62018</v>
          </cell>
          <cell r="O188">
            <v>0</v>
          </cell>
        </row>
        <row r="189">
          <cell r="A189" t="str">
            <v>A62019</v>
          </cell>
          <cell r="O189">
            <v>0</v>
          </cell>
        </row>
        <row r="190">
          <cell r="A190" t="str">
            <v>A62020</v>
          </cell>
          <cell r="O190">
            <v>0</v>
          </cell>
        </row>
        <row r="191">
          <cell r="A191" t="str">
            <v>A62021</v>
          </cell>
          <cell r="O191">
            <v>0</v>
          </cell>
        </row>
        <row r="192">
          <cell r="A192" t="str">
            <v>A62022</v>
          </cell>
          <cell r="O192">
            <v>0</v>
          </cell>
        </row>
        <row r="193">
          <cell r="A193" t="str">
            <v>A62024</v>
          </cell>
          <cell r="O193">
            <v>0</v>
          </cell>
        </row>
        <row r="194">
          <cell r="A194" t="str">
            <v>A62025</v>
          </cell>
          <cell r="O194">
            <v>0</v>
          </cell>
        </row>
        <row r="195">
          <cell r="A195" t="str">
            <v>A62027</v>
          </cell>
          <cell r="O195">
            <v>0</v>
          </cell>
        </row>
        <row r="196">
          <cell r="A196" t="str">
            <v>A62028</v>
          </cell>
          <cell r="O196">
            <v>0</v>
          </cell>
        </row>
        <row r="197">
          <cell r="A197" t="str">
            <v>A62029</v>
          </cell>
          <cell r="O197">
            <v>0</v>
          </cell>
        </row>
        <row r="198">
          <cell r="A198" t="str">
            <v>A62030</v>
          </cell>
          <cell r="O198">
            <v>0</v>
          </cell>
        </row>
        <row r="199">
          <cell r="A199" t="str">
            <v>A62031</v>
          </cell>
          <cell r="O199">
            <v>0</v>
          </cell>
        </row>
        <row r="200">
          <cell r="A200" t="str">
            <v>A62032</v>
          </cell>
          <cell r="O200">
            <v>0</v>
          </cell>
        </row>
        <row r="201">
          <cell r="A201" t="str">
            <v>A62033</v>
          </cell>
          <cell r="O201">
            <v>0</v>
          </cell>
        </row>
        <row r="202">
          <cell r="A202" t="str">
            <v>A62034</v>
          </cell>
          <cell r="O202">
            <v>0</v>
          </cell>
        </row>
        <row r="203">
          <cell r="A203" t="str">
            <v>A62035</v>
          </cell>
          <cell r="O203">
            <v>0</v>
          </cell>
        </row>
        <row r="204">
          <cell r="A204" t="str">
            <v>A62039</v>
          </cell>
          <cell r="O204">
            <v>0</v>
          </cell>
        </row>
        <row r="205">
          <cell r="A205" t="str">
            <v>A62041</v>
          </cell>
          <cell r="O205">
            <v>0</v>
          </cell>
        </row>
        <row r="206">
          <cell r="A206" t="str">
            <v>A62042</v>
          </cell>
          <cell r="O206">
            <v>0</v>
          </cell>
        </row>
        <row r="207">
          <cell r="A207" t="str">
            <v>A62043</v>
          </cell>
          <cell r="O207">
            <v>0</v>
          </cell>
        </row>
        <row r="208">
          <cell r="A208" t="str">
            <v>A62045</v>
          </cell>
          <cell r="O208">
            <v>0</v>
          </cell>
        </row>
        <row r="209">
          <cell r="A209" t="str">
            <v>A62046</v>
          </cell>
          <cell r="O209">
            <v>0</v>
          </cell>
        </row>
        <row r="210">
          <cell r="A210" t="str">
            <v>A62047</v>
          </cell>
          <cell r="O210">
            <v>0</v>
          </cell>
        </row>
        <row r="211">
          <cell r="A211" t="str">
            <v>A62051</v>
          </cell>
          <cell r="O211">
            <v>0</v>
          </cell>
        </row>
        <row r="212">
          <cell r="A212" t="str">
            <v>A62052</v>
          </cell>
          <cell r="O212">
            <v>0</v>
          </cell>
        </row>
        <row r="213">
          <cell r="A213" t="str">
            <v>A62053</v>
          </cell>
          <cell r="O213">
            <v>0</v>
          </cell>
        </row>
        <row r="214">
          <cell r="A214" t="str">
            <v>A62054</v>
          </cell>
          <cell r="O214">
            <v>0</v>
          </cell>
        </row>
        <row r="215">
          <cell r="A215" t="str">
            <v>A62055</v>
          </cell>
          <cell r="O215">
            <v>0</v>
          </cell>
        </row>
        <row r="216">
          <cell r="A216" t="str">
            <v>A62056</v>
          </cell>
          <cell r="O216">
            <v>0</v>
          </cell>
        </row>
        <row r="217">
          <cell r="A217" t="str">
            <v>A62057</v>
          </cell>
          <cell r="O217">
            <v>0</v>
          </cell>
        </row>
        <row r="218">
          <cell r="A218" t="str">
            <v>A62058</v>
          </cell>
          <cell r="O218">
            <v>0</v>
          </cell>
        </row>
        <row r="219">
          <cell r="A219" t="str">
            <v>A62060</v>
          </cell>
          <cell r="O219">
            <v>0</v>
          </cell>
        </row>
        <row r="220">
          <cell r="A220" t="str">
            <v>A62061</v>
          </cell>
          <cell r="O220">
            <v>0</v>
          </cell>
        </row>
        <row r="221">
          <cell r="A221" t="str">
            <v>A62062</v>
          </cell>
          <cell r="O221">
            <v>0</v>
          </cell>
        </row>
        <row r="222">
          <cell r="A222" t="str">
            <v>A62063</v>
          </cell>
          <cell r="O222">
            <v>0</v>
          </cell>
        </row>
        <row r="223">
          <cell r="A223" t="str">
            <v>A62064</v>
          </cell>
          <cell r="O223">
            <v>0</v>
          </cell>
        </row>
        <row r="224">
          <cell r="A224" t="str">
            <v>A62071</v>
          </cell>
          <cell r="O224">
            <v>0</v>
          </cell>
        </row>
        <row r="225">
          <cell r="A225" t="str">
            <v>A62082</v>
          </cell>
          <cell r="O225">
            <v>0</v>
          </cell>
        </row>
        <row r="226">
          <cell r="A226" t="str">
            <v>A62083</v>
          </cell>
          <cell r="O226">
            <v>0</v>
          </cell>
        </row>
        <row r="227">
          <cell r="A227" t="str">
            <v>A62037</v>
          </cell>
          <cell r="O227">
            <v>0</v>
          </cell>
        </row>
        <row r="228">
          <cell r="A228" t="str">
            <v>A62080</v>
          </cell>
          <cell r="O228">
            <v>0</v>
          </cell>
        </row>
        <row r="229">
          <cell r="A229" t="str">
            <v>P6200</v>
          </cell>
          <cell r="O229">
            <v>0</v>
          </cell>
        </row>
        <row r="230">
          <cell r="A230" t="str">
            <v>A62301</v>
          </cell>
          <cell r="O230">
            <v>0</v>
          </cell>
        </row>
        <row r="231">
          <cell r="A231" t="str">
            <v>A62303</v>
          </cell>
          <cell r="O231">
            <v>0</v>
          </cell>
        </row>
        <row r="232">
          <cell r="A232" t="str">
            <v>A62305</v>
          </cell>
          <cell r="O232">
            <v>0</v>
          </cell>
        </row>
        <row r="233">
          <cell r="A233" t="str">
            <v>A62307</v>
          </cell>
          <cell r="O233">
            <v>0</v>
          </cell>
        </row>
        <row r="234">
          <cell r="A234" t="str">
            <v>A62309</v>
          </cell>
          <cell r="O234">
            <v>0</v>
          </cell>
        </row>
        <row r="235">
          <cell r="A235" t="str">
            <v>A62311</v>
          </cell>
          <cell r="O235">
            <v>0</v>
          </cell>
        </row>
        <row r="236">
          <cell r="A236" t="str">
            <v>A62312</v>
          </cell>
          <cell r="O236">
            <v>0</v>
          </cell>
        </row>
        <row r="237">
          <cell r="A237" t="str">
            <v>P6230</v>
          </cell>
          <cell r="O237">
            <v>0</v>
          </cell>
        </row>
        <row r="238">
          <cell r="A238" t="str">
            <v>A62401</v>
          </cell>
          <cell r="O238">
            <v>0</v>
          </cell>
        </row>
        <row r="239">
          <cell r="A239" t="str">
            <v>A62403</v>
          </cell>
          <cell r="O239">
            <v>0</v>
          </cell>
        </row>
        <row r="240">
          <cell r="A240" t="str">
            <v>A62405</v>
          </cell>
          <cell r="O240">
            <v>0</v>
          </cell>
        </row>
        <row r="241">
          <cell r="A241" t="str">
            <v>A62407</v>
          </cell>
          <cell r="O241">
            <v>0</v>
          </cell>
        </row>
        <row r="242">
          <cell r="A242" t="str">
            <v>A62409</v>
          </cell>
          <cell r="O242">
            <v>0</v>
          </cell>
        </row>
        <row r="243">
          <cell r="A243" t="str">
            <v>A62411</v>
          </cell>
          <cell r="O243">
            <v>0</v>
          </cell>
        </row>
        <row r="244">
          <cell r="A244" t="str">
            <v>A62413</v>
          </cell>
          <cell r="O244">
            <v>0</v>
          </cell>
        </row>
        <row r="245">
          <cell r="A245" t="str">
            <v>P6240</v>
          </cell>
          <cell r="O245">
            <v>0</v>
          </cell>
        </row>
        <row r="246">
          <cell r="A246" t="str">
            <v>A70101</v>
          </cell>
          <cell r="O246">
            <v>0</v>
          </cell>
        </row>
        <row r="247">
          <cell r="A247" t="str">
            <v>A70103</v>
          </cell>
          <cell r="O247">
            <v>0</v>
          </cell>
        </row>
        <row r="248">
          <cell r="A248" t="str">
            <v>A70105</v>
          </cell>
          <cell r="O248">
            <v>0</v>
          </cell>
        </row>
        <row r="249">
          <cell r="A249" t="str">
            <v>P7010</v>
          </cell>
          <cell r="O249">
            <v>0</v>
          </cell>
        </row>
        <row r="250">
          <cell r="A250" t="str">
            <v>A70001</v>
          </cell>
          <cell r="O250">
            <v>0</v>
          </cell>
        </row>
        <row r="251">
          <cell r="A251" t="str">
            <v>A70003</v>
          </cell>
          <cell r="O251">
            <v>0</v>
          </cell>
        </row>
        <row r="252">
          <cell r="A252" t="str">
            <v>A70005</v>
          </cell>
          <cell r="O252">
            <v>0</v>
          </cell>
        </row>
        <row r="253">
          <cell r="A253" t="str">
            <v>A70007</v>
          </cell>
          <cell r="O253">
            <v>0</v>
          </cell>
        </row>
        <row r="254">
          <cell r="A254" t="str">
            <v>A70009</v>
          </cell>
          <cell r="O254">
            <v>0</v>
          </cell>
        </row>
        <row r="255">
          <cell r="A255" t="str">
            <v>A70011</v>
          </cell>
          <cell r="O255">
            <v>0</v>
          </cell>
        </row>
        <row r="256">
          <cell r="A256" t="str">
            <v>A70013</v>
          </cell>
          <cell r="O256">
            <v>0</v>
          </cell>
        </row>
        <row r="257">
          <cell r="A257" t="str">
            <v>A70015</v>
          </cell>
          <cell r="O257">
            <v>0</v>
          </cell>
        </row>
        <row r="258">
          <cell r="A258" t="str">
            <v>A70017</v>
          </cell>
          <cell r="O258">
            <v>0</v>
          </cell>
        </row>
        <row r="259">
          <cell r="A259" t="str">
            <v>P7000</v>
          </cell>
          <cell r="O259">
            <v>0</v>
          </cell>
        </row>
        <row r="260">
          <cell r="A260" t="str">
            <v>A70201</v>
          </cell>
          <cell r="O260">
            <v>0</v>
          </cell>
        </row>
        <row r="261">
          <cell r="A261" t="str">
            <v>A70203</v>
          </cell>
          <cell r="O261">
            <v>0</v>
          </cell>
        </row>
        <row r="262">
          <cell r="A262" t="str">
            <v>A70209</v>
          </cell>
          <cell r="O262">
            <v>0</v>
          </cell>
        </row>
        <row r="263">
          <cell r="A263" t="str">
            <v>P7020</v>
          </cell>
          <cell r="O263">
            <v>0</v>
          </cell>
        </row>
        <row r="264">
          <cell r="A264" t="str">
            <v>A70301</v>
          </cell>
          <cell r="O264">
            <v>0</v>
          </cell>
        </row>
        <row r="265">
          <cell r="A265" t="str">
            <v>P7030</v>
          </cell>
          <cell r="O265">
            <v>0</v>
          </cell>
        </row>
        <row r="266">
          <cell r="A266" t="str">
            <v>A70401</v>
          </cell>
          <cell r="O266">
            <v>0</v>
          </cell>
        </row>
        <row r="267">
          <cell r="A267" t="str">
            <v>A70403</v>
          </cell>
          <cell r="O267">
            <v>0</v>
          </cell>
        </row>
        <row r="268">
          <cell r="A268" t="str">
            <v>A70405</v>
          </cell>
          <cell r="O268">
            <v>1048.1099999999999</v>
          </cell>
        </row>
        <row r="269">
          <cell r="A269" t="str">
            <v>A70407</v>
          </cell>
          <cell r="O269">
            <v>0</v>
          </cell>
        </row>
        <row r="270">
          <cell r="A270" t="str">
            <v>A70409</v>
          </cell>
          <cell r="O270">
            <v>0</v>
          </cell>
        </row>
        <row r="271">
          <cell r="A271" t="str">
            <v>P7040</v>
          </cell>
          <cell r="O271">
            <v>1048.1099999999999</v>
          </cell>
        </row>
        <row r="272">
          <cell r="A272" t="str">
            <v>A70501</v>
          </cell>
          <cell r="O272">
            <v>550</v>
          </cell>
        </row>
        <row r="273">
          <cell r="A273" t="str">
            <v>A70503</v>
          </cell>
          <cell r="O273">
            <v>3077.38</v>
          </cell>
        </row>
        <row r="274">
          <cell r="A274" t="str">
            <v>A70505</v>
          </cell>
          <cell r="O274">
            <v>1036.24</v>
          </cell>
        </row>
        <row r="275">
          <cell r="A275" t="str">
            <v>A70507</v>
          </cell>
          <cell r="O275">
            <v>5298.8</v>
          </cell>
        </row>
        <row r="276">
          <cell r="A276" t="str">
            <v>A70509</v>
          </cell>
          <cell r="O276">
            <v>0</v>
          </cell>
        </row>
        <row r="277">
          <cell r="A277" t="str">
            <v>A70511</v>
          </cell>
          <cell r="O277">
            <v>1036.24</v>
          </cell>
        </row>
        <row r="278">
          <cell r="A278" t="str">
            <v>A70506</v>
          </cell>
          <cell r="O278">
            <v>0</v>
          </cell>
        </row>
        <row r="279">
          <cell r="A279" t="str">
            <v>A70510</v>
          </cell>
          <cell r="O279">
            <v>0</v>
          </cell>
        </row>
        <row r="280">
          <cell r="A280" t="str">
            <v>P7050</v>
          </cell>
          <cell r="O280">
            <v>10998.66</v>
          </cell>
        </row>
        <row r="281">
          <cell r="A281" t="str">
            <v>A70651</v>
          </cell>
          <cell r="O281">
            <v>0</v>
          </cell>
        </row>
        <row r="282">
          <cell r="A282" t="str">
            <v>A70653</v>
          </cell>
          <cell r="O282">
            <v>0</v>
          </cell>
        </row>
        <row r="283">
          <cell r="A283" t="str">
            <v>A70655</v>
          </cell>
          <cell r="O283">
            <v>0</v>
          </cell>
        </row>
        <row r="284">
          <cell r="A284" t="str">
            <v>A70657</v>
          </cell>
          <cell r="O284">
            <v>0</v>
          </cell>
        </row>
        <row r="285">
          <cell r="A285" t="str">
            <v>P7065</v>
          </cell>
          <cell r="O285">
            <v>0</v>
          </cell>
        </row>
        <row r="286">
          <cell r="A286" t="str">
            <v>A70601</v>
          </cell>
          <cell r="O286">
            <v>0</v>
          </cell>
        </row>
        <row r="287">
          <cell r="A287" t="str">
            <v>A70603</v>
          </cell>
          <cell r="O287">
            <v>0</v>
          </cell>
        </row>
        <row r="288">
          <cell r="A288" t="str">
            <v>A70605</v>
          </cell>
          <cell r="O288">
            <v>0</v>
          </cell>
        </row>
        <row r="289">
          <cell r="A289" t="str">
            <v>A70607</v>
          </cell>
          <cell r="O289">
            <v>0</v>
          </cell>
        </row>
        <row r="290">
          <cell r="A290" t="str">
            <v>P7060</v>
          </cell>
          <cell r="O290">
            <v>0</v>
          </cell>
        </row>
        <row r="291">
          <cell r="A291" t="str">
            <v>A70701</v>
          </cell>
          <cell r="O291">
            <v>0</v>
          </cell>
        </row>
        <row r="292">
          <cell r="A292" t="str">
            <v>A70703</v>
          </cell>
          <cell r="O292">
            <v>0</v>
          </cell>
        </row>
        <row r="293">
          <cell r="A293" t="str">
            <v>A70705</v>
          </cell>
          <cell r="O293">
            <v>0</v>
          </cell>
        </row>
        <row r="294">
          <cell r="A294" t="str">
            <v>A70707</v>
          </cell>
          <cell r="O294">
            <v>0</v>
          </cell>
        </row>
        <row r="295">
          <cell r="A295" t="str">
            <v>A70709</v>
          </cell>
          <cell r="O295">
            <v>0</v>
          </cell>
        </row>
        <row r="296">
          <cell r="A296" t="str">
            <v>A70711</v>
          </cell>
          <cell r="O296">
            <v>0</v>
          </cell>
        </row>
        <row r="297">
          <cell r="A297" t="str">
            <v>P7070</v>
          </cell>
          <cell r="O297">
            <v>0</v>
          </cell>
        </row>
        <row r="298">
          <cell r="A298" t="str">
            <v>A70899</v>
          </cell>
          <cell r="O298">
            <v>0</v>
          </cell>
        </row>
        <row r="299">
          <cell r="A299" t="str">
            <v>P7089</v>
          </cell>
          <cell r="O299">
            <v>0</v>
          </cell>
        </row>
        <row r="300">
          <cell r="A300" t="str">
            <v>A70801</v>
          </cell>
          <cell r="O300">
            <v>0</v>
          </cell>
        </row>
        <row r="301">
          <cell r="A301" t="str">
            <v>A70803</v>
          </cell>
          <cell r="O301">
            <v>0</v>
          </cell>
        </row>
        <row r="302">
          <cell r="A302" t="str">
            <v>A70805</v>
          </cell>
          <cell r="O302">
            <v>0</v>
          </cell>
        </row>
        <row r="303">
          <cell r="A303" t="str">
            <v>A70807</v>
          </cell>
          <cell r="O303">
            <v>0</v>
          </cell>
        </row>
        <row r="304">
          <cell r="A304" t="str">
            <v>A70809</v>
          </cell>
          <cell r="O304">
            <v>529.04</v>
          </cell>
        </row>
        <row r="305">
          <cell r="A305" t="str">
            <v>A70811</v>
          </cell>
          <cell r="O305">
            <v>0</v>
          </cell>
        </row>
        <row r="306">
          <cell r="A306" t="str">
            <v>P7080</v>
          </cell>
          <cell r="O306">
            <v>529.04</v>
          </cell>
        </row>
        <row r="307">
          <cell r="A307" t="str">
            <v>A70951</v>
          </cell>
          <cell r="O307">
            <v>0</v>
          </cell>
        </row>
        <row r="308">
          <cell r="A308" t="str">
            <v>A70953</v>
          </cell>
          <cell r="O308">
            <v>0</v>
          </cell>
        </row>
        <row r="309">
          <cell r="A309" t="str">
            <v>A70955</v>
          </cell>
          <cell r="O309">
            <v>0</v>
          </cell>
        </row>
        <row r="310">
          <cell r="A310" t="str">
            <v>A70957</v>
          </cell>
          <cell r="O310">
            <v>0</v>
          </cell>
        </row>
        <row r="311">
          <cell r="A311" t="str">
            <v>A70961</v>
          </cell>
          <cell r="O311">
            <v>0</v>
          </cell>
        </row>
        <row r="312">
          <cell r="A312" t="str">
            <v>A70963</v>
          </cell>
          <cell r="O312">
            <v>0</v>
          </cell>
        </row>
        <row r="313">
          <cell r="A313" t="str">
            <v>A70965</v>
          </cell>
          <cell r="O313">
            <v>0</v>
          </cell>
        </row>
        <row r="314">
          <cell r="A314" t="str">
            <v>A70967</v>
          </cell>
          <cell r="O314">
            <v>0</v>
          </cell>
        </row>
        <row r="315">
          <cell r="A315" t="str">
            <v>A70971</v>
          </cell>
          <cell r="O315">
            <v>0</v>
          </cell>
        </row>
        <row r="316">
          <cell r="A316" t="str">
            <v>A70977</v>
          </cell>
          <cell r="O316">
            <v>0</v>
          </cell>
        </row>
        <row r="317">
          <cell r="A317" t="str">
            <v>A70981</v>
          </cell>
          <cell r="O317">
            <v>0</v>
          </cell>
        </row>
        <row r="318">
          <cell r="A318" t="str">
            <v>A70973</v>
          </cell>
          <cell r="O318">
            <v>0</v>
          </cell>
        </row>
        <row r="319">
          <cell r="A319" t="str">
            <v>A70917</v>
          </cell>
          <cell r="O319">
            <v>0</v>
          </cell>
        </row>
        <row r="320">
          <cell r="A320" t="str">
            <v>P7095</v>
          </cell>
          <cell r="O320">
            <v>0</v>
          </cell>
        </row>
        <row r="321">
          <cell r="A321" t="str">
            <v>A70905</v>
          </cell>
          <cell r="O321">
            <v>0</v>
          </cell>
        </row>
        <row r="322">
          <cell r="A322" t="str">
            <v>A70911</v>
          </cell>
          <cell r="O322">
            <v>0</v>
          </cell>
        </row>
        <row r="323">
          <cell r="A323" t="str">
            <v>A70909</v>
          </cell>
          <cell r="O323">
            <v>0</v>
          </cell>
        </row>
        <row r="324">
          <cell r="A324" t="str">
            <v>P7090</v>
          </cell>
          <cell r="O324">
            <v>0</v>
          </cell>
        </row>
        <row r="325">
          <cell r="A325" t="str">
            <v>A71001</v>
          </cell>
          <cell r="O325">
            <v>0</v>
          </cell>
        </row>
        <row r="326">
          <cell r="A326" t="str">
            <v>A71003</v>
          </cell>
          <cell r="O326">
            <v>0</v>
          </cell>
        </row>
        <row r="327">
          <cell r="A327" t="str">
            <v>P7100</v>
          </cell>
          <cell r="O327">
            <v>0</v>
          </cell>
        </row>
        <row r="328">
          <cell r="A328" t="str">
            <v>A71101</v>
          </cell>
          <cell r="O328">
            <v>0</v>
          </cell>
        </row>
        <row r="329">
          <cell r="A329" t="str">
            <v>A71103</v>
          </cell>
          <cell r="O329">
            <v>0</v>
          </cell>
        </row>
        <row r="330">
          <cell r="A330" t="str">
            <v>A71105</v>
          </cell>
          <cell r="O330">
            <v>0</v>
          </cell>
        </row>
        <row r="331">
          <cell r="A331" t="str">
            <v>A71109</v>
          </cell>
          <cell r="O331">
            <v>0</v>
          </cell>
        </row>
        <row r="332">
          <cell r="A332" t="str">
            <v>A71111</v>
          </cell>
          <cell r="O332">
            <v>0</v>
          </cell>
        </row>
        <row r="333">
          <cell r="A333" t="str">
            <v>A71117</v>
          </cell>
          <cell r="O333">
            <v>0</v>
          </cell>
        </row>
        <row r="334">
          <cell r="A334" t="str">
            <v>A71119</v>
          </cell>
          <cell r="O334">
            <v>0</v>
          </cell>
        </row>
        <row r="335">
          <cell r="A335" t="str">
            <v>P7110</v>
          </cell>
          <cell r="O335">
            <v>0</v>
          </cell>
        </row>
        <row r="336">
          <cell r="A336" t="str">
            <v>A74001</v>
          </cell>
          <cell r="O336">
            <v>0</v>
          </cell>
        </row>
        <row r="337">
          <cell r="A337" t="str">
            <v>A74002</v>
          </cell>
          <cell r="O337">
            <v>0</v>
          </cell>
        </row>
        <row r="338">
          <cell r="A338" t="str">
            <v>A74003</v>
          </cell>
          <cell r="O338">
            <v>0</v>
          </cell>
        </row>
        <row r="339">
          <cell r="A339" t="str">
            <v>A74004</v>
          </cell>
          <cell r="O339">
            <v>0</v>
          </cell>
        </row>
        <row r="340">
          <cell r="A340" t="str">
            <v>A74005</v>
          </cell>
          <cell r="O340">
            <v>0</v>
          </cell>
        </row>
        <row r="341">
          <cell r="A341" t="str">
            <v>A74006</v>
          </cell>
          <cell r="O341">
            <v>0</v>
          </cell>
        </row>
        <row r="342">
          <cell r="A342" t="str">
            <v>A74007</v>
          </cell>
          <cell r="O342">
            <v>0</v>
          </cell>
        </row>
        <row r="343">
          <cell r="A343" t="str">
            <v>P7400</v>
          </cell>
          <cell r="O343">
            <v>0</v>
          </cell>
        </row>
        <row r="344">
          <cell r="A344" t="str">
            <v>A79951</v>
          </cell>
          <cell r="O344">
            <v>0</v>
          </cell>
        </row>
        <row r="345">
          <cell r="A345" t="str">
            <v>A79952</v>
          </cell>
          <cell r="O345">
            <v>0</v>
          </cell>
        </row>
        <row r="346">
          <cell r="A346" t="str">
            <v>A79953</v>
          </cell>
          <cell r="O346">
            <v>0</v>
          </cell>
        </row>
        <row r="347">
          <cell r="A347" t="str">
            <v>A79954</v>
          </cell>
          <cell r="O347">
            <v>0</v>
          </cell>
        </row>
        <row r="348">
          <cell r="A348" t="str">
            <v>A79955</v>
          </cell>
          <cell r="O348">
            <v>0</v>
          </cell>
        </row>
        <row r="349">
          <cell r="A349" t="str">
            <v>A79956</v>
          </cell>
          <cell r="O349">
            <v>0</v>
          </cell>
        </row>
        <row r="350">
          <cell r="A350" t="str">
            <v>A79957</v>
          </cell>
          <cell r="O350">
            <v>0</v>
          </cell>
        </row>
        <row r="351">
          <cell r="A351" t="str">
            <v>A79960</v>
          </cell>
          <cell r="O351">
            <v>0</v>
          </cell>
        </row>
        <row r="352">
          <cell r="A352" t="str">
            <v>A79965</v>
          </cell>
          <cell r="O352">
            <v>0</v>
          </cell>
        </row>
        <row r="353">
          <cell r="A353" t="str">
            <v>A79966</v>
          </cell>
          <cell r="O353">
            <v>0</v>
          </cell>
        </row>
        <row r="354">
          <cell r="A354" t="str">
            <v>A79967</v>
          </cell>
          <cell r="O354">
            <v>0</v>
          </cell>
        </row>
        <row r="355">
          <cell r="A355" t="str">
            <v>A79958</v>
          </cell>
          <cell r="O355">
            <v>0</v>
          </cell>
        </row>
        <row r="356">
          <cell r="A356" t="str">
            <v>P7995</v>
          </cell>
          <cell r="O356">
            <v>0</v>
          </cell>
        </row>
        <row r="357">
          <cell r="A357" t="str">
            <v>OAPPP</v>
          </cell>
          <cell r="O357">
            <v>356840.57</v>
          </cell>
        </row>
        <row r="358">
          <cell r="A358">
            <v>0</v>
          </cell>
          <cell r="O358">
            <v>0</v>
          </cell>
        </row>
        <row r="359">
          <cell r="A359" t="str">
            <v>QTAG</v>
          </cell>
          <cell r="O359">
            <v>0</v>
          </cell>
        </row>
      </sheetData>
      <sheetData sheetId="1">
        <row r="1">
          <cell r="A1" t="str">
            <v>CC25430</v>
          </cell>
        </row>
      </sheetData>
      <sheetData sheetId="2">
        <row r="1">
          <cell r="A1" t="str">
            <v>CC25430</v>
          </cell>
        </row>
        <row r="2">
          <cell r="A2" t="str">
            <v>PTOTAL</v>
          </cell>
        </row>
        <row r="3">
          <cell r="A3" t="str">
            <v>CCAD</v>
          </cell>
        </row>
        <row r="4">
          <cell r="A4" t="str">
            <v>OTHTOTAL</v>
          </cell>
        </row>
        <row r="5">
          <cell r="A5" t="str">
            <v>DIM6SET</v>
          </cell>
        </row>
        <row r="6">
          <cell r="A6">
            <v>0</v>
          </cell>
        </row>
        <row r="7">
          <cell r="A7">
            <v>0</v>
          </cell>
        </row>
        <row r="8">
          <cell r="A8" t="str">
            <v>A60001</v>
          </cell>
        </row>
        <row r="9">
          <cell r="A9" t="str">
            <v>P6000</v>
          </cell>
        </row>
        <row r="10">
          <cell r="A10" t="str">
            <v>A60201</v>
          </cell>
        </row>
        <row r="11">
          <cell r="A11" t="str">
            <v>A60202</v>
          </cell>
        </row>
        <row r="12">
          <cell r="A12" t="str">
            <v>A60205</v>
          </cell>
        </row>
        <row r="13">
          <cell r="A13" t="str">
            <v>A60207</v>
          </cell>
        </row>
        <row r="14">
          <cell r="A14" t="str">
            <v>A60211</v>
          </cell>
        </row>
        <row r="15">
          <cell r="A15" t="str">
            <v>A60212</v>
          </cell>
        </row>
        <row r="16">
          <cell r="A16" t="str">
            <v>A60213</v>
          </cell>
        </row>
        <row r="17">
          <cell r="A17" t="str">
            <v>A60215</v>
          </cell>
        </row>
        <row r="18">
          <cell r="A18" t="str">
            <v>A60219</v>
          </cell>
        </row>
        <row r="19">
          <cell r="A19" t="str">
            <v>A60221</v>
          </cell>
        </row>
        <row r="20">
          <cell r="A20" t="str">
            <v>A60225</v>
          </cell>
        </row>
        <row r="21">
          <cell r="A21" t="str">
            <v>A60227</v>
          </cell>
        </row>
        <row r="22">
          <cell r="A22" t="str">
            <v>A60228</v>
          </cell>
        </row>
        <row r="23">
          <cell r="A23" t="str">
            <v>A60230</v>
          </cell>
        </row>
        <row r="24">
          <cell r="A24" t="str">
            <v>A60231</v>
          </cell>
        </row>
        <row r="25">
          <cell r="A25" t="str">
            <v>A60237</v>
          </cell>
        </row>
        <row r="26">
          <cell r="A26" t="str">
            <v>A60239</v>
          </cell>
        </row>
        <row r="27">
          <cell r="A27" t="str">
            <v>A60243</v>
          </cell>
        </row>
        <row r="28">
          <cell r="A28" t="str">
            <v>A60255</v>
          </cell>
        </row>
        <row r="29">
          <cell r="A29" t="str">
            <v>A60257</v>
          </cell>
        </row>
        <row r="30">
          <cell r="A30" t="str">
            <v>A60261</v>
          </cell>
        </row>
        <row r="31">
          <cell r="A31" t="str">
            <v>A60265</v>
          </cell>
        </row>
        <row r="32">
          <cell r="A32" t="str">
            <v>A60271</v>
          </cell>
        </row>
        <row r="33">
          <cell r="A33" t="str">
            <v>A60269</v>
          </cell>
        </row>
        <row r="34">
          <cell r="A34" t="str">
            <v>A60299</v>
          </cell>
        </row>
        <row r="35">
          <cell r="A35" t="str">
            <v>A60229</v>
          </cell>
        </row>
        <row r="36">
          <cell r="A36" t="str">
            <v>A60223</v>
          </cell>
        </row>
        <row r="37">
          <cell r="A37" t="str">
            <v>A60209</v>
          </cell>
        </row>
        <row r="38">
          <cell r="A38" t="str">
            <v>A60273</v>
          </cell>
        </row>
        <row r="39">
          <cell r="A39" t="str">
            <v>A60274</v>
          </cell>
        </row>
        <row r="40">
          <cell r="A40" t="str">
            <v>P6020</v>
          </cell>
        </row>
        <row r="41">
          <cell r="A41" t="str">
            <v>A60101</v>
          </cell>
        </row>
        <row r="42">
          <cell r="A42" t="str">
            <v>A60103</v>
          </cell>
        </row>
        <row r="43">
          <cell r="A43" t="str">
            <v>A60105</v>
          </cell>
        </row>
        <row r="44">
          <cell r="A44" t="str">
            <v>A60107</v>
          </cell>
        </row>
        <row r="45">
          <cell r="A45" t="str">
            <v>A60109</v>
          </cell>
        </row>
        <row r="46">
          <cell r="A46" t="str">
            <v>A60113</v>
          </cell>
        </row>
        <row r="47">
          <cell r="A47" t="str">
            <v>A60117</v>
          </cell>
        </row>
        <row r="48">
          <cell r="A48" t="str">
            <v>A60119</v>
          </cell>
        </row>
        <row r="49">
          <cell r="A49" t="str">
            <v>A60121</v>
          </cell>
        </row>
        <row r="50">
          <cell r="A50" t="str">
            <v>A60123</v>
          </cell>
        </row>
        <row r="51">
          <cell r="A51" t="str">
            <v>A60127</v>
          </cell>
        </row>
        <row r="52">
          <cell r="A52" t="str">
            <v>A60129</v>
          </cell>
        </row>
        <row r="53">
          <cell r="A53" t="str">
            <v>A60131</v>
          </cell>
        </row>
        <row r="54">
          <cell r="A54" t="str">
            <v>A60133</v>
          </cell>
        </row>
        <row r="55">
          <cell r="A55" t="str">
            <v>A60135</v>
          </cell>
        </row>
        <row r="56">
          <cell r="A56" t="str">
            <v>A60137</v>
          </cell>
        </row>
        <row r="57">
          <cell r="A57" t="str">
            <v>A60139</v>
          </cell>
        </row>
        <row r="58">
          <cell r="A58" t="str">
            <v>A60145</v>
          </cell>
        </row>
        <row r="59">
          <cell r="A59" t="str">
            <v>A60138</v>
          </cell>
        </row>
        <row r="60">
          <cell r="A60" t="str">
            <v>A60146</v>
          </cell>
        </row>
        <row r="61">
          <cell r="A61" t="str">
            <v>A60147</v>
          </cell>
        </row>
        <row r="62">
          <cell r="A62" t="str">
            <v>A60148</v>
          </cell>
        </row>
        <row r="63">
          <cell r="A63" t="str">
            <v>A60115</v>
          </cell>
        </row>
        <row r="64">
          <cell r="A64" t="str">
            <v>A60141</v>
          </cell>
        </row>
        <row r="65">
          <cell r="A65" t="str">
            <v>P6010</v>
          </cell>
        </row>
        <row r="66">
          <cell r="A66" t="str">
            <v>A60301</v>
          </cell>
        </row>
        <row r="67">
          <cell r="A67" t="str">
            <v>A60303</v>
          </cell>
        </row>
        <row r="68">
          <cell r="A68" t="str">
            <v>A60305</v>
          </cell>
        </row>
        <row r="69">
          <cell r="A69" t="str">
            <v>A60307</v>
          </cell>
        </row>
        <row r="70">
          <cell r="A70" t="str">
            <v>A60308</v>
          </cell>
        </row>
        <row r="71">
          <cell r="A71" t="str">
            <v>A60309</v>
          </cell>
        </row>
        <row r="72">
          <cell r="A72" t="str">
            <v>A60310</v>
          </cell>
        </row>
        <row r="73">
          <cell r="A73" t="str">
            <v>A60311</v>
          </cell>
        </row>
        <row r="74">
          <cell r="A74" t="str">
            <v>A60313</v>
          </cell>
        </row>
        <row r="75">
          <cell r="A75" t="str">
            <v>A60315</v>
          </cell>
        </row>
        <row r="76">
          <cell r="A76" t="str">
            <v>A60317</v>
          </cell>
        </row>
        <row r="77">
          <cell r="A77" t="str">
            <v>A60319</v>
          </cell>
        </row>
        <row r="78">
          <cell r="A78" t="str">
            <v>P6030</v>
          </cell>
        </row>
        <row r="79">
          <cell r="A79" t="str">
            <v>A60401</v>
          </cell>
        </row>
        <row r="80">
          <cell r="A80" t="str">
            <v>A60403</v>
          </cell>
        </row>
        <row r="81">
          <cell r="A81" t="str">
            <v>A60405</v>
          </cell>
        </row>
        <row r="82">
          <cell r="A82" t="str">
            <v>A60407</v>
          </cell>
        </row>
        <row r="83">
          <cell r="A83" t="str">
            <v>A60409</v>
          </cell>
        </row>
        <row r="84">
          <cell r="A84" t="str">
            <v>A60411</v>
          </cell>
        </row>
        <row r="85">
          <cell r="A85" t="str">
            <v>A60415</v>
          </cell>
        </row>
        <row r="86">
          <cell r="A86" t="str">
            <v>A60406</v>
          </cell>
        </row>
        <row r="87">
          <cell r="A87" t="str">
            <v>A60412</v>
          </cell>
        </row>
        <row r="88">
          <cell r="A88" t="str">
            <v>P6040</v>
          </cell>
        </row>
        <row r="89">
          <cell r="A89" t="str">
            <v>A60501</v>
          </cell>
        </row>
        <row r="90">
          <cell r="A90" t="str">
            <v>A60503</v>
          </cell>
        </row>
        <row r="91">
          <cell r="A91" t="str">
            <v>A60505</v>
          </cell>
        </row>
        <row r="92">
          <cell r="A92" t="str">
            <v>A60507</v>
          </cell>
        </row>
        <row r="93">
          <cell r="A93" t="str">
            <v>A60509</v>
          </cell>
        </row>
        <row r="94">
          <cell r="A94" t="str">
            <v>A60511</v>
          </cell>
        </row>
        <row r="95">
          <cell r="A95" t="str">
            <v>A60513</v>
          </cell>
        </row>
        <row r="96">
          <cell r="A96" t="str">
            <v>P6050</v>
          </cell>
        </row>
        <row r="97">
          <cell r="A97" t="str">
            <v>A61001</v>
          </cell>
        </row>
        <row r="98">
          <cell r="A98" t="str">
            <v>A61003</v>
          </cell>
        </row>
        <row r="99">
          <cell r="A99" t="str">
            <v>A61005</v>
          </cell>
        </row>
        <row r="100">
          <cell r="A100" t="str">
            <v>A61007</v>
          </cell>
        </row>
        <row r="101">
          <cell r="A101" t="str">
            <v>A61009</v>
          </cell>
        </row>
        <row r="102">
          <cell r="A102" t="str">
            <v>A61011</v>
          </cell>
        </row>
        <row r="103">
          <cell r="A103" t="str">
            <v>P6100</v>
          </cell>
        </row>
        <row r="104">
          <cell r="A104" t="str">
            <v>A61101</v>
          </cell>
        </row>
        <row r="105">
          <cell r="A105" t="str">
            <v>A61103</v>
          </cell>
        </row>
        <row r="106">
          <cell r="A106" t="str">
            <v>A61105</v>
          </cell>
        </row>
        <row r="107">
          <cell r="A107" t="str">
            <v>A61107</v>
          </cell>
        </row>
        <row r="108">
          <cell r="A108" t="str">
            <v>A61109</v>
          </cell>
        </row>
        <row r="109">
          <cell r="A109" t="str">
            <v>A61111</v>
          </cell>
        </row>
        <row r="110">
          <cell r="A110" t="str">
            <v>A61113</v>
          </cell>
        </row>
        <row r="111">
          <cell r="A111" t="str">
            <v>A61115</v>
          </cell>
        </row>
        <row r="112">
          <cell r="A112" t="str">
            <v>A61116</v>
          </cell>
        </row>
        <row r="113">
          <cell r="A113" t="str">
            <v>A61117</v>
          </cell>
        </row>
        <row r="114">
          <cell r="A114" t="str">
            <v>A61119</v>
          </cell>
        </row>
        <row r="115">
          <cell r="A115" t="str">
            <v>P6110</v>
          </cell>
        </row>
        <row r="116">
          <cell r="A116" t="str">
            <v>A61201</v>
          </cell>
        </row>
        <row r="117">
          <cell r="A117" t="str">
            <v>A61299</v>
          </cell>
        </row>
        <row r="118">
          <cell r="A118" t="str">
            <v>P6120</v>
          </cell>
        </row>
        <row r="119">
          <cell r="A119" t="str">
            <v>A61501</v>
          </cell>
        </row>
        <row r="120">
          <cell r="A120" t="str">
            <v>A61503</v>
          </cell>
        </row>
        <row r="121">
          <cell r="A121" t="str">
            <v>A61505</v>
          </cell>
        </row>
        <row r="122">
          <cell r="A122" t="str">
            <v>A61507</v>
          </cell>
        </row>
        <row r="123">
          <cell r="A123" t="str">
            <v>A61509</v>
          </cell>
        </row>
        <row r="124">
          <cell r="A124" t="str">
            <v>A61511</v>
          </cell>
        </row>
        <row r="125">
          <cell r="A125" t="str">
            <v>A61512</v>
          </cell>
        </row>
        <row r="126">
          <cell r="A126" t="str">
            <v>A61513</v>
          </cell>
        </row>
        <row r="127">
          <cell r="A127" t="str">
            <v>P6150</v>
          </cell>
        </row>
        <row r="128">
          <cell r="A128" t="str">
            <v>A61601</v>
          </cell>
        </row>
        <row r="129">
          <cell r="A129" t="str">
            <v>A61603</v>
          </cell>
        </row>
        <row r="130">
          <cell r="A130" t="str">
            <v>A61605</v>
          </cell>
        </row>
        <row r="131">
          <cell r="A131" t="str">
            <v>A61607</v>
          </cell>
        </row>
        <row r="132">
          <cell r="A132" t="str">
            <v>A61609</v>
          </cell>
        </row>
        <row r="133">
          <cell r="A133" t="str">
            <v>A61611</v>
          </cell>
        </row>
        <row r="134">
          <cell r="A134" t="str">
            <v>A61606</v>
          </cell>
        </row>
        <row r="135">
          <cell r="A135" t="str">
            <v>P6160</v>
          </cell>
        </row>
        <row r="136">
          <cell r="A136" t="str">
            <v>A61551</v>
          </cell>
        </row>
        <row r="137">
          <cell r="A137" t="str">
            <v>A61553</v>
          </cell>
        </row>
        <row r="138">
          <cell r="A138" t="str">
            <v>A61555</v>
          </cell>
        </row>
        <row r="139">
          <cell r="A139" t="str">
            <v>A61557</v>
          </cell>
        </row>
        <row r="140">
          <cell r="A140" t="str">
            <v>A61559</v>
          </cell>
        </row>
        <row r="141">
          <cell r="A141" t="str">
            <v>A61561</v>
          </cell>
        </row>
        <row r="142">
          <cell r="A142" t="str">
            <v>A61563</v>
          </cell>
        </row>
        <row r="143">
          <cell r="A143" t="str">
            <v>P6155</v>
          </cell>
        </row>
        <row r="144">
          <cell r="A144" t="str">
            <v>A61701</v>
          </cell>
        </row>
        <row r="145">
          <cell r="A145" t="str">
            <v>A61703</v>
          </cell>
        </row>
        <row r="146">
          <cell r="A146" t="str">
            <v>A61705</v>
          </cell>
        </row>
        <row r="147">
          <cell r="A147" t="str">
            <v>A61706</v>
          </cell>
        </row>
        <row r="148">
          <cell r="A148" t="str">
            <v>A61707</v>
          </cell>
        </row>
        <row r="149">
          <cell r="A149" t="str">
            <v>A61709</v>
          </cell>
        </row>
        <row r="150">
          <cell r="A150" t="str">
            <v>A61711</v>
          </cell>
        </row>
        <row r="151">
          <cell r="A151" t="str">
            <v>A61713</v>
          </cell>
        </row>
        <row r="152">
          <cell r="A152" t="str">
            <v>A61715</v>
          </cell>
        </row>
        <row r="153">
          <cell r="A153" t="str">
            <v>A61717</v>
          </cell>
        </row>
        <row r="154">
          <cell r="A154" t="str">
            <v>A61719</v>
          </cell>
        </row>
        <row r="155">
          <cell r="A155" t="str">
            <v>A61721</v>
          </cell>
        </row>
        <row r="156">
          <cell r="A156" t="str">
            <v>A61723</v>
          </cell>
        </row>
        <row r="157">
          <cell r="A157" t="str">
            <v>P6170</v>
          </cell>
        </row>
        <row r="158">
          <cell r="A158" t="str">
            <v>A61803</v>
          </cell>
        </row>
        <row r="159">
          <cell r="A159" t="str">
            <v>A61805</v>
          </cell>
        </row>
        <row r="160">
          <cell r="A160" t="str">
            <v>A61809</v>
          </cell>
        </row>
        <row r="161">
          <cell r="A161" t="str">
            <v>P6180</v>
          </cell>
        </row>
        <row r="162">
          <cell r="A162" t="str">
            <v>A61901</v>
          </cell>
        </row>
        <row r="163">
          <cell r="A163" t="str">
            <v>A61902</v>
          </cell>
        </row>
        <row r="164">
          <cell r="A164" t="str">
            <v>A61903</v>
          </cell>
        </row>
        <row r="165">
          <cell r="A165" t="str">
            <v>A61905</v>
          </cell>
        </row>
        <row r="166">
          <cell r="A166" t="str">
            <v>A61909</v>
          </cell>
        </row>
        <row r="167">
          <cell r="A167" t="str">
            <v>A61910</v>
          </cell>
        </row>
        <row r="168">
          <cell r="A168" t="str">
            <v>A61911</v>
          </cell>
        </row>
        <row r="169">
          <cell r="A169" t="str">
            <v>A61999</v>
          </cell>
        </row>
        <row r="170">
          <cell r="A170" t="str">
            <v>A61906</v>
          </cell>
        </row>
        <row r="171">
          <cell r="A171" t="str">
            <v>P6190</v>
          </cell>
        </row>
        <row r="172">
          <cell r="A172" t="str">
            <v>A62001</v>
          </cell>
        </row>
        <row r="173">
          <cell r="A173" t="str">
            <v>A62002</v>
          </cell>
        </row>
        <row r="174">
          <cell r="A174" t="str">
            <v>A62003</v>
          </cell>
        </row>
        <row r="175">
          <cell r="A175" t="str">
            <v>A62004</v>
          </cell>
        </row>
        <row r="176">
          <cell r="A176" t="str">
            <v>A62005</v>
          </cell>
        </row>
        <row r="177">
          <cell r="A177" t="str">
            <v>A62006</v>
          </cell>
        </row>
        <row r="178">
          <cell r="A178" t="str">
            <v>A62007</v>
          </cell>
        </row>
        <row r="179">
          <cell r="A179" t="str">
            <v>A62008</v>
          </cell>
        </row>
        <row r="180">
          <cell r="A180" t="str">
            <v>A62009</v>
          </cell>
        </row>
        <row r="181">
          <cell r="A181" t="str">
            <v>A62010</v>
          </cell>
        </row>
        <row r="182">
          <cell r="A182" t="str">
            <v>A62012</v>
          </cell>
        </row>
        <row r="183">
          <cell r="A183" t="str">
            <v>A62013</v>
          </cell>
        </row>
        <row r="184">
          <cell r="A184" t="str">
            <v>A62014</v>
          </cell>
        </row>
        <row r="185">
          <cell r="A185" t="str">
            <v>A62015</v>
          </cell>
        </row>
        <row r="186">
          <cell r="A186" t="str">
            <v>A62016</v>
          </cell>
        </row>
        <row r="187">
          <cell r="A187" t="str">
            <v>A62017</v>
          </cell>
        </row>
        <row r="188">
          <cell r="A188" t="str">
            <v>A62018</v>
          </cell>
        </row>
        <row r="189">
          <cell r="A189" t="str">
            <v>A62019</v>
          </cell>
        </row>
        <row r="190">
          <cell r="A190" t="str">
            <v>A62020</v>
          </cell>
        </row>
        <row r="191">
          <cell r="A191" t="str">
            <v>A62021</v>
          </cell>
        </row>
        <row r="192">
          <cell r="A192" t="str">
            <v>A62022</v>
          </cell>
        </row>
        <row r="193">
          <cell r="A193" t="str">
            <v>A62024</v>
          </cell>
        </row>
        <row r="194">
          <cell r="A194" t="str">
            <v>A62025</v>
          </cell>
        </row>
        <row r="195">
          <cell r="A195" t="str">
            <v>A62027</v>
          </cell>
        </row>
        <row r="196">
          <cell r="A196" t="str">
            <v>A62028</v>
          </cell>
        </row>
        <row r="197">
          <cell r="A197" t="str">
            <v>A62029</v>
          </cell>
        </row>
        <row r="198">
          <cell r="A198" t="str">
            <v>A62030</v>
          </cell>
        </row>
        <row r="199">
          <cell r="A199" t="str">
            <v>A62031</v>
          </cell>
        </row>
        <row r="200">
          <cell r="A200" t="str">
            <v>A62032</v>
          </cell>
        </row>
        <row r="201">
          <cell r="A201" t="str">
            <v>A62033</v>
          </cell>
        </row>
        <row r="202">
          <cell r="A202" t="str">
            <v>A62034</v>
          </cell>
        </row>
        <row r="203">
          <cell r="A203" t="str">
            <v>A62035</v>
          </cell>
        </row>
        <row r="204">
          <cell r="A204" t="str">
            <v>A62039</v>
          </cell>
        </row>
        <row r="205">
          <cell r="A205" t="str">
            <v>A62041</v>
          </cell>
        </row>
        <row r="206">
          <cell r="A206" t="str">
            <v>A62042</v>
          </cell>
        </row>
        <row r="207">
          <cell r="A207" t="str">
            <v>A62043</v>
          </cell>
        </row>
        <row r="208">
          <cell r="A208" t="str">
            <v>A62045</v>
          </cell>
        </row>
        <row r="209">
          <cell r="A209" t="str">
            <v>A62046</v>
          </cell>
        </row>
        <row r="210">
          <cell r="A210" t="str">
            <v>A62047</v>
          </cell>
        </row>
        <row r="211">
          <cell r="A211" t="str">
            <v>A62051</v>
          </cell>
        </row>
        <row r="212">
          <cell r="A212" t="str">
            <v>A62052</v>
          </cell>
        </row>
        <row r="213">
          <cell r="A213" t="str">
            <v>A62053</v>
          </cell>
        </row>
        <row r="214">
          <cell r="A214" t="str">
            <v>A62054</v>
          </cell>
        </row>
        <row r="215">
          <cell r="A215" t="str">
            <v>A62055</v>
          </cell>
        </row>
        <row r="216">
          <cell r="A216" t="str">
            <v>A62056</v>
          </cell>
        </row>
        <row r="217">
          <cell r="A217" t="str">
            <v>A62057</v>
          </cell>
        </row>
        <row r="218">
          <cell r="A218" t="str">
            <v>A62058</v>
          </cell>
        </row>
        <row r="219">
          <cell r="A219" t="str">
            <v>A62060</v>
          </cell>
        </row>
        <row r="220">
          <cell r="A220" t="str">
            <v>A62061</v>
          </cell>
        </row>
        <row r="221">
          <cell r="A221" t="str">
            <v>A62062</v>
          </cell>
        </row>
        <row r="222">
          <cell r="A222" t="str">
            <v>A62063</v>
          </cell>
        </row>
        <row r="223">
          <cell r="A223" t="str">
            <v>A62064</v>
          </cell>
        </row>
        <row r="224">
          <cell r="A224" t="str">
            <v>A62071</v>
          </cell>
        </row>
        <row r="225">
          <cell r="A225" t="str">
            <v>A62082</v>
          </cell>
        </row>
        <row r="226">
          <cell r="A226" t="str">
            <v>A62083</v>
          </cell>
        </row>
        <row r="227">
          <cell r="A227" t="str">
            <v>A62037</v>
          </cell>
        </row>
        <row r="228">
          <cell r="A228" t="str">
            <v>A62080</v>
          </cell>
        </row>
        <row r="229">
          <cell r="A229" t="str">
            <v>P6200</v>
          </cell>
        </row>
        <row r="230">
          <cell r="A230" t="str">
            <v>A62301</v>
          </cell>
        </row>
        <row r="231">
          <cell r="A231" t="str">
            <v>A62303</v>
          </cell>
        </row>
        <row r="232">
          <cell r="A232" t="str">
            <v>A62305</v>
          </cell>
        </row>
        <row r="233">
          <cell r="A233" t="str">
            <v>A62307</v>
          </cell>
        </row>
        <row r="234">
          <cell r="A234" t="str">
            <v>A62309</v>
          </cell>
        </row>
        <row r="235">
          <cell r="A235" t="str">
            <v>A62311</v>
          </cell>
        </row>
        <row r="236">
          <cell r="A236" t="str">
            <v>A62312</v>
          </cell>
        </row>
        <row r="237">
          <cell r="A237" t="str">
            <v>P6230</v>
          </cell>
        </row>
        <row r="238">
          <cell r="A238" t="str">
            <v>A62401</v>
          </cell>
        </row>
        <row r="239">
          <cell r="A239" t="str">
            <v>A62403</v>
          </cell>
        </row>
        <row r="240">
          <cell r="A240" t="str">
            <v>A62405</v>
          </cell>
        </row>
        <row r="241">
          <cell r="A241" t="str">
            <v>A62407</v>
          </cell>
        </row>
        <row r="242">
          <cell r="A242" t="str">
            <v>A62409</v>
          </cell>
        </row>
        <row r="243">
          <cell r="A243" t="str">
            <v>A62411</v>
          </cell>
        </row>
        <row r="244">
          <cell r="A244" t="str">
            <v>A62413</v>
          </cell>
        </row>
        <row r="245">
          <cell r="A245" t="str">
            <v>P6240</v>
          </cell>
        </row>
        <row r="246">
          <cell r="A246" t="str">
            <v>A70101</v>
          </cell>
        </row>
        <row r="247">
          <cell r="A247" t="str">
            <v>A70103</v>
          </cell>
        </row>
        <row r="248">
          <cell r="A248" t="str">
            <v>A70105</v>
          </cell>
        </row>
        <row r="249">
          <cell r="A249" t="str">
            <v>P7010</v>
          </cell>
        </row>
        <row r="250">
          <cell r="A250" t="str">
            <v>A70001</v>
          </cell>
        </row>
        <row r="251">
          <cell r="A251" t="str">
            <v>A70003</v>
          </cell>
        </row>
        <row r="252">
          <cell r="A252" t="str">
            <v>A70005</v>
          </cell>
        </row>
        <row r="253">
          <cell r="A253" t="str">
            <v>A70007</v>
          </cell>
        </row>
        <row r="254">
          <cell r="A254" t="str">
            <v>A70009</v>
          </cell>
        </row>
        <row r="255">
          <cell r="A255" t="str">
            <v>A70011</v>
          </cell>
        </row>
        <row r="256">
          <cell r="A256" t="str">
            <v>A70013</v>
          </cell>
        </row>
        <row r="257">
          <cell r="A257" t="str">
            <v>A70015</v>
          </cell>
        </row>
        <row r="258">
          <cell r="A258" t="str">
            <v>A70017</v>
          </cell>
        </row>
        <row r="259">
          <cell r="A259" t="str">
            <v>P7000</v>
          </cell>
        </row>
        <row r="260">
          <cell r="A260" t="str">
            <v>A70201</v>
          </cell>
        </row>
        <row r="261">
          <cell r="A261" t="str">
            <v>A70203</v>
          </cell>
        </row>
        <row r="262">
          <cell r="A262" t="str">
            <v>A70209</v>
          </cell>
        </row>
        <row r="263">
          <cell r="A263" t="str">
            <v>P7020</v>
          </cell>
        </row>
        <row r="264">
          <cell r="A264" t="str">
            <v>A70301</v>
          </cell>
        </row>
        <row r="265">
          <cell r="A265" t="str">
            <v>P7030</v>
          </cell>
        </row>
        <row r="266">
          <cell r="A266" t="str">
            <v>A70401</v>
          </cell>
        </row>
        <row r="267">
          <cell r="A267" t="str">
            <v>A70403</v>
          </cell>
        </row>
        <row r="268">
          <cell r="A268" t="str">
            <v>A70405</v>
          </cell>
        </row>
        <row r="269">
          <cell r="A269" t="str">
            <v>A70407</v>
          </cell>
        </row>
        <row r="270">
          <cell r="A270" t="str">
            <v>A70409</v>
          </cell>
        </row>
        <row r="271">
          <cell r="A271" t="str">
            <v>P7040</v>
          </cell>
        </row>
        <row r="272">
          <cell r="A272" t="str">
            <v>A70501</v>
          </cell>
        </row>
        <row r="273">
          <cell r="A273" t="str">
            <v>A70503</v>
          </cell>
        </row>
        <row r="274">
          <cell r="A274" t="str">
            <v>A70505</v>
          </cell>
        </row>
        <row r="275">
          <cell r="A275" t="str">
            <v>A70507</v>
          </cell>
        </row>
        <row r="276">
          <cell r="A276" t="str">
            <v>A70509</v>
          </cell>
        </row>
        <row r="277">
          <cell r="A277" t="str">
            <v>A70511</v>
          </cell>
        </row>
        <row r="278">
          <cell r="A278" t="str">
            <v>A70506</v>
          </cell>
        </row>
        <row r="279">
          <cell r="A279" t="str">
            <v>A70510</v>
          </cell>
        </row>
        <row r="280">
          <cell r="A280" t="str">
            <v>P7050</v>
          </cell>
        </row>
        <row r="281">
          <cell r="A281" t="str">
            <v>A70651</v>
          </cell>
        </row>
        <row r="282">
          <cell r="A282" t="str">
            <v>A70653</v>
          </cell>
        </row>
        <row r="283">
          <cell r="A283" t="str">
            <v>A70655</v>
          </cell>
        </row>
        <row r="284">
          <cell r="A284" t="str">
            <v>A70657</v>
          </cell>
        </row>
        <row r="285">
          <cell r="A285" t="str">
            <v>P7065</v>
          </cell>
        </row>
        <row r="286">
          <cell r="A286" t="str">
            <v>A70601</v>
          </cell>
        </row>
        <row r="287">
          <cell r="A287" t="str">
            <v>A70603</v>
          </cell>
        </row>
        <row r="288">
          <cell r="A288" t="str">
            <v>A70605</v>
          </cell>
        </row>
        <row r="289">
          <cell r="A289" t="str">
            <v>A70607</v>
          </cell>
        </row>
        <row r="290">
          <cell r="A290" t="str">
            <v>P7060</v>
          </cell>
        </row>
        <row r="291">
          <cell r="A291" t="str">
            <v>A70701</v>
          </cell>
        </row>
        <row r="292">
          <cell r="A292" t="str">
            <v>A70703</v>
          </cell>
        </row>
        <row r="293">
          <cell r="A293" t="str">
            <v>A70705</v>
          </cell>
        </row>
        <row r="294">
          <cell r="A294" t="str">
            <v>A70707</v>
          </cell>
        </row>
        <row r="295">
          <cell r="A295" t="str">
            <v>A70709</v>
          </cell>
        </row>
        <row r="296">
          <cell r="A296" t="str">
            <v>A70711</v>
          </cell>
        </row>
        <row r="297">
          <cell r="A297" t="str">
            <v>P7070</v>
          </cell>
        </row>
        <row r="298">
          <cell r="A298" t="str">
            <v>A70899</v>
          </cell>
        </row>
        <row r="299">
          <cell r="A299" t="str">
            <v>P7089</v>
          </cell>
        </row>
        <row r="300">
          <cell r="A300" t="str">
            <v>A70801</v>
          </cell>
        </row>
        <row r="301">
          <cell r="A301" t="str">
            <v>A70803</v>
          </cell>
        </row>
        <row r="302">
          <cell r="A302" t="str">
            <v>A70805</v>
          </cell>
        </row>
        <row r="303">
          <cell r="A303" t="str">
            <v>A70807</v>
          </cell>
        </row>
        <row r="304">
          <cell r="A304" t="str">
            <v>A70809</v>
          </cell>
        </row>
        <row r="305">
          <cell r="A305" t="str">
            <v>A70811</v>
          </cell>
        </row>
        <row r="306">
          <cell r="A306" t="str">
            <v>P7080</v>
          </cell>
        </row>
        <row r="307">
          <cell r="A307" t="str">
            <v>A70951</v>
          </cell>
        </row>
        <row r="308">
          <cell r="A308" t="str">
            <v>A70953</v>
          </cell>
        </row>
        <row r="309">
          <cell r="A309" t="str">
            <v>A70955</v>
          </cell>
        </row>
        <row r="310">
          <cell r="A310" t="str">
            <v>A70957</v>
          </cell>
        </row>
        <row r="311">
          <cell r="A311" t="str">
            <v>A70961</v>
          </cell>
        </row>
        <row r="312">
          <cell r="A312" t="str">
            <v>A70963</v>
          </cell>
        </row>
        <row r="313">
          <cell r="A313" t="str">
            <v>A70965</v>
          </cell>
        </row>
        <row r="314">
          <cell r="A314" t="str">
            <v>A70967</v>
          </cell>
        </row>
        <row r="315">
          <cell r="A315" t="str">
            <v>A70971</v>
          </cell>
        </row>
        <row r="316">
          <cell r="A316" t="str">
            <v>A70977</v>
          </cell>
        </row>
        <row r="317">
          <cell r="A317" t="str">
            <v>A70981</v>
          </cell>
        </row>
        <row r="318">
          <cell r="A318" t="str">
            <v>A70973</v>
          </cell>
        </row>
        <row r="319">
          <cell r="A319" t="str">
            <v>A70917</v>
          </cell>
        </row>
        <row r="320">
          <cell r="A320" t="str">
            <v>P7095</v>
          </cell>
        </row>
        <row r="321">
          <cell r="A321" t="str">
            <v>A70905</v>
          </cell>
        </row>
        <row r="322">
          <cell r="A322" t="str">
            <v>A70911</v>
          </cell>
        </row>
        <row r="323">
          <cell r="A323" t="str">
            <v>A70909</v>
          </cell>
        </row>
        <row r="324">
          <cell r="A324" t="str">
            <v>P7090</v>
          </cell>
        </row>
        <row r="325">
          <cell r="A325" t="str">
            <v>A71001</v>
          </cell>
        </row>
        <row r="326">
          <cell r="A326" t="str">
            <v>A71003</v>
          </cell>
        </row>
        <row r="327">
          <cell r="A327" t="str">
            <v>P7100</v>
          </cell>
        </row>
        <row r="328">
          <cell r="A328" t="str">
            <v>A71101</v>
          </cell>
        </row>
        <row r="329">
          <cell r="A329" t="str">
            <v>A71103</v>
          </cell>
        </row>
        <row r="330">
          <cell r="A330" t="str">
            <v>A71105</v>
          </cell>
        </row>
        <row r="331">
          <cell r="A331" t="str">
            <v>A71109</v>
          </cell>
        </row>
        <row r="332">
          <cell r="A332" t="str">
            <v>A71111</v>
          </cell>
        </row>
        <row r="333">
          <cell r="A333" t="str">
            <v>A71117</v>
          </cell>
        </row>
        <row r="334">
          <cell r="A334" t="str">
            <v>A71119</v>
          </cell>
        </row>
        <row r="335">
          <cell r="A335" t="str">
            <v>P7110</v>
          </cell>
        </row>
        <row r="336">
          <cell r="A336" t="str">
            <v>A74001</v>
          </cell>
        </row>
        <row r="337">
          <cell r="A337" t="str">
            <v>A74002</v>
          </cell>
        </row>
        <row r="338">
          <cell r="A338" t="str">
            <v>A74003</v>
          </cell>
        </row>
        <row r="339">
          <cell r="A339" t="str">
            <v>A74004</v>
          </cell>
        </row>
        <row r="340">
          <cell r="A340" t="str">
            <v>A74005</v>
          </cell>
        </row>
        <row r="341">
          <cell r="A341" t="str">
            <v>A74006</v>
          </cell>
        </row>
        <row r="342">
          <cell r="A342" t="str">
            <v>A74007</v>
          </cell>
        </row>
        <row r="343">
          <cell r="A343" t="str">
            <v>P7400</v>
          </cell>
        </row>
        <row r="344">
          <cell r="A344" t="str">
            <v>A79951</v>
          </cell>
        </row>
        <row r="345">
          <cell r="A345" t="str">
            <v>A79952</v>
          </cell>
        </row>
        <row r="346">
          <cell r="A346" t="str">
            <v>A79953</v>
          </cell>
        </row>
        <row r="347">
          <cell r="A347" t="str">
            <v>A79954</v>
          </cell>
        </row>
        <row r="348">
          <cell r="A348" t="str">
            <v>A79955</v>
          </cell>
        </row>
        <row r="349">
          <cell r="A349" t="str">
            <v>A79956</v>
          </cell>
        </row>
        <row r="350">
          <cell r="A350" t="str">
            <v>A79957</v>
          </cell>
        </row>
        <row r="351">
          <cell r="A351" t="str">
            <v>A79960</v>
          </cell>
        </row>
        <row r="352">
          <cell r="A352" t="str">
            <v>A79965</v>
          </cell>
        </row>
        <row r="353">
          <cell r="A353" t="str">
            <v>A79966</v>
          </cell>
        </row>
        <row r="354">
          <cell r="A354" t="str">
            <v>A79967</v>
          </cell>
        </row>
        <row r="355">
          <cell r="A355" t="str">
            <v>A79958</v>
          </cell>
        </row>
        <row r="356">
          <cell r="A356" t="str">
            <v>P7995</v>
          </cell>
        </row>
        <row r="357">
          <cell r="A357" t="str">
            <v>OAPPP</v>
          </cell>
        </row>
        <row r="359">
          <cell r="A359" t="str">
            <v>QTAG</v>
          </cell>
        </row>
      </sheetData>
      <sheetData sheetId="3" refreshError="1"/>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V342"/>
  <sheetViews>
    <sheetView zoomScale="120" zoomScaleNormal="120" workbookViewId="0">
      <selection activeCell="C5" sqref="C5"/>
    </sheetView>
  </sheetViews>
  <sheetFormatPr baseColWidth="10" defaultRowHeight="15"/>
  <cols>
    <col min="1" max="1" width="4.42578125" style="13" bestFit="1" customWidth="1"/>
    <col min="2" max="2" width="36.7109375" customWidth="1"/>
    <col min="3" max="3" width="10.42578125" customWidth="1"/>
    <col min="11" max="11" width="12" customWidth="1"/>
  </cols>
  <sheetData>
    <row r="1" spans="1:16">
      <c r="B1" s="182" t="s">
        <v>0</v>
      </c>
      <c r="C1" s="182"/>
      <c r="D1" s="182"/>
      <c r="E1" s="182"/>
      <c r="F1" s="182"/>
      <c r="G1" s="182"/>
      <c r="H1" s="182"/>
      <c r="I1" s="182"/>
      <c r="J1" s="182"/>
      <c r="K1" s="182"/>
      <c r="L1" s="182"/>
      <c r="M1" s="105"/>
      <c r="N1" s="105"/>
      <c r="O1" s="105"/>
      <c r="P1" s="105"/>
    </row>
    <row r="2" spans="1:16">
      <c r="B2" s="182" t="s">
        <v>1</v>
      </c>
      <c r="C2" s="182"/>
      <c r="D2" s="182"/>
      <c r="E2" s="182"/>
      <c r="F2" s="182"/>
      <c r="G2" s="182"/>
      <c r="H2" s="182"/>
      <c r="I2" s="182"/>
      <c r="J2" s="182"/>
      <c r="K2" s="182"/>
      <c r="L2" s="182"/>
      <c r="M2" s="105"/>
      <c r="N2" s="105"/>
      <c r="O2" s="105"/>
      <c r="P2" s="105"/>
    </row>
    <row r="3" spans="1:16">
      <c r="B3" s="182" t="s">
        <v>97</v>
      </c>
      <c r="C3" s="182"/>
      <c r="D3" s="182"/>
      <c r="E3" s="182"/>
      <c r="F3" s="182"/>
      <c r="G3" s="182"/>
      <c r="H3" s="182"/>
      <c r="I3" s="182"/>
      <c r="J3" s="182"/>
      <c r="K3" s="182"/>
      <c r="L3" s="182"/>
      <c r="M3" s="105"/>
      <c r="N3" s="105"/>
      <c r="O3" s="105"/>
      <c r="P3" s="105"/>
    </row>
    <row r="4" spans="1:16">
      <c r="B4" s="182" t="s">
        <v>2</v>
      </c>
      <c r="C4" s="182"/>
      <c r="D4" s="182"/>
      <c r="E4" s="182"/>
      <c r="F4" s="182"/>
      <c r="G4" s="182"/>
      <c r="H4" s="182"/>
      <c r="I4" s="182"/>
      <c r="J4" s="182"/>
      <c r="K4" s="182"/>
      <c r="L4" s="182"/>
      <c r="M4" s="105"/>
      <c r="N4" s="105"/>
      <c r="O4" s="105"/>
      <c r="P4" s="105"/>
    </row>
    <row r="5" spans="1:16">
      <c r="B5" s="33"/>
      <c r="C5" s="33"/>
      <c r="D5" s="33"/>
      <c r="E5" s="33"/>
      <c r="F5" s="33"/>
      <c r="G5" s="33"/>
      <c r="H5" s="33"/>
      <c r="I5" s="33"/>
      <c r="J5" s="33"/>
      <c r="K5" s="33"/>
      <c r="L5" s="33"/>
      <c r="M5" s="34"/>
      <c r="N5" s="34"/>
      <c r="O5" s="34"/>
      <c r="P5" s="33"/>
    </row>
    <row r="7" spans="1:16" ht="15.75" customHeight="1">
      <c r="A7" s="116" t="s">
        <v>67</v>
      </c>
      <c r="B7" s="106" t="s">
        <v>52</v>
      </c>
      <c r="L7" s="170" t="s">
        <v>201</v>
      </c>
      <c r="M7" s="170"/>
    </row>
    <row r="8" spans="1:16" ht="15" customHeight="1">
      <c r="E8" s="5" t="s">
        <v>3</v>
      </c>
      <c r="F8" s="5" t="s">
        <v>4</v>
      </c>
      <c r="G8" s="5" t="s">
        <v>5</v>
      </c>
      <c r="H8" s="5" t="s">
        <v>6</v>
      </c>
      <c r="I8" s="6" t="s">
        <v>7</v>
      </c>
      <c r="J8" s="5" t="s">
        <v>8</v>
      </c>
      <c r="K8" s="6" t="s">
        <v>9</v>
      </c>
      <c r="L8" s="171"/>
      <c r="M8" s="171"/>
    </row>
    <row r="9" spans="1:16">
      <c r="B9" t="s">
        <v>195</v>
      </c>
      <c r="E9" s="107">
        <v>597.4</v>
      </c>
      <c r="F9" s="107">
        <v>1037.7</v>
      </c>
      <c r="G9" s="107">
        <v>971.3</v>
      </c>
      <c r="H9" s="107">
        <v>863</v>
      </c>
      <c r="I9" s="107">
        <v>818.8</v>
      </c>
      <c r="J9" s="107">
        <v>1018.5</v>
      </c>
      <c r="K9" s="107">
        <v>1146.5999999999999</v>
      </c>
      <c r="L9" s="183">
        <f>+E9*1.0419^6</f>
        <v>764.22536222063263</v>
      </c>
      <c r="M9" s="183"/>
    </row>
    <row r="10" spans="1:16" ht="60">
      <c r="B10" s="66" t="s">
        <v>118</v>
      </c>
      <c r="E10" s="158">
        <f>564+180.045</f>
        <v>744.04499999999996</v>
      </c>
      <c r="F10">
        <v>1040</v>
      </c>
      <c r="G10">
        <v>919</v>
      </c>
      <c r="H10">
        <v>788</v>
      </c>
      <c r="I10">
        <v>912</v>
      </c>
      <c r="J10">
        <v>1006</v>
      </c>
      <c r="K10">
        <v>1147</v>
      </c>
      <c r="L10" s="183">
        <f>+E10*1.0419^6</f>
        <v>951.82132513132001</v>
      </c>
      <c r="M10" s="183"/>
    </row>
    <row r="11" spans="1:16">
      <c r="B11" s="67" t="s">
        <v>119</v>
      </c>
      <c r="E11" s="68">
        <v>1.33</v>
      </c>
      <c r="F11" s="68">
        <v>1.3</v>
      </c>
      <c r="G11" s="68">
        <v>1.45</v>
      </c>
      <c r="H11" s="68">
        <v>1.21</v>
      </c>
      <c r="I11" s="68">
        <v>1.56</v>
      </c>
    </row>
    <row r="12" spans="1:16">
      <c r="C12" s="69"/>
      <c r="D12" s="95" t="s">
        <v>155</v>
      </c>
      <c r="E12" s="154"/>
      <c r="F12" s="162">
        <f>F10-E9</f>
        <v>442.6</v>
      </c>
      <c r="G12">
        <f>G10-F10</f>
        <v>-121</v>
      </c>
      <c r="H12" s="78">
        <f t="shared" ref="H12:K12" si="0">H10-G10</f>
        <v>-131</v>
      </c>
      <c r="I12" s="78">
        <f t="shared" si="0"/>
        <v>124</v>
      </c>
      <c r="J12" s="78">
        <f t="shared" si="0"/>
        <v>94</v>
      </c>
      <c r="K12" s="78">
        <f t="shared" si="0"/>
        <v>141</v>
      </c>
    </row>
    <row r="13" spans="1:16" s="140" customFormat="1">
      <c r="A13" s="141"/>
      <c r="C13" s="69"/>
      <c r="D13" s="69"/>
      <c r="E13" s="130"/>
      <c r="F13" s="130"/>
    </row>
    <row r="14" spans="1:16">
      <c r="B14" t="s">
        <v>194</v>
      </c>
    </row>
    <row r="15" spans="1:16">
      <c r="B15" t="s">
        <v>120</v>
      </c>
    </row>
    <row r="16" spans="1:16">
      <c r="B16" s="140" t="s">
        <v>230</v>
      </c>
      <c r="C16" s="140"/>
      <c r="D16" s="140"/>
      <c r="E16" s="140"/>
      <c r="F16" s="140"/>
      <c r="G16" s="140"/>
      <c r="H16" s="140"/>
      <c r="I16" s="140"/>
      <c r="J16" s="140"/>
      <c r="K16" s="140"/>
    </row>
    <row r="17" spans="1:13">
      <c r="B17" s="140" t="s">
        <v>231</v>
      </c>
      <c r="C17" s="140"/>
      <c r="D17" s="140"/>
      <c r="E17" s="140"/>
      <c r="F17" s="140"/>
      <c r="G17" s="140"/>
      <c r="H17" s="140"/>
      <c r="I17" s="140"/>
      <c r="J17" s="140"/>
      <c r="K17" s="140"/>
    </row>
    <row r="18" spans="1:13">
      <c r="B18" s="140" t="s">
        <v>232</v>
      </c>
      <c r="C18" s="140"/>
      <c r="D18" s="140"/>
      <c r="E18" s="140"/>
      <c r="F18" s="140"/>
      <c r="G18" s="140"/>
      <c r="H18" s="140"/>
      <c r="I18" s="140"/>
      <c r="J18" s="140"/>
      <c r="K18" s="140"/>
    </row>
    <row r="19" spans="1:13">
      <c r="B19" t="s">
        <v>229</v>
      </c>
    </row>
    <row r="20" spans="1:13">
      <c r="B20" t="s">
        <v>228</v>
      </c>
    </row>
    <row r="21" spans="1:13" s="78" customFormat="1">
      <c r="A21" s="13"/>
    </row>
    <row r="23" spans="1:13" s="78" customFormat="1" ht="15.75">
      <c r="A23" s="116" t="s">
        <v>68</v>
      </c>
      <c r="B23" s="106" t="s">
        <v>165</v>
      </c>
    </row>
    <row r="24" spans="1:13" s="78" customFormat="1" ht="8.25" customHeight="1">
      <c r="A24" s="178"/>
      <c r="B24" s="175" t="s">
        <v>186</v>
      </c>
      <c r="C24" s="175"/>
      <c r="D24" s="175"/>
      <c r="E24" s="175"/>
      <c r="F24" s="175"/>
      <c r="G24" s="175"/>
      <c r="H24" s="175"/>
      <c r="I24" s="175"/>
      <c r="J24" s="175"/>
      <c r="K24" s="175"/>
    </row>
    <row r="25" spans="1:13" s="78" customFormat="1" ht="8.25" customHeight="1">
      <c r="A25" s="178"/>
      <c r="B25" s="175"/>
      <c r="C25" s="175"/>
      <c r="D25" s="175"/>
      <c r="E25" s="175"/>
      <c r="F25" s="175"/>
      <c r="G25" s="175"/>
      <c r="H25" s="175"/>
      <c r="I25" s="175"/>
      <c r="J25" s="175"/>
      <c r="K25" s="175"/>
    </row>
    <row r="26" spans="1:13" s="78" customFormat="1">
      <c r="A26" s="116"/>
      <c r="B26" s="175"/>
      <c r="C26" s="175"/>
      <c r="D26" s="175"/>
      <c r="E26" s="175"/>
      <c r="F26" s="175"/>
      <c r="G26" s="175"/>
      <c r="H26" s="175"/>
      <c r="I26" s="175"/>
      <c r="J26" s="175"/>
      <c r="K26" s="175"/>
    </row>
    <row r="27" spans="1:13" s="78" customFormat="1" ht="15" hidden="1" customHeight="1">
      <c r="A27" s="13"/>
      <c r="B27" s="175"/>
      <c r="C27" s="175"/>
      <c r="D27" s="175"/>
      <c r="E27" s="175"/>
      <c r="F27" s="175"/>
      <c r="G27" s="175"/>
      <c r="H27" s="175"/>
      <c r="I27" s="175"/>
      <c r="J27" s="175"/>
      <c r="K27" s="175"/>
    </row>
    <row r="28" spans="1:13" s="78" customFormat="1">
      <c r="A28" s="13"/>
    </row>
    <row r="29" spans="1:13" s="78" customFormat="1" ht="15" customHeight="1">
      <c r="A29" s="13"/>
      <c r="E29" s="5" t="s">
        <v>3</v>
      </c>
      <c r="F29" s="5" t="s">
        <v>4</v>
      </c>
      <c r="G29" s="5" t="s">
        <v>5</v>
      </c>
      <c r="H29" s="5" t="s">
        <v>6</v>
      </c>
      <c r="I29" s="6" t="s">
        <v>7</v>
      </c>
      <c r="J29" s="5" t="s">
        <v>8</v>
      </c>
      <c r="K29" s="6" t="s">
        <v>9</v>
      </c>
      <c r="L29" s="170" t="s">
        <v>201</v>
      </c>
      <c r="M29" s="170"/>
    </row>
    <row r="30" spans="1:13" s="78" customFormat="1">
      <c r="A30" s="13"/>
      <c r="E30" s="110"/>
      <c r="F30" s="110"/>
      <c r="G30" s="110"/>
      <c r="H30" s="110"/>
      <c r="I30" s="110"/>
      <c r="J30" s="110"/>
      <c r="K30" s="110" t="s">
        <v>48</v>
      </c>
      <c r="L30" s="171"/>
      <c r="M30" s="171"/>
    </row>
    <row r="31" spans="1:13" s="78" customFormat="1">
      <c r="A31" s="13"/>
      <c r="L31" s="147"/>
      <c r="M31" s="147"/>
    </row>
    <row r="32" spans="1:13" s="78" customFormat="1">
      <c r="A32" s="13"/>
      <c r="B32" s="7" t="s">
        <v>147</v>
      </c>
      <c r="C32" s="7"/>
      <c r="D32" s="14"/>
      <c r="E32" s="11">
        <v>619.02300000000002</v>
      </c>
      <c r="F32" s="11">
        <v>573.69200000000001</v>
      </c>
      <c r="G32" s="11">
        <v>548.33199999999999</v>
      </c>
      <c r="H32" s="11">
        <v>484.83600000000001</v>
      </c>
      <c r="I32" s="11">
        <v>467.19600000000003</v>
      </c>
      <c r="J32" s="11">
        <v>551.48</v>
      </c>
      <c r="K32" s="11">
        <v>699.63699999999994</v>
      </c>
      <c r="L32" s="183">
        <f>+E32*1.0419^6</f>
        <v>791.88663608621141</v>
      </c>
      <c r="M32" s="183"/>
    </row>
    <row r="33" spans="1:16" s="78" customFormat="1">
      <c r="A33" s="13"/>
      <c r="B33" s="7" t="s">
        <v>13</v>
      </c>
      <c r="C33" s="7"/>
      <c r="D33" s="14"/>
      <c r="E33" s="11">
        <v>3301.2202299999994</v>
      </c>
      <c r="F33" s="11">
        <v>3513.3509300000001</v>
      </c>
      <c r="G33" s="11">
        <v>3917.5796200000004</v>
      </c>
      <c r="H33" s="11">
        <v>3936.6712900000016</v>
      </c>
      <c r="I33" s="11">
        <f>4015.73552</f>
        <v>4015.7355200000002</v>
      </c>
      <c r="J33" s="11">
        <f>4564.7323477</f>
        <v>4564.7323477</v>
      </c>
      <c r="K33" s="11">
        <v>4755.1625121057796</v>
      </c>
      <c r="L33" s="183">
        <f>+E33*1.0419^6</f>
        <v>4223.0937831299461</v>
      </c>
      <c r="M33" s="183"/>
    </row>
    <row r="34" spans="1:16" s="78" customFormat="1">
      <c r="A34" s="13"/>
      <c r="B34" s="15" t="s">
        <v>116</v>
      </c>
      <c r="C34" s="15"/>
      <c r="D34" s="16"/>
      <c r="E34" s="17">
        <f>SUM(E32:E33)</f>
        <v>3920.2432299999996</v>
      </c>
      <c r="F34" s="17">
        <f t="shared" ref="F34:K34" si="1">SUM(F32:F33)</f>
        <v>4087.0429300000001</v>
      </c>
      <c r="G34" s="17">
        <f t="shared" si="1"/>
        <v>4465.9116200000008</v>
      </c>
      <c r="H34" s="17">
        <f t="shared" si="1"/>
        <v>4421.5072900000014</v>
      </c>
      <c r="I34" s="17">
        <f t="shared" si="1"/>
        <v>4482.9315200000001</v>
      </c>
      <c r="J34" s="17">
        <f t="shared" si="1"/>
        <v>5116.2123477000005</v>
      </c>
      <c r="K34" s="17">
        <f t="shared" si="1"/>
        <v>5454.7995121057793</v>
      </c>
      <c r="L34" s="184">
        <f>+E34*1.0419^6</f>
        <v>5014.9804192161573</v>
      </c>
      <c r="M34" s="184"/>
    </row>
    <row r="35" spans="1:16" s="78" customFormat="1">
      <c r="A35" s="13"/>
      <c r="L35" s="127"/>
    </row>
    <row r="36" spans="1:16" s="78" customFormat="1">
      <c r="A36" s="13"/>
      <c r="B36" s="78" t="s">
        <v>148</v>
      </c>
      <c r="E36" s="88">
        <v>22.51</v>
      </c>
      <c r="F36" s="88">
        <v>24.43</v>
      </c>
      <c r="G36" s="88">
        <v>25.05</v>
      </c>
      <c r="H36" s="88">
        <v>23.78</v>
      </c>
      <c r="I36" s="88">
        <v>23.16</v>
      </c>
      <c r="J36" s="88">
        <f>26.11</f>
        <v>26.11</v>
      </c>
      <c r="K36" s="88">
        <f>28.5</f>
        <v>28.5</v>
      </c>
    </row>
    <row r="37" spans="1:16" s="78" customFormat="1">
      <c r="A37" s="13"/>
      <c r="B37" s="78" t="s">
        <v>149</v>
      </c>
      <c r="E37" s="88">
        <v>27.8</v>
      </c>
      <c r="F37" s="88">
        <v>28.7</v>
      </c>
      <c r="G37" s="88">
        <v>31.9</v>
      </c>
      <c r="H37" s="88">
        <v>32.6</v>
      </c>
      <c r="I37" s="88">
        <v>31.8</v>
      </c>
      <c r="J37" s="88">
        <v>31.3</v>
      </c>
      <c r="K37" s="88">
        <v>31.7</v>
      </c>
    </row>
    <row r="38" spans="1:16" s="78" customFormat="1">
      <c r="A38" s="13"/>
      <c r="B38" s="15" t="s">
        <v>150</v>
      </c>
      <c r="C38" s="89"/>
      <c r="D38" s="89"/>
      <c r="E38" s="90">
        <f t="shared" ref="E38:K38" si="2">SUM(E36:E37)</f>
        <v>50.31</v>
      </c>
      <c r="F38" s="90">
        <f t="shared" si="2"/>
        <v>53.129999999999995</v>
      </c>
      <c r="G38" s="90">
        <f t="shared" si="2"/>
        <v>56.95</v>
      </c>
      <c r="H38" s="90">
        <f t="shared" si="2"/>
        <v>56.38</v>
      </c>
      <c r="I38" s="90">
        <f t="shared" si="2"/>
        <v>54.96</v>
      </c>
      <c r="J38" s="90">
        <f t="shared" si="2"/>
        <v>57.41</v>
      </c>
      <c r="K38" s="90">
        <f t="shared" si="2"/>
        <v>60.2</v>
      </c>
      <c r="L38" s="167" t="s">
        <v>259</v>
      </c>
    </row>
    <row r="39" spans="1:16" s="78" customFormat="1">
      <c r="A39" s="13"/>
      <c r="B39" s="7"/>
      <c r="C39" s="89" t="s">
        <v>151</v>
      </c>
      <c r="D39" s="89"/>
      <c r="E39" s="89"/>
      <c r="F39" s="91">
        <f>F36-E36</f>
        <v>1.9199999999999982</v>
      </c>
      <c r="G39" s="91">
        <f t="shared" ref="G39:K39" si="3">G36-F36</f>
        <v>0.62000000000000099</v>
      </c>
      <c r="H39" s="91">
        <f t="shared" si="3"/>
        <v>-1.2699999999999996</v>
      </c>
      <c r="I39" s="91">
        <f t="shared" si="3"/>
        <v>-0.62000000000000099</v>
      </c>
      <c r="J39" s="91">
        <f t="shared" si="3"/>
        <v>2.9499999999999993</v>
      </c>
      <c r="K39" s="91">
        <f t="shared" si="3"/>
        <v>2.3900000000000006</v>
      </c>
    </row>
    <row r="40" spans="1:16" s="78" customFormat="1">
      <c r="A40" s="13"/>
      <c r="B40" s="7"/>
      <c r="C40" s="89" t="s">
        <v>152</v>
      </c>
      <c r="D40" s="89"/>
      <c r="E40" s="89"/>
      <c r="F40" s="92">
        <f>F39/E36</f>
        <v>8.5295424255886182E-2</v>
      </c>
      <c r="G40" s="92">
        <f t="shared" ref="G40:K40" si="4">G39/F36</f>
        <v>2.5378632828489602E-2</v>
      </c>
      <c r="H40" s="92">
        <f>H39/G36</f>
        <v>-5.0698602794411157E-2</v>
      </c>
      <c r="I40" s="92">
        <f t="shared" si="4"/>
        <v>-2.6072329688814171E-2</v>
      </c>
      <c r="J40" s="92">
        <f t="shared" si="4"/>
        <v>0.12737478411053538</v>
      </c>
      <c r="K40" s="92">
        <f t="shared" si="4"/>
        <v>9.1535810034469575E-2</v>
      </c>
    </row>
    <row r="41" spans="1:16" s="78" customFormat="1">
      <c r="A41" s="13"/>
      <c r="B41" s="7"/>
      <c r="C41" s="89" t="s">
        <v>153</v>
      </c>
      <c r="D41" s="89"/>
      <c r="E41" s="89"/>
      <c r="F41" s="91">
        <f>F37-E37</f>
        <v>0.89999999999999858</v>
      </c>
      <c r="G41" s="91">
        <f t="shared" ref="G41:K41" si="5">G37-F37</f>
        <v>3.1999999999999993</v>
      </c>
      <c r="H41" s="91">
        <f t="shared" si="5"/>
        <v>0.70000000000000284</v>
      </c>
      <c r="I41" s="91">
        <f t="shared" si="5"/>
        <v>-0.80000000000000071</v>
      </c>
      <c r="J41" s="91">
        <f t="shared" si="5"/>
        <v>-0.5</v>
      </c>
      <c r="K41" s="91">
        <f t="shared" si="5"/>
        <v>0.39999999999999858</v>
      </c>
    </row>
    <row r="42" spans="1:16" s="78" customFormat="1">
      <c r="A42" s="13"/>
      <c r="B42" s="7"/>
      <c r="C42" s="89" t="s">
        <v>152</v>
      </c>
      <c r="D42" s="89"/>
      <c r="E42" s="89"/>
      <c r="F42" s="92">
        <f>F41/E37</f>
        <v>3.2374100719424412E-2</v>
      </c>
      <c r="G42" s="92">
        <f t="shared" ref="G42:K42" si="6">G41/F37</f>
        <v>0.11149825783972123</v>
      </c>
      <c r="H42" s="92">
        <f t="shared" si="6"/>
        <v>2.1943573667711689E-2</v>
      </c>
      <c r="I42" s="92">
        <f t="shared" si="6"/>
        <v>-2.4539877300613518E-2</v>
      </c>
      <c r="J42" s="92">
        <f t="shared" si="6"/>
        <v>-1.5723270440251572E-2</v>
      </c>
      <c r="K42" s="92">
        <f t="shared" si="6"/>
        <v>1.2779552715654906E-2</v>
      </c>
    </row>
    <row r="43" spans="1:16" s="78" customFormat="1">
      <c r="A43" s="13"/>
    </row>
    <row r="44" spans="1:16" s="78" customFormat="1" ht="63.75" customHeight="1">
      <c r="A44" s="13"/>
      <c r="B44" s="179" t="s">
        <v>260</v>
      </c>
      <c r="C44" s="179"/>
      <c r="D44" s="179"/>
      <c r="E44" s="179"/>
      <c r="F44" s="179"/>
      <c r="G44" s="179"/>
      <c r="H44" s="179"/>
      <c r="I44" s="179"/>
      <c r="J44" s="179"/>
      <c r="K44" s="179"/>
      <c r="M44" s="1"/>
      <c r="N44" s="1"/>
      <c r="O44" s="1"/>
      <c r="P44" s="1"/>
    </row>
    <row r="45" spans="1:16" s="78" customFormat="1">
      <c r="A45" s="13"/>
      <c r="B45" s="93"/>
      <c r="C45" s="93"/>
      <c r="D45" s="93"/>
      <c r="E45" s="93"/>
      <c r="F45" s="93"/>
      <c r="G45" s="93"/>
      <c r="H45" s="93"/>
      <c r="I45" s="93"/>
      <c r="J45" s="93"/>
      <c r="K45" s="93"/>
    </row>
    <row r="46" spans="1:16" s="78" customFormat="1">
      <c r="A46" s="13"/>
      <c r="B46" s="180" t="s">
        <v>154</v>
      </c>
      <c r="C46" s="180"/>
      <c r="D46" s="66"/>
      <c r="E46" s="5" t="s">
        <v>3</v>
      </c>
      <c r="F46" s="5" t="s">
        <v>4</v>
      </c>
      <c r="G46" s="5" t="s">
        <v>5</v>
      </c>
      <c r="H46" s="5" t="s">
        <v>6</v>
      </c>
      <c r="I46" s="6" t="s">
        <v>7</v>
      </c>
      <c r="J46" s="5" t="s">
        <v>8</v>
      </c>
      <c r="K46" s="6" t="s">
        <v>9</v>
      </c>
    </row>
    <row r="47" spans="1:16" s="78" customFormat="1">
      <c r="A47" s="13"/>
      <c r="B47" s="180"/>
      <c r="C47" s="180"/>
      <c r="D47" s="93"/>
      <c r="E47" s="94">
        <f>E34/E38</f>
        <v>77.921749751540432</v>
      </c>
      <c r="F47" s="94">
        <f t="shared" ref="F47:K47" si="7">F34/F38</f>
        <v>76.925332768680605</v>
      </c>
      <c r="G47" s="94">
        <f t="shared" si="7"/>
        <v>78.418114486391588</v>
      </c>
      <c r="H47" s="94">
        <f t="shared" si="7"/>
        <v>78.423329017382073</v>
      </c>
      <c r="I47" s="94">
        <f t="shared" si="7"/>
        <v>81.567167394468711</v>
      </c>
      <c r="J47" s="94">
        <f t="shared" si="7"/>
        <v>89.117093671834184</v>
      </c>
      <c r="K47" s="94">
        <f t="shared" si="7"/>
        <v>90.611287576507962</v>
      </c>
    </row>
    <row r="48" spans="1:16" s="78" customFormat="1">
      <c r="A48" s="13"/>
      <c r="D48" s="95" t="s">
        <v>155</v>
      </c>
      <c r="F48" s="96">
        <f>F47-E47</f>
        <v>-0.99641698285982727</v>
      </c>
      <c r="G48" s="96">
        <f t="shared" ref="G48:K48" si="8">G47-F47</f>
        <v>1.492781717710983</v>
      </c>
      <c r="H48" s="96">
        <f t="shared" si="8"/>
        <v>5.214530990485855E-3</v>
      </c>
      <c r="I48" s="96">
        <f t="shared" si="8"/>
        <v>3.143838377086638</v>
      </c>
      <c r="J48" s="96">
        <f t="shared" si="8"/>
        <v>7.5499262773654721</v>
      </c>
      <c r="K48" s="96">
        <f t="shared" si="8"/>
        <v>1.4941939046737787</v>
      </c>
    </row>
    <row r="49" spans="1:11" s="78" customFormat="1">
      <c r="A49" s="13"/>
      <c r="D49" s="95" t="s">
        <v>156</v>
      </c>
      <c r="F49" s="97">
        <f>F48/E47</f>
        <v>-1.2787405134471189E-2</v>
      </c>
      <c r="G49" s="97">
        <f t="shared" ref="G49:K49" si="9">G48/F47</f>
        <v>1.9405593241954157E-2</v>
      </c>
      <c r="H49" s="97">
        <f t="shared" si="9"/>
        <v>6.6496510718716228E-5</v>
      </c>
      <c r="I49" s="97">
        <f t="shared" si="9"/>
        <v>4.0088050539015305E-2</v>
      </c>
      <c r="J49" s="97">
        <f t="shared" si="9"/>
        <v>9.2560849157028016E-2</v>
      </c>
      <c r="K49" s="97">
        <f t="shared" si="9"/>
        <v>1.6766636378156761E-2</v>
      </c>
    </row>
    <row r="50" spans="1:11" s="78" customFormat="1">
      <c r="A50" s="13"/>
      <c r="D50" s="95" t="s">
        <v>157</v>
      </c>
      <c r="F50" s="98" t="s">
        <v>158</v>
      </c>
      <c r="G50" s="98" t="s">
        <v>159</v>
      </c>
      <c r="H50" s="98" t="s">
        <v>160</v>
      </c>
      <c r="I50" s="98" t="s">
        <v>161</v>
      </c>
      <c r="J50" s="98" t="s">
        <v>161</v>
      </c>
      <c r="K50" s="98" t="s">
        <v>162</v>
      </c>
    </row>
    <row r="51" spans="1:11" s="78" customFormat="1">
      <c r="A51" s="13"/>
      <c r="D51" s="99"/>
      <c r="F51" s="100"/>
      <c r="G51" s="100"/>
      <c r="H51" s="100"/>
      <c r="I51" s="100"/>
      <c r="J51" s="100"/>
      <c r="K51" s="100"/>
    </row>
    <row r="52" spans="1:11" s="78" customFormat="1">
      <c r="A52" s="13"/>
      <c r="D52" s="99"/>
      <c r="F52" s="100"/>
      <c r="G52" s="100"/>
      <c r="H52" s="100"/>
      <c r="I52" s="100"/>
      <c r="J52" s="100"/>
      <c r="K52" s="100"/>
    </row>
    <row r="53" spans="1:11" s="78" customFormat="1">
      <c r="A53" s="13"/>
      <c r="B53" s="78" t="s">
        <v>187</v>
      </c>
      <c r="D53" s="99"/>
      <c r="F53" s="100"/>
      <c r="G53" s="100"/>
      <c r="H53" s="100"/>
      <c r="I53" s="100"/>
      <c r="J53" s="100"/>
      <c r="K53" s="100"/>
    </row>
    <row r="54" spans="1:11" s="78" customFormat="1">
      <c r="A54" s="13"/>
      <c r="B54" s="181" t="s">
        <v>196</v>
      </c>
      <c r="C54" s="181"/>
      <c r="D54" s="181"/>
      <c r="E54" s="181"/>
      <c r="F54" s="181"/>
      <c r="G54" s="181"/>
      <c r="H54" s="181"/>
      <c r="I54" s="181"/>
      <c r="J54" s="181"/>
      <c r="K54" s="181"/>
    </row>
    <row r="55" spans="1:11" s="78" customFormat="1" ht="30.75" customHeight="1">
      <c r="A55" s="13"/>
      <c r="B55" s="181"/>
      <c r="C55" s="181"/>
      <c r="D55" s="181"/>
      <c r="E55" s="181"/>
      <c r="F55" s="181"/>
      <c r="G55" s="181"/>
      <c r="H55" s="181"/>
      <c r="I55" s="181"/>
      <c r="J55" s="181"/>
      <c r="K55" s="181"/>
    </row>
    <row r="56" spans="1:11" s="78" customFormat="1" ht="58.5" customHeight="1">
      <c r="A56" s="13"/>
      <c r="B56" s="181" t="s">
        <v>163</v>
      </c>
      <c r="C56" s="181"/>
      <c r="D56" s="181"/>
      <c r="E56" s="181"/>
      <c r="F56" s="181"/>
      <c r="G56" s="181"/>
      <c r="H56" s="181"/>
      <c r="I56" s="181"/>
      <c r="J56" s="181"/>
      <c r="K56" s="181"/>
    </row>
    <row r="57" spans="1:11" s="78" customFormat="1" ht="30" customHeight="1">
      <c r="A57" s="13"/>
      <c r="B57" s="181" t="s">
        <v>188</v>
      </c>
      <c r="C57" s="181"/>
      <c r="D57" s="181"/>
      <c r="E57" s="181"/>
      <c r="F57" s="181"/>
      <c r="G57" s="181"/>
      <c r="H57" s="181"/>
      <c r="I57" s="181"/>
      <c r="J57" s="181"/>
      <c r="K57" s="181"/>
    </row>
    <row r="58" spans="1:11" s="78" customFormat="1" ht="98.25" customHeight="1">
      <c r="A58" s="13"/>
      <c r="B58" s="181" t="s">
        <v>189</v>
      </c>
      <c r="C58" s="181"/>
      <c r="D58" s="181"/>
      <c r="E58" s="181"/>
      <c r="F58" s="181"/>
      <c r="G58" s="181"/>
      <c r="H58" s="181"/>
      <c r="I58" s="181"/>
      <c r="J58" s="181"/>
      <c r="K58" s="181"/>
    </row>
    <row r="59" spans="1:11" s="78" customFormat="1">
      <c r="A59" s="13"/>
      <c r="D59" s="99"/>
      <c r="F59" s="100"/>
      <c r="G59" s="100"/>
      <c r="H59" s="100"/>
      <c r="I59" s="100"/>
      <c r="J59" s="100"/>
      <c r="K59" s="100"/>
    </row>
    <row r="60" spans="1:11" s="78" customFormat="1">
      <c r="A60" s="13"/>
      <c r="B60" s="78" t="s">
        <v>190</v>
      </c>
      <c r="D60" s="99"/>
      <c r="F60" s="100"/>
      <c r="G60" s="100"/>
      <c r="H60" s="100"/>
      <c r="I60" s="100"/>
      <c r="J60" s="100"/>
      <c r="K60" s="100"/>
    </row>
    <row r="61" spans="1:11" s="140" customFormat="1">
      <c r="A61" s="141"/>
      <c r="D61" s="99"/>
      <c r="F61" s="100"/>
      <c r="G61" s="100"/>
      <c r="H61" s="100"/>
      <c r="I61" s="100"/>
      <c r="J61" s="100"/>
      <c r="K61" s="100"/>
    </row>
    <row r="62" spans="1:11" s="78" customFormat="1">
      <c r="A62" s="13"/>
      <c r="B62" s="180" t="s">
        <v>154</v>
      </c>
      <c r="C62" s="180"/>
      <c r="D62" s="66"/>
      <c r="E62" s="5" t="s">
        <v>3</v>
      </c>
      <c r="F62" s="5" t="s">
        <v>4</v>
      </c>
      <c r="G62" s="5" t="s">
        <v>5</v>
      </c>
      <c r="H62" s="5" t="s">
        <v>6</v>
      </c>
      <c r="I62" s="6" t="s">
        <v>7</v>
      </c>
      <c r="J62" s="5" t="s">
        <v>8</v>
      </c>
      <c r="K62" s="6" t="s">
        <v>9</v>
      </c>
    </row>
    <row r="63" spans="1:11" s="78" customFormat="1">
      <c r="A63" s="13"/>
      <c r="B63" s="180"/>
      <c r="C63" s="180"/>
      <c r="D63" s="93"/>
      <c r="E63" s="115">
        <f>E34/E38</f>
        <v>77.921749751540432</v>
      </c>
      <c r="F63" s="115">
        <f>F34/F38</f>
        <v>76.925332768680605</v>
      </c>
      <c r="G63" s="115">
        <f>G34/G38</f>
        <v>78.418114486391588</v>
      </c>
      <c r="H63" s="115">
        <f>H34/H38</f>
        <v>78.423329017382073</v>
      </c>
      <c r="I63" s="115">
        <f>(I34-41)/I38</f>
        <v>80.821170305676858</v>
      </c>
      <c r="J63" s="115">
        <f>(J34-35-12-225)/J38</f>
        <v>84.379243123149294</v>
      </c>
      <c r="K63" s="115">
        <f>(K34-35-20-12)/K38</f>
        <v>89.49833076587673</v>
      </c>
    </row>
    <row r="64" spans="1:11" s="78" customFormat="1">
      <c r="A64" s="13"/>
      <c r="D64" s="95" t="s">
        <v>155</v>
      </c>
      <c r="F64" s="96">
        <f>F63-E63</f>
        <v>-0.99641698285982727</v>
      </c>
      <c r="G64" s="96">
        <f t="shared" ref="G64:K64" si="10">G63-F63</f>
        <v>1.492781717710983</v>
      </c>
      <c r="H64" s="96">
        <f t="shared" si="10"/>
        <v>5.214530990485855E-3</v>
      </c>
      <c r="I64" s="96">
        <f t="shared" si="10"/>
        <v>2.397841288294785</v>
      </c>
      <c r="J64" s="96">
        <f t="shared" si="10"/>
        <v>3.5580728174724356</v>
      </c>
      <c r="K64" s="96">
        <f t="shared" si="10"/>
        <v>5.1190876427274361</v>
      </c>
    </row>
    <row r="65" spans="1:13" s="78" customFormat="1">
      <c r="A65" s="13"/>
      <c r="D65" s="95" t="s">
        <v>156</v>
      </c>
      <c r="F65" s="97">
        <f>F64/E63</f>
        <v>-1.2787405134471189E-2</v>
      </c>
      <c r="G65" s="97">
        <f t="shared" ref="G65:K65" si="11">G64/F63</f>
        <v>1.9405593241954157E-2</v>
      </c>
      <c r="H65" s="97">
        <f t="shared" si="11"/>
        <v>6.6496510718716228E-5</v>
      </c>
      <c r="I65" s="97">
        <f t="shared" si="11"/>
        <v>3.0575612108525992E-2</v>
      </c>
      <c r="J65" s="97">
        <f t="shared" si="11"/>
        <v>4.4024019993960883E-2</v>
      </c>
      <c r="K65" s="97">
        <f t="shared" si="11"/>
        <v>6.0667617452508572E-2</v>
      </c>
    </row>
    <row r="66" spans="1:13" s="78" customFormat="1">
      <c r="A66" s="13"/>
      <c r="D66" s="95" t="s">
        <v>157</v>
      </c>
      <c r="F66" s="98" t="s">
        <v>158</v>
      </c>
      <c r="G66" s="98" t="s">
        <v>159</v>
      </c>
      <c r="H66" s="98" t="s">
        <v>160</v>
      </c>
      <c r="I66" s="98" t="s">
        <v>161</v>
      </c>
      <c r="J66" s="98" t="s">
        <v>161</v>
      </c>
      <c r="K66" s="98" t="s">
        <v>162</v>
      </c>
    </row>
    <row r="67" spans="1:13" s="78" customFormat="1">
      <c r="A67" s="13"/>
      <c r="D67" s="95"/>
      <c r="F67" s="98"/>
      <c r="G67" s="98"/>
      <c r="H67" s="98"/>
      <c r="I67" s="98"/>
      <c r="J67" s="98"/>
      <c r="K67" s="98"/>
    </row>
    <row r="68" spans="1:13" s="78" customFormat="1">
      <c r="A68" s="13"/>
      <c r="D68" s="95"/>
      <c r="F68" s="98"/>
      <c r="G68" s="98"/>
      <c r="H68" s="98"/>
      <c r="I68" s="98"/>
      <c r="J68" s="98"/>
      <c r="K68" s="98"/>
    </row>
    <row r="69" spans="1:13" s="78" customFormat="1" ht="45.75" customHeight="1">
      <c r="A69" s="13"/>
      <c r="B69" s="180" t="s">
        <v>191</v>
      </c>
      <c r="C69" s="180"/>
      <c r="D69" s="180"/>
      <c r="E69" s="180"/>
      <c r="F69" s="180"/>
      <c r="G69" s="180"/>
      <c r="H69" s="180"/>
      <c r="I69" s="180"/>
      <c r="J69" s="180"/>
      <c r="K69" s="180"/>
    </row>
    <row r="70" spans="1:13" s="78" customFormat="1" ht="29.25" customHeight="1">
      <c r="A70" s="13"/>
      <c r="B70" s="180" t="s">
        <v>164</v>
      </c>
      <c r="C70" s="180"/>
      <c r="D70" s="180"/>
      <c r="E70" s="180"/>
      <c r="F70" s="180"/>
      <c r="G70" s="180"/>
      <c r="H70" s="180"/>
      <c r="I70" s="180"/>
      <c r="J70" s="180"/>
      <c r="K70" s="180"/>
    </row>
    <row r="71" spans="1:13" s="78" customFormat="1" ht="31.5" customHeight="1">
      <c r="A71" s="13"/>
      <c r="B71" s="180" t="s">
        <v>197</v>
      </c>
      <c r="C71" s="180"/>
      <c r="D71" s="180"/>
      <c r="E71" s="180"/>
      <c r="F71" s="180"/>
      <c r="G71" s="180"/>
      <c r="H71" s="180"/>
      <c r="I71" s="180"/>
      <c r="J71" s="180"/>
      <c r="K71" s="180"/>
    </row>
    <row r="72" spans="1:13" s="78" customFormat="1">
      <c r="A72" s="13"/>
    </row>
    <row r="73" spans="1:13">
      <c r="L73" s="170" t="s">
        <v>201</v>
      </c>
      <c r="M73" s="170"/>
    </row>
    <row r="74" spans="1:13" ht="15.75" customHeight="1">
      <c r="A74" s="116" t="s">
        <v>69</v>
      </c>
      <c r="B74" s="106" t="s">
        <v>15</v>
      </c>
      <c r="L74" s="171"/>
      <c r="M74" s="171"/>
    </row>
    <row r="75" spans="1:13">
      <c r="E75" s="5" t="s">
        <v>3</v>
      </c>
      <c r="F75" s="5" t="s">
        <v>4</v>
      </c>
      <c r="G75" s="5" t="s">
        <v>5</v>
      </c>
      <c r="H75" s="5" t="s">
        <v>6</v>
      </c>
      <c r="I75" s="6" t="s">
        <v>7</v>
      </c>
      <c r="J75" s="5" t="s">
        <v>8</v>
      </c>
      <c r="K75" s="6" t="s">
        <v>9</v>
      </c>
      <c r="L75" s="148" t="s">
        <v>199</v>
      </c>
      <c r="M75" s="148" t="s">
        <v>198</v>
      </c>
    </row>
    <row r="76" spans="1:13">
      <c r="B76" s="72" t="s">
        <v>130</v>
      </c>
      <c r="C76" s="72"/>
      <c r="E76" s="114">
        <f>65410.38/1000</f>
        <v>65.410380000000004</v>
      </c>
      <c r="F76" s="114">
        <f>41340.01/1000</f>
        <v>41.340009999999999</v>
      </c>
      <c r="G76" s="114">
        <f>96999.84/1000</f>
        <v>96.999839999999992</v>
      </c>
      <c r="H76" s="114">
        <f>77585.39/1000</f>
        <v>77.585390000000004</v>
      </c>
      <c r="I76" s="114">
        <f>82457.24/1000</f>
        <v>82.457239999999999</v>
      </c>
      <c r="J76" s="114">
        <f>71289.39/1000</f>
        <v>71.289389999999997</v>
      </c>
      <c r="K76" s="114">
        <f>73570.97692/1000</f>
        <v>73.570976920000007</v>
      </c>
      <c r="L76" s="149">
        <f>+E76*1.0419^6</f>
        <v>83.676383241528669</v>
      </c>
      <c r="M76" s="150">
        <f>+L76</f>
        <v>83.676383241528669</v>
      </c>
    </row>
    <row r="77" spans="1:13">
      <c r="B77" s="72" t="s">
        <v>131</v>
      </c>
      <c r="C77" s="72"/>
      <c r="E77" s="111">
        <f>19422.52/1000</f>
        <v>19.422519999999999</v>
      </c>
      <c r="F77" s="111">
        <f>24180.28/1000</f>
        <v>24.18028</v>
      </c>
      <c r="G77" s="111">
        <f>24639.05/1000</f>
        <v>24.639050000000001</v>
      </c>
      <c r="H77" s="111">
        <f>25864/1000</f>
        <v>25.864000000000001</v>
      </c>
      <c r="I77" s="111">
        <f>15215.37/1000</f>
        <v>15.21537</v>
      </c>
      <c r="J77" s="111">
        <f>37763.23/1000</f>
        <v>37.76323</v>
      </c>
      <c r="K77" s="111">
        <f>37497.212/1000</f>
        <v>37.497211999999998</v>
      </c>
      <c r="L77" s="149">
        <f t="shared" ref="L77:L80" si="12">+E77*1.0419^6</f>
        <v>24.846304623765452</v>
      </c>
      <c r="M77" s="150">
        <f>+L77</f>
        <v>24.846304623765452</v>
      </c>
    </row>
    <row r="78" spans="1:13">
      <c r="B78" s="72" t="s">
        <v>132</v>
      </c>
      <c r="C78" s="72"/>
      <c r="E78" s="111">
        <f>-4999.49/1000</f>
        <v>-4.9994899999999998</v>
      </c>
      <c r="F78" s="111">
        <f>6269.38/1000</f>
        <v>6.26938</v>
      </c>
      <c r="G78" s="111">
        <f>2553.93/1000</f>
        <v>2.5539299999999998</v>
      </c>
      <c r="H78" s="111">
        <f>4116.59/1000</f>
        <v>4.1165900000000004</v>
      </c>
      <c r="I78" s="111">
        <f>4689.01/1000</f>
        <v>4.6890100000000006</v>
      </c>
      <c r="J78" s="111">
        <f>9944.84/1000</f>
        <v>9.944840000000001</v>
      </c>
      <c r="K78" s="111">
        <f>17925/1000</f>
        <v>17.925000000000001</v>
      </c>
      <c r="L78" s="149">
        <f t="shared" si="12"/>
        <v>-6.3956094010184641</v>
      </c>
      <c r="M78" s="151">
        <f>6*1.0419^6</f>
        <v>7.6755141836688914</v>
      </c>
    </row>
    <row r="79" spans="1:13">
      <c r="B79" s="72" t="s">
        <v>133</v>
      </c>
      <c r="C79" s="72"/>
      <c r="E79" s="111">
        <f>2432.45/1000</f>
        <v>2.4324499999999998</v>
      </c>
      <c r="F79" s="111">
        <f>776.78/1000</f>
        <v>0.77678000000000003</v>
      </c>
      <c r="G79" s="111">
        <f>2201.85/1000</f>
        <v>2.2018499999999999</v>
      </c>
      <c r="H79" s="111">
        <f>1373.73/1000</f>
        <v>1.3737300000000001</v>
      </c>
      <c r="I79" s="111">
        <f>1505.2/1000</f>
        <v>1.5052000000000001</v>
      </c>
      <c r="J79" s="111">
        <v>0</v>
      </c>
      <c r="K79" s="111">
        <v>0</v>
      </c>
      <c r="L79" s="155">
        <f t="shared" si="12"/>
        <v>3.1117174126775655</v>
      </c>
      <c r="M79" s="156">
        <f>+L79</f>
        <v>3.1117174126775655</v>
      </c>
    </row>
    <row r="80" spans="1:13">
      <c r="B80" s="108"/>
      <c r="C80" s="108"/>
      <c r="E80" s="114">
        <f>SUM(E76:E79)</f>
        <v>82.265860000000004</v>
      </c>
      <c r="F80" s="114">
        <f t="shared" ref="F80:K80" si="13">SUM(F76:F79)</f>
        <v>72.566450000000003</v>
      </c>
      <c r="G80" s="114">
        <f t="shared" si="13"/>
        <v>126.39466999999998</v>
      </c>
      <c r="H80" s="114">
        <f t="shared" si="13"/>
        <v>108.93971000000001</v>
      </c>
      <c r="I80" s="114">
        <f t="shared" si="13"/>
        <v>103.86681999999999</v>
      </c>
      <c r="J80" s="114">
        <f t="shared" si="13"/>
        <v>118.99745999999999</v>
      </c>
      <c r="K80" s="114">
        <f t="shared" si="13"/>
        <v>128.99318892000002</v>
      </c>
      <c r="L80" s="149">
        <f t="shared" si="12"/>
        <v>105.23879587695322</v>
      </c>
      <c r="M80" s="150">
        <f>SUM(M76:M79)</f>
        <v>119.30991946164058</v>
      </c>
    </row>
    <row r="81" spans="1:13" s="140" customFormat="1">
      <c r="A81" s="141"/>
      <c r="B81" s="108"/>
      <c r="C81" s="108"/>
      <c r="D81" s="95" t="s">
        <v>155</v>
      </c>
      <c r="E81" s="102"/>
      <c r="F81" s="103">
        <f>F80-E80</f>
        <v>-9.6994100000000003</v>
      </c>
      <c r="G81" s="103">
        <f t="shared" ref="G81" si="14">G80-F80</f>
        <v>53.828219999999973</v>
      </c>
      <c r="H81" s="103">
        <f t="shared" ref="H81" si="15">H80-G80</f>
        <v>-17.454959999999971</v>
      </c>
      <c r="I81" s="103">
        <f t="shared" ref="I81" si="16">I80-H80</f>
        <v>-5.0728900000000152</v>
      </c>
      <c r="J81" s="103">
        <f t="shared" ref="J81" si="17">J80-I80</f>
        <v>15.13064</v>
      </c>
      <c r="K81" s="103">
        <f t="shared" ref="K81" si="18">K80-J80</f>
        <v>9.9957289200000332</v>
      </c>
    </row>
    <row r="82" spans="1:13">
      <c r="B82" s="1"/>
      <c r="C82" s="1"/>
    </row>
    <row r="83" spans="1:13">
      <c r="B83" s="72" t="s">
        <v>134</v>
      </c>
    </row>
    <row r="84" spans="1:13">
      <c r="B84" t="s">
        <v>135</v>
      </c>
    </row>
    <row r="85" spans="1:13">
      <c r="B85" t="s">
        <v>136</v>
      </c>
    </row>
    <row r="86" spans="1:13">
      <c r="B86" t="s">
        <v>137</v>
      </c>
    </row>
    <row r="87" spans="1:13">
      <c r="B87" t="s">
        <v>138</v>
      </c>
    </row>
    <row r="88" spans="1:13">
      <c r="B88" t="s">
        <v>192</v>
      </c>
    </row>
    <row r="89" spans="1:13" s="140" customFormat="1">
      <c r="A89" s="141"/>
      <c r="B89" s="140" t="s">
        <v>181</v>
      </c>
    </row>
    <row r="90" spans="1:13" s="140" customFormat="1">
      <c r="A90" s="141"/>
      <c r="B90" s="140" t="s">
        <v>182</v>
      </c>
    </row>
    <row r="91" spans="1:13" s="140" customFormat="1" ht="45" customHeight="1">
      <c r="A91" s="141"/>
      <c r="B91" s="175" t="s">
        <v>258</v>
      </c>
      <c r="C91" s="175"/>
      <c r="D91" s="175"/>
      <c r="E91" s="175"/>
      <c r="F91" s="175"/>
      <c r="G91" s="175"/>
      <c r="H91" s="175"/>
      <c r="I91" s="175"/>
      <c r="J91" s="175"/>
      <c r="K91" s="175"/>
    </row>
    <row r="94" spans="1:13" ht="15.75">
      <c r="A94" s="116" t="s">
        <v>70</v>
      </c>
      <c r="B94" s="106" t="s">
        <v>17</v>
      </c>
      <c r="C94" s="140"/>
      <c r="D94" s="140"/>
      <c r="E94" s="140"/>
      <c r="F94" s="140"/>
      <c r="G94" s="140"/>
      <c r="H94" s="140"/>
      <c r="I94" s="140"/>
      <c r="J94" s="140"/>
      <c r="K94" s="140"/>
      <c r="L94" s="170" t="s">
        <v>201</v>
      </c>
      <c r="M94" s="170"/>
    </row>
    <row r="95" spans="1:13">
      <c r="A95" s="141"/>
      <c r="B95" s="140"/>
      <c r="C95" s="140"/>
      <c r="D95" s="140"/>
      <c r="E95" s="5" t="s">
        <v>3</v>
      </c>
      <c r="F95" s="5" t="s">
        <v>4</v>
      </c>
      <c r="G95" s="5" t="s">
        <v>5</v>
      </c>
      <c r="H95" s="5" t="s">
        <v>6</v>
      </c>
      <c r="I95" s="6" t="s">
        <v>7</v>
      </c>
      <c r="J95" s="5" t="s">
        <v>8</v>
      </c>
      <c r="K95" s="6" t="s">
        <v>9</v>
      </c>
      <c r="L95" s="171"/>
      <c r="M95" s="171"/>
    </row>
    <row r="96" spans="1:13">
      <c r="A96" s="141"/>
      <c r="B96" s="140"/>
      <c r="C96" s="140"/>
      <c r="D96" s="140"/>
      <c r="E96" s="104">
        <v>79.74730000000001</v>
      </c>
      <c r="F96" s="104">
        <v>75.011279999999999</v>
      </c>
      <c r="G96" s="104">
        <v>107.75895999999999</v>
      </c>
      <c r="H96" s="104">
        <v>131.73680999999999</v>
      </c>
      <c r="I96" s="104">
        <v>82.113769999999988</v>
      </c>
      <c r="J96" s="104">
        <v>129.50231200000002</v>
      </c>
      <c r="K96" s="104">
        <v>133.24521575999998</v>
      </c>
      <c r="L96" s="174">
        <f>+E96*1.0419^6</f>
        <v>102.01692204321638</v>
      </c>
      <c r="M96" s="174"/>
    </row>
    <row r="97" spans="1:13">
      <c r="A97" s="141"/>
      <c r="B97" s="140"/>
      <c r="C97" s="140"/>
      <c r="D97" s="95" t="s">
        <v>155</v>
      </c>
      <c r="E97" s="102"/>
      <c r="F97" s="103">
        <f>F96-E96</f>
        <v>-4.7360200000000106</v>
      </c>
      <c r="G97" s="103">
        <f t="shared" ref="G97:K97" si="19">G96-F96</f>
        <v>32.747679999999988</v>
      </c>
      <c r="H97" s="103">
        <f t="shared" si="19"/>
        <v>23.977850000000004</v>
      </c>
      <c r="I97" s="103">
        <f t="shared" si="19"/>
        <v>-49.623040000000003</v>
      </c>
      <c r="J97" s="103">
        <f t="shared" si="19"/>
        <v>47.388542000000029</v>
      </c>
      <c r="K97" s="103">
        <f t="shared" si="19"/>
        <v>3.7429037599999617</v>
      </c>
    </row>
    <row r="98" spans="1:13">
      <c r="A98" s="141"/>
      <c r="B98" s="140"/>
      <c r="C98" s="140"/>
      <c r="D98" s="140"/>
      <c r="E98" s="140"/>
      <c r="F98" s="140"/>
      <c r="G98" s="140"/>
      <c r="H98" s="140"/>
      <c r="I98" s="140"/>
      <c r="J98" s="140"/>
      <c r="K98" s="140"/>
    </row>
    <row r="99" spans="1:13" ht="48.75" customHeight="1">
      <c r="A99" s="141"/>
      <c r="B99" s="180" t="s">
        <v>202</v>
      </c>
      <c r="C99" s="180"/>
      <c r="D99" s="180"/>
      <c r="E99" s="180"/>
      <c r="F99" s="180"/>
      <c r="G99" s="180"/>
      <c r="H99" s="180"/>
      <c r="I99" s="180"/>
      <c r="J99" s="180"/>
      <c r="K99" s="180"/>
    </row>
    <row r="100" spans="1:13" s="140" customFormat="1" ht="33.75" customHeight="1">
      <c r="A100" s="141"/>
      <c r="B100" s="175" t="s">
        <v>200</v>
      </c>
      <c r="C100" s="175"/>
      <c r="D100" s="175"/>
      <c r="E100" s="175"/>
      <c r="F100" s="175"/>
      <c r="G100" s="175"/>
      <c r="H100" s="175"/>
      <c r="I100" s="175"/>
      <c r="J100" s="175"/>
      <c r="K100" s="175"/>
    </row>
    <row r="101" spans="1:13" s="140" customFormat="1">
      <c r="A101" s="141"/>
      <c r="B101" s="131"/>
      <c r="C101" s="131"/>
      <c r="D101" s="131"/>
      <c r="E101" s="131"/>
      <c r="F101" s="131"/>
      <c r="G101" s="131"/>
      <c r="H101" s="131"/>
      <c r="I101" s="131"/>
      <c r="J101" s="131"/>
      <c r="K101" s="131"/>
    </row>
    <row r="102" spans="1:13" s="140" customFormat="1">
      <c r="A102" s="141"/>
      <c r="B102" s="131"/>
      <c r="C102" s="131"/>
      <c r="D102" s="131"/>
      <c r="E102" s="131"/>
      <c r="F102" s="131"/>
      <c r="G102" s="131"/>
      <c r="H102" s="131"/>
      <c r="I102" s="131"/>
      <c r="J102" s="131"/>
      <c r="K102" s="131"/>
    </row>
    <row r="103" spans="1:13" s="140" customFormat="1">
      <c r="A103" s="141"/>
      <c r="B103" s="131"/>
      <c r="C103" s="131"/>
      <c r="D103" s="131"/>
      <c r="E103" s="131"/>
      <c r="F103" s="131"/>
      <c r="G103" s="131"/>
      <c r="H103" s="131"/>
      <c r="I103" s="131"/>
      <c r="J103" s="131"/>
      <c r="K103" s="131"/>
    </row>
    <row r="104" spans="1:13" ht="15.75" customHeight="1">
      <c r="A104" s="144" t="s">
        <v>71</v>
      </c>
      <c r="B104" s="145" t="s">
        <v>18</v>
      </c>
      <c r="E104" s="140"/>
      <c r="F104" s="140"/>
      <c r="G104" s="140"/>
      <c r="H104" s="140"/>
      <c r="I104" s="140"/>
      <c r="J104" s="140"/>
      <c r="K104" s="140"/>
      <c r="L104" s="170" t="s">
        <v>201</v>
      </c>
      <c r="M104" s="170"/>
    </row>
    <row r="105" spans="1:13">
      <c r="B105" s="140"/>
      <c r="D105" s="139"/>
      <c r="E105" s="5" t="s">
        <v>3</v>
      </c>
      <c r="F105" s="5" t="s">
        <v>4</v>
      </c>
      <c r="G105" s="5" t="s">
        <v>5</v>
      </c>
      <c r="H105" s="5" t="s">
        <v>6</v>
      </c>
      <c r="I105" s="6" t="s">
        <v>7</v>
      </c>
      <c r="J105" s="5" t="s">
        <v>8</v>
      </c>
      <c r="K105" s="6" t="s">
        <v>9</v>
      </c>
      <c r="L105" s="171"/>
      <c r="M105" s="171"/>
    </row>
    <row r="106" spans="1:13">
      <c r="B106" s="139" t="s">
        <v>18</v>
      </c>
      <c r="D106" s="139"/>
      <c r="E106" s="104">
        <v>107.09584</v>
      </c>
      <c r="F106" s="104">
        <v>105.43622999999999</v>
      </c>
      <c r="G106" s="104">
        <v>139.54917</v>
      </c>
      <c r="H106" s="104">
        <v>99.594340000000017</v>
      </c>
      <c r="I106" s="104">
        <v>94.026970000000006</v>
      </c>
      <c r="J106" s="104">
        <v>103.28076</v>
      </c>
      <c r="K106" s="104">
        <v>105.44878382</v>
      </c>
      <c r="L106" s="174">
        <f>+E106*1.0419^6</f>
        <v>137.00260648865569</v>
      </c>
      <c r="M106" s="174"/>
    </row>
    <row r="107" spans="1:13">
      <c r="B107" s="139"/>
      <c r="D107" s="95" t="s">
        <v>155</v>
      </c>
      <c r="E107" s="139"/>
      <c r="F107" s="103">
        <f>F106-E106</f>
        <v>-1.6596100000000007</v>
      </c>
      <c r="G107" s="103">
        <f t="shared" ref="G107" si="20">G106-F106</f>
        <v>34.112940000000009</v>
      </c>
      <c r="H107" s="103">
        <f t="shared" ref="H107" si="21">H106-G106</f>
        <v>-39.954829999999987</v>
      </c>
      <c r="I107" s="103">
        <f t="shared" ref="I107" si="22">I106-H106</f>
        <v>-5.567370000000011</v>
      </c>
      <c r="J107" s="103">
        <f t="shared" ref="J107" si="23">J106-I106</f>
        <v>9.2537899999999951</v>
      </c>
      <c r="K107" s="103">
        <f t="shared" ref="K107" si="24">K106-J106</f>
        <v>2.1680238200000019</v>
      </c>
      <c r="L107" s="140"/>
      <c r="M107" s="140"/>
    </row>
    <row r="109" spans="1:13" ht="61.5" customHeight="1">
      <c r="B109" s="180" t="s">
        <v>240</v>
      </c>
      <c r="C109" s="180"/>
      <c r="D109" s="180"/>
      <c r="E109" s="180"/>
      <c r="F109" s="180"/>
      <c r="G109" s="180"/>
      <c r="H109" s="180"/>
      <c r="I109" s="180"/>
      <c r="J109" s="180"/>
      <c r="K109" s="180"/>
    </row>
    <row r="110" spans="1:13" s="140" customFormat="1">
      <c r="A110" s="141"/>
      <c r="B110" s="175" t="s">
        <v>203</v>
      </c>
      <c r="C110" s="175"/>
      <c r="D110" s="175"/>
      <c r="E110" s="175"/>
      <c r="F110" s="175"/>
      <c r="G110" s="175"/>
      <c r="H110" s="175"/>
      <c r="I110" s="175"/>
      <c r="J110" s="175"/>
      <c r="K110" s="175"/>
    </row>
    <row r="113" spans="1:13" ht="15.75">
      <c r="A113" s="116" t="s">
        <v>72</v>
      </c>
      <c r="B113" s="106" t="s">
        <v>63</v>
      </c>
    </row>
    <row r="114" spans="1:13" s="78" customFormat="1" ht="15" customHeight="1">
      <c r="A114" s="116"/>
      <c r="B114" s="70"/>
      <c r="E114" s="5" t="s">
        <v>3</v>
      </c>
      <c r="F114" s="5" t="s">
        <v>4</v>
      </c>
      <c r="G114" s="5" t="s">
        <v>5</v>
      </c>
      <c r="H114" s="5" t="s">
        <v>6</v>
      </c>
      <c r="I114" s="6" t="s">
        <v>7</v>
      </c>
      <c r="J114" s="5" t="s">
        <v>8</v>
      </c>
      <c r="K114" s="6" t="s">
        <v>9</v>
      </c>
      <c r="L114" s="170" t="s">
        <v>201</v>
      </c>
      <c r="M114" s="170"/>
    </row>
    <row r="115" spans="1:13" s="78" customFormat="1" ht="15" customHeight="1">
      <c r="A115" s="116"/>
      <c r="B115" s="70"/>
      <c r="E115" s="8"/>
      <c r="F115" s="8"/>
      <c r="G115" s="8"/>
      <c r="H115" s="8"/>
      <c r="I115" s="8"/>
      <c r="J115" s="8" t="s">
        <v>48</v>
      </c>
      <c r="K115" s="8" t="s">
        <v>48</v>
      </c>
      <c r="L115" s="171"/>
      <c r="M115" s="171"/>
    </row>
    <row r="116" spans="1:13" s="78" customFormat="1" ht="15" customHeight="1">
      <c r="A116" s="116"/>
      <c r="B116" s="70"/>
      <c r="E116" s="101">
        <v>78.554170000000013</v>
      </c>
      <c r="F116" s="101">
        <v>77.522050000000007</v>
      </c>
      <c r="G116" s="101">
        <v>82.083439999999996</v>
      </c>
      <c r="H116" s="101">
        <v>138.77107000000001</v>
      </c>
      <c r="I116" s="101">
        <v>247.40782999999999</v>
      </c>
      <c r="J116" s="101">
        <v>120</v>
      </c>
      <c r="K116" s="101">
        <v>123</v>
      </c>
      <c r="L116" s="174">
        <f>+E116*1.0419^6</f>
        <v>100.4906076702229</v>
      </c>
      <c r="M116" s="174"/>
    </row>
    <row r="117" spans="1:13" s="78" customFormat="1" ht="15" customHeight="1">
      <c r="A117" s="116"/>
      <c r="B117" s="70"/>
      <c r="D117" s="95" t="s">
        <v>155</v>
      </c>
      <c r="E117" s="102"/>
      <c r="F117" s="103">
        <f>F116-E116</f>
        <v>-1.0321200000000061</v>
      </c>
      <c r="G117" s="103">
        <f t="shared" ref="G117:K117" si="25">G116-F116</f>
        <v>4.5613899999999887</v>
      </c>
      <c r="H117" s="103">
        <f t="shared" si="25"/>
        <v>56.687630000000013</v>
      </c>
      <c r="I117" s="103">
        <f t="shared" si="25"/>
        <v>108.63675999999998</v>
      </c>
      <c r="J117" s="103">
        <f t="shared" si="25"/>
        <v>-127.40782999999999</v>
      </c>
      <c r="K117" s="103">
        <f t="shared" si="25"/>
        <v>3</v>
      </c>
    </row>
    <row r="118" spans="1:13" s="78" customFormat="1" ht="15" customHeight="1">
      <c r="A118" s="116"/>
      <c r="B118" s="70"/>
    </row>
    <row r="119" spans="1:13" ht="15" customHeight="1">
      <c r="B119" s="180" t="s">
        <v>173</v>
      </c>
      <c r="C119" s="180"/>
      <c r="D119" s="180"/>
      <c r="E119" s="180"/>
      <c r="F119" s="180"/>
      <c r="G119" s="180"/>
      <c r="H119" s="180"/>
      <c r="I119" s="180"/>
      <c r="J119" s="180"/>
      <c r="K119" s="180"/>
      <c r="L119" s="140"/>
      <c r="M119" s="140"/>
    </row>
    <row r="120" spans="1:13">
      <c r="B120" s="180"/>
      <c r="C120" s="180"/>
      <c r="D120" s="180"/>
      <c r="E120" s="180"/>
      <c r="F120" s="180"/>
      <c r="G120" s="180"/>
      <c r="H120" s="180"/>
      <c r="I120" s="180"/>
      <c r="J120" s="180"/>
      <c r="K120" s="180"/>
      <c r="L120" s="140"/>
      <c r="M120" s="140"/>
    </row>
    <row r="121" spans="1:13">
      <c r="B121" s="180"/>
      <c r="C121" s="180"/>
      <c r="D121" s="180"/>
      <c r="E121" s="180"/>
      <c r="F121" s="180"/>
      <c r="G121" s="180"/>
      <c r="H121" s="180"/>
      <c r="I121" s="180"/>
      <c r="J121" s="180"/>
      <c r="K121" s="180"/>
      <c r="L121" s="140"/>
      <c r="M121" s="140"/>
    </row>
    <row r="122" spans="1:13" ht="15" customHeight="1">
      <c r="B122" s="180" t="s">
        <v>204</v>
      </c>
      <c r="C122" s="180"/>
      <c r="D122" s="180"/>
      <c r="E122" s="180"/>
      <c r="F122" s="180"/>
      <c r="G122" s="180"/>
      <c r="H122" s="180"/>
      <c r="I122" s="180"/>
      <c r="J122" s="180"/>
      <c r="K122" s="180"/>
    </row>
    <row r="123" spans="1:13" ht="47.25" customHeight="1">
      <c r="B123" s="180"/>
      <c r="C123" s="180"/>
      <c r="D123" s="180"/>
      <c r="E123" s="180"/>
      <c r="F123" s="180"/>
      <c r="G123" s="180"/>
      <c r="H123" s="180"/>
      <c r="I123" s="180"/>
      <c r="J123" s="180"/>
      <c r="K123" s="180"/>
    </row>
    <row r="124" spans="1:13" ht="44.25" customHeight="1">
      <c r="B124" s="180" t="s">
        <v>174</v>
      </c>
      <c r="C124" s="180"/>
      <c r="D124" s="180"/>
      <c r="E124" s="180"/>
      <c r="F124" s="180"/>
      <c r="G124" s="180"/>
      <c r="H124" s="180"/>
      <c r="I124" s="180"/>
      <c r="J124" s="180"/>
      <c r="K124" s="180"/>
    </row>
    <row r="125" spans="1:13" s="140" customFormat="1" ht="32.25" customHeight="1">
      <c r="A125" s="141"/>
      <c r="B125" s="175" t="s">
        <v>205</v>
      </c>
      <c r="C125" s="175"/>
      <c r="D125" s="175"/>
      <c r="E125" s="175"/>
      <c r="F125" s="175"/>
      <c r="G125" s="175"/>
      <c r="H125" s="175"/>
      <c r="I125" s="175"/>
      <c r="J125" s="175"/>
      <c r="K125" s="175"/>
    </row>
    <row r="128" spans="1:13" ht="15.75">
      <c r="A128" s="116" t="s">
        <v>77</v>
      </c>
      <c r="B128" s="106" t="s">
        <v>98</v>
      </c>
      <c r="C128" s="73"/>
      <c r="D128" s="73"/>
      <c r="E128" s="73"/>
      <c r="F128" s="73"/>
      <c r="G128" s="73"/>
      <c r="H128" s="73"/>
      <c r="L128" s="170" t="s">
        <v>201</v>
      </c>
      <c r="M128" s="170"/>
    </row>
    <row r="129" spans="1:14">
      <c r="D129" s="5" t="s">
        <v>3</v>
      </c>
      <c r="E129" s="5" t="s">
        <v>4</v>
      </c>
      <c r="F129" s="5" t="s">
        <v>5</v>
      </c>
      <c r="G129" s="5" t="s">
        <v>6</v>
      </c>
      <c r="H129" s="6" t="s">
        <v>7</v>
      </c>
      <c r="I129" s="5" t="s">
        <v>8</v>
      </c>
      <c r="J129" s="6" t="s">
        <v>9</v>
      </c>
      <c r="L129" s="171"/>
      <c r="M129" s="171"/>
    </row>
    <row r="130" spans="1:14" ht="15" customHeight="1">
      <c r="B130" t="s">
        <v>99</v>
      </c>
      <c r="D130" s="114">
        <f>71336/1000</f>
        <v>71.335999999999999</v>
      </c>
      <c r="E130" s="114">
        <f>116418/1000</f>
        <v>116.41800000000001</v>
      </c>
      <c r="F130" s="114">
        <f>88368/1000</f>
        <v>88.367999999999995</v>
      </c>
      <c r="G130" s="114">
        <f>117239/1000</f>
        <v>117.239</v>
      </c>
      <c r="H130" s="114">
        <f>100251/1000</f>
        <v>100.251</v>
      </c>
      <c r="I130" s="114">
        <f>132671/1000</f>
        <v>132.67099999999999</v>
      </c>
      <c r="J130" s="114">
        <f>233884/1000</f>
        <v>233.88399999999999</v>
      </c>
      <c r="K130" s="109">
        <v>1</v>
      </c>
      <c r="L130" s="176">
        <f>+D130*1.0419^6</f>
        <v>91.256746634367332</v>
      </c>
      <c r="M130" s="176"/>
      <c r="N130" s="127"/>
    </row>
    <row r="131" spans="1:14">
      <c r="B131" t="s">
        <v>100</v>
      </c>
      <c r="D131" s="111">
        <f>40079/1000</f>
        <v>40.079000000000001</v>
      </c>
      <c r="E131" s="111">
        <f>41028/1000</f>
        <v>41.027999999999999</v>
      </c>
      <c r="F131" s="111">
        <f>38248/1000</f>
        <v>38.247999999999998</v>
      </c>
      <c r="G131" s="111">
        <f>77191/1000</f>
        <v>77.191000000000003</v>
      </c>
      <c r="H131" s="111">
        <f>38030/1000</f>
        <v>38.03</v>
      </c>
      <c r="I131" s="111">
        <f>60001/1000</f>
        <v>60.000999999999998</v>
      </c>
      <c r="J131" s="111">
        <f>63682/1000</f>
        <v>63.682000000000002</v>
      </c>
      <c r="K131" s="109">
        <v>2</v>
      </c>
      <c r="L131" s="176">
        <f t="shared" ref="L131:L135" si="26">+D131*1.0419^6</f>
        <v>51.271155494544253</v>
      </c>
      <c r="M131" s="176"/>
    </row>
    <row r="132" spans="1:14">
      <c r="B132" t="s">
        <v>101</v>
      </c>
      <c r="D132" s="111">
        <f>175823/1000</f>
        <v>175.82300000000001</v>
      </c>
      <c r="E132" s="111">
        <f>173367/1000</f>
        <v>173.36699999999999</v>
      </c>
      <c r="F132" s="111"/>
      <c r="G132" s="111"/>
      <c r="H132" s="111">
        <f>561/1000</f>
        <v>0.56100000000000005</v>
      </c>
      <c r="I132" s="111"/>
      <c r="J132" s="111"/>
      <c r="K132" s="109">
        <v>3</v>
      </c>
      <c r="L132" s="176"/>
      <c r="M132" s="176"/>
    </row>
    <row r="133" spans="1:14">
      <c r="B133" t="s">
        <v>102</v>
      </c>
      <c r="D133" s="111">
        <f>317312/1000</f>
        <v>317.31200000000001</v>
      </c>
      <c r="E133" s="111">
        <f>77140/1000</f>
        <v>77.14</v>
      </c>
      <c r="F133" s="111">
        <f>133814/1000</f>
        <v>133.81399999999999</v>
      </c>
      <c r="G133" s="111">
        <f>65886/1000</f>
        <v>65.885999999999996</v>
      </c>
      <c r="H133" s="111">
        <f>99026/1000</f>
        <v>99.025999999999996</v>
      </c>
      <c r="I133" s="111">
        <f>287444/1000</f>
        <v>287.44400000000002</v>
      </c>
      <c r="J133" s="111">
        <f>(296011-75000)/1000</f>
        <v>221.011</v>
      </c>
      <c r="K133" s="109">
        <v>4</v>
      </c>
      <c r="L133" s="176">
        <f t="shared" si="26"/>
        <v>405.92212610805723</v>
      </c>
      <c r="M133" s="176"/>
    </row>
    <row r="134" spans="1:14">
      <c r="B134" t="s">
        <v>103</v>
      </c>
      <c r="D134" s="111">
        <f>5109/1000</f>
        <v>5.109</v>
      </c>
      <c r="E134" s="111">
        <f>929/1000</f>
        <v>0.92900000000000005</v>
      </c>
      <c r="F134" s="111"/>
      <c r="G134" s="111"/>
      <c r="H134" s="111"/>
      <c r="I134" s="111"/>
      <c r="J134" s="111"/>
      <c r="K134" s="79"/>
      <c r="L134" s="176">
        <f t="shared" si="26"/>
        <v>6.5357003273940606</v>
      </c>
      <c r="M134" s="176"/>
    </row>
    <row r="135" spans="1:14">
      <c r="B135" t="s">
        <v>104</v>
      </c>
      <c r="D135" s="111">
        <f>22643/1000</f>
        <v>22.643000000000001</v>
      </c>
      <c r="E135" s="111">
        <f>20762/1000</f>
        <v>20.762</v>
      </c>
      <c r="F135" s="111">
        <f>17009/1000</f>
        <v>17.009</v>
      </c>
      <c r="G135" s="111">
        <f>5693/1000</f>
        <v>5.6929999999999996</v>
      </c>
      <c r="H135" s="111">
        <f>36942/1000</f>
        <v>36.942</v>
      </c>
      <c r="I135" s="111">
        <f>16500/1000</f>
        <v>16.5</v>
      </c>
      <c r="J135" s="111">
        <f>16500/1000</f>
        <v>16.5</v>
      </c>
      <c r="K135" s="79"/>
      <c r="L135" s="191">
        <f t="shared" si="26"/>
        <v>28.966111276802451</v>
      </c>
      <c r="M135" s="191"/>
    </row>
    <row r="136" spans="1:14">
      <c r="D136" s="114">
        <f t="shared" ref="D136:J136" si="27">SUM(D130:D135)</f>
        <v>632.30200000000002</v>
      </c>
      <c r="E136" s="114">
        <f t="shared" si="27"/>
        <v>429.64399999999995</v>
      </c>
      <c r="F136" s="114">
        <f t="shared" si="27"/>
        <v>277.43899999999996</v>
      </c>
      <c r="G136" s="114">
        <f t="shared" si="27"/>
        <v>266.00900000000001</v>
      </c>
      <c r="H136" s="114">
        <f t="shared" si="27"/>
        <v>274.81</v>
      </c>
      <c r="I136" s="114">
        <f t="shared" si="27"/>
        <v>496.61599999999999</v>
      </c>
      <c r="J136" s="114">
        <f t="shared" si="27"/>
        <v>535.077</v>
      </c>
      <c r="K136" s="79"/>
      <c r="L136" s="176">
        <f>SUM(L130:M135)</f>
        <v>583.95183984116534</v>
      </c>
      <c r="M136" s="176"/>
    </row>
    <row r="137" spans="1:14" s="140" customFormat="1">
      <c r="A137" s="141"/>
      <c r="C137" s="95" t="s">
        <v>155</v>
      </c>
      <c r="D137" s="139"/>
      <c r="E137" s="103">
        <f t="shared" ref="E137:J137" si="28">E136-D136</f>
        <v>-202.65800000000007</v>
      </c>
      <c r="F137" s="103">
        <f t="shared" si="28"/>
        <v>-152.20499999999998</v>
      </c>
      <c r="G137" s="103">
        <f t="shared" si="28"/>
        <v>-11.42999999999995</v>
      </c>
      <c r="H137" s="103">
        <f t="shared" si="28"/>
        <v>8.8009999999999877</v>
      </c>
      <c r="I137" s="103">
        <f t="shared" si="28"/>
        <v>221.80599999999998</v>
      </c>
      <c r="J137" s="103">
        <f t="shared" si="28"/>
        <v>38.461000000000013</v>
      </c>
      <c r="K137" s="79"/>
      <c r="L137" s="9"/>
      <c r="M137" s="9"/>
    </row>
    <row r="138" spans="1:14">
      <c r="D138" s="120"/>
      <c r="E138" s="120"/>
      <c r="F138" s="120"/>
      <c r="G138" s="120"/>
      <c r="H138" s="120"/>
      <c r="I138" s="120"/>
      <c r="J138" s="120"/>
      <c r="L138" s="9"/>
      <c r="M138" s="9"/>
    </row>
    <row r="139" spans="1:14" ht="15" customHeight="1">
      <c r="B139" t="s">
        <v>166</v>
      </c>
      <c r="J139" s="79"/>
    </row>
    <row r="140" spans="1:14" ht="15" customHeight="1">
      <c r="B140" t="s">
        <v>105</v>
      </c>
    </row>
    <row r="141" spans="1:14" ht="15" customHeight="1">
      <c r="B141" t="s">
        <v>106</v>
      </c>
    </row>
    <row r="142" spans="1:14">
      <c r="B142" t="s">
        <v>167</v>
      </c>
    </row>
    <row r="143" spans="1:14">
      <c r="B143" t="s">
        <v>175</v>
      </c>
    </row>
    <row r="144" spans="1:14">
      <c r="B144" t="s">
        <v>241</v>
      </c>
    </row>
    <row r="145" spans="1:14">
      <c r="B145" t="s">
        <v>168</v>
      </c>
    </row>
    <row r="146" spans="1:14">
      <c r="B146" t="s">
        <v>242</v>
      </c>
    </row>
    <row r="147" spans="1:14">
      <c r="B147" t="s">
        <v>107</v>
      </c>
    </row>
    <row r="148" spans="1:14">
      <c r="B148" t="s">
        <v>243</v>
      </c>
    </row>
    <row r="149" spans="1:14">
      <c r="B149" t="s">
        <v>108</v>
      </c>
    </row>
    <row r="150" spans="1:14" s="140" customFormat="1" ht="29.25" customHeight="1">
      <c r="A150" s="141"/>
      <c r="B150" s="175" t="s">
        <v>206</v>
      </c>
      <c r="C150" s="175"/>
      <c r="D150" s="175"/>
      <c r="E150" s="175"/>
      <c r="F150" s="175"/>
      <c r="G150" s="175"/>
      <c r="H150" s="175"/>
      <c r="I150" s="175"/>
      <c r="J150" s="175"/>
      <c r="K150" s="175"/>
      <c r="L150" s="163"/>
    </row>
    <row r="151" spans="1:14" s="78" customFormat="1">
      <c r="A151" s="13"/>
    </row>
    <row r="152" spans="1:14">
      <c r="E152" s="123"/>
    </row>
    <row r="153" spans="1:14" ht="15.75" customHeight="1">
      <c r="A153" s="116" t="s">
        <v>78</v>
      </c>
      <c r="B153" s="106" t="s">
        <v>127</v>
      </c>
      <c r="L153" s="170" t="s">
        <v>201</v>
      </c>
      <c r="M153" s="170"/>
    </row>
    <row r="154" spans="1:14">
      <c r="D154" s="5" t="s">
        <v>3</v>
      </c>
      <c r="E154" s="5" t="s">
        <v>4</v>
      </c>
      <c r="F154" s="5" t="s">
        <v>5</v>
      </c>
      <c r="G154" s="5" t="s">
        <v>6</v>
      </c>
      <c r="H154" s="6" t="s">
        <v>7</v>
      </c>
      <c r="I154" s="5" t="s">
        <v>8</v>
      </c>
      <c r="J154" s="6" t="s">
        <v>9</v>
      </c>
      <c r="L154" s="171"/>
      <c r="M154" s="171"/>
    </row>
    <row r="155" spans="1:14">
      <c r="B155" t="s">
        <v>128</v>
      </c>
      <c r="D155" s="122">
        <f>869865/1000</f>
        <v>869.86500000000001</v>
      </c>
      <c r="E155" s="122">
        <f>(1206831/1000)-264</f>
        <v>942.8309999999999</v>
      </c>
      <c r="F155" s="122">
        <f>1082907/1000</f>
        <v>1082.9069999999999</v>
      </c>
      <c r="G155" s="122">
        <f>1168525/1000</f>
        <v>1168.5250000000001</v>
      </c>
      <c r="H155" s="122">
        <f>1097421/1000</f>
        <v>1097.421</v>
      </c>
      <c r="I155" s="122">
        <f>1315769/1000</f>
        <v>1315.769</v>
      </c>
      <c r="J155" s="122">
        <f>1334094/1000</f>
        <v>1334.0940000000001</v>
      </c>
      <c r="L155" s="192">
        <f>+D155*1.0419^6</f>
        <v>1112.7768575628568</v>
      </c>
      <c r="M155" s="192"/>
      <c r="N155" s="88"/>
    </row>
    <row r="156" spans="1:14">
      <c r="B156" t="s">
        <v>103</v>
      </c>
      <c r="D156" s="121">
        <f>55849/1000</f>
        <v>55.848999999999997</v>
      </c>
      <c r="E156" s="121">
        <f>28704/1000</f>
        <v>28.704000000000001</v>
      </c>
      <c r="F156" s="121">
        <f>28316/1000</f>
        <v>28.315999999999999</v>
      </c>
      <c r="G156" s="121">
        <f>43347/1000</f>
        <v>43.347000000000001</v>
      </c>
      <c r="H156" s="121">
        <f>36753/1000</f>
        <v>36.753</v>
      </c>
      <c r="I156" s="121">
        <f>43511/1000</f>
        <v>43.511000000000003</v>
      </c>
      <c r="J156" s="121">
        <f>45449/1000</f>
        <v>45.448999999999998</v>
      </c>
      <c r="L156" s="193">
        <f>+D156*1.0419^6</f>
        <v>71.444965273953983</v>
      </c>
      <c r="M156" s="193"/>
    </row>
    <row r="157" spans="1:14">
      <c r="B157" t="s">
        <v>129</v>
      </c>
      <c r="D157" s="121">
        <f>+D158-D155-D156</f>
        <v>13.087000000000039</v>
      </c>
      <c r="E157" s="121">
        <v>0</v>
      </c>
      <c r="F157" s="121">
        <f t="shared" ref="F157:J157" si="29">+F158-F155-F156</f>
        <v>3.1974423109204508E-14</v>
      </c>
      <c r="G157" s="121">
        <f t="shared" si="29"/>
        <v>0</v>
      </c>
      <c r="H157" s="121">
        <f t="shared" si="29"/>
        <v>-7.1054273576010019E-14</v>
      </c>
      <c r="I157" s="121">
        <f t="shared" si="29"/>
        <v>0</v>
      </c>
      <c r="J157" s="121">
        <f t="shared" si="29"/>
        <v>-1.5631940186722204E-13</v>
      </c>
      <c r="L157" s="194">
        <f>+D157*1.0419^6</f>
        <v>16.741575686945847</v>
      </c>
      <c r="M157" s="194"/>
    </row>
    <row r="158" spans="1:14">
      <c r="D158" s="122">
        <f>938801/1000</f>
        <v>938.80100000000004</v>
      </c>
      <c r="E158" s="129">
        <f>+E155+E156</f>
        <v>971.53499999999985</v>
      </c>
      <c r="F158" s="122">
        <f>1111223/1000</f>
        <v>1111.223</v>
      </c>
      <c r="G158" s="122">
        <f>1211872/1000</f>
        <v>1211.8720000000001</v>
      </c>
      <c r="H158" s="122">
        <f>1134174/1000</f>
        <v>1134.174</v>
      </c>
      <c r="I158" s="122">
        <f>1359280/1000</f>
        <v>1359.28</v>
      </c>
      <c r="J158" s="122">
        <f>1379543/1000</f>
        <v>1379.5429999999999</v>
      </c>
      <c r="L158" s="192">
        <f>+D158*1.0419^6</f>
        <v>1200.9633985237565</v>
      </c>
      <c r="M158" s="192"/>
    </row>
    <row r="159" spans="1:14" s="140" customFormat="1">
      <c r="A159" s="141"/>
      <c r="C159" s="95" t="s">
        <v>155</v>
      </c>
      <c r="D159" s="139"/>
      <c r="E159" s="103">
        <f>E158-D158</f>
        <v>32.73399999999981</v>
      </c>
      <c r="F159" s="103">
        <f t="shared" ref="F159" si="30">F158-E158</f>
        <v>139.6880000000001</v>
      </c>
      <c r="G159" s="103">
        <f t="shared" ref="G159" si="31">G158-F158</f>
        <v>100.64900000000011</v>
      </c>
      <c r="H159" s="103">
        <f t="shared" ref="H159" si="32">H158-G158</f>
        <v>-77.698000000000093</v>
      </c>
      <c r="I159" s="103">
        <f t="shared" ref="I159" si="33">I158-H158</f>
        <v>225.10599999999999</v>
      </c>
      <c r="J159" s="103">
        <f t="shared" ref="J159" si="34">J158-I158</f>
        <v>20.26299999999992</v>
      </c>
      <c r="L159" s="157"/>
    </row>
    <row r="160" spans="1:14" s="140" customFormat="1">
      <c r="A160" s="141"/>
      <c r="D160" s="142"/>
      <c r="E160" s="142"/>
      <c r="F160" s="142"/>
      <c r="G160" s="142"/>
      <c r="H160" s="142"/>
      <c r="I160" s="142"/>
      <c r="J160" s="142"/>
      <c r="K160" s="157"/>
      <c r="L160" s="157"/>
    </row>
    <row r="161" spans="1:22" ht="46.5" customHeight="1">
      <c r="B161" s="175" t="s">
        <v>207</v>
      </c>
      <c r="C161" s="175"/>
      <c r="D161" s="175"/>
      <c r="E161" s="175"/>
      <c r="F161" s="175"/>
      <c r="G161" s="175"/>
      <c r="H161" s="175"/>
      <c r="I161" s="175"/>
      <c r="J161" s="175"/>
      <c r="K161" s="175"/>
      <c r="L161" s="157"/>
    </row>
    <row r="162" spans="1:22" ht="33" customHeight="1">
      <c r="B162" s="175" t="s">
        <v>244</v>
      </c>
      <c r="C162" s="175"/>
      <c r="D162" s="175"/>
      <c r="E162" s="175"/>
      <c r="F162" s="175"/>
      <c r="G162" s="175"/>
      <c r="H162" s="175"/>
      <c r="I162" s="175"/>
      <c r="J162" s="175"/>
      <c r="K162" s="175"/>
      <c r="L162" s="140"/>
    </row>
    <row r="163" spans="1:22">
      <c r="B163" t="s">
        <v>208</v>
      </c>
    </row>
    <row r="164" spans="1:22" s="78" customFormat="1">
      <c r="A164" s="13"/>
    </row>
    <row r="166" spans="1:22" ht="15.75" customHeight="1">
      <c r="A166" s="116" t="s">
        <v>79</v>
      </c>
      <c r="B166" s="106" t="s">
        <v>20</v>
      </c>
      <c r="L166" s="170" t="s">
        <v>201</v>
      </c>
      <c r="M166" s="170"/>
      <c r="N166" s="106"/>
      <c r="O166" s="140"/>
      <c r="P166" s="140"/>
      <c r="Q166" s="140"/>
      <c r="R166" s="140"/>
      <c r="S166" s="140"/>
      <c r="T166" s="140"/>
      <c r="U166" s="140"/>
      <c r="V166" s="140"/>
    </row>
    <row r="167" spans="1:22">
      <c r="C167" s="7"/>
      <c r="D167" s="5" t="s">
        <v>3</v>
      </c>
      <c r="E167" s="5" t="s">
        <v>4</v>
      </c>
      <c r="F167" s="5" t="s">
        <v>5</v>
      </c>
      <c r="G167" s="5" t="s">
        <v>6</v>
      </c>
      <c r="H167" s="6" t="s">
        <v>7</v>
      </c>
      <c r="I167" s="5" t="s">
        <v>8</v>
      </c>
      <c r="J167" s="6" t="s">
        <v>9</v>
      </c>
      <c r="L167" s="171"/>
      <c r="M167" s="171"/>
      <c r="N167" s="140"/>
      <c r="O167" s="139"/>
      <c r="P167" s="5"/>
      <c r="Q167" s="5"/>
      <c r="R167" s="5"/>
      <c r="S167" s="5"/>
      <c r="T167" s="6"/>
      <c r="U167" s="5"/>
      <c r="V167" s="6"/>
    </row>
    <row r="168" spans="1:22" s="78" customFormat="1">
      <c r="A168" s="13"/>
      <c r="B168" s="7" t="s">
        <v>20</v>
      </c>
      <c r="C168" s="7"/>
      <c r="D168" s="104">
        <v>115.19518999999998</v>
      </c>
      <c r="E168" s="104">
        <v>125.53105000000001</v>
      </c>
      <c r="F168" s="104">
        <v>158.25775000000002</v>
      </c>
      <c r="G168" s="104">
        <v>141.02760000000001</v>
      </c>
      <c r="H168" s="104">
        <v>115.56957000000003</v>
      </c>
      <c r="I168" s="104">
        <v>152.44499999999999</v>
      </c>
      <c r="J168" s="104">
        <v>191.04499999999999</v>
      </c>
      <c r="L168" s="174">
        <f>+D168*1.0419^6</f>
        <v>147.36371912257212</v>
      </c>
      <c r="M168" s="174"/>
      <c r="N168" s="139"/>
      <c r="O168" s="139"/>
      <c r="P168" s="139"/>
      <c r="Q168" s="14"/>
      <c r="R168" s="126"/>
      <c r="S168" s="126"/>
      <c r="T168" s="126"/>
      <c r="U168" s="126"/>
      <c r="V168" s="126"/>
    </row>
    <row r="169" spans="1:22" s="78" customFormat="1">
      <c r="A169" s="13"/>
      <c r="B169" s="7"/>
      <c r="C169" s="95" t="s">
        <v>155</v>
      </c>
      <c r="D169" s="7"/>
      <c r="E169" s="103">
        <f>E168-D168</f>
        <v>10.335860000000025</v>
      </c>
      <c r="F169" s="103">
        <f t="shared" ref="F169" si="35">F168-E168</f>
        <v>32.726700000000008</v>
      </c>
      <c r="G169" s="103">
        <f t="shared" ref="G169" si="36">G168-F168</f>
        <v>-17.230150000000009</v>
      </c>
      <c r="H169" s="103">
        <f t="shared" ref="H169" si="37">H168-G168</f>
        <v>-25.45802999999998</v>
      </c>
      <c r="I169" s="103">
        <f t="shared" ref="I169" si="38">I168-H168</f>
        <v>36.875429999999966</v>
      </c>
      <c r="J169" s="103">
        <f t="shared" ref="J169" si="39">J168-I168</f>
        <v>38.599999999999994</v>
      </c>
      <c r="K169" s="126"/>
      <c r="L169" s="126"/>
      <c r="M169" s="141"/>
      <c r="N169" s="139"/>
      <c r="O169" s="95"/>
      <c r="P169" s="139"/>
      <c r="Q169" s="103"/>
      <c r="R169" s="103"/>
      <c r="S169" s="103"/>
      <c r="T169" s="103"/>
      <c r="U169" s="103"/>
      <c r="V169" s="103"/>
    </row>
    <row r="170" spans="1:22" s="78" customFormat="1">
      <c r="A170" s="13"/>
      <c r="B170" s="7"/>
      <c r="C170" s="7"/>
      <c r="D170" s="7"/>
      <c r="E170" s="14"/>
      <c r="F170" s="126"/>
      <c r="G170" s="126"/>
      <c r="H170" s="126"/>
      <c r="I170" s="126"/>
      <c r="J170" s="126"/>
      <c r="K170" s="126"/>
      <c r="L170" s="126"/>
      <c r="M170" s="141"/>
      <c r="N170" s="139"/>
      <c r="O170" s="139"/>
      <c r="P170" s="139"/>
      <c r="Q170" s="14"/>
      <c r="R170" s="126"/>
      <c r="S170" s="126"/>
      <c r="T170" s="126"/>
      <c r="U170" s="126"/>
      <c r="V170" s="126"/>
    </row>
    <row r="171" spans="1:22" s="78" customFormat="1" ht="44.25" customHeight="1">
      <c r="A171" s="13"/>
      <c r="B171" s="173" t="s">
        <v>180</v>
      </c>
      <c r="C171" s="173"/>
      <c r="D171" s="173"/>
      <c r="E171" s="173"/>
      <c r="F171" s="173"/>
      <c r="G171" s="173"/>
      <c r="H171" s="173"/>
      <c r="I171" s="173"/>
      <c r="J171" s="173"/>
      <c r="K171" s="173"/>
      <c r="L171" s="126"/>
      <c r="M171" s="141"/>
      <c r="N171" s="132"/>
      <c r="O171" s="132"/>
      <c r="P171" s="132"/>
      <c r="Q171" s="132"/>
      <c r="R171" s="132"/>
      <c r="S171" s="132"/>
      <c r="T171" s="132"/>
      <c r="U171" s="132"/>
      <c r="V171" s="132"/>
    </row>
    <row r="172" spans="1:22" s="78" customFormat="1" ht="31.5" customHeight="1">
      <c r="A172" s="13"/>
      <c r="B172" s="173" t="s">
        <v>176</v>
      </c>
      <c r="C172" s="173"/>
      <c r="D172" s="173"/>
      <c r="E172" s="173"/>
      <c r="F172" s="173"/>
      <c r="G172" s="173"/>
      <c r="H172" s="173"/>
      <c r="I172" s="173"/>
      <c r="J172" s="173"/>
      <c r="K172" s="173"/>
      <c r="L172" s="126"/>
      <c r="M172" s="141"/>
      <c r="N172" s="173"/>
      <c r="O172" s="173"/>
      <c r="P172" s="173"/>
      <c r="Q172" s="173"/>
      <c r="R172" s="173"/>
      <c r="S172" s="173"/>
      <c r="T172" s="173"/>
      <c r="U172" s="173"/>
      <c r="V172" s="173"/>
    </row>
    <row r="173" spans="1:22" s="78" customFormat="1">
      <c r="A173" s="13"/>
      <c r="B173" s="7" t="s">
        <v>209</v>
      </c>
      <c r="C173" s="7"/>
      <c r="D173" s="7"/>
      <c r="E173" s="14"/>
      <c r="F173" s="126"/>
      <c r="G173" s="126"/>
      <c r="H173" s="126"/>
      <c r="I173" s="126"/>
      <c r="J173" s="126"/>
      <c r="K173" s="126"/>
      <c r="L173" s="126"/>
    </row>
    <row r="174" spans="1:22" s="140" customFormat="1">
      <c r="A174" s="141"/>
      <c r="B174" s="139"/>
      <c r="C174" s="139"/>
      <c r="D174" s="139"/>
      <c r="E174" s="14"/>
      <c r="F174" s="126"/>
      <c r="G174" s="126"/>
      <c r="H174" s="126"/>
      <c r="I174" s="126"/>
      <c r="J174" s="126"/>
      <c r="K174" s="126"/>
      <c r="L174" s="126"/>
    </row>
    <row r="176" spans="1:22" ht="15.75" customHeight="1">
      <c r="A176" s="116" t="s">
        <v>80</v>
      </c>
      <c r="B176" s="106" t="s">
        <v>21</v>
      </c>
      <c r="D176" s="9"/>
      <c r="E176" s="9"/>
      <c r="F176" s="9"/>
      <c r="G176" s="9"/>
      <c r="H176" s="9"/>
      <c r="I176" s="9"/>
      <c r="J176" s="9"/>
      <c r="L176" s="170" t="s">
        <v>201</v>
      </c>
      <c r="M176" s="170"/>
    </row>
    <row r="177" spans="1:13">
      <c r="D177" s="5" t="s">
        <v>3</v>
      </c>
      <c r="E177" s="5" t="s">
        <v>4</v>
      </c>
      <c r="F177" s="5" t="s">
        <v>5</v>
      </c>
      <c r="G177" s="5" t="s">
        <v>6</v>
      </c>
      <c r="H177" s="6" t="s">
        <v>7</v>
      </c>
      <c r="I177" s="5" t="s">
        <v>8</v>
      </c>
      <c r="J177" s="6" t="s">
        <v>9</v>
      </c>
      <c r="L177" s="171"/>
      <c r="M177" s="171"/>
    </row>
    <row r="178" spans="1:13">
      <c r="B178" t="s">
        <v>103</v>
      </c>
      <c r="D178" s="125">
        <f>273835/1000</f>
        <v>273.83499999999998</v>
      </c>
      <c r="E178" s="125">
        <f>302912/1000</f>
        <v>302.91199999999998</v>
      </c>
      <c r="F178" s="125">
        <f>303892/1000</f>
        <v>303.892</v>
      </c>
      <c r="G178" s="125">
        <f>304053/1000</f>
        <v>304.053</v>
      </c>
      <c r="H178" s="125">
        <f>325633/1000</f>
        <v>325.63299999999998</v>
      </c>
      <c r="I178" s="125">
        <f>337946/1000</f>
        <v>337.94600000000003</v>
      </c>
      <c r="J178" s="125">
        <f>360949/1000</f>
        <v>360.94900000000001</v>
      </c>
      <c r="L178" s="169">
        <f>+D178*1.0419^6</f>
        <v>350.30407108082846</v>
      </c>
      <c r="M178" s="169"/>
    </row>
    <row r="179" spans="1:13">
      <c r="B179" t="s">
        <v>101</v>
      </c>
      <c r="D179" s="124"/>
      <c r="E179" s="124"/>
      <c r="F179" s="124"/>
      <c r="G179" s="124">
        <f>24596/1000</f>
        <v>24.596</v>
      </c>
      <c r="H179" s="124">
        <v>32.009</v>
      </c>
      <c r="I179" s="124">
        <f>31710/1000</f>
        <v>31.71</v>
      </c>
      <c r="J179" s="124">
        <f>36600/1000</f>
        <v>36.6</v>
      </c>
      <c r="L179" s="152"/>
      <c r="M179" s="153"/>
    </row>
    <row r="180" spans="1:13">
      <c r="B180" t="s">
        <v>115</v>
      </c>
      <c r="D180" s="124">
        <f>+D181-D179-D178</f>
        <v>10.031000000000006</v>
      </c>
      <c r="E180" s="124">
        <f t="shared" ref="E180:J180" si="40">+E181-E179-E178</f>
        <v>9.5680000000000405</v>
      </c>
      <c r="F180" s="124">
        <f t="shared" si="40"/>
        <v>27.050000000000011</v>
      </c>
      <c r="G180" s="124">
        <f t="shared" si="40"/>
        <v>4.0930000000000177</v>
      </c>
      <c r="H180" s="124">
        <f t="shared" si="40"/>
        <v>5.77800000000002</v>
      </c>
      <c r="I180" s="124">
        <f t="shared" si="40"/>
        <v>12.827999999999975</v>
      </c>
      <c r="J180" s="124">
        <f t="shared" si="40"/>
        <v>12.91599999999994</v>
      </c>
      <c r="L180" s="177">
        <f>+D180*1.0419^6</f>
        <v>12.832180462730449</v>
      </c>
      <c r="M180" s="177"/>
    </row>
    <row r="181" spans="1:13">
      <c r="B181" t="s">
        <v>116</v>
      </c>
      <c r="C181" s="95"/>
      <c r="D181" s="125">
        <f>283866/1000</f>
        <v>283.86599999999999</v>
      </c>
      <c r="E181" s="125">
        <f>312480/1000</f>
        <v>312.48</v>
      </c>
      <c r="F181" s="125">
        <f>330942/1000</f>
        <v>330.94200000000001</v>
      </c>
      <c r="G181" s="125">
        <f>332742/1000</f>
        <v>332.74200000000002</v>
      </c>
      <c r="H181" s="125">
        <f>363420/1000</f>
        <v>363.42</v>
      </c>
      <c r="I181" s="125">
        <f>382484/1000</f>
        <v>382.48399999999998</v>
      </c>
      <c r="J181" s="125">
        <f>410465/1000</f>
        <v>410.46499999999997</v>
      </c>
      <c r="L181" s="169">
        <f>+D181*1.0419^6</f>
        <v>363.1362515435589</v>
      </c>
      <c r="M181" s="169"/>
    </row>
    <row r="182" spans="1:13">
      <c r="C182" s="95" t="s">
        <v>155</v>
      </c>
      <c r="E182" s="103">
        <f>E181-D181</f>
        <v>28.614000000000033</v>
      </c>
      <c r="F182" s="103">
        <f>F181-E181</f>
        <v>18.461999999999989</v>
      </c>
      <c r="G182" s="103">
        <f t="shared" ref="G182" si="41">G181-F181</f>
        <v>1.8000000000000114</v>
      </c>
      <c r="H182" s="103">
        <f t="shared" ref="H182" si="42">H181-G181</f>
        <v>30.677999999999997</v>
      </c>
      <c r="I182" s="103">
        <f t="shared" ref="I182" si="43">I181-H181</f>
        <v>19.063999999999965</v>
      </c>
      <c r="J182" s="103">
        <f t="shared" ref="J182" si="44">J181-I181</f>
        <v>27.980999999999995</v>
      </c>
    </row>
    <row r="183" spans="1:13" s="140" customFormat="1">
      <c r="A183" s="141"/>
      <c r="C183" s="95"/>
      <c r="E183" s="103"/>
      <c r="F183" s="103"/>
      <c r="G183" s="103"/>
      <c r="H183" s="103"/>
      <c r="I183" s="103"/>
      <c r="J183" s="103"/>
    </row>
    <row r="184" spans="1:13">
      <c r="B184" t="s">
        <v>210</v>
      </c>
    </row>
    <row r="185" spans="1:13" ht="15" customHeight="1">
      <c r="B185" s="140" t="s">
        <v>235</v>
      </c>
      <c r="C185" s="140"/>
      <c r="D185" s="140"/>
      <c r="E185" s="140"/>
      <c r="F185" s="140"/>
      <c r="G185" s="140"/>
      <c r="H185" s="140"/>
      <c r="I185" s="140"/>
      <c r="J185" s="140"/>
      <c r="K185" s="140"/>
      <c r="L185" s="140"/>
    </row>
    <row r="186" spans="1:13">
      <c r="B186" s="140" t="s">
        <v>245</v>
      </c>
      <c r="C186" s="140"/>
      <c r="D186" s="140"/>
      <c r="E186" s="140"/>
      <c r="F186" s="140"/>
      <c r="G186" s="140"/>
      <c r="H186" s="140"/>
      <c r="I186" s="140"/>
      <c r="J186" s="140"/>
      <c r="K186" s="140"/>
      <c r="L186" s="140"/>
    </row>
    <row r="187" spans="1:13">
      <c r="B187" t="s">
        <v>246</v>
      </c>
      <c r="L187" s="140"/>
    </row>
    <row r="188" spans="1:13">
      <c r="B188" t="s">
        <v>247</v>
      </c>
      <c r="L188" s="140"/>
    </row>
    <row r="189" spans="1:13">
      <c r="B189" t="s">
        <v>211</v>
      </c>
      <c r="L189" s="140"/>
    </row>
    <row r="190" spans="1:13">
      <c r="B190" t="s">
        <v>248</v>
      </c>
      <c r="L190" s="140"/>
    </row>
    <row r="191" spans="1:13">
      <c r="B191" t="s">
        <v>236</v>
      </c>
      <c r="L191" s="140"/>
    </row>
    <row r="192" spans="1:13">
      <c r="B192" t="s">
        <v>237</v>
      </c>
      <c r="L192" s="140"/>
    </row>
    <row r="193" spans="1:13">
      <c r="B193" t="s">
        <v>213</v>
      </c>
      <c r="L193" s="140"/>
    </row>
    <row r="194" spans="1:13">
      <c r="B194" t="s">
        <v>212</v>
      </c>
      <c r="L194" s="140"/>
    </row>
    <row r="195" spans="1:13">
      <c r="L195" s="140"/>
    </row>
    <row r="197" spans="1:13" ht="15.75">
      <c r="A197" s="144" t="s">
        <v>81</v>
      </c>
      <c r="B197" s="145" t="s">
        <v>22</v>
      </c>
    </row>
    <row r="198" spans="1:13" ht="15" customHeight="1">
      <c r="L198" s="170" t="s">
        <v>201</v>
      </c>
      <c r="M198" s="170"/>
    </row>
    <row r="199" spans="1:13" s="78" customFormat="1">
      <c r="A199" s="13"/>
      <c r="B199" s="137"/>
      <c r="D199" s="5" t="s">
        <v>3</v>
      </c>
      <c r="E199" s="5" t="s">
        <v>4</v>
      </c>
      <c r="F199" s="5" t="s">
        <v>5</v>
      </c>
      <c r="G199" s="5" t="s">
        <v>6</v>
      </c>
      <c r="H199" s="6" t="s">
        <v>7</v>
      </c>
      <c r="I199" s="5" t="s">
        <v>8</v>
      </c>
      <c r="J199" s="6" t="s">
        <v>9</v>
      </c>
      <c r="L199" s="171"/>
      <c r="M199" s="171"/>
    </row>
    <row r="200" spans="1:13" s="78" customFormat="1">
      <c r="A200" s="13"/>
      <c r="B200" s="138" t="s">
        <v>178</v>
      </c>
      <c r="D200" s="129">
        <f>165364.7/1000</f>
        <v>165.3647</v>
      </c>
      <c r="E200" s="129">
        <f>139571.51/1000-133</f>
        <v>6.5715100000000177</v>
      </c>
      <c r="F200" s="129">
        <f>7183.46/1000</f>
        <v>7.1834600000000002</v>
      </c>
      <c r="G200" s="129">
        <f>12811.01/1000</f>
        <v>12.81101</v>
      </c>
      <c r="H200" s="129">
        <f>49804.37/1000</f>
        <v>49.804370000000006</v>
      </c>
      <c r="I200" s="129">
        <f>43376.68/1000</f>
        <v>43.37668</v>
      </c>
      <c r="J200" s="129">
        <f>46368.03502/1000</f>
        <v>46.368035020000001</v>
      </c>
      <c r="L200" s="169">
        <f>+D200*1.0419^6</f>
        <v>211.5431833880252</v>
      </c>
      <c r="M200" s="169"/>
    </row>
    <row r="201" spans="1:13" s="78" customFormat="1">
      <c r="A201" s="13"/>
      <c r="B201" s="138" t="s">
        <v>179</v>
      </c>
      <c r="D201" s="128">
        <v>0</v>
      </c>
      <c r="E201" s="128">
        <f>16.48/1000</f>
        <v>1.6480000000000002E-2</v>
      </c>
      <c r="F201" s="128">
        <v>0</v>
      </c>
      <c r="G201" s="128">
        <v>0</v>
      </c>
      <c r="H201" s="128">
        <f>71.82/1000</f>
        <v>7.1819999999999995E-2</v>
      </c>
      <c r="I201" s="128">
        <v>0</v>
      </c>
      <c r="J201" s="128">
        <v>0</v>
      </c>
      <c r="L201" s="168">
        <f>+D201*1.0419^6</f>
        <v>0</v>
      </c>
      <c r="M201" s="168"/>
    </row>
    <row r="202" spans="1:13">
      <c r="B202" s="138" t="s">
        <v>103</v>
      </c>
      <c r="D202" s="128">
        <f>217543.51/1000</f>
        <v>217.54351</v>
      </c>
      <c r="E202" s="128">
        <f>278928.07/1000</f>
        <v>278.92806999999999</v>
      </c>
      <c r="F202" s="128">
        <f>288106.68/1000</f>
        <v>288.10667999999998</v>
      </c>
      <c r="G202" s="128">
        <f>291964.85/1000</f>
        <v>291.96484999999996</v>
      </c>
      <c r="H202" s="128">
        <f>307314/1000</f>
        <v>307.31400000000002</v>
      </c>
      <c r="I202" s="128">
        <f>309609.68/1000</f>
        <v>309.60967999999997</v>
      </c>
      <c r="J202" s="128">
        <f>319255/1000</f>
        <v>319.255</v>
      </c>
      <c r="L202" s="168">
        <f>+D202*1.0419^6</f>
        <v>278.29304942835256</v>
      </c>
      <c r="M202" s="168"/>
    </row>
    <row r="203" spans="1:13">
      <c r="B203" s="138" t="s">
        <v>104</v>
      </c>
      <c r="D203" s="128">
        <f>16864.31/1000</f>
        <v>16.86431</v>
      </c>
      <c r="E203" s="128">
        <f>18331.58/1000</f>
        <v>18.331580000000002</v>
      </c>
      <c r="F203" s="128">
        <f>28062.55/1000</f>
        <v>28.062549999999998</v>
      </c>
      <c r="G203" s="128">
        <f>38854.19/1000</f>
        <v>38.854190000000003</v>
      </c>
      <c r="H203" s="128">
        <f>48334.77/1000</f>
        <v>48.334769999999999</v>
      </c>
      <c r="I203" s="128">
        <f>31241/1000</f>
        <v>31.241</v>
      </c>
      <c r="J203" s="128">
        <f>32000/1000</f>
        <v>32</v>
      </c>
      <c r="L203" s="168">
        <f>+D203*1.0419^6</f>
        <v>21.573708433798185</v>
      </c>
      <c r="M203" s="168"/>
    </row>
    <row r="204" spans="1:13">
      <c r="B204" s="138" t="s">
        <v>101</v>
      </c>
      <c r="D204" s="128">
        <v>0</v>
      </c>
      <c r="E204" s="128">
        <v>0</v>
      </c>
      <c r="F204" s="128">
        <f>192816.69/1000</f>
        <v>192.81668999999999</v>
      </c>
      <c r="G204" s="128">
        <f>201512.83/1000</f>
        <v>201.51282999999998</v>
      </c>
      <c r="H204" s="128">
        <f>195369.15/1000</f>
        <v>195.36914999999999</v>
      </c>
      <c r="I204" s="128">
        <f>213380.38/1000</f>
        <v>213.38038</v>
      </c>
      <c r="J204" s="128">
        <f>229500/1000</f>
        <v>229.5</v>
      </c>
      <c r="L204" s="172">
        <f>175.8*1.0419^6</f>
        <v>224.89256558149853</v>
      </c>
      <c r="M204" s="172"/>
    </row>
    <row r="205" spans="1:13">
      <c r="B205" s="139"/>
      <c r="D205" s="129">
        <f>SUM(D200:D204)</f>
        <v>399.77251999999999</v>
      </c>
      <c r="E205" s="129">
        <f t="shared" ref="E205:J205" si="45">SUM(E200:E204)</f>
        <v>303.84763999999996</v>
      </c>
      <c r="F205" s="129">
        <f t="shared" si="45"/>
        <v>516.16938000000005</v>
      </c>
      <c r="G205" s="129">
        <f t="shared" si="45"/>
        <v>545.14287999999999</v>
      </c>
      <c r="H205" s="129">
        <f t="shared" si="45"/>
        <v>600.89410999999996</v>
      </c>
      <c r="I205" s="129">
        <f t="shared" si="45"/>
        <v>597.60773999999992</v>
      </c>
      <c r="J205" s="129">
        <f t="shared" si="45"/>
        <v>627.12303501999997</v>
      </c>
      <c r="L205" s="169">
        <f>SUM(L200:M204)</f>
        <v>736.30250683167446</v>
      </c>
      <c r="M205" s="169"/>
    </row>
    <row r="206" spans="1:13" s="140" customFormat="1">
      <c r="A206" s="141"/>
      <c r="B206" s="139"/>
      <c r="C206" s="95" t="s">
        <v>155</v>
      </c>
      <c r="E206" s="103">
        <f t="shared" ref="E206:J206" si="46">E205-D205</f>
        <v>-95.92488000000003</v>
      </c>
      <c r="F206" s="103">
        <f t="shared" si="46"/>
        <v>212.32174000000009</v>
      </c>
      <c r="G206" s="103">
        <f t="shared" si="46"/>
        <v>28.973499999999945</v>
      </c>
      <c r="H206" s="103">
        <f t="shared" si="46"/>
        <v>55.751229999999964</v>
      </c>
      <c r="I206" s="103">
        <f t="shared" si="46"/>
        <v>-3.2863700000000335</v>
      </c>
      <c r="J206" s="103">
        <f t="shared" si="46"/>
        <v>29.515295020000053</v>
      </c>
      <c r="K206" s="138"/>
      <c r="L206" s="138"/>
    </row>
    <row r="207" spans="1:13" s="138" customFormat="1">
      <c r="A207" s="136"/>
      <c r="B207" s="139"/>
      <c r="C207" s="135"/>
      <c r="D207" s="135"/>
      <c r="E207" s="135"/>
      <c r="F207" s="135"/>
      <c r="G207" s="135"/>
      <c r="H207" s="135"/>
      <c r="I207" s="135"/>
    </row>
    <row r="208" spans="1:13" s="138" customFormat="1">
      <c r="A208" s="136"/>
      <c r="B208" s="188" t="s">
        <v>214</v>
      </c>
      <c r="C208" s="188"/>
      <c r="D208" s="188"/>
      <c r="E208" s="188"/>
      <c r="F208" s="188"/>
      <c r="G208" s="188"/>
      <c r="H208" s="188"/>
      <c r="I208" s="188"/>
      <c r="J208" s="188"/>
      <c r="K208" s="188"/>
      <c r="L208" s="188"/>
      <c r="M208" s="134"/>
    </row>
    <row r="209" spans="1:13" s="138" customFormat="1">
      <c r="A209" s="136"/>
      <c r="B209" s="188"/>
      <c r="C209" s="188"/>
      <c r="D209" s="188"/>
      <c r="E209" s="188"/>
      <c r="F209" s="188"/>
      <c r="G209" s="188"/>
      <c r="H209" s="188"/>
      <c r="I209" s="188"/>
      <c r="J209" s="188"/>
      <c r="K209" s="188"/>
      <c r="L209" s="188"/>
      <c r="M209" s="134"/>
    </row>
    <row r="210" spans="1:13" s="138" customFormat="1">
      <c r="A210" s="136"/>
      <c r="B210" s="188"/>
      <c r="C210" s="188"/>
      <c r="D210" s="188"/>
      <c r="E210" s="188"/>
      <c r="F210" s="188"/>
      <c r="G210" s="188"/>
      <c r="H210" s="188"/>
      <c r="I210" s="188"/>
      <c r="J210" s="188"/>
      <c r="K210" s="188"/>
      <c r="L210" s="188"/>
    </row>
    <row r="211" spans="1:13" s="138" customFormat="1">
      <c r="A211" s="136"/>
      <c r="B211" s="139" t="s">
        <v>249</v>
      </c>
      <c r="C211" s="135"/>
      <c r="D211" s="135"/>
      <c r="E211" s="135"/>
      <c r="F211" s="135"/>
      <c r="G211" s="135"/>
      <c r="H211" s="135"/>
      <c r="I211" s="135"/>
    </row>
    <row r="212" spans="1:13" s="138" customFormat="1">
      <c r="A212" s="136"/>
      <c r="B212" s="139" t="s">
        <v>233</v>
      </c>
      <c r="C212" s="135"/>
      <c r="D212" s="135"/>
      <c r="E212" s="135"/>
      <c r="F212" s="135"/>
      <c r="G212" s="135"/>
      <c r="H212" s="135"/>
      <c r="I212" s="135"/>
    </row>
    <row r="213" spans="1:13" s="138" customFormat="1">
      <c r="A213" s="136"/>
      <c r="B213" s="139" t="s">
        <v>183</v>
      </c>
      <c r="C213" s="135"/>
      <c r="D213" s="135"/>
      <c r="E213" s="135"/>
      <c r="F213" s="135"/>
      <c r="G213" s="135"/>
      <c r="H213" s="135"/>
      <c r="I213" s="135"/>
    </row>
    <row r="214" spans="1:13" s="138" customFormat="1">
      <c r="A214" s="136"/>
      <c r="B214" s="139" t="s">
        <v>234</v>
      </c>
      <c r="C214" s="135"/>
      <c r="D214" s="135"/>
      <c r="E214" s="135"/>
      <c r="F214" s="135"/>
      <c r="G214" s="135"/>
      <c r="H214" s="135"/>
      <c r="I214" s="135"/>
    </row>
    <row r="215" spans="1:13" s="138" customFormat="1">
      <c r="A215" s="136"/>
      <c r="B215" s="173" t="s">
        <v>257</v>
      </c>
      <c r="C215" s="173"/>
      <c r="D215" s="173"/>
      <c r="E215" s="173"/>
      <c r="F215" s="173"/>
      <c r="G215" s="173"/>
      <c r="H215" s="173"/>
      <c r="I215" s="173"/>
      <c r="J215" s="173"/>
      <c r="K215" s="173"/>
      <c r="L215" s="173"/>
    </row>
    <row r="216" spans="1:13" s="138" customFormat="1">
      <c r="A216" s="136"/>
      <c r="B216" s="173"/>
      <c r="C216" s="173"/>
      <c r="D216" s="173"/>
      <c r="E216" s="173"/>
      <c r="F216" s="173"/>
      <c r="G216" s="173"/>
      <c r="H216" s="173"/>
      <c r="I216" s="173"/>
      <c r="J216" s="173"/>
      <c r="K216" s="173"/>
      <c r="L216" s="173"/>
    </row>
    <row r="217" spans="1:13" s="138" customFormat="1">
      <c r="A217" s="136"/>
      <c r="B217" s="139"/>
      <c r="C217" s="135"/>
      <c r="D217" s="135"/>
      <c r="E217" s="135"/>
      <c r="F217" s="135"/>
      <c r="G217" s="135"/>
      <c r="H217" s="135"/>
      <c r="I217" s="135"/>
    </row>
    <row r="219" spans="1:13" ht="15.75" customHeight="1">
      <c r="A219" s="144" t="s">
        <v>82</v>
      </c>
      <c r="B219" s="145" t="s">
        <v>23</v>
      </c>
      <c r="L219" s="170" t="s">
        <v>201</v>
      </c>
      <c r="M219" s="170"/>
    </row>
    <row r="220" spans="1:13">
      <c r="D220" s="5" t="s">
        <v>3</v>
      </c>
      <c r="E220" s="5" t="s">
        <v>4</v>
      </c>
      <c r="F220" s="5" t="s">
        <v>5</v>
      </c>
      <c r="G220" s="5" t="s">
        <v>6</v>
      </c>
      <c r="H220" s="6" t="s">
        <v>7</v>
      </c>
      <c r="I220" s="5" t="s">
        <v>8</v>
      </c>
      <c r="J220" s="6" t="s">
        <v>9</v>
      </c>
      <c r="L220" s="171"/>
      <c r="M220" s="171"/>
    </row>
    <row r="221" spans="1:13" s="78" customFormat="1">
      <c r="A221" s="13"/>
      <c r="D221" s="159">
        <v>14.05416</v>
      </c>
      <c r="E221" s="159">
        <v>14.29264</v>
      </c>
      <c r="F221" s="159">
        <v>55.167210000000004</v>
      </c>
      <c r="G221" s="159">
        <v>23.299260000000004</v>
      </c>
      <c r="H221" s="159">
        <v>10.470079999999999</v>
      </c>
      <c r="I221" s="159">
        <v>26.126930000000002</v>
      </c>
      <c r="J221" s="159">
        <v>25.447885160000002</v>
      </c>
      <c r="L221" s="169">
        <v>17.978817403258663</v>
      </c>
      <c r="M221" s="169"/>
    </row>
    <row r="222" spans="1:13" s="140" customFormat="1">
      <c r="A222" s="141"/>
      <c r="C222" s="95" t="s">
        <v>155</v>
      </c>
      <c r="D222" s="164"/>
      <c r="E222" s="165">
        <f>E221-D221</f>
        <v>0.23848000000000091</v>
      </c>
      <c r="F222" s="165">
        <f t="shared" ref="F222" si="47">F221-E221</f>
        <v>40.874570000000006</v>
      </c>
      <c r="G222" s="165">
        <f t="shared" ref="G222" si="48">G221-F221</f>
        <v>-31.86795</v>
      </c>
      <c r="H222" s="165">
        <f t="shared" ref="H222" si="49">H221-G221</f>
        <v>-12.829180000000004</v>
      </c>
      <c r="I222" s="165">
        <f t="shared" ref="I222" si="50">I221-H221</f>
        <v>15.656850000000002</v>
      </c>
      <c r="J222" s="165">
        <f t="shared" ref="J222" si="51">J221-I221</f>
        <v>-0.67904483999999954</v>
      </c>
    </row>
    <row r="223" spans="1:13" s="140" customFormat="1">
      <c r="A223" s="141"/>
      <c r="D223" s="133"/>
      <c r="E223" s="133"/>
      <c r="F223" s="133"/>
      <c r="G223" s="133"/>
      <c r="H223" s="133"/>
      <c r="I223" s="133"/>
      <c r="J223" s="133"/>
    </row>
    <row r="224" spans="1:13" s="140" customFormat="1">
      <c r="A224" s="141"/>
      <c r="B224" s="140" t="s">
        <v>215</v>
      </c>
      <c r="D224" s="133"/>
      <c r="E224" s="133"/>
      <c r="F224" s="133"/>
      <c r="G224" s="133"/>
      <c r="H224" s="133"/>
      <c r="I224" s="133"/>
      <c r="J224" s="133"/>
    </row>
    <row r="225" spans="1:12" s="140" customFormat="1">
      <c r="A225" s="141"/>
      <c r="B225" s="140" t="s">
        <v>216</v>
      </c>
      <c r="D225" s="133"/>
      <c r="E225" s="133"/>
      <c r="F225" s="133"/>
      <c r="G225" s="133"/>
      <c r="H225" s="133"/>
      <c r="I225" s="133"/>
      <c r="J225" s="133"/>
    </row>
    <row r="226" spans="1:12" s="140" customFormat="1">
      <c r="A226" s="141"/>
      <c r="B226" s="140" t="s">
        <v>193</v>
      </c>
      <c r="D226" s="133"/>
      <c r="E226" s="133"/>
      <c r="F226" s="133"/>
      <c r="G226" s="133"/>
      <c r="H226" s="133"/>
      <c r="I226" s="133"/>
      <c r="J226" s="133"/>
    </row>
    <row r="227" spans="1:12" s="78" customFormat="1">
      <c r="A227" s="13"/>
      <c r="B227" s="175" t="s">
        <v>217</v>
      </c>
      <c r="C227" s="175"/>
      <c r="D227" s="175"/>
      <c r="E227" s="175"/>
      <c r="F227" s="175"/>
      <c r="G227" s="175"/>
      <c r="H227" s="175"/>
      <c r="I227" s="175"/>
      <c r="J227" s="175"/>
      <c r="K227" s="175"/>
      <c r="L227" s="175"/>
    </row>
    <row r="229" spans="1:12" ht="15.75">
      <c r="A229" s="116" t="s">
        <v>83</v>
      </c>
      <c r="B229" s="106" t="s">
        <v>24</v>
      </c>
    </row>
    <row r="230" spans="1:12" ht="15" customHeight="1">
      <c r="B230" s="186" t="s">
        <v>218</v>
      </c>
      <c r="C230" s="186"/>
      <c r="D230" s="186"/>
      <c r="E230" s="186"/>
      <c r="F230" s="186"/>
      <c r="G230" s="186"/>
      <c r="H230" s="186"/>
      <c r="I230" s="186"/>
      <c r="J230" s="186"/>
      <c r="K230" s="186"/>
    </row>
    <row r="231" spans="1:12">
      <c r="B231" s="186"/>
      <c r="C231" s="186"/>
      <c r="D231" s="186"/>
      <c r="E231" s="186"/>
      <c r="F231" s="186"/>
      <c r="G231" s="186"/>
      <c r="H231" s="186"/>
      <c r="I231" s="186"/>
      <c r="J231" s="186"/>
      <c r="K231" s="186"/>
    </row>
    <row r="232" spans="1:12">
      <c r="B232" s="186"/>
      <c r="C232" s="186"/>
      <c r="D232" s="186"/>
      <c r="E232" s="186"/>
      <c r="F232" s="186"/>
      <c r="G232" s="186"/>
      <c r="H232" s="186"/>
      <c r="I232" s="186"/>
      <c r="J232" s="186"/>
      <c r="K232" s="186"/>
    </row>
    <row r="233" spans="1:12">
      <c r="B233" s="186"/>
      <c r="C233" s="186"/>
      <c r="D233" s="186"/>
      <c r="E233" s="186"/>
      <c r="F233" s="186"/>
      <c r="G233" s="186"/>
      <c r="H233" s="186"/>
      <c r="I233" s="186"/>
      <c r="J233" s="186"/>
      <c r="K233" s="186"/>
    </row>
    <row r="234" spans="1:12">
      <c r="B234" s="186"/>
      <c r="C234" s="186"/>
      <c r="D234" s="186"/>
      <c r="E234" s="186"/>
      <c r="F234" s="186"/>
      <c r="G234" s="186"/>
      <c r="H234" s="186"/>
      <c r="I234" s="186"/>
      <c r="J234" s="186"/>
      <c r="K234" s="186"/>
    </row>
    <row r="235" spans="1:12">
      <c r="B235" s="186"/>
      <c r="C235" s="186"/>
      <c r="D235" s="186"/>
      <c r="E235" s="186"/>
      <c r="F235" s="186"/>
      <c r="G235" s="186"/>
      <c r="H235" s="186"/>
      <c r="I235" s="186"/>
      <c r="J235" s="186"/>
      <c r="K235" s="186"/>
    </row>
    <row r="236" spans="1:12">
      <c r="B236" s="186"/>
      <c r="C236" s="186"/>
      <c r="D236" s="186"/>
      <c r="E236" s="186"/>
      <c r="F236" s="186"/>
      <c r="G236" s="186"/>
      <c r="H236" s="186"/>
      <c r="I236" s="186"/>
      <c r="J236" s="186"/>
      <c r="K236" s="186"/>
    </row>
    <row r="237" spans="1:12">
      <c r="B237" s="117" t="s">
        <v>250</v>
      </c>
      <c r="C237" s="117"/>
      <c r="D237" s="117"/>
      <c r="E237" s="117"/>
      <c r="F237" s="117"/>
      <c r="G237" s="117"/>
      <c r="H237" s="117"/>
    </row>
    <row r="238" spans="1:12">
      <c r="B238" s="117"/>
      <c r="C238" s="117"/>
      <c r="D238" s="117"/>
      <c r="E238" s="117"/>
      <c r="F238" s="117"/>
      <c r="G238" s="117"/>
      <c r="H238" s="117"/>
    </row>
    <row r="239" spans="1:12">
      <c r="B239" s="63"/>
      <c r="C239" s="63"/>
      <c r="D239" s="63"/>
      <c r="E239" s="63"/>
      <c r="F239" s="63"/>
      <c r="G239" s="63"/>
      <c r="H239" s="63"/>
    </row>
    <row r="240" spans="1:12" s="78" customFormat="1" ht="15.75">
      <c r="A240" s="116" t="s">
        <v>84</v>
      </c>
      <c r="B240" s="106" t="s">
        <v>26</v>
      </c>
      <c r="C240" s="87"/>
      <c r="D240" s="87"/>
      <c r="E240" s="87"/>
      <c r="F240" s="87"/>
      <c r="G240" s="87"/>
      <c r="H240" s="87"/>
    </row>
    <row r="241" spans="1:13" s="78" customFormat="1">
      <c r="A241" s="13"/>
      <c r="B241" s="78" t="s">
        <v>251</v>
      </c>
    </row>
    <row r="242" spans="1:13" s="78" customFormat="1" ht="48" customHeight="1">
      <c r="A242" s="13"/>
      <c r="B242" s="189" t="s">
        <v>252</v>
      </c>
      <c r="C242" s="189"/>
      <c r="D242" s="189"/>
      <c r="E242" s="189"/>
      <c r="F242" s="189"/>
      <c r="G242" s="189"/>
      <c r="H242" s="189"/>
      <c r="I242" s="189"/>
      <c r="J242" s="189"/>
      <c r="K242" s="189"/>
    </row>
    <row r="243" spans="1:13" s="78" customFormat="1" ht="31.5" customHeight="1">
      <c r="A243" s="13"/>
      <c r="B243" s="175" t="s">
        <v>219</v>
      </c>
      <c r="C243" s="175"/>
      <c r="D243" s="175"/>
      <c r="E243" s="175"/>
      <c r="F243" s="175"/>
      <c r="G243" s="175"/>
      <c r="H243" s="175"/>
      <c r="I243" s="175"/>
      <c r="J243" s="175"/>
      <c r="K243" s="175"/>
      <c r="M243" s="118"/>
    </row>
    <row r="244" spans="1:13">
      <c r="B244" s="63"/>
      <c r="C244" s="63"/>
      <c r="D244" s="63"/>
      <c r="E244" s="63"/>
      <c r="F244" s="63"/>
      <c r="G244" s="63"/>
      <c r="H244" s="63"/>
    </row>
    <row r="245" spans="1:13" s="140" customFormat="1">
      <c r="A245" s="141"/>
      <c r="B245" s="146"/>
      <c r="C245" s="146"/>
      <c r="D245" s="146"/>
      <c r="E245" s="146"/>
      <c r="F245" s="146"/>
      <c r="G245" s="146"/>
      <c r="H245" s="146"/>
    </row>
    <row r="246" spans="1:13" ht="15.75">
      <c r="A246" s="144" t="s">
        <v>85</v>
      </c>
      <c r="B246" s="145" t="s">
        <v>27</v>
      </c>
      <c r="C246" s="63"/>
      <c r="D246" s="63"/>
      <c r="E246" s="63"/>
      <c r="F246" s="63"/>
      <c r="G246" s="63"/>
      <c r="H246" s="63"/>
    </row>
    <row r="247" spans="1:13" ht="15" customHeight="1">
      <c r="B247" s="63"/>
      <c r="C247" s="63"/>
      <c r="D247" s="63"/>
      <c r="E247" s="63"/>
      <c r="F247" s="63"/>
      <c r="G247" s="63"/>
      <c r="H247" s="63"/>
      <c r="L247" s="170" t="s">
        <v>201</v>
      </c>
      <c r="M247" s="170"/>
    </row>
    <row r="248" spans="1:13" s="140" customFormat="1">
      <c r="A248" s="141"/>
      <c r="B248" s="139"/>
      <c r="C248" s="139"/>
      <c r="D248" s="5" t="s">
        <v>3</v>
      </c>
      <c r="E248" s="5" t="s">
        <v>4</v>
      </c>
      <c r="F248" s="5" t="s">
        <v>5</v>
      </c>
      <c r="G248" s="5" t="s">
        <v>6</v>
      </c>
      <c r="H248" s="6" t="s">
        <v>7</v>
      </c>
      <c r="I248" s="5" t="s">
        <v>8</v>
      </c>
      <c r="J248" s="6" t="s">
        <v>9</v>
      </c>
      <c r="L248" s="171"/>
      <c r="M248" s="171"/>
    </row>
    <row r="249" spans="1:13" s="140" customFormat="1">
      <c r="A249" s="141"/>
      <c r="B249" s="139" t="s">
        <v>27</v>
      </c>
      <c r="C249" s="139"/>
      <c r="D249" s="104">
        <v>95.927660000000003</v>
      </c>
      <c r="E249" s="104">
        <v>82.215609999999998</v>
      </c>
      <c r="F249" s="104">
        <v>83.311240000000012</v>
      </c>
      <c r="G249" s="104">
        <v>86.003230000000016</v>
      </c>
      <c r="H249" s="104">
        <v>72.292140000000003</v>
      </c>
      <c r="I249" s="104">
        <v>84.649570000000011</v>
      </c>
      <c r="J249" s="104">
        <v>89.948146860000008</v>
      </c>
      <c r="L249" s="169">
        <f>+D249*1.0419^6</f>
        <v>122.7156858226945</v>
      </c>
      <c r="M249" s="169"/>
    </row>
    <row r="250" spans="1:13" s="140" customFormat="1">
      <c r="A250" s="141"/>
      <c r="B250" s="139"/>
      <c r="C250" s="95" t="s">
        <v>155</v>
      </c>
      <c r="D250" s="102"/>
      <c r="E250" s="103">
        <f>E249-D249</f>
        <v>-13.712050000000005</v>
      </c>
      <c r="F250" s="103">
        <f t="shared" ref="F250" si="52">F249-E249</f>
        <v>1.0956300000000141</v>
      </c>
      <c r="G250" s="103">
        <f t="shared" ref="G250" si="53">G249-F249</f>
        <v>2.6919900000000041</v>
      </c>
      <c r="H250" s="103">
        <f t="shared" ref="H250" si="54">H249-G249</f>
        <v>-13.711090000000013</v>
      </c>
      <c r="I250" s="103">
        <f t="shared" ref="I250" si="55">I249-H249</f>
        <v>12.357430000000008</v>
      </c>
      <c r="J250" s="103">
        <f t="shared" ref="J250" si="56">J249-I249</f>
        <v>5.2985768599999972</v>
      </c>
    </row>
    <row r="251" spans="1:13" s="140" customFormat="1">
      <c r="A251" s="141"/>
      <c r="B251" s="143"/>
      <c r="C251" s="143"/>
      <c r="D251" s="143"/>
      <c r="E251" s="143"/>
      <c r="F251" s="143"/>
      <c r="G251" s="143"/>
      <c r="H251" s="143"/>
    </row>
    <row r="252" spans="1:13" s="140" customFormat="1" ht="56.25" customHeight="1">
      <c r="A252" s="141"/>
      <c r="B252" s="186" t="s">
        <v>185</v>
      </c>
      <c r="C252" s="186"/>
      <c r="D252" s="186"/>
      <c r="E252" s="186"/>
      <c r="F252" s="186"/>
      <c r="G252" s="186"/>
      <c r="H252" s="186"/>
      <c r="I252" s="186"/>
      <c r="J252" s="186"/>
      <c r="K252" s="186"/>
    </row>
    <row r="253" spans="1:13">
      <c r="B253" s="175" t="s">
        <v>220</v>
      </c>
      <c r="C253" s="175"/>
      <c r="D253" s="175"/>
      <c r="E253" s="175"/>
      <c r="F253" s="175"/>
      <c r="G253" s="175"/>
      <c r="H253" s="175"/>
      <c r="I253" s="175"/>
      <c r="J253" s="175"/>
      <c r="K253" s="175"/>
    </row>
    <row r="254" spans="1:13">
      <c r="B254" s="63"/>
      <c r="C254" s="63"/>
      <c r="D254" s="63"/>
      <c r="E254" s="63"/>
      <c r="F254" s="63"/>
      <c r="G254" s="63"/>
      <c r="H254" s="63"/>
    </row>
    <row r="255" spans="1:13" ht="15.75">
      <c r="A255" s="116" t="s">
        <v>86</v>
      </c>
      <c r="B255" s="106" t="s">
        <v>28</v>
      </c>
    </row>
    <row r="256" spans="1:13" ht="15" customHeight="1">
      <c r="E256" s="1"/>
      <c r="L256" s="170" t="s">
        <v>201</v>
      </c>
      <c r="M256" s="170"/>
    </row>
    <row r="257" spans="1:13">
      <c r="D257" s="5" t="s">
        <v>3</v>
      </c>
      <c r="E257" s="5" t="s">
        <v>4</v>
      </c>
      <c r="F257" s="5" t="s">
        <v>5</v>
      </c>
      <c r="G257" s="5" t="s">
        <v>6</v>
      </c>
      <c r="H257" s="6" t="s">
        <v>7</v>
      </c>
      <c r="I257" s="5" t="s">
        <v>8</v>
      </c>
      <c r="J257" s="6" t="s">
        <v>9</v>
      </c>
      <c r="L257" s="171"/>
      <c r="M257" s="171"/>
    </row>
    <row r="258" spans="1:13">
      <c r="B258" t="s">
        <v>99</v>
      </c>
      <c r="D258" s="125">
        <f>7890/1000</f>
        <v>7.89</v>
      </c>
      <c r="E258" s="125">
        <f>12664/1000</f>
        <v>12.664</v>
      </c>
      <c r="F258" s="125">
        <f>9549/1000</f>
        <v>9.5489999999999995</v>
      </c>
      <c r="G258" s="125">
        <f>13657/1000</f>
        <v>13.657</v>
      </c>
      <c r="H258" s="125">
        <f>10554/1000</f>
        <v>10.554</v>
      </c>
      <c r="I258" s="125">
        <f>13947/1000</f>
        <v>13.946999999999999</v>
      </c>
      <c r="J258" s="125">
        <f>27247/1000</f>
        <v>27.247</v>
      </c>
      <c r="L258" s="169">
        <f t="shared" ref="L258:L264" si="57">+D258*1.0419^6</f>
        <v>10.093301151524592</v>
      </c>
      <c r="M258" s="169"/>
    </row>
    <row r="259" spans="1:13">
      <c r="B259" t="s">
        <v>121</v>
      </c>
      <c r="D259" s="124">
        <f>22209/1000</f>
        <v>22.209</v>
      </c>
      <c r="E259" s="124">
        <f>22137/1000</f>
        <v>22.137</v>
      </c>
      <c r="F259" s="124">
        <f>22415/1000</f>
        <v>22.414999999999999</v>
      </c>
      <c r="G259" s="124">
        <f>27025/1000</f>
        <v>27.024999999999999</v>
      </c>
      <c r="H259" s="124">
        <f>19264/1000</f>
        <v>19.263999999999999</v>
      </c>
      <c r="I259" s="124">
        <f>21863/1000</f>
        <v>21.863</v>
      </c>
      <c r="J259" s="124">
        <f>34603/1000</f>
        <v>34.603000000000002</v>
      </c>
      <c r="L259" s="168">
        <f t="shared" si="57"/>
        <v>28.4109157508504</v>
      </c>
      <c r="M259" s="168"/>
    </row>
    <row r="260" spans="1:13">
      <c r="B260" t="s">
        <v>103</v>
      </c>
      <c r="D260" s="124">
        <f>2254/1000</f>
        <v>2.254</v>
      </c>
      <c r="E260" s="124">
        <f>4667/1000</f>
        <v>4.6669999999999998</v>
      </c>
      <c r="F260" s="124">
        <f>3211/1000</f>
        <v>3.2109999999999999</v>
      </c>
      <c r="G260" s="124">
        <f>7586/1000</f>
        <v>7.5860000000000003</v>
      </c>
      <c r="H260" s="124">
        <f>5828/1000</f>
        <v>5.8280000000000003</v>
      </c>
      <c r="I260" s="124">
        <f>11599/1000</f>
        <v>11.599</v>
      </c>
      <c r="J260" s="124">
        <f>8432/1000</f>
        <v>8.4320000000000004</v>
      </c>
      <c r="L260" s="168">
        <f t="shared" si="57"/>
        <v>2.8834348283316134</v>
      </c>
      <c r="M260" s="168"/>
    </row>
    <row r="261" spans="1:13">
      <c r="B261" t="s">
        <v>104</v>
      </c>
      <c r="D261" s="124">
        <f>38634/1000</f>
        <v>38.634</v>
      </c>
      <c r="E261" s="124">
        <f>24812/1000</f>
        <v>24.812000000000001</v>
      </c>
      <c r="F261" s="124">
        <f>21827/1000</f>
        <v>21.827000000000002</v>
      </c>
      <c r="G261" s="124">
        <f>22272/1000</f>
        <v>22.271999999999998</v>
      </c>
      <c r="H261" s="124">
        <f>25938/1000</f>
        <v>25.937999999999999</v>
      </c>
      <c r="I261" s="124">
        <f>19765/1000</f>
        <v>19.765000000000001</v>
      </c>
      <c r="J261" s="124">
        <f>20093/1000</f>
        <v>20.093</v>
      </c>
      <c r="L261" s="168">
        <f t="shared" si="57"/>
        <v>49.42263582864399</v>
      </c>
      <c r="M261" s="168"/>
    </row>
    <row r="262" spans="1:13">
      <c r="B262" t="s">
        <v>101</v>
      </c>
      <c r="D262" s="124">
        <f>15336/1000</f>
        <v>15.336</v>
      </c>
      <c r="E262" s="124">
        <f>20798/1000</f>
        <v>20.797999999999998</v>
      </c>
      <c r="F262" s="124">
        <f>13951/1000</f>
        <v>13.951000000000001</v>
      </c>
      <c r="G262" s="124">
        <f>16916/1000</f>
        <v>16.916</v>
      </c>
      <c r="H262" s="124">
        <f>12762/1000</f>
        <v>12.762</v>
      </c>
      <c r="I262" s="124">
        <f>12505/1000</f>
        <v>12.505000000000001</v>
      </c>
      <c r="J262" s="124">
        <f>14219/1000</f>
        <v>14.218999999999999</v>
      </c>
      <c r="L262" s="168">
        <f t="shared" si="57"/>
        <v>19.618614253457686</v>
      </c>
      <c r="M262" s="168"/>
    </row>
    <row r="263" spans="1:13">
      <c r="B263" t="s">
        <v>122</v>
      </c>
      <c r="D263" s="124">
        <f>7306/1000</f>
        <v>7.306</v>
      </c>
      <c r="E263" s="124">
        <f>4355/1000</f>
        <v>4.3550000000000004</v>
      </c>
      <c r="F263" s="124">
        <f>3612/1000</f>
        <v>3.6120000000000001</v>
      </c>
      <c r="G263" s="124">
        <f>1304/1000</f>
        <v>1.304</v>
      </c>
      <c r="H263" s="124">
        <f>4138/1000</f>
        <v>4.1379999999999999</v>
      </c>
      <c r="I263" s="124">
        <f>12567/1000</f>
        <v>12.567</v>
      </c>
      <c r="J263" s="124">
        <f>12896/1000</f>
        <v>12.896000000000001</v>
      </c>
      <c r="L263" s="172">
        <f t="shared" si="57"/>
        <v>9.3462177709808199</v>
      </c>
      <c r="M263" s="172"/>
    </row>
    <row r="264" spans="1:13">
      <c r="B264" t="s">
        <v>116</v>
      </c>
      <c r="D264" s="125">
        <f t="shared" ref="D264:J264" si="58">SUM(D258:D263)</f>
        <v>93.628999999999991</v>
      </c>
      <c r="E264" s="129">
        <f t="shared" si="58"/>
        <v>89.433000000000007</v>
      </c>
      <c r="F264" s="125">
        <f t="shared" si="58"/>
        <v>74.564999999999998</v>
      </c>
      <c r="G264" s="125">
        <f t="shared" si="58"/>
        <v>88.759999999999991</v>
      </c>
      <c r="H264" s="129">
        <f t="shared" si="58"/>
        <v>78.484000000000009</v>
      </c>
      <c r="I264" s="125">
        <f t="shared" si="58"/>
        <v>92.246000000000009</v>
      </c>
      <c r="J264" s="125">
        <f t="shared" si="58"/>
        <v>117.49</v>
      </c>
      <c r="L264" s="169">
        <f t="shared" si="57"/>
        <v>119.77511958378909</v>
      </c>
      <c r="M264" s="169"/>
    </row>
    <row r="265" spans="1:13" s="140" customFormat="1">
      <c r="A265" s="141"/>
      <c r="C265" s="95" t="s">
        <v>155</v>
      </c>
      <c r="D265" s="102"/>
      <c r="E265" s="103">
        <f>E264-D264</f>
        <v>-4.1959999999999837</v>
      </c>
      <c r="F265" s="103">
        <f>F264-E264</f>
        <v>-14.868000000000009</v>
      </c>
      <c r="G265" s="103">
        <f t="shared" ref="G265" si="59">G264-F264</f>
        <v>14.194999999999993</v>
      </c>
      <c r="H265" s="103">
        <f t="shared" ref="H265" si="60">H264-G264</f>
        <v>-10.275999999999982</v>
      </c>
      <c r="I265" s="103">
        <f t="shared" ref="I265" si="61">I264-H264</f>
        <v>13.762</v>
      </c>
      <c r="J265" s="103">
        <f>J264-I264</f>
        <v>25.243999999999986</v>
      </c>
    </row>
    <row r="266" spans="1:13">
      <c r="D266" s="126"/>
      <c r="E266" s="119"/>
      <c r="F266" s="126"/>
      <c r="G266" s="126"/>
      <c r="H266" s="119"/>
      <c r="I266" s="126"/>
      <c r="J266" s="126"/>
    </row>
    <row r="267" spans="1:13">
      <c r="B267" t="s">
        <v>253</v>
      </c>
    </row>
    <row r="268" spans="1:13">
      <c r="B268" t="s">
        <v>123</v>
      </c>
    </row>
    <row r="269" spans="1:13">
      <c r="B269" t="s">
        <v>124</v>
      </c>
    </row>
    <row r="270" spans="1:13">
      <c r="B270" t="s">
        <v>125</v>
      </c>
    </row>
    <row r="271" spans="1:13">
      <c r="B271" t="s">
        <v>126</v>
      </c>
    </row>
    <row r="272" spans="1:13">
      <c r="B272" t="s">
        <v>221</v>
      </c>
    </row>
    <row r="273" spans="1:13">
      <c r="B273" t="s">
        <v>222</v>
      </c>
    </row>
    <row r="274" spans="1:13">
      <c r="B274" t="s">
        <v>223</v>
      </c>
    </row>
    <row r="275" spans="1:13">
      <c r="B275" t="s">
        <v>224</v>
      </c>
    </row>
    <row r="276" spans="1:13" s="78" customFormat="1">
      <c r="A276" s="13"/>
    </row>
    <row r="277" spans="1:13">
      <c r="B277" s="63"/>
      <c r="C277" s="63"/>
      <c r="D277" s="63"/>
      <c r="E277" s="63"/>
      <c r="F277" s="63"/>
      <c r="G277" s="63"/>
      <c r="H277" s="63"/>
    </row>
    <row r="278" spans="1:13" ht="15.75" customHeight="1">
      <c r="A278" s="116" t="s">
        <v>87</v>
      </c>
      <c r="B278" s="106" t="s">
        <v>29</v>
      </c>
      <c r="C278" s="74"/>
      <c r="D278" s="74"/>
      <c r="E278" s="74"/>
      <c r="F278" s="74"/>
      <c r="G278" s="74"/>
      <c r="H278" s="74"/>
      <c r="L278" s="170" t="s">
        <v>201</v>
      </c>
      <c r="M278" s="170"/>
    </row>
    <row r="279" spans="1:13">
      <c r="B279" s="74"/>
      <c r="D279" s="5" t="s">
        <v>3</v>
      </c>
      <c r="E279" s="5" t="s">
        <v>4</v>
      </c>
      <c r="F279" s="5" t="s">
        <v>5</v>
      </c>
      <c r="G279" s="5" t="s">
        <v>6</v>
      </c>
      <c r="H279" s="6" t="s">
        <v>7</v>
      </c>
      <c r="I279" s="5" t="s">
        <v>8</v>
      </c>
      <c r="J279" s="6" t="s">
        <v>9</v>
      </c>
      <c r="L279" s="171"/>
      <c r="M279" s="171"/>
    </row>
    <row r="280" spans="1:13">
      <c r="B280" t="s">
        <v>104</v>
      </c>
      <c r="D280" s="129">
        <f>29375.9/1000</f>
        <v>29.375900000000001</v>
      </c>
      <c r="E280" s="129">
        <f>29256/1000</f>
        <v>29.256</v>
      </c>
      <c r="F280" s="129">
        <f>24864.06/1000</f>
        <v>24.864060000000002</v>
      </c>
      <c r="G280" s="129">
        <f>23199.3/1000</f>
        <v>23.199300000000001</v>
      </c>
      <c r="H280" s="129">
        <f>10682.26/1000</f>
        <v>10.682259999999999</v>
      </c>
      <c r="I280" s="129">
        <f>4430/1000</f>
        <v>4.43</v>
      </c>
      <c r="J280" s="129">
        <f>3132/1000</f>
        <v>3.1320000000000001</v>
      </c>
      <c r="L280" s="169">
        <f>+D280*1.0419^6</f>
        <v>37.579189518006501</v>
      </c>
      <c r="M280" s="169"/>
    </row>
    <row r="281" spans="1:13" s="78" customFormat="1">
      <c r="A281" s="13"/>
      <c r="C281" s="79"/>
      <c r="D281" s="128"/>
      <c r="E281" s="128"/>
      <c r="F281" s="128"/>
      <c r="G281" s="128"/>
      <c r="H281" s="128"/>
      <c r="I281" s="128"/>
      <c r="J281" s="127"/>
    </row>
    <row r="282" spans="1:13">
      <c r="B282" s="74"/>
      <c r="C282" s="74"/>
      <c r="D282" s="74"/>
      <c r="E282" s="74"/>
      <c r="F282" s="74"/>
      <c r="G282" s="74"/>
      <c r="H282" s="74"/>
    </row>
    <row r="283" spans="1:13">
      <c r="B283" s="77" t="s">
        <v>139</v>
      </c>
      <c r="C283" s="78"/>
      <c r="D283" s="71">
        <v>2010</v>
      </c>
      <c r="E283" s="71">
        <v>2011</v>
      </c>
      <c r="F283" s="71">
        <v>2012</v>
      </c>
      <c r="G283" s="71">
        <v>2013</v>
      </c>
      <c r="H283" s="71">
        <v>2014</v>
      </c>
      <c r="I283" s="71">
        <v>2015</v>
      </c>
      <c r="J283" s="71">
        <v>2016</v>
      </c>
    </row>
    <row r="284" spans="1:13">
      <c r="B284" s="78"/>
      <c r="C284" s="71" t="s">
        <v>140</v>
      </c>
      <c r="D284" s="78"/>
      <c r="E284" s="78"/>
      <c r="F284" s="78"/>
      <c r="G284" s="78"/>
      <c r="H284" s="78"/>
      <c r="I284" s="78"/>
      <c r="J284" s="78"/>
    </row>
    <row r="285" spans="1:13">
      <c r="B285" s="112">
        <v>2004</v>
      </c>
      <c r="C285" s="111">
        <f>15911.18/1000</f>
        <v>15.91118</v>
      </c>
      <c r="D285" s="111">
        <f>3182.2/1000</f>
        <v>3.1821999999999999</v>
      </c>
      <c r="E285" s="111"/>
      <c r="F285" s="111"/>
      <c r="G285" s="111"/>
      <c r="H285" s="111"/>
      <c r="I285" s="111"/>
      <c r="J285" s="111"/>
    </row>
    <row r="286" spans="1:13">
      <c r="B286" s="112">
        <v>2005</v>
      </c>
      <c r="C286" s="111">
        <f>22284.2/1000</f>
        <v>22.284200000000002</v>
      </c>
      <c r="D286" s="111">
        <f>4456.84/1000</f>
        <v>4.4568400000000006</v>
      </c>
      <c r="E286" s="111">
        <f>4456.84/1000</f>
        <v>4.4568400000000006</v>
      </c>
      <c r="F286" s="111"/>
      <c r="G286" s="111"/>
      <c r="H286" s="111"/>
      <c r="I286" s="111"/>
      <c r="J286" s="111"/>
    </row>
    <row r="287" spans="1:13">
      <c r="B287" s="112">
        <v>2006</v>
      </c>
      <c r="C287" s="111">
        <f>22703.58/1000</f>
        <v>22.703580000000002</v>
      </c>
      <c r="D287" s="111">
        <f>4540.716/1000</f>
        <v>4.5407160000000006</v>
      </c>
      <c r="E287" s="111">
        <f>4540.716/1000</f>
        <v>4.5407160000000006</v>
      </c>
      <c r="F287" s="111">
        <f>4540.716/1000</f>
        <v>4.5407160000000006</v>
      </c>
      <c r="G287" s="111"/>
      <c r="H287" s="111"/>
      <c r="I287" s="111"/>
      <c r="J287" s="111"/>
    </row>
    <row r="288" spans="1:13">
      <c r="B288" s="112">
        <v>2007</v>
      </c>
      <c r="C288" s="111">
        <f>69926.44/1000</f>
        <v>69.926439999999999</v>
      </c>
      <c r="D288" s="111">
        <f>13985.288/1000</f>
        <v>13.985288000000001</v>
      </c>
      <c r="E288" s="111">
        <f>13985.288/1000</f>
        <v>13.985288000000001</v>
      </c>
      <c r="F288" s="111">
        <f>13985.288/1000</f>
        <v>13.985288000000001</v>
      </c>
      <c r="G288" s="111">
        <f>13960.9/1000</f>
        <v>13.960899999999999</v>
      </c>
      <c r="H288" s="111"/>
      <c r="I288" s="111"/>
      <c r="J288" s="111"/>
    </row>
    <row r="289" spans="1:13">
      <c r="B289" s="112">
        <v>2008</v>
      </c>
      <c r="C289" s="111">
        <f>15950.26/1000</f>
        <v>15.95026</v>
      </c>
      <c r="D289" s="111">
        <f>3190.052/1000</f>
        <v>3.1900520000000001</v>
      </c>
      <c r="E289" s="111">
        <f>3190.052/1000</f>
        <v>3.1900520000000001</v>
      </c>
      <c r="F289" s="111">
        <f>3190.052/1000</f>
        <v>3.1900520000000001</v>
      </c>
      <c r="G289" s="111">
        <f>3191.88/1000</f>
        <v>3.1918800000000003</v>
      </c>
      <c r="H289" s="111">
        <f>3186/1000</f>
        <v>3.1859999999999999</v>
      </c>
      <c r="I289" s="111"/>
      <c r="J289" s="111"/>
    </row>
    <row r="290" spans="1:13">
      <c r="B290" s="113">
        <v>2009</v>
      </c>
      <c r="C290" s="111">
        <f>3079/1000</f>
        <v>3.0790000000000002</v>
      </c>
      <c r="D290" s="111"/>
      <c r="E290" s="111">
        <f>3079/1000</f>
        <v>3.0790000000000002</v>
      </c>
      <c r="F290" s="111"/>
      <c r="G290" s="111"/>
      <c r="H290" s="111"/>
      <c r="I290" s="111"/>
      <c r="J290" s="111"/>
    </row>
    <row r="291" spans="1:13">
      <c r="B291" s="112">
        <v>2010</v>
      </c>
      <c r="C291" s="111">
        <f>15699.26/1000</f>
        <v>15.699260000000001</v>
      </c>
      <c r="D291" s="111"/>
      <c r="E291" s="111"/>
      <c r="F291" s="111">
        <f>3140/1000</f>
        <v>3.14</v>
      </c>
      <c r="G291" s="111">
        <f>3141.72/1000</f>
        <v>3.1417199999999998</v>
      </c>
      <c r="H291" s="111">
        <f>3141.72/1000</f>
        <v>3.1417199999999998</v>
      </c>
      <c r="I291" s="111">
        <f>3140/1000</f>
        <v>3.14</v>
      </c>
      <c r="J291" s="111">
        <f>3136/1000</f>
        <v>3.1360000000000001</v>
      </c>
    </row>
    <row r="292" spans="1:13">
      <c r="B292" s="112">
        <v>2011</v>
      </c>
      <c r="C292" s="111">
        <f>2905/1000</f>
        <v>2.9049999999999998</v>
      </c>
      <c r="D292" s="111"/>
      <c r="E292" s="111"/>
      <c r="F292" s="111"/>
      <c r="G292" s="111">
        <f>2905/1000</f>
        <v>2.9049999999999998</v>
      </c>
      <c r="H292" s="111"/>
      <c r="I292" s="111"/>
      <c r="J292" s="111"/>
    </row>
    <row r="293" spans="1:13">
      <c r="B293" s="112">
        <v>2012</v>
      </c>
      <c r="C293" s="111">
        <f>4354/1000</f>
        <v>4.3540000000000001</v>
      </c>
      <c r="D293" s="111"/>
      <c r="E293" s="111"/>
      <c r="F293" s="111"/>
      <c r="G293" s="111"/>
      <c r="H293" s="111">
        <f>4354/1000</f>
        <v>4.3540000000000001</v>
      </c>
      <c r="I293" s="111"/>
      <c r="J293" s="111"/>
    </row>
    <row r="294" spans="1:13">
      <c r="B294" s="112">
        <v>2013</v>
      </c>
      <c r="C294" s="111">
        <f>1286/1000</f>
        <v>1.286</v>
      </c>
      <c r="D294" s="111"/>
      <c r="E294" s="111"/>
      <c r="F294" s="111"/>
      <c r="G294" s="111"/>
      <c r="H294" s="111"/>
      <c r="I294" s="111">
        <f>1286/1000</f>
        <v>1.286</v>
      </c>
      <c r="J294" s="111"/>
    </row>
    <row r="295" spans="1:13">
      <c r="B295" s="76"/>
      <c r="C295" s="111"/>
      <c r="D295" s="111"/>
      <c r="E295" s="111"/>
      <c r="F295" s="111"/>
      <c r="G295" s="111"/>
      <c r="H295" s="111"/>
      <c r="I295" s="111"/>
      <c r="J295" s="111"/>
    </row>
    <row r="296" spans="1:13">
      <c r="B296" s="76"/>
      <c r="C296" s="114">
        <f>SUM(C285:C294)</f>
        <v>174.09892000000005</v>
      </c>
      <c r="D296" s="114">
        <f>SUM(D285:D295)</f>
        <v>29.355096000000003</v>
      </c>
      <c r="E296" s="114">
        <f>SUM(E285:E295)</f>
        <v>29.251896000000002</v>
      </c>
      <c r="F296" s="114">
        <f>SUM(F285:F295)</f>
        <v>24.856056000000002</v>
      </c>
      <c r="G296" s="114">
        <f>SUM(G285:G295)</f>
        <v>23.1995</v>
      </c>
      <c r="H296" s="114">
        <f t="shared" ref="H296:J296" si="62">SUM(H285:H295)</f>
        <v>10.681719999999999</v>
      </c>
      <c r="I296" s="114">
        <f t="shared" si="62"/>
        <v>4.4260000000000002</v>
      </c>
      <c r="J296" s="114">
        <f t="shared" si="62"/>
        <v>3.1360000000000001</v>
      </c>
    </row>
    <row r="297" spans="1:13">
      <c r="B297" s="74"/>
      <c r="C297" s="74"/>
      <c r="D297" s="74"/>
      <c r="E297" s="74"/>
      <c r="F297" s="74"/>
      <c r="G297" s="74"/>
      <c r="H297" s="74"/>
    </row>
    <row r="298" spans="1:13" ht="15" customHeight="1">
      <c r="B298" s="187" t="s">
        <v>141</v>
      </c>
      <c r="C298" s="187"/>
      <c r="D298" s="187"/>
      <c r="E298" s="187"/>
      <c r="F298" s="187"/>
      <c r="G298" s="187"/>
      <c r="H298" s="187"/>
      <c r="I298" s="187"/>
      <c r="J298" s="187"/>
      <c r="K298" s="187"/>
    </row>
    <row r="299" spans="1:13">
      <c r="B299" s="187"/>
      <c r="C299" s="187"/>
      <c r="D299" s="187"/>
      <c r="E299" s="187"/>
      <c r="F299" s="187"/>
      <c r="G299" s="187"/>
      <c r="H299" s="187"/>
      <c r="I299" s="187"/>
      <c r="J299" s="187"/>
      <c r="K299" s="187"/>
    </row>
    <row r="300" spans="1:13">
      <c r="B300" s="187"/>
      <c r="C300" s="187"/>
      <c r="D300" s="187"/>
      <c r="E300" s="187"/>
      <c r="F300" s="187"/>
      <c r="G300" s="187"/>
      <c r="H300" s="187"/>
      <c r="I300" s="187"/>
      <c r="J300" s="187"/>
      <c r="K300" s="187"/>
    </row>
    <row r="301" spans="1:13" s="78" customFormat="1">
      <c r="A301" s="13"/>
      <c r="B301" s="83"/>
      <c r="C301" s="83"/>
      <c r="D301" s="83"/>
      <c r="E301" s="83"/>
      <c r="F301" s="83"/>
      <c r="G301" s="83"/>
      <c r="H301" s="83"/>
      <c r="I301" s="83"/>
      <c r="J301" s="83"/>
      <c r="K301" s="83"/>
    </row>
    <row r="302" spans="1:13">
      <c r="B302" s="63"/>
      <c r="C302" s="63"/>
      <c r="D302" s="63"/>
      <c r="E302" s="63"/>
      <c r="F302" s="63"/>
      <c r="G302" s="63"/>
      <c r="H302" s="63"/>
    </row>
    <row r="303" spans="1:13" ht="15.75" customHeight="1">
      <c r="A303" s="116" t="s">
        <v>88</v>
      </c>
      <c r="B303" s="106" t="s">
        <v>30</v>
      </c>
      <c r="L303" s="170" t="s">
        <v>201</v>
      </c>
      <c r="M303" s="170"/>
    </row>
    <row r="304" spans="1:13" s="78" customFormat="1">
      <c r="A304" s="13"/>
      <c r="B304" s="7"/>
      <c r="C304" s="7"/>
      <c r="D304" s="5" t="s">
        <v>3</v>
      </c>
      <c r="E304" s="5" t="s">
        <v>4</v>
      </c>
      <c r="F304" s="5" t="s">
        <v>5</v>
      </c>
      <c r="G304" s="5" t="s">
        <v>6</v>
      </c>
      <c r="H304" s="6" t="s">
        <v>7</v>
      </c>
      <c r="I304" s="5" t="s">
        <v>8</v>
      </c>
      <c r="J304" s="6" t="s">
        <v>9</v>
      </c>
      <c r="L304" s="171"/>
      <c r="M304" s="171"/>
    </row>
    <row r="305" spans="1:13" s="78" customFormat="1">
      <c r="A305" s="13"/>
      <c r="B305" s="7" t="s">
        <v>30</v>
      </c>
      <c r="C305" s="7"/>
      <c r="D305" s="104">
        <v>92.800399999999996</v>
      </c>
      <c r="E305" s="104">
        <v>156.29213000000001</v>
      </c>
      <c r="F305" s="104">
        <v>200.94401999999999</v>
      </c>
      <c r="G305" s="104">
        <v>300.37466999999998</v>
      </c>
      <c r="H305" s="104">
        <v>260.10851000000002</v>
      </c>
      <c r="I305" s="104">
        <v>281.23575</v>
      </c>
      <c r="J305" s="104">
        <v>258.28800000000001</v>
      </c>
      <c r="L305" s="169">
        <f>+D305*1.0419^6</f>
        <v>118.71513107502443</v>
      </c>
      <c r="M305" s="169"/>
    </row>
    <row r="306" spans="1:13" s="78" customFormat="1">
      <c r="A306" s="13"/>
      <c r="B306" s="7"/>
      <c r="C306" s="95" t="s">
        <v>155</v>
      </c>
      <c r="D306" s="102"/>
      <c r="E306" s="103">
        <f>E305-D305</f>
        <v>63.491730000000018</v>
      </c>
      <c r="F306" s="103">
        <f t="shared" ref="F306" si="63">F305-E305</f>
        <v>44.65188999999998</v>
      </c>
      <c r="G306" s="103">
        <f t="shared" ref="G306" si="64">G305-F305</f>
        <v>99.430649999999986</v>
      </c>
      <c r="H306" s="103">
        <f t="shared" ref="H306" si="65">H305-G305</f>
        <v>-40.266159999999957</v>
      </c>
      <c r="I306" s="103">
        <f t="shared" ref="I306" si="66">I305-H305</f>
        <v>21.127239999999972</v>
      </c>
      <c r="J306" s="103">
        <f t="shared" ref="J306" si="67">J305-I305</f>
        <v>-22.947749999999985</v>
      </c>
      <c r="K306" s="190"/>
      <c r="L306" s="190"/>
    </row>
    <row r="307" spans="1:13" s="78" customFormat="1">
      <c r="A307" s="13"/>
      <c r="B307" s="7"/>
      <c r="C307" s="7"/>
      <c r="D307" s="11"/>
      <c r="E307" s="11"/>
      <c r="F307" s="11"/>
      <c r="G307" s="11"/>
      <c r="H307" s="11"/>
      <c r="I307" s="11"/>
      <c r="J307" s="11"/>
    </row>
    <row r="308" spans="1:13" s="78" customFormat="1" ht="59.25" customHeight="1">
      <c r="A308" s="13"/>
      <c r="B308" s="173" t="s">
        <v>254</v>
      </c>
      <c r="C308" s="173"/>
      <c r="D308" s="173"/>
      <c r="E308" s="173"/>
      <c r="F308" s="173"/>
      <c r="G308" s="173"/>
      <c r="H308" s="173"/>
      <c r="I308" s="173"/>
      <c r="J308" s="173"/>
    </row>
    <row r="309" spans="1:13" s="140" customFormat="1">
      <c r="A309" s="141"/>
    </row>
    <row r="310" spans="1:13" s="78" customFormat="1">
      <c r="A310" s="13"/>
    </row>
    <row r="311" spans="1:13" s="78" customFormat="1" ht="15.75" customHeight="1">
      <c r="A311" s="116" t="s">
        <v>90</v>
      </c>
      <c r="B311" s="106" t="s">
        <v>171</v>
      </c>
    </row>
    <row r="312" spans="1:13" s="78" customFormat="1" ht="15" customHeight="1">
      <c r="A312" s="13"/>
      <c r="D312" s="5" t="s">
        <v>3</v>
      </c>
      <c r="E312" s="5" t="s">
        <v>4</v>
      </c>
      <c r="F312" s="5" t="s">
        <v>5</v>
      </c>
      <c r="G312" s="5" t="s">
        <v>6</v>
      </c>
      <c r="H312" s="6" t="s">
        <v>7</v>
      </c>
      <c r="I312" s="5" t="s">
        <v>8</v>
      </c>
      <c r="J312" s="6" t="s">
        <v>9</v>
      </c>
      <c r="L312" s="170" t="s">
        <v>201</v>
      </c>
      <c r="M312" s="170"/>
    </row>
    <row r="313" spans="1:13" s="78" customFormat="1" ht="15.75" customHeight="1">
      <c r="A313" s="13"/>
      <c r="B313" s="185" t="s">
        <v>171</v>
      </c>
      <c r="C313" s="185"/>
      <c r="L313" s="171"/>
      <c r="M313" s="171"/>
    </row>
    <row r="314" spans="1:13" s="78" customFormat="1">
      <c r="A314" s="13"/>
      <c r="B314" s="185"/>
      <c r="C314" s="185"/>
      <c r="D314" s="104">
        <v>866.40846000000022</v>
      </c>
      <c r="E314" s="104">
        <v>954.82934000000012</v>
      </c>
      <c r="F314" s="104">
        <v>813.75943999999947</v>
      </c>
      <c r="G314" s="104">
        <v>1174.62104</v>
      </c>
      <c r="H314" s="104">
        <v>1265.2904700000001</v>
      </c>
      <c r="I314" s="104">
        <v>1594.4459791000002</v>
      </c>
      <c r="J314" s="104">
        <v>1655.1898199999998</v>
      </c>
      <c r="L314" s="169">
        <f>+D314*1.0419^6</f>
        <v>1108.3550705967871</v>
      </c>
      <c r="M314" s="169"/>
    </row>
    <row r="315" spans="1:13" s="78" customFormat="1">
      <c r="A315" s="13"/>
      <c r="C315" s="95" t="s">
        <v>155</v>
      </c>
      <c r="D315" s="102"/>
      <c r="E315" s="103">
        <f>E314-D314</f>
        <v>88.420879999999897</v>
      </c>
      <c r="F315" s="103">
        <f t="shared" ref="F315" si="68">F314-E314</f>
        <v>-141.06990000000064</v>
      </c>
      <c r="G315" s="103">
        <f t="shared" ref="G315" si="69">G314-F314</f>
        <v>360.86160000000052</v>
      </c>
      <c r="H315" s="103">
        <f t="shared" ref="H315" si="70">H314-G314</f>
        <v>90.669430000000148</v>
      </c>
      <c r="I315" s="103">
        <f t="shared" ref="I315" si="71">I314-H314</f>
        <v>329.15550910000002</v>
      </c>
      <c r="J315" s="103">
        <f t="shared" ref="J315" si="72">J314-I314</f>
        <v>60.743840899999668</v>
      </c>
    </row>
    <row r="316" spans="1:13" s="78" customFormat="1">
      <c r="A316" s="13"/>
    </row>
    <row r="317" spans="1:13" s="78" customFormat="1" ht="44.25" customHeight="1">
      <c r="A317" s="13"/>
      <c r="B317" s="180" t="s">
        <v>255</v>
      </c>
      <c r="C317" s="180"/>
      <c r="D317" s="180"/>
      <c r="E317" s="180"/>
      <c r="F317" s="180"/>
      <c r="G317" s="180"/>
      <c r="H317" s="180"/>
      <c r="I317" s="180"/>
      <c r="J317" s="180"/>
    </row>
    <row r="318" spans="1:13" s="78" customFormat="1" ht="76.5" customHeight="1">
      <c r="A318" s="13"/>
      <c r="B318" s="180" t="s">
        <v>172</v>
      </c>
      <c r="C318" s="180"/>
      <c r="D318" s="180"/>
      <c r="E318" s="180"/>
      <c r="F318" s="180"/>
      <c r="G318" s="180"/>
      <c r="H318" s="180"/>
      <c r="I318" s="180"/>
      <c r="J318" s="180"/>
    </row>
    <row r="319" spans="1:13" s="78" customFormat="1" ht="74.25" customHeight="1">
      <c r="A319" s="13"/>
      <c r="B319" s="180" t="s">
        <v>177</v>
      </c>
      <c r="C319" s="180"/>
      <c r="D319" s="180"/>
      <c r="E319" s="180"/>
      <c r="F319" s="180"/>
      <c r="G319" s="180"/>
      <c r="H319" s="180"/>
      <c r="I319" s="180"/>
      <c r="J319" s="180"/>
    </row>
    <row r="320" spans="1:13" s="78" customFormat="1" ht="30.75" customHeight="1">
      <c r="A320" s="13"/>
      <c r="B320" s="180" t="s">
        <v>225</v>
      </c>
      <c r="C320" s="180"/>
      <c r="D320" s="180"/>
      <c r="E320" s="180"/>
      <c r="F320" s="180"/>
      <c r="G320" s="180"/>
      <c r="H320" s="180"/>
      <c r="I320" s="180"/>
      <c r="J320" s="180"/>
    </row>
    <row r="321" spans="1:13" s="140" customFormat="1" ht="32.25" customHeight="1">
      <c r="A321" s="141"/>
      <c r="B321" s="175" t="s">
        <v>256</v>
      </c>
      <c r="C321" s="175"/>
      <c r="D321" s="175"/>
      <c r="E321" s="175"/>
      <c r="F321" s="175"/>
      <c r="G321" s="175"/>
      <c r="H321" s="175"/>
      <c r="I321" s="175"/>
      <c r="J321" s="175"/>
    </row>
    <row r="322" spans="1:13" s="78" customFormat="1">
      <c r="A322" s="13"/>
    </row>
    <row r="323" spans="1:13" s="78" customFormat="1">
      <c r="A323" s="13"/>
    </row>
    <row r="324" spans="1:13" ht="15.75" customHeight="1">
      <c r="A324" s="116" t="s">
        <v>92</v>
      </c>
      <c r="B324" s="106" t="s">
        <v>33</v>
      </c>
      <c r="L324" s="170" t="s">
        <v>201</v>
      </c>
      <c r="M324" s="170"/>
    </row>
    <row r="325" spans="1:13">
      <c r="D325" s="5" t="s">
        <v>3</v>
      </c>
      <c r="E325" s="5" t="s">
        <v>4</v>
      </c>
      <c r="F325" s="5" t="s">
        <v>5</v>
      </c>
      <c r="G325" s="5" t="s">
        <v>6</v>
      </c>
      <c r="H325" s="6" t="s">
        <v>7</v>
      </c>
      <c r="I325" s="5" t="s">
        <v>8</v>
      </c>
      <c r="J325" s="6" t="s">
        <v>9</v>
      </c>
      <c r="L325" s="171"/>
      <c r="M325" s="171"/>
    </row>
    <row r="326" spans="1:13">
      <c r="B326" t="s">
        <v>100</v>
      </c>
      <c r="D326" s="129">
        <f>116781/1000</f>
        <v>116.78100000000001</v>
      </c>
      <c r="E326" s="129">
        <f>115148/1000</f>
        <v>115.148</v>
      </c>
      <c r="F326" s="129">
        <f>114057/1000</f>
        <v>114.057</v>
      </c>
      <c r="G326" s="129">
        <f>111575/1000</f>
        <v>111.575</v>
      </c>
      <c r="H326" s="129">
        <f>100750/1000</f>
        <v>100.75</v>
      </c>
      <c r="I326" s="129">
        <f>89907/1000</f>
        <v>89.906999999999996</v>
      </c>
      <c r="J326" s="129">
        <f>123300/1000</f>
        <v>123.3</v>
      </c>
      <c r="L326" s="169">
        <f>+D326*1.0419^6</f>
        <v>149.39237031383948</v>
      </c>
      <c r="M326" s="169"/>
    </row>
    <row r="327" spans="1:13">
      <c r="B327" t="s">
        <v>115</v>
      </c>
      <c r="D327" s="128">
        <f>8177/1000</f>
        <v>8.1769999999999996</v>
      </c>
      <c r="E327" s="128">
        <f>10310/1000</f>
        <v>10.31</v>
      </c>
      <c r="F327" s="128">
        <f>13721/1000</f>
        <v>13.721</v>
      </c>
      <c r="G327" s="128">
        <f>10464/1000</f>
        <v>10.464</v>
      </c>
      <c r="H327" s="128">
        <f>11449/1000</f>
        <v>11.449</v>
      </c>
      <c r="I327" s="128">
        <f>12004/1000</f>
        <v>12.004</v>
      </c>
      <c r="J327" s="128">
        <f>13321/1000</f>
        <v>13.321</v>
      </c>
      <c r="L327" s="172">
        <f>+D327*1.0419^6</f>
        <v>10.460446579976754</v>
      </c>
      <c r="M327" s="172"/>
    </row>
    <row r="328" spans="1:13">
      <c r="B328" t="s">
        <v>116</v>
      </c>
      <c r="D328" s="129">
        <f>SUM(D326:D327)</f>
        <v>124.958</v>
      </c>
      <c r="E328" s="129">
        <f t="shared" ref="E328:J328" si="73">SUM(E326:E327)</f>
        <v>125.458</v>
      </c>
      <c r="F328" s="129">
        <f t="shared" si="73"/>
        <v>127.77800000000001</v>
      </c>
      <c r="G328" s="129">
        <f t="shared" si="73"/>
        <v>122.039</v>
      </c>
      <c r="H328" s="129">
        <f t="shared" si="73"/>
        <v>112.199</v>
      </c>
      <c r="I328" s="129">
        <f t="shared" si="73"/>
        <v>101.911</v>
      </c>
      <c r="J328" s="129">
        <f t="shared" si="73"/>
        <v>136.62100000000001</v>
      </c>
      <c r="L328" s="169">
        <f>+D328*1.0419^6</f>
        <v>159.85281689381623</v>
      </c>
      <c r="M328" s="169"/>
    </row>
    <row r="329" spans="1:13" s="140" customFormat="1">
      <c r="A329" s="141"/>
      <c r="C329" s="95" t="s">
        <v>155</v>
      </c>
      <c r="D329" s="102"/>
      <c r="E329" s="103">
        <f>E328-D328</f>
        <v>0.5</v>
      </c>
      <c r="F329" s="103">
        <f t="shared" ref="F329" si="74">F328-E328</f>
        <v>2.3200000000000074</v>
      </c>
      <c r="G329" s="103">
        <f t="shared" ref="G329" si="75">G328-F328</f>
        <v>-5.7390000000000043</v>
      </c>
      <c r="H329" s="103">
        <f t="shared" ref="H329" si="76">H328-G328</f>
        <v>-9.8400000000000034</v>
      </c>
      <c r="I329" s="103">
        <f t="shared" ref="I329" si="77">I328-H328</f>
        <v>-10.287999999999997</v>
      </c>
      <c r="J329" s="103">
        <f t="shared" ref="J329" si="78">J328-I328</f>
        <v>34.710000000000008</v>
      </c>
    </row>
    <row r="330" spans="1:13">
      <c r="C330" s="62"/>
      <c r="D330" s="62"/>
      <c r="E330" s="62"/>
      <c r="F330" s="62"/>
      <c r="G330" s="62"/>
      <c r="H330" s="62"/>
      <c r="I330" s="62"/>
    </row>
    <row r="331" spans="1:13">
      <c r="B331" t="s">
        <v>117</v>
      </c>
    </row>
    <row r="332" spans="1:13">
      <c r="B332" t="s">
        <v>226</v>
      </c>
    </row>
    <row r="333" spans="1:13">
      <c r="B333" t="s">
        <v>227</v>
      </c>
    </row>
    <row r="335" spans="1:13" ht="15.75">
      <c r="A335" s="116" t="s">
        <v>93</v>
      </c>
      <c r="B335" s="106" t="s">
        <v>169</v>
      </c>
    </row>
    <row r="336" spans="1:13" ht="15" customHeight="1">
      <c r="D336" s="5" t="s">
        <v>3</v>
      </c>
      <c r="E336" s="5" t="s">
        <v>4</v>
      </c>
      <c r="F336" s="5" t="s">
        <v>5</v>
      </c>
      <c r="G336" s="5" t="s">
        <v>6</v>
      </c>
      <c r="H336" s="6" t="s">
        <v>7</v>
      </c>
      <c r="I336" s="5" t="s">
        <v>8</v>
      </c>
      <c r="J336" s="6" t="s">
        <v>9</v>
      </c>
      <c r="L336" s="170" t="s">
        <v>201</v>
      </c>
      <c r="M336" s="170"/>
    </row>
    <row r="337" spans="2:13">
      <c r="L337" s="171"/>
      <c r="M337" s="171"/>
    </row>
    <row r="338" spans="2:13">
      <c r="B338" s="7" t="s">
        <v>34</v>
      </c>
      <c r="C338" s="7"/>
      <c r="D338" s="104">
        <v>481.04676000000001</v>
      </c>
      <c r="E338" s="104">
        <v>176.34855999999999</v>
      </c>
      <c r="F338" s="104">
        <v>66.579619999999991</v>
      </c>
      <c r="G338" s="104">
        <v>89.240580000000008</v>
      </c>
      <c r="H338" s="104">
        <v>114.04216000000001</v>
      </c>
      <c r="I338" s="104">
        <v>100</v>
      </c>
      <c r="J338" s="104">
        <v>100</v>
      </c>
      <c r="L338" s="169">
        <f>+D338*1.0419^6</f>
        <v>615.38020489799419</v>
      </c>
      <c r="M338" s="169"/>
    </row>
    <row r="339" spans="2:13">
      <c r="C339" s="95" t="s">
        <v>155</v>
      </c>
      <c r="D339" s="102"/>
      <c r="E339" s="103">
        <f>E338-D338</f>
        <v>-304.69820000000004</v>
      </c>
      <c r="F339" s="103">
        <f t="shared" ref="F339" si="79">F338-E338</f>
        <v>-109.76894</v>
      </c>
      <c r="G339" s="103">
        <f t="shared" ref="G339" si="80">G338-F338</f>
        <v>22.660960000000017</v>
      </c>
      <c r="H339" s="103">
        <f t="shared" ref="H339" si="81">H338-G338</f>
        <v>24.801580000000001</v>
      </c>
      <c r="I339" s="103">
        <f t="shared" ref="I339" si="82">I338-H338</f>
        <v>-14.04216000000001</v>
      </c>
      <c r="J339" s="103">
        <f t="shared" ref="J339" si="83">J338-I338</f>
        <v>0</v>
      </c>
    </row>
    <row r="341" spans="2:13" ht="30" customHeight="1">
      <c r="B341" s="180" t="s">
        <v>184</v>
      </c>
      <c r="C341" s="180"/>
      <c r="D341" s="180"/>
      <c r="E341" s="180"/>
      <c r="F341" s="180"/>
      <c r="G341" s="180"/>
      <c r="H341" s="180"/>
      <c r="I341" s="180"/>
      <c r="J341" s="180"/>
      <c r="K341" s="180"/>
    </row>
    <row r="342" spans="2:13" ht="45" customHeight="1">
      <c r="B342" s="180" t="s">
        <v>170</v>
      </c>
      <c r="C342" s="180"/>
      <c r="D342" s="180"/>
      <c r="E342" s="180"/>
      <c r="F342" s="180"/>
      <c r="G342" s="180"/>
      <c r="H342" s="180"/>
      <c r="I342" s="180"/>
      <c r="J342" s="180"/>
      <c r="K342" s="180"/>
    </row>
  </sheetData>
  <mergeCells count="114">
    <mergeCell ref="L7:M8"/>
    <mergeCell ref="L10:M10"/>
    <mergeCell ref="L9:M9"/>
    <mergeCell ref="B208:L210"/>
    <mergeCell ref="B215:L216"/>
    <mergeCell ref="B242:K242"/>
    <mergeCell ref="B321:J321"/>
    <mergeCell ref="K306:L306"/>
    <mergeCell ref="L135:M135"/>
    <mergeCell ref="L136:M136"/>
    <mergeCell ref="L116:M116"/>
    <mergeCell ref="B125:K125"/>
    <mergeCell ref="L132:M132"/>
    <mergeCell ref="L128:M129"/>
    <mergeCell ref="L130:M130"/>
    <mergeCell ref="L131:M131"/>
    <mergeCell ref="B172:K172"/>
    <mergeCell ref="L153:M154"/>
    <mergeCell ref="L155:M155"/>
    <mergeCell ref="L156:M156"/>
    <mergeCell ref="L157:M157"/>
    <mergeCell ref="L158:M158"/>
    <mergeCell ref="L166:M167"/>
    <mergeCell ref="L168:M168"/>
    <mergeCell ref="N172:V172"/>
    <mergeCell ref="B341:K341"/>
    <mergeCell ref="B342:K342"/>
    <mergeCell ref="B313:C314"/>
    <mergeCell ref="B230:K236"/>
    <mergeCell ref="B298:K300"/>
    <mergeCell ref="B317:J317"/>
    <mergeCell ref="B318:J318"/>
    <mergeCell ref="B319:J319"/>
    <mergeCell ref="B320:J320"/>
    <mergeCell ref="B308:J308"/>
    <mergeCell ref="B252:K252"/>
    <mergeCell ref="L178:M178"/>
    <mergeCell ref="L219:M220"/>
    <mergeCell ref="B253:K253"/>
    <mergeCell ref="B227:L227"/>
    <mergeCell ref="B243:K243"/>
    <mergeCell ref="L263:M263"/>
    <mergeCell ref="L264:M264"/>
    <mergeCell ref="L176:M177"/>
    <mergeCell ref="L198:M199"/>
    <mergeCell ref="L200:M200"/>
    <mergeCell ref="L201:M201"/>
    <mergeCell ref="L202:M202"/>
    <mergeCell ref="B1:L1"/>
    <mergeCell ref="B2:L2"/>
    <mergeCell ref="B119:K121"/>
    <mergeCell ref="B122:K123"/>
    <mergeCell ref="B3:L3"/>
    <mergeCell ref="B4:L4"/>
    <mergeCell ref="B56:K56"/>
    <mergeCell ref="B57:K57"/>
    <mergeCell ref="B58:K58"/>
    <mergeCell ref="B62:C63"/>
    <mergeCell ref="B69:K69"/>
    <mergeCell ref="B71:K71"/>
    <mergeCell ref="B70:K70"/>
    <mergeCell ref="B99:K99"/>
    <mergeCell ref="B109:K109"/>
    <mergeCell ref="L29:M30"/>
    <mergeCell ref="L32:M32"/>
    <mergeCell ref="L33:M33"/>
    <mergeCell ref="L34:M34"/>
    <mergeCell ref="B110:K110"/>
    <mergeCell ref="L104:M105"/>
    <mergeCell ref="L106:M106"/>
    <mergeCell ref="L114:M115"/>
    <mergeCell ref="B91:K91"/>
    <mergeCell ref="A24:A25"/>
    <mergeCell ref="B24:K27"/>
    <mergeCell ref="B44:K44"/>
    <mergeCell ref="B46:C47"/>
    <mergeCell ref="B54:K55"/>
    <mergeCell ref="B124:K124"/>
    <mergeCell ref="B150:K150"/>
    <mergeCell ref="B161:K161"/>
    <mergeCell ref="B162:K162"/>
    <mergeCell ref="B171:K171"/>
    <mergeCell ref="L94:M95"/>
    <mergeCell ref="L96:M96"/>
    <mergeCell ref="B100:K100"/>
    <mergeCell ref="L73:M74"/>
    <mergeCell ref="L133:M133"/>
    <mergeCell ref="L134:M134"/>
    <mergeCell ref="L180:M180"/>
    <mergeCell ref="L181:M181"/>
    <mergeCell ref="L203:M203"/>
    <mergeCell ref="L204:M204"/>
    <mergeCell ref="L205:M205"/>
    <mergeCell ref="L221:M221"/>
    <mergeCell ref="L247:M248"/>
    <mergeCell ref="L249:M249"/>
    <mergeCell ref="L256:M257"/>
    <mergeCell ref="L258:M258"/>
    <mergeCell ref="L259:M259"/>
    <mergeCell ref="L260:M260"/>
    <mergeCell ref="L261:M261"/>
    <mergeCell ref="L262:M262"/>
    <mergeCell ref="L328:M328"/>
    <mergeCell ref="L336:M337"/>
    <mergeCell ref="L338:M338"/>
    <mergeCell ref="L278:M279"/>
    <mergeCell ref="L280:M280"/>
    <mergeCell ref="L303:M304"/>
    <mergeCell ref="L305:M305"/>
    <mergeCell ref="L312:M313"/>
    <mergeCell ref="L314:M314"/>
    <mergeCell ref="L324:M325"/>
    <mergeCell ref="L326:M326"/>
    <mergeCell ref="L327:M327"/>
  </mergeCells>
  <pageMargins left="0.25" right="0.25" top="0.75" bottom="0.75" header="0.3" footer="0.3"/>
  <pageSetup scale="61" fitToHeight="0" orientation="portrait" r:id="rId1"/>
  <headerFooter>
    <oddFooter xml:space="preserve">&amp;LOriginal: 2015-11-12&amp;RGI-39
Document 3.1.1
Page &amp;P de &amp;N 
Requête 3924-2015 </oddFooter>
  </headerFooter>
  <rowBreaks count="5" manualBreakCount="5">
    <brk id="59" max="12" man="1"/>
    <brk id="118" max="12" man="1"/>
    <brk id="173" max="12" man="1"/>
    <brk id="239" max="12" man="1"/>
    <brk id="30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B1:Y205"/>
  <sheetViews>
    <sheetView showGridLines="0" zoomScaleNormal="100" workbookViewId="0">
      <pane xSplit="5" ySplit="9" topLeftCell="F10" activePane="bottomRight" state="frozen"/>
      <selection pane="topRight" activeCell="E1" sqref="E1"/>
      <selection pane="bottomLeft" activeCell="A6" sqref="A6"/>
      <selection pane="bottomRight" activeCell="F12" sqref="F12:L12"/>
    </sheetView>
  </sheetViews>
  <sheetFormatPr baseColWidth="10" defaultRowHeight="15" outlineLevelRow="1" outlineLevelCol="2"/>
  <cols>
    <col min="1" max="1" width="4.42578125" customWidth="1"/>
    <col min="2" max="2" width="10.28515625" customWidth="1"/>
    <col min="3" max="3" width="42.42578125" customWidth="1"/>
    <col min="4" max="4" width="28" customWidth="1"/>
    <col min="5" max="5" width="4.140625" customWidth="1"/>
    <col min="6" max="7" width="13.85546875" customWidth="1"/>
    <col min="8" max="8" width="15.42578125" customWidth="1"/>
    <col min="9" max="9" width="13" customWidth="1"/>
    <col min="10" max="10" width="12.85546875" customWidth="1"/>
    <col min="11" max="12" width="14.140625" bestFit="1" customWidth="1"/>
    <col min="13" max="13" width="5.85546875" customWidth="1"/>
    <col min="14" max="16" width="14.140625" customWidth="1"/>
    <col min="17" max="17" width="14.140625" hidden="1" customWidth="1" outlineLevel="1"/>
    <col min="18" max="18" width="4.7109375" hidden="1" customWidth="1" outlineLevel="2"/>
    <col min="19" max="19" width="30.5703125" hidden="1" customWidth="1" outlineLevel="2"/>
    <col min="20" max="20" width="0" hidden="1" customWidth="1" outlineLevel="1"/>
    <col min="21" max="21" width="2.140625" customWidth="1" collapsed="1"/>
    <col min="22" max="22" width="4.28515625" customWidth="1"/>
    <col min="23" max="23" width="7.42578125" customWidth="1"/>
  </cols>
  <sheetData>
    <row r="1" spans="2:25">
      <c r="F1" s="1"/>
      <c r="G1" s="1"/>
      <c r="H1" s="2"/>
    </row>
    <row r="2" spans="2:25">
      <c r="B2" s="182" t="s">
        <v>0</v>
      </c>
      <c r="C2" s="182"/>
      <c r="D2" s="182"/>
      <c r="E2" s="182"/>
      <c r="F2" s="182"/>
      <c r="G2" s="182"/>
      <c r="H2" s="182"/>
      <c r="I2" s="182"/>
      <c r="J2" s="182"/>
      <c r="K2" s="182"/>
      <c r="L2" s="182"/>
      <c r="M2" s="182"/>
      <c r="N2" s="182"/>
      <c r="O2" s="182"/>
      <c r="P2" s="182"/>
      <c r="Q2" s="182"/>
      <c r="R2" s="33"/>
    </row>
    <row r="3" spans="2:25">
      <c r="B3" s="182" t="s">
        <v>1</v>
      </c>
      <c r="C3" s="182"/>
      <c r="D3" s="182"/>
      <c r="E3" s="182"/>
      <c r="F3" s="182"/>
      <c r="G3" s="182"/>
      <c r="H3" s="182"/>
      <c r="I3" s="182"/>
      <c r="J3" s="182"/>
      <c r="K3" s="182"/>
      <c r="L3" s="182"/>
      <c r="M3" s="182"/>
      <c r="N3" s="182"/>
      <c r="O3" s="182"/>
      <c r="P3" s="182"/>
      <c r="Q3" s="182"/>
      <c r="R3" s="33"/>
    </row>
    <row r="4" spans="2:25">
      <c r="B4" s="182" t="s">
        <v>2</v>
      </c>
      <c r="C4" s="182"/>
      <c r="D4" s="182"/>
      <c r="E4" s="182"/>
      <c r="F4" s="182"/>
      <c r="G4" s="182"/>
      <c r="H4" s="182"/>
      <c r="I4" s="182"/>
      <c r="J4" s="182"/>
      <c r="K4" s="182"/>
      <c r="L4" s="182"/>
      <c r="M4" s="182"/>
      <c r="N4" s="182"/>
      <c r="O4" s="182"/>
      <c r="P4" s="182"/>
      <c r="Q4" s="182"/>
      <c r="R4" s="33"/>
    </row>
    <row r="5" spans="2:25">
      <c r="B5" s="33"/>
      <c r="C5" s="33"/>
      <c r="D5" s="33"/>
      <c r="E5" s="33"/>
      <c r="F5" s="33"/>
      <c r="G5" s="33"/>
      <c r="H5" s="33"/>
      <c r="I5" s="33"/>
      <c r="J5" s="33"/>
      <c r="K5" s="33"/>
      <c r="L5" s="33"/>
      <c r="M5" s="33"/>
      <c r="N5" s="34"/>
      <c r="O5" s="34"/>
      <c r="P5" s="34"/>
      <c r="Q5" s="33"/>
      <c r="R5" s="33"/>
    </row>
    <row r="6" spans="2:25">
      <c r="B6" s="3"/>
      <c r="C6" s="4"/>
      <c r="D6" s="4"/>
      <c r="E6" s="4"/>
      <c r="F6" s="45"/>
      <c r="G6" s="45"/>
      <c r="H6" s="45"/>
      <c r="I6" s="45"/>
      <c r="J6" s="45"/>
      <c r="K6" s="45"/>
      <c r="L6" s="45"/>
      <c r="M6" s="45"/>
      <c r="N6" s="45"/>
      <c r="O6" s="45"/>
      <c r="P6" s="45"/>
      <c r="Q6" s="45"/>
      <c r="R6" s="34"/>
      <c r="S6" s="1"/>
    </row>
    <row r="7" spans="2:25" ht="13.5" customHeight="1">
      <c r="B7" s="3"/>
      <c r="C7" s="4"/>
      <c r="D7" s="4"/>
      <c r="E7" s="4"/>
      <c r="F7" s="34"/>
      <c r="G7" s="34"/>
      <c r="H7" s="34"/>
      <c r="I7" s="34"/>
      <c r="J7" s="34"/>
      <c r="K7" s="34"/>
      <c r="L7" s="34"/>
      <c r="M7" s="34"/>
      <c r="N7" s="34"/>
      <c r="O7" s="34"/>
      <c r="P7" s="34"/>
      <c r="Q7" s="34"/>
      <c r="R7" s="34"/>
      <c r="S7" s="1"/>
      <c r="V7" s="197" t="s">
        <v>66</v>
      </c>
      <c r="W7" s="197"/>
      <c r="X7" s="197"/>
    </row>
    <row r="8" spans="2:25" ht="15" customHeight="1">
      <c r="B8" s="3"/>
      <c r="C8" s="4"/>
      <c r="D8" s="4"/>
      <c r="E8" s="4"/>
      <c r="F8" s="34"/>
      <c r="G8" s="34"/>
      <c r="H8" s="34"/>
      <c r="I8" s="34"/>
      <c r="J8" s="34"/>
      <c r="K8" s="34"/>
      <c r="L8" s="34"/>
      <c r="M8" s="34"/>
      <c r="N8" s="198" t="s">
        <v>54</v>
      </c>
      <c r="O8" s="198"/>
      <c r="P8" s="198"/>
      <c r="Q8" s="34"/>
      <c r="R8" s="34"/>
      <c r="S8" s="1"/>
      <c r="V8" s="197"/>
      <c r="W8" s="197"/>
      <c r="X8" s="197"/>
    </row>
    <row r="9" spans="2:25">
      <c r="B9" s="3"/>
      <c r="C9" s="4"/>
      <c r="D9" s="4"/>
      <c r="E9" s="4"/>
      <c r="F9" s="5" t="s">
        <v>3</v>
      </c>
      <c r="G9" s="5" t="s">
        <v>4</v>
      </c>
      <c r="H9" s="5" t="s">
        <v>5</v>
      </c>
      <c r="I9" s="5" t="s">
        <v>6</v>
      </c>
      <c r="J9" s="6" t="s">
        <v>7</v>
      </c>
      <c r="K9" s="5" t="s">
        <v>8</v>
      </c>
      <c r="L9" s="6" t="s">
        <v>9</v>
      </c>
      <c r="M9" s="6"/>
      <c r="N9" s="6" t="s">
        <v>55</v>
      </c>
      <c r="O9" s="6" t="s">
        <v>56</v>
      </c>
      <c r="P9" s="6" t="s">
        <v>57</v>
      </c>
      <c r="Q9" s="6" t="s">
        <v>9</v>
      </c>
      <c r="R9" s="6"/>
      <c r="S9" s="36" t="s">
        <v>47</v>
      </c>
      <c r="V9" s="197"/>
      <c r="W9" s="197"/>
      <c r="X9" s="197"/>
    </row>
    <row r="10" spans="2:25">
      <c r="B10" s="7"/>
      <c r="C10" s="7"/>
      <c r="D10" s="7"/>
      <c r="E10" s="4"/>
      <c r="F10" s="8"/>
      <c r="G10" s="8"/>
      <c r="H10" s="8"/>
      <c r="I10" s="8"/>
      <c r="J10" s="8"/>
      <c r="K10" s="8"/>
      <c r="L10" s="8" t="s">
        <v>48</v>
      </c>
      <c r="M10" s="22"/>
      <c r="N10" s="8"/>
      <c r="O10" s="8"/>
      <c r="P10" s="8"/>
      <c r="Q10" s="8" t="s">
        <v>49</v>
      </c>
      <c r="R10" s="8"/>
      <c r="S10" s="9"/>
    </row>
    <row r="11" spans="2:25" s="13" customFormat="1" ht="18" customHeight="1">
      <c r="B11" s="4" t="s">
        <v>10</v>
      </c>
      <c r="C11" s="10"/>
      <c r="D11" s="10"/>
      <c r="E11" s="10"/>
      <c r="F11" s="11">
        <v>0</v>
      </c>
      <c r="G11" s="11">
        <v>0</v>
      </c>
      <c r="H11" s="11">
        <v>454.61278999999996</v>
      </c>
      <c r="I11" s="11">
        <v>812.71965999999998</v>
      </c>
      <c r="J11" s="11">
        <v>1151.1051499999999</v>
      </c>
      <c r="K11" s="11">
        <v>618.1</v>
      </c>
      <c r="L11" s="11">
        <v>77</v>
      </c>
      <c r="M11" s="43"/>
      <c r="N11" s="55" t="s">
        <v>53</v>
      </c>
      <c r="O11" s="56">
        <f>(K11-J11)/J11</f>
        <v>-0.46303775984322537</v>
      </c>
      <c r="P11" s="56">
        <f>(L11-K11)/K11</f>
        <v>-0.8754246885617214</v>
      </c>
      <c r="Q11" s="11">
        <v>77</v>
      </c>
      <c r="R11" s="11"/>
      <c r="S11" s="12"/>
    </row>
    <row r="12" spans="2:25" s="13" customFormat="1" ht="18" customHeight="1">
      <c r="B12" s="51" t="s">
        <v>52</v>
      </c>
      <c r="C12" s="10"/>
      <c r="D12" s="10"/>
      <c r="E12" s="10"/>
      <c r="F12" s="11">
        <f>180.045+417.402</f>
        <v>597.447</v>
      </c>
      <c r="G12" s="11">
        <f>231.135+799.761+6.781</f>
        <v>1037.6769999999999</v>
      </c>
      <c r="H12" s="11">
        <f>262.921+678.08+30.267</f>
        <v>971.26800000000003</v>
      </c>
      <c r="I12" s="11">
        <f>213.407+628.858+20.77</f>
        <v>863.03499999999997</v>
      </c>
      <c r="J12" s="11">
        <f>212.536+570.437+35.84</f>
        <v>818.81299999999999</v>
      </c>
      <c r="K12" s="11">
        <f>281.783+736.67</f>
        <v>1018.453</v>
      </c>
      <c r="L12" s="11">
        <f>364.283+782.361</f>
        <v>1146.644</v>
      </c>
      <c r="M12" s="43"/>
      <c r="N12" s="56">
        <f>((1+(+L12-F12)/F12)^(1/6))-1</f>
        <v>0.11477752165317212</v>
      </c>
      <c r="O12" s="56">
        <f>(K12-J12)/J12</f>
        <v>0.24381635367293875</v>
      </c>
      <c r="P12" s="56">
        <f t="shared" ref="P12:P50" si="0">(L12-K12)/K12</f>
        <v>0.12586835131321725</v>
      </c>
      <c r="Q12" s="11"/>
      <c r="R12" s="11"/>
      <c r="S12" s="12"/>
      <c r="W12" s="58" t="s">
        <v>67</v>
      </c>
      <c r="Y12" s="13" t="s">
        <v>73</v>
      </c>
    </row>
    <row r="13" spans="2:25">
      <c r="B13" s="7" t="s">
        <v>11</v>
      </c>
      <c r="C13" s="7"/>
      <c r="D13" s="7"/>
      <c r="E13" s="14"/>
      <c r="F13" s="11">
        <f>1604.59408-F12</f>
        <v>1007.1470800000001</v>
      </c>
      <c r="G13" s="11">
        <f>2090.40259-G12</f>
        <v>1052.7255900000002</v>
      </c>
      <c r="H13" s="11">
        <f>2099.34847-H12</f>
        <v>1128.0804699999999</v>
      </c>
      <c r="I13" s="11">
        <f>1997.94788-I12</f>
        <v>1134.9128799999999</v>
      </c>
      <c r="J13" s="11">
        <f>2084.80393-J12</f>
        <v>1265.9909299999999</v>
      </c>
      <c r="K13" s="11">
        <f>2342.50501-K12</f>
        <v>1324.0520099999999</v>
      </c>
      <c r="L13" s="11">
        <f>2519.847-L12</f>
        <v>1373.2030000000002</v>
      </c>
      <c r="M13" s="43"/>
      <c r="N13" s="56">
        <f t="shared" ref="N13:N50" si="1">((1+(+L13-F13)/F13)^(1/6))-1</f>
        <v>5.302894169876371E-2</v>
      </c>
      <c r="O13" s="56">
        <f t="shared" ref="O13:O50" si="2">(K13-J13)/J13</f>
        <v>4.5862161113587083E-2</v>
      </c>
      <c r="P13" s="56">
        <f t="shared" si="0"/>
        <v>3.7121645999389649E-2</v>
      </c>
      <c r="Q13" s="11">
        <v>2519.8470000000002</v>
      </c>
      <c r="R13" s="11"/>
      <c r="S13" s="9"/>
      <c r="W13" s="58" t="s">
        <v>68</v>
      </c>
      <c r="Y13" t="s">
        <v>74</v>
      </c>
    </row>
    <row r="14" spans="2:25">
      <c r="B14" s="15" t="s">
        <v>12</v>
      </c>
      <c r="C14" s="15"/>
      <c r="D14" s="15"/>
      <c r="E14" s="16"/>
      <c r="F14" s="17">
        <f t="shared" ref="F14:L14" si="3">F11+F13+F12</f>
        <v>1604.5940800000001</v>
      </c>
      <c r="G14" s="17">
        <f t="shared" si="3"/>
        <v>2090.4025900000001</v>
      </c>
      <c r="H14" s="17">
        <f t="shared" si="3"/>
        <v>2553.96126</v>
      </c>
      <c r="I14" s="17">
        <f t="shared" si="3"/>
        <v>2810.6675399999999</v>
      </c>
      <c r="J14" s="17">
        <f t="shared" si="3"/>
        <v>3235.9090799999999</v>
      </c>
      <c r="K14" s="17">
        <f t="shared" si="3"/>
        <v>2960.6050099999998</v>
      </c>
      <c r="L14" s="17">
        <f t="shared" si="3"/>
        <v>2596.8470000000002</v>
      </c>
      <c r="M14" s="18"/>
      <c r="N14" s="57">
        <f t="shared" si="1"/>
        <v>8.3544776546460975E-2</v>
      </c>
      <c r="O14" s="57">
        <f t="shared" si="2"/>
        <v>-8.5077813743765676E-2</v>
      </c>
      <c r="P14" s="57">
        <f t="shared" si="0"/>
        <v>-0.12286610634358131</v>
      </c>
      <c r="Q14" s="17">
        <f t="shared" ref="Q14" si="4">Q11+Q13</f>
        <v>2596.8470000000002</v>
      </c>
      <c r="R14" s="18"/>
    </row>
    <row r="15" spans="2:25" ht="8.25" customHeight="1">
      <c r="B15" s="7"/>
      <c r="C15" s="7"/>
      <c r="D15" s="7"/>
      <c r="E15" s="14"/>
      <c r="F15" s="18"/>
      <c r="G15" s="18"/>
      <c r="H15" s="18"/>
      <c r="I15" s="18"/>
      <c r="J15" s="18"/>
      <c r="K15" s="18"/>
      <c r="L15" s="18"/>
      <c r="M15" s="18"/>
      <c r="N15" s="56"/>
      <c r="O15" s="56"/>
      <c r="P15" s="56"/>
      <c r="Q15" s="18"/>
      <c r="R15" s="18"/>
    </row>
    <row r="16" spans="2:25">
      <c r="B16" s="7" t="s">
        <v>13</v>
      </c>
      <c r="C16" s="7"/>
      <c r="D16" s="7"/>
      <c r="E16" s="14"/>
      <c r="F16" s="11">
        <v>3301.2202299999994</v>
      </c>
      <c r="G16" s="11">
        <v>3513.3509300000001</v>
      </c>
      <c r="H16" s="11">
        <v>3917.5796200000004</v>
      </c>
      <c r="I16" s="11">
        <v>3936.6712900000016</v>
      </c>
      <c r="J16" s="11">
        <v>4015.7355199999993</v>
      </c>
      <c r="K16" s="11">
        <v>4564.7323477</v>
      </c>
      <c r="L16" s="11">
        <v>4755.1625121057778</v>
      </c>
      <c r="M16" s="43"/>
      <c r="N16" s="56">
        <f>((1+(+L16-F16)/F16)^(1/6))-1</f>
        <v>6.271092272424772E-2</v>
      </c>
      <c r="O16" s="56">
        <f t="shared" si="2"/>
        <v>0.1367114006800928</v>
      </c>
      <c r="P16" s="56">
        <f t="shared" si="0"/>
        <v>4.1717706516073934E-2</v>
      </c>
      <c r="Q16" s="11">
        <v>4755.1625121057778</v>
      </c>
      <c r="R16" s="11"/>
      <c r="W16" s="58" t="s">
        <v>68</v>
      </c>
      <c r="Y16" t="s">
        <v>74</v>
      </c>
    </row>
    <row r="17" spans="2:25">
      <c r="B17" s="15" t="s">
        <v>14</v>
      </c>
      <c r="C17" s="15"/>
      <c r="D17" s="15"/>
      <c r="E17" s="16"/>
      <c r="F17" s="17">
        <f>F14+F16</f>
        <v>4905.8143099999998</v>
      </c>
      <c r="G17" s="17">
        <f t="shared" ref="G17:Q17" si="5">G14+G16</f>
        <v>5603.7535200000002</v>
      </c>
      <c r="H17" s="17">
        <f t="shared" si="5"/>
        <v>6471.5408800000005</v>
      </c>
      <c r="I17" s="17">
        <f t="shared" si="5"/>
        <v>6747.3388300000015</v>
      </c>
      <c r="J17" s="17">
        <f t="shared" si="5"/>
        <v>7251.6445999999996</v>
      </c>
      <c r="K17" s="17">
        <f t="shared" si="5"/>
        <v>7525.3373577000002</v>
      </c>
      <c r="L17" s="17">
        <f t="shared" si="5"/>
        <v>7352.0095121057784</v>
      </c>
      <c r="M17" s="18"/>
      <c r="N17" s="57">
        <f t="shared" si="1"/>
        <v>6.9750485921170835E-2</v>
      </c>
      <c r="O17" s="57">
        <f t="shared" si="2"/>
        <v>3.7742163715524697E-2</v>
      </c>
      <c r="P17" s="57">
        <f t="shared" si="0"/>
        <v>-2.3032568156811071E-2</v>
      </c>
      <c r="Q17" s="17">
        <f t="shared" si="5"/>
        <v>7352.0095121057784</v>
      </c>
      <c r="R17" s="18"/>
    </row>
    <row r="18" spans="2:25">
      <c r="B18" s="7"/>
      <c r="C18" s="7"/>
      <c r="D18" s="7"/>
      <c r="E18" s="14"/>
      <c r="F18" s="18"/>
      <c r="G18" s="18"/>
      <c r="H18" s="18"/>
      <c r="I18" s="18"/>
      <c r="J18" s="18"/>
      <c r="K18" s="18"/>
      <c r="L18" s="18"/>
      <c r="M18" s="18"/>
      <c r="N18" s="56"/>
      <c r="O18" s="56"/>
      <c r="P18" s="56"/>
      <c r="Q18" s="18"/>
      <c r="R18" s="18"/>
    </row>
    <row r="19" spans="2:25">
      <c r="B19" s="52" t="s">
        <v>15</v>
      </c>
      <c r="C19" s="52"/>
      <c r="D19" s="7"/>
      <c r="E19" s="14"/>
      <c r="F19" s="11">
        <v>82.265860000000018</v>
      </c>
      <c r="G19" s="11">
        <v>72.566450000000017</v>
      </c>
      <c r="H19" s="11">
        <v>126.39467</v>
      </c>
      <c r="I19" s="11">
        <v>108.93971000000001</v>
      </c>
      <c r="J19" s="11">
        <v>103.86682</v>
      </c>
      <c r="K19" s="11">
        <v>118.99746</v>
      </c>
      <c r="L19" s="11">
        <v>128.99318891999999</v>
      </c>
      <c r="M19" s="43"/>
      <c r="N19" s="56">
        <f t="shared" si="1"/>
        <v>7.784883388722541E-2</v>
      </c>
      <c r="O19" s="56">
        <f t="shared" si="2"/>
        <v>0.1456734691598337</v>
      </c>
      <c r="P19" s="56">
        <f t="shared" si="0"/>
        <v>8.3999514947629889E-2</v>
      </c>
      <c r="Q19" s="11">
        <v>128.99318891999999</v>
      </c>
      <c r="R19" s="11"/>
      <c r="W19" s="58" t="s">
        <v>69</v>
      </c>
      <c r="Y19" t="s">
        <v>75</v>
      </c>
    </row>
    <row r="20" spans="2:25">
      <c r="B20" s="7" t="s">
        <v>16</v>
      </c>
      <c r="C20" s="7"/>
      <c r="D20" s="7"/>
      <c r="E20" s="14"/>
      <c r="F20" s="11">
        <v>0</v>
      </c>
      <c r="G20" s="11">
        <v>34.855609999999999</v>
      </c>
      <c r="H20" s="11">
        <v>5.84619</v>
      </c>
      <c r="I20" s="11">
        <v>1.53125</v>
      </c>
      <c r="J20" s="11">
        <v>84.42407</v>
      </c>
      <c r="K20" s="11">
        <v>85.661349999999985</v>
      </c>
      <c r="L20" s="11">
        <v>0</v>
      </c>
      <c r="M20" s="43"/>
      <c r="N20" s="55" t="s">
        <v>53</v>
      </c>
      <c r="O20" s="56">
        <f t="shared" si="2"/>
        <v>1.4655536033739954E-2</v>
      </c>
      <c r="P20" s="56">
        <f t="shared" si="0"/>
        <v>-1</v>
      </c>
      <c r="Q20" s="11">
        <v>0</v>
      </c>
      <c r="R20" s="11"/>
      <c r="W20" s="58"/>
    </row>
    <row r="21" spans="2:25">
      <c r="B21" s="52" t="s">
        <v>17</v>
      </c>
      <c r="C21" s="52"/>
      <c r="D21" s="7"/>
      <c r="E21" s="14"/>
      <c r="F21" s="11">
        <v>79.74730000000001</v>
      </c>
      <c r="G21" s="11">
        <v>75.011279999999999</v>
      </c>
      <c r="H21" s="11">
        <v>107.75895999999999</v>
      </c>
      <c r="I21" s="11">
        <v>131.73680999999999</v>
      </c>
      <c r="J21" s="11">
        <v>82.113769999999988</v>
      </c>
      <c r="K21" s="11">
        <v>129.50231200000002</v>
      </c>
      <c r="L21" s="11">
        <v>133.24521575999998</v>
      </c>
      <c r="M21" s="43"/>
      <c r="N21" s="56">
        <f t="shared" si="1"/>
        <v>8.9321158810667267E-2</v>
      </c>
      <c r="O21" s="56">
        <f t="shared" si="2"/>
        <v>0.57710834613975259</v>
      </c>
      <c r="P21" s="56">
        <f t="shared" si="0"/>
        <v>2.8902215738047684E-2</v>
      </c>
      <c r="Q21" s="11">
        <v>133.24521575999998</v>
      </c>
      <c r="R21" s="11"/>
      <c r="W21" s="58" t="s">
        <v>70</v>
      </c>
      <c r="Y21" t="s">
        <v>74</v>
      </c>
    </row>
    <row r="22" spans="2:25">
      <c r="B22" s="7" t="s">
        <v>18</v>
      </c>
      <c r="C22" s="7"/>
      <c r="D22" s="7"/>
      <c r="E22" s="14"/>
      <c r="F22" s="11">
        <v>107.09584</v>
      </c>
      <c r="G22" s="11">
        <v>105.43622999999999</v>
      </c>
      <c r="H22" s="11">
        <v>139.54917</v>
      </c>
      <c r="I22" s="11">
        <v>99.594340000000017</v>
      </c>
      <c r="J22" s="11">
        <v>94.026970000000006</v>
      </c>
      <c r="K22" s="11">
        <v>103.28076</v>
      </c>
      <c r="L22" s="11">
        <v>105.44878382</v>
      </c>
      <c r="M22" s="43"/>
      <c r="N22" s="56">
        <f t="shared" si="1"/>
        <v>-2.5797934114192289E-3</v>
      </c>
      <c r="O22" s="56">
        <f t="shared" si="2"/>
        <v>9.8416337355122632E-2</v>
      </c>
      <c r="P22" s="56">
        <f t="shared" si="0"/>
        <v>2.099155563921104E-2</v>
      </c>
      <c r="Q22" s="11">
        <v>105.44878382</v>
      </c>
      <c r="R22" s="11"/>
      <c r="S22" s="195" t="s">
        <v>50</v>
      </c>
      <c r="W22" s="58" t="s">
        <v>71</v>
      </c>
      <c r="Y22" t="s">
        <v>74</v>
      </c>
    </row>
    <row r="23" spans="2:25">
      <c r="B23" s="50" t="s">
        <v>62</v>
      </c>
      <c r="C23" s="50"/>
      <c r="D23" s="7"/>
      <c r="E23" s="14"/>
      <c r="F23" s="11">
        <v>76.75</v>
      </c>
      <c r="G23" s="11">
        <v>70.436999999999998</v>
      </c>
      <c r="H23" s="11">
        <v>77</v>
      </c>
      <c r="I23" s="11">
        <v>84.888000000000005</v>
      </c>
      <c r="J23" s="11">
        <v>87.444000000000003</v>
      </c>
      <c r="K23" s="11">
        <v>97.953999999999994</v>
      </c>
      <c r="L23" s="11">
        <v>102.646</v>
      </c>
      <c r="M23" s="43"/>
      <c r="N23" s="56">
        <f t="shared" si="1"/>
        <v>4.9648624480829184E-2</v>
      </c>
      <c r="O23" s="56">
        <f t="shared" si="2"/>
        <v>0.12019120808746159</v>
      </c>
      <c r="P23" s="56">
        <f t="shared" si="0"/>
        <v>4.790003471017016E-2</v>
      </c>
      <c r="Q23" s="11"/>
      <c r="R23" s="11"/>
      <c r="S23" s="195"/>
      <c r="W23" s="58"/>
    </row>
    <row r="24" spans="2:25">
      <c r="B24" s="50" t="s">
        <v>63</v>
      </c>
      <c r="C24" s="50"/>
      <c r="D24" s="7"/>
      <c r="E24" s="14"/>
      <c r="F24" s="11">
        <v>78.554000000000002</v>
      </c>
      <c r="G24" s="11">
        <v>77.522000000000006</v>
      </c>
      <c r="H24" s="11">
        <v>82.082999999999998</v>
      </c>
      <c r="I24" s="11">
        <v>138.77099999999999</v>
      </c>
      <c r="J24" s="11">
        <v>247.40700000000001</v>
      </c>
      <c r="K24" s="11">
        <f>140</f>
        <v>140</v>
      </c>
      <c r="L24" s="11">
        <f>143.06-20.06</f>
        <v>123</v>
      </c>
      <c r="M24" s="43"/>
      <c r="N24" s="56">
        <f t="shared" si="1"/>
        <v>7.7596406623829273E-2</v>
      </c>
      <c r="O24" s="56">
        <f t="shared" si="2"/>
        <v>-0.43413080470641496</v>
      </c>
      <c r="P24" s="56">
        <f t="shared" si="0"/>
        <v>-0.12142857142857143</v>
      </c>
      <c r="Q24" s="11"/>
      <c r="R24" s="11"/>
      <c r="S24" s="195"/>
      <c r="W24" s="58" t="s">
        <v>72</v>
      </c>
      <c r="Y24" t="s">
        <v>74</v>
      </c>
    </row>
    <row r="25" spans="2:25">
      <c r="B25" s="50" t="s">
        <v>64</v>
      </c>
      <c r="C25" s="50"/>
      <c r="D25" s="7"/>
      <c r="E25" s="14"/>
      <c r="F25" s="11">
        <v>632.30200000000002</v>
      </c>
      <c r="G25" s="11">
        <v>429.64400000000001</v>
      </c>
      <c r="H25" s="11">
        <v>277.43799999999999</v>
      </c>
      <c r="I25" s="11">
        <v>266.00900000000001</v>
      </c>
      <c r="J25" s="11">
        <v>274.80799999999999</v>
      </c>
      <c r="K25" s="11">
        <v>496.61599999999999</v>
      </c>
      <c r="L25" s="11">
        <f>610.076-75</f>
        <v>535.07600000000002</v>
      </c>
      <c r="M25" s="43"/>
      <c r="N25" s="56">
        <f t="shared" si="1"/>
        <v>-2.7442801426795893E-2</v>
      </c>
      <c r="O25" s="56">
        <f t="shared" si="2"/>
        <v>0.80713807458298159</v>
      </c>
      <c r="P25" s="56">
        <f t="shared" si="0"/>
        <v>7.744414195273619E-2</v>
      </c>
      <c r="Q25" s="11"/>
      <c r="R25" s="11"/>
      <c r="S25" s="195"/>
      <c r="W25" s="58" t="s">
        <v>77</v>
      </c>
      <c r="Y25" t="s">
        <v>76</v>
      </c>
    </row>
    <row r="26" spans="2:25">
      <c r="B26" s="50" t="s">
        <v>65</v>
      </c>
      <c r="C26" s="50"/>
      <c r="D26" s="7"/>
      <c r="E26" s="14"/>
      <c r="F26" s="11">
        <f>2904.95289-F25-F24-F23</f>
        <v>2117.3468899999998</v>
      </c>
      <c r="G26" s="11">
        <f>1928.66238-G25-G24-G23</f>
        <v>1351.0593800000001</v>
      </c>
      <c r="H26" s="11">
        <f>1717.85718-H25-H24-H23</f>
        <v>1281.3361799999998</v>
      </c>
      <c r="I26" s="11">
        <f>2246.08559-I25-I24-I23</f>
        <v>1756.4175900000002</v>
      </c>
      <c r="J26" s="11">
        <f>2622.20426-J25-J24-J23</f>
        <v>2012.5452599999999</v>
      </c>
      <c r="K26" s="11">
        <f>2733.74454-K25-K24-K23</f>
        <v>1999.1745400000002</v>
      </c>
      <c r="L26" s="11">
        <f>926.379-124.6-124.6</f>
        <v>677.17899999999997</v>
      </c>
      <c r="M26" s="43"/>
      <c r="N26" s="56">
        <f t="shared" si="1"/>
        <v>-0.17303858877472922</v>
      </c>
      <c r="O26" s="56">
        <f t="shared" si="2"/>
        <v>-6.6436866120465118E-3</v>
      </c>
      <c r="P26" s="56">
        <f t="shared" si="0"/>
        <v>-0.66127069625446522</v>
      </c>
      <c r="Q26" s="11">
        <v>1782.1617590999999</v>
      </c>
      <c r="R26" s="11"/>
      <c r="S26" s="195"/>
      <c r="W26" s="58"/>
    </row>
    <row r="27" spans="2:25">
      <c r="B27" s="7" t="s">
        <v>96</v>
      </c>
      <c r="C27" s="7"/>
      <c r="D27" s="7"/>
      <c r="E27" s="14"/>
      <c r="F27" s="11">
        <v>938.80128000000002</v>
      </c>
      <c r="G27" s="11">
        <v>971.53496999999993</v>
      </c>
      <c r="H27" s="11">
        <v>1111.22335</v>
      </c>
      <c r="I27" s="11">
        <v>1211.8718099999999</v>
      </c>
      <c r="J27" s="11">
        <v>1134.1740400000001</v>
      </c>
      <c r="K27" s="11">
        <v>1359.2803499999998</v>
      </c>
      <c r="L27" s="11">
        <v>1379.5433248999998</v>
      </c>
      <c r="M27" s="43"/>
      <c r="N27" s="56">
        <f t="shared" si="1"/>
        <v>6.6253030471121299E-2</v>
      </c>
      <c r="O27" s="56">
        <f t="shared" si="2"/>
        <v>0.19847598522004581</v>
      </c>
      <c r="P27" s="56">
        <f t="shared" si="0"/>
        <v>1.4907134425948276E-2</v>
      </c>
      <c r="Q27" s="11">
        <v>1379.5433248999998</v>
      </c>
      <c r="R27" s="11"/>
      <c r="S27" s="195"/>
      <c r="W27" s="58" t="s">
        <v>78</v>
      </c>
      <c r="Y27" t="s">
        <v>76</v>
      </c>
    </row>
    <row r="28" spans="2:25">
      <c r="B28" s="7" t="s">
        <v>20</v>
      </c>
      <c r="C28" s="7"/>
      <c r="D28" s="7"/>
      <c r="E28" s="14"/>
      <c r="F28" s="11">
        <v>115.19518999999998</v>
      </c>
      <c r="G28" s="11">
        <v>125.53105000000001</v>
      </c>
      <c r="H28" s="11">
        <v>158.25775000000002</v>
      </c>
      <c r="I28" s="11">
        <v>141.02760000000001</v>
      </c>
      <c r="J28" s="11">
        <v>115.56957000000003</v>
      </c>
      <c r="K28" s="11">
        <v>152.44499999999999</v>
      </c>
      <c r="L28" s="11">
        <v>191.04499999999999</v>
      </c>
      <c r="M28" s="43"/>
      <c r="N28" s="56">
        <f t="shared" si="1"/>
        <v>8.796992045635732E-2</v>
      </c>
      <c r="O28" s="56">
        <f t="shared" si="2"/>
        <v>0.31907560095620291</v>
      </c>
      <c r="P28" s="56">
        <f t="shared" si="0"/>
        <v>0.25320607432188658</v>
      </c>
      <c r="Q28" s="11">
        <v>191.04499999999999</v>
      </c>
      <c r="R28" s="11"/>
      <c r="W28" s="58" t="s">
        <v>79</v>
      </c>
      <c r="Y28" t="s">
        <v>74</v>
      </c>
    </row>
    <row r="29" spans="2:25">
      <c r="B29" s="7" t="s">
        <v>21</v>
      </c>
      <c r="C29" s="7"/>
      <c r="D29" s="7"/>
      <c r="E29" s="14"/>
      <c r="F29" s="11">
        <v>283.86591999999996</v>
      </c>
      <c r="G29" s="11">
        <v>312.47965000000005</v>
      </c>
      <c r="H29" s="11">
        <v>330.94155999999998</v>
      </c>
      <c r="I29" s="11">
        <v>332.74213000000003</v>
      </c>
      <c r="J29" s="11">
        <v>363.42032</v>
      </c>
      <c r="K29" s="11">
        <v>382.49448000000007</v>
      </c>
      <c r="L29" s="11">
        <v>410.46485999999999</v>
      </c>
      <c r="M29" s="43"/>
      <c r="N29" s="56">
        <f t="shared" si="1"/>
        <v>6.3392977289109309E-2</v>
      </c>
      <c r="O29" s="56">
        <f t="shared" si="2"/>
        <v>5.2485122460956678E-2</v>
      </c>
      <c r="P29" s="56">
        <f t="shared" si="0"/>
        <v>7.3126231782481968E-2</v>
      </c>
      <c r="Q29" s="11">
        <v>410.46485999999999</v>
      </c>
      <c r="R29" s="11"/>
      <c r="W29" s="58" t="s">
        <v>80</v>
      </c>
      <c r="Y29" t="s">
        <v>76</v>
      </c>
    </row>
    <row r="30" spans="2:25">
      <c r="B30" s="52" t="s">
        <v>22</v>
      </c>
      <c r="C30" s="52"/>
      <c r="D30" s="7"/>
      <c r="E30" s="14"/>
      <c r="F30" s="11">
        <v>399.77252000000004</v>
      </c>
      <c r="G30" s="11">
        <v>303.84764000000007</v>
      </c>
      <c r="H30" s="11">
        <v>516.16938000000005</v>
      </c>
      <c r="I30" s="11">
        <v>545.14287999999999</v>
      </c>
      <c r="J30" s="11">
        <v>600.89410999999996</v>
      </c>
      <c r="K30" s="11">
        <v>597.60774000000004</v>
      </c>
      <c r="L30" s="11">
        <v>627.12303502000009</v>
      </c>
      <c r="M30" s="43"/>
      <c r="N30" s="56">
        <f t="shared" si="1"/>
        <v>7.7928536220020161E-2</v>
      </c>
      <c r="O30" s="56">
        <f t="shared" si="2"/>
        <v>-5.4691333220089648E-3</v>
      </c>
      <c r="P30" s="56">
        <f t="shared" si="0"/>
        <v>4.9389077557797444E-2</v>
      </c>
      <c r="Q30" s="11">
        <v>627.12303502000009</v>
      </c>
      <c r="R30" s="11"/>
      <c r="W30" s="58" t="s">
        <v>81</v>
      </c>
      <c r="Y30" t="s">
        <v>74</v>
      </c>
    </row>
    <row r="31" spans="2:25">
      <c r="B31" s="7" t="s">
        <v>23</v>
      </c>
      <c r="C31" s="4"/>
      <c r="D31" s="7"/>
      <c r="E31" s="14"/>
      <c r="F31" s="11">
        <v>14.054160000000001</v>
      </c>
      <c r="G31" s="11">
        <v>14.292639999999999</v>
      </c>
      <c r="H31" s="11">
        <v>55.167210000000004</v>
      </c>
      <c r="I31" s="11">
        <v>23.299259999999997</v>
      </c>
      <c r="J31" s="11">
        <v>10.470079999999999</v>
      </c>
      <c r="K31" s="11">
        <v>26.126930000000002</v>
      </c>
      <c r="L31" s="11">
        <v>25.447885159999998</v>
      </c>
      <c r="M31" s="43"/>
      <c r="N31" s="56">
        <f t="shared" si="1"/>
        <v>0.10401371125197123</v>
      </c>
      <c r="O31" s="56">
        <f t="shared" si="2"/>
        <v>1.4953897200403439</v>
      </c>
      <c r="P31" s="56">
        <f t="shared" si="0"/>
        <v>-2.599022694208631E-2</v>
      </c>
      <c r="Q31" s="11">
        <v>25.447885159999998</v>
      </c>
      <c r="R31" s="11"/>
      <c r="W31" s="58" t="s">
        <v>82</v>
      </c>
      <c r="Y31" t="s">
        <v>74</v>
      </c>
    </row>
    <row r="32" spans="2:25">
      <c r="B32" s="7" t="s">
        <v>24</v>
      </c>
      <c r="C32" s="4"/>
      <c r="D32" s="7"/>
      <c r="E32" s="14"/>
      <c r="F32" s="11">
        <v>147.04619</v>
      </c>
      <c r="G32" s="11">
        <v>173.65375</v>
      </c>
      <c r="H32" s="11">
        <v>183.69893000000002</v>
      </c>
      <c r="I32" s="11">
        <v>172.66951999999998</v>
      </c>
      <c r="J32" s="11">
        <v>174.78547</v>
      </c>
      <c r="K32" s="11">
        <v>190.60193999999998</v>
      </c>
      <c r="L32" s="11">
        <v>196.88744299999996</v>
      </c>
      <c r="M32" s="43"/>
      <c r="N32" s="56">
        <f t="shared" si="1"/>
        <v>4.9850292922798412E-2</v>
      </c>
      <c r="O32" s="56">
        <f t="shared" si="2"/>
        <v>9.0490759901266288E-2</v>
      </c>
      <c r="P32" s="56">
        <f t="shared" si="0"/>
        <v>3.2977119750197598E-2</v>
      </c>
      <c r="Q32" s="11">
        <v>196.88744299999996</v>
      </c>
      <c r="R32" s="11"/>
      <c r="W32" s="58" t="s">
        <v>83</v>
      </c>
      <c r="Y32" t="s">
        <v>76</v>
      </c>
    </row>
    <row r="33" spans="2:25">
      <c r="B33" s="7" t="s">
        <v>25</v>
      </c>
      <c r="C33" s="7"/>
      <c r="D33" s="7"/>
      <c r="E33" s="14"/>
      <c r="F33" s="11">
        <v>8.5684199999999997</v>
      </c>
      <c r="G33" s="11">
        <v>6.2463699999999998</v>
      </c>
      <c r="H33" s="11">
        <v>4.4933500000000004</v>
      </c>
      <c r="I33" s="11">
        <v>5.2540200000000006</v>
      </c>
      <c r="J33" s="11">
        <v>4.5190900000000003</v>
      </c>
      <c r="K33" s="11">
        <v>5.43</v>
      </c>
      <c r="L33" s="11">
        <v>5.5490000000000004</v>
      </c>
      <c r="M33" s="43"/>
      <c r="N33" s="56">
        <f t="shared" si="1"/>
        <v>-6.9851414927486921E-2</v>
      </c>
      <c r="O33" s="56">
        <f t="shared" si="2"/>
        <v>0.20156934250037051</v>
      </c>
      <c r="P33" s="56">
        <f t="shared" si="0"/>
        <v>2.1915285451197176E-2</v>
      </c>
      <c r="Q33" s="11">
        <v>5.5490000000000004</v>
      </c>
      <c r="R33" s="11"/>
      <c r="W33" s="58"/>
    </row>
    <row r="34" spans="2:25">
      <c r="B34" s="7" t="s">
        <v>26</v>
      </c>
      <c r="C34" s="7"/>
      <c r="D34" s="7"/>
      <c r="E34" s="14"/>
      <c r="F34" s="11">
        <v>532.46541000000002</v>
      </c>
      <c r="G34" s="11">
        <v>621.81415000000004</v>
      </c>
      <c r="H34" s="11">
        <v>638.37870999999996</v>
      </c>
      <c r="I34" s="11">
        <v>644.38495999999998</v>
      </c>
      <c r="J34" s="11">
        <v>654.42237999999998</v>
      </c>
      <c r="K34" s="11">
        <v>674.69167000000004</v>
      </c>
      <c r="L34" s="11">
        <v>724.15200000000004</v>
      </c>
      <c r="M34" s="43"/>
      <c r="N34" s="56">
        <f t="shared" si="1"/>
        <v>5.2583090774566799E-2</v>
      </c>
      <c r="O34" s="56">
        <f t="shared" si="2"/>
        <v>3.0972794665121432E-2</v>
      </c>
      <c r="P34" s="56">
        <f t="shared" si="0"/>
        <v>7.3308048993698111E-2</v>
      </c>
      <c r="Q34" s="11">
        <v>724.15200000000004</v>
      </c>
      <c r="R34" s="11"/>
      <c r="W34" s="58" t="s">
        <v>84</v>
      </c>
      <c r="Y34" t="s">
        <v>75</v>
      </c>
    </row>
    <row r="35" spans="2:25">
      <c r="B35" s="7" t="s">
        <v>27</v>
      </c>
      <c r="C35" s="7"/>
      <c r="D35" s="19"/>
      <c r="E35" s="20"/>
      <c r="F35" s="11">
        <v>95.927660000000003</v>
      </c>
      <c r="G35" s="11">
        <v>82.215609999999998</v>
      </c>
      <c r="H35" s="11">
        <v>83.311240000000012</v>
      </c>
      <c r="I35" s="11">
        <v>86.003230000000016</v>
      </c>
      <c r="J35" s="11">
        <v>72.292140000000003</v>
      </c>
      <c r="K35" s="11">
        <v>84.649570000000011</v>
      </c>
      <c r="L35" s="11">
        <v>89.948146860000008</v>
      </c>
      <c r="M35" s="43"/>
      <c r="N35" s="56">
        <f t="shared" si="1"/>
        <v>-1.066950724860849E-2</v>
      </c>
      <c r="O35" s="56">
        <f t="shared" si="2"/>
        <v>0.17093739374709349</v>
      </c>
      <c r="P35" s="56">
        <f t="shared" si="0"/>
        <v>6.259425606060369E-2</v>
      </c>
      <c r="Q35" s="11">
        <v>89.948146860000008</v>
      </c>
      <c r="R35" s="11"/>
      <c r="W35" s="58" t="s">
        <v>85</v>
      </c>
      <c r="Y35" t="s">
        <v>74</v>
      </c>
    </row>
    <row r="36" spans="2:25">
      <c r="B36" s="7" t="s">
        <v>28</v>
      </c>
      <c r="C36" s="7"/>
      <c r="D36" s="19"/>
      <c r="E36" s="20"/>
      <c r="F36" s="11">
        <v>93.629919999999998</v>
      </c>
      <c r="G36" s="11">
        <v>89.432599999999994</v>
      </c>
      <c r="H36" s="11">
        <v>74.565770000000001</v>
      </c>
      <c r="I36" s="11">
        <v>88.759900000000002</v>
      </c>
      <c r="J36" s="11">
        <v>78.483289999999997</v>
      </c>
      <c r="K36" s="11">
        <v>92.246030000000005</v>
      </c>
      <c r="L36" s="11">
        <v>117.48974222</v>
      </c>
      <c r="M36" s="43"/>
      <c r="N36" s="56">
        <f t="shared" si="1"/>
        <v>3.8558305275097293E-2</v>
      </c>
      <c r="O36" s="56">
        <f t="shared" si="2"/>
        <v>0.17535885664324224</v>
      </c>
      <c r="P36" s="56">
        <f t="shared" si="0"/>
        <v>0.27365635377479108</v>
      </c>
      <c r="Q36" s="11">
        <v>117.48974222</v>
      </c>
      <c r="R36" s="11"/>
      <c r="W36" s="58" t="s">
        <v>86</v>
      </c>
      <c r="Y36" t="s">
        <v>76</v>
      </c>
    </row>
    <row r="37" spans="2:25">
      <c r="B37" s="7" t="s">
        <v>29</v>
      </c>
      <c r="C37" s="7"/>
      <c r="D37" s="19"/>
      <c r="E37" s="20"/>
      <c r="F37" s="11">
        <v>29.375900000000001</v>
      </c>
      <c r="G37" s="11">
        <v>29.25591</v>
      </c>
      <c r="H37" s="11">
        <v>24.864060000000002</v>
      </c>
      <c r="I37" s="11">
        <v>23.199300000000001</v>
      </c>
      <c r="J37" s="11">
        <v>10.682259999999999</v>
      </c>
      <c r="K37" s="11">
        <v>4.43</v>
      </c>
      <c r="L37" s="11">
        <v>3.1320000000000001</v>
      </c>
      <c r="M37" s="43"/>
      <c r="N37" s="56">
        <f t="shared" si="1"/>
        <v>-0.31139247857599828</v>
      </c>
      <c r="O37" s="56">
        <f t="shared" si="2"/>
        <v>-0.58529374870111761</v>
      </c>
      <c r="P37" s="56">
        <f>(L37-K37)/K37</f>
        <v>-0.29300225733634305</v>
      </c>
      <c r="Q37" s="11">
        <v>3.1320000000000001</v>
      </c>
      <c r="R37" s="11"/>
      <c r="W37" s="58" t="s">
        <v>87</v>
      </c>
      <c r="Y37" t="s">
        <v>75</v>
      </c>
    </row>
    <row r="38" spans="2:25">
      <c r="B38" s="7" t="s">
        <v>30</v>
      </c>
      <c r="C38" s="7"/>
      <c r="D38" s="19"/>
      <c r="E38" s="20"/>
      <c r="F38" s="11">
        <v>92.800399999999996</v>
      </c>
      <c r="G38" s="11">
        <v>156.29213000000001</v>
      </c>
      <c r="H38" s="11">
        <v>200.94401999999999</v>
      </c>
      <c r="I38" s="11">
        <v>300.37466999999998</v>
      </c>
      <c r="J38" s="11">
        <v>260.10851000000002</v>
      </c>
      <c r="K38" s="11">
        <v>281.23575</v>
      </c>
      <c r="L38" s="11">
        <v>258.28800000000001</v>
      </c>
      <c r="M38" s="43"/>
      <c r="N38" s="56">
        <f t="shared" si="1"/>
        <v>0.18602104928203289</v>
      </c>
      <c r="O38" s="56">
        <f t="shared" si="2"/>
        <v>8.1224716561561064E-2</v>
      </c>
      <c r="P38" s="56">
        <f t="shared" si="0"/>
        <v>-8.1596134204132961E-2</v>
      </c>
      <c r="Q38" s="11">
        <v>258.28800000000001</v>
      </c>
      <c r="R38" s="11"/>
      <c r="W38" s="58" t="s">
        <v>88</v>
      </c>
      <c r="Y38" t="s">
        <v>89</v>
      </c>
    </row>
    <row r="39" spans="2:25">
      <c r="B39" s="7" t="s">
        <v>31</v>
      </c>
      <c r="C39" s="7"/>
      <c r="D39" s="19"/>
      <c r="E39" s="20"/>
      <c r="F39" s="11">
        <v>2.0709999999999999E-2</v>
      </c>
      <c r="G39" s="11">
        <v>1.6539000000000001</v>
      </c>
      <c r="H39" s="11">
        <v>0.46106999999999998</v>
      </c>
      <c r="I39" s="11">
        <v>0.11306999999999999</v>
      </c>
      <c r="J39" s="11">
        <v>0.11393</v>
      </c>
      <c r="K39" s="11">
        <v>0.11393</v>
      </c>
      <c r="L39" s="11">
        <v>0.11427</v>
      </c>
      <c r="M39" s="43"/>
      <c r="N39" s="56">
        <f t="shared" si="1"/>
        <v>0.32930719295096367</v>
      </c>
      <c r="O39" s="56">
        <f t="shared" si="2"/>
        <v>0</v>
      </c>
      <c r="P39" s="56">
        <f t="shared" si="0"/>
        <v>2.9842885982620301E-3</v>
      </c>
      <c r="Q39" s="11">
        <v>0.11427</v>
      </c>
      <c r="R39" s="11"/>
      <c r="W39" s="58"/>
    </row>
    <row r="40" spans="2:25">
      <c r="B40" s="52" t="s">
        <v>32</v>
      </c>
      <c r="C40" s="52"/>
      <c r="D40" s="53"/>
      <c r="E40" s="20"/>
      <c r="F40" s="11">
        <v>478.78449000000001</v>
      </c>
      <c r="G40" s="11">
        <v>475.79535999999962</v>
      </c>
      <c r="H40" s="11">
        <v>234.01070999999962</v>
      </c>
      <c r="I40" s="11">
        <v>524.54452000000003</v>
      </c>
      <c r="J40" s="11">
        <v>466.49510000000009</v>
      </c>
      <c r="K40" s="11">
        <v>821.87397910000016</v>
      </c>
      <c r="L40" s="11">
        <v>981.62381999999991</v>
      </c>
      <c r="M40" s="43"/>
      <c r="N40" s="56">
        <f t="shared" si="1"/>
        <v>0.12711311319633767</v>
      </c>
      <c r="O40" s="56">
        <f>(K40-J40)/J40</f>
        <v>0.7618062421234435</v>
      </c>
      <c r="P40" s="56">
        <f t="shared" si="0"/>
        <v>0.19437267143429351</v>
      </c>
      <c r="Q40" s="11">
        <v>981.62381999999991</v>
      </c>
      <c r="R40" s="11"/>
      <c r="W40" s="58" t="s">
        <v>90</v>
      </c>
      <c r="Y40" t="s">
        <v>91</v>
      </c>
    </row>
    <row r="41" spans="2:25">
      <c r="B41" s="7" t="s">
        <v>33</v>
      </c>
      <c r="C41" s="7"/>
      <c r="D41" s="14"/>
      <c r="E41" s="14"/>
      <c r="F41" s="11">
        <v>124.95843000000001</v>
      </c>
      <c r="G41" s="11">
        <v>125.45827999999999</v>
      </c>
      <c r="H41" s="11">
        <v>127.77806999999999</v>
      </c>
      <c r="I41" s="11">
        <v>122.03872</v>
      </c>
      <c r="J41" s="11">
        <v>112.19878999999999</v>
      </c>
      <c r="K41" s="11">
        <v>101.91113</v>
      </c>
      <c r="L41" s="11">
        <v>136.62099349999997</v>
      </c>
      <c r="M41" s="43"/>
      <c r="N41" s="56">
        <f t="shared" si="1"/>
        <v>1.4982715427652948E-2</v>
      </c>
      <c r="O41" s="56">
        <f t="shared" si="2"/>
        <v>-9.1691363159976946E-2</v>
      </c>
      <c r="P41" s="56">
        <f t="shared" si="0"/>
        <v>0.34058952638440931</v>
      </c>
      <c r="Q41" s="11">
        <v>136.62099349999997</v>
      </c>
      <c r="R41" s="11"/>
      <c r="W41" s="58" t="s">
        <v>92</v>
      </c>
      <c r="Y41" t="s">
        <v>76</v>
      </c>
    </row>
    <row r="42" spans="2:25">
      <c r="B42" s="54" t="s">
        <v>34</v>
      </c>
      <c r="C42" s="54"/>
      <c r="D42" s="7"/>
      <c r="E42" s="20"/>
      <c r="F42" s="11">
        <v>481.04676000000001</v>
      </c>
      <c r="G42" s="11">
        <v>176.34855999999999</v>
      </c>
      <c r="H42" s="11">
        <v>66.579619999999991</v>
      </c>
      <c r="I42" s="11">
        <v>89.240580000000008</v>
      </c>
      <c r="J42" s="11">
        <v>114.04216000000001</v>
      </c>
      <c r="K42" s="11">
        <v>100</v>
      </c>
      <c r="L42" s="11">
        <v>100</v>
      </c>
      <c r="M42" s="43"/>
      <c r="N42" s="56">
        <f t="shared" si="1"/>
        <v>-0.23033432668442511</v>
      </c>
      <c r="O42" s="56">
        <f t="shared" si="2"/>
        <v>-0.12313130512435058</v>
      </c>
      <c r="P42" s="56">
        <f t="shared" si="0"/>
        <v>0</v>
      </c>
      <c r="Q42" s="11">
        <v>100</v>
      </c>
      <c r="R42" s="11"/>
      <c r="W42" s="58" t="s">
        <v>93</v>
      </c>
      <c r="Y42" t="s">
        <v>94</v>
      </c>
    </row>
    <row r="43" spans="2:25">
      <c r="B43" s="7" t="s">
        <v>35</v>
      </c>
      <c r="C43" s="7"/>
      <c r="D43" s="7"/>
      <c r="E43" s="20"/>
      <c r="F43" s="11">
        <v>14.724019999999999</v>
      </c>
      <c r="G43" s="11">
        <v>17.689630000000001</v>
      </c>
      <c r="H43" s="11">
        <v>17.24915</v>
      </c>
      <c r="I43" s="11">
        <v>19.25224</v>
      </c>
      <c r="J43" s="11">
        <v>18.983759999999997</v>
      </c>
      <c r="K43" s="11">
        <v>19.5</v>
      </c>
      <c r="L43" s="11">
        <v>20</v>
      </c>
      <c r="M43" s="43"/>
      <c r="N43" s="56">
        <f t="shared" si="1"/>
        <v>5.2367109261751033E-2</v>
      </c>
      <c r="O43" s="56">
        <f t="shared" si="2"/>
        <v>2.7193769832741431E-2</v>
      </c>
      <c r="P43" s="56">
        <f t="shared" si="0"/>
        <v>2.564102564102564E-2</v>
      </c>
      <c r="Q43" s="11">
        <v>20</v>
      </c>
      <c r="R43" s="11"/>
      <c r="W43" s="58"/>
    </row>
    <row r="44" spans="2:25">
      <c r="B44" s="7"/>
      <c r="C44" s="7"/>
      <c r="D44" s="7"/>
      <c r="E44" s="20"/>
      <c r="F44" s="18"/>
      <c r="G44" s="18"/>
      <c r="H44" s="18"/>
      <c r="I44" s="18"/>
      <c r="J44" s="18"/>
      <c r="K44" s="18"/>
      <c r="L44" s="18"/>
      <c r="M44" s="18"/>
      <c r="N44" s="56"/>
      <c r="O44" s="56"/>
      <c r="P44" s="56"/>
      <c r="Q44" s="18"/>
      <c r="R44" s="18"/>
    </row>
    <row r="45" spans="2:25">
      <c r="B45" s="15" t="s">
        <v>36</v>
      </c>
      <c r="C45" s="15"/>
      <c r="D45" s="15"/>
      <c r="E45" s="21"/>
      <c r="F45" s="17">
        <f t="shared" ref="F45:Q45" si="6">SUM(F17:F43)</f>
        <v>11930.91358</v>
      </c>
      <c r="G45" s="17">
        <f t="shared" si="6"/>
        <v>11503.827670000001</v>
      </c>
      <c r="H45" s="17">
        <f t="shared" si="6"/>
        <v>12397.041000000003</v>
      </c>
      <c r="I45" s="17">
        <f t="shared" si="6"/>
        <v>13665.144939999998</v>
      </c>
      <c r="J45" s="17">
        <f t="shared" si="6"/>
        <v>14429.935489999998</v>
      </c>
      <c r="K45" s="17">
        <f t="shared" si="6"/>
        <v>15591.162278799999</v>
      </c>
      <c r="L45" s="17">
        <f>SUM(L17:L43)</f>
        <v>14425.02722126578</v>
      </c>
      <c r="M45" s="18"/>
      <c r="N45" s="57">
        <f t="shared" si="1"/>
        <v>3.2144470430034433E-2</v>
      </c>
      <c r="O45" s="57">
        <f t="shared" si="2"/>
        <v>8.0473456697345278E-2</v>
      </c>
      <c r="P45" s="57">
        <f t="shared" si="0"/>
        <v>-7.4794619970049603E-2</v>
      </c>
      <c r="Q45" s="17">
        <f t="shared" si="6"/>
        <v>14769.28798036578</v>
      </c>
      <c r="R45" s="18"/>
    </row>
    <row r="46" spans="2:25">
      <c r="B46" s="7"/>
      <c r="C46" s="7"/>
      <c r="D46" s="7"/>
      <c r="E46" s="20"/>
      <c r="F46" s="18"/>
      <c r="G46" s="18"/>
      <c r="H46" s="18"/>
      <c r="I46" s="18"/>
      <c r="J46" s="18"/>
      <c r="K46" s="18"/>
      <c r="L46" s="18"/>
      <c r="M46" s="18"/>
      <c r="N46" s="56"/>
      <c r="O46" s="56"/>
      <c r="P46" s="56"/>
      <c r="Q46" s="18"/>
      <c r="R46" s="18"/>
    </row>
    <row r="47" spans="2:25">
      <c r="B47" s="15" t="s">
        <v>37</v>
      </c>
      <c r="C47" s="15"/>
      <c r="D47" s="15"/>
      <c r="E47" s="21"/>
      <c r="F47" s="17">
        <v>654.13599999999997</v>
      </c>
      <c r="G47" s="17">
        <v>735.21299999999997</v>
      </c>
      <c r="H47" s="17">
        <v>817.64099999999996</v>
      </c>
      <c r="I47" s="17">
        <v>898.76499999999999</v>
      </c>
      <c r="J47" s="17">
        <v>973.9</v>
      </c>
      <c r="K47" s="17">
        <v>1086.9000000000001</v>
      </c>
      <c r="L47" s="17">
        <v>1051.5</v>
      </c>
      <c r="M47" s="18"/>
      <c r="N47" s="57">
        <f t="shared" si="1"/>
        <v>8.2322958770411736E-2</v>
      </c>
      <c r="O47" s="57">
        <f t="shared" si="2"/>
        <v>0.11602833966526349</v>
      </c>
      <c r="P47" s="57">
        <f t="shared" si="0"/>
        <v>-3.256969362406853E-2</v>
      </c>
      <c r="Q47" s="17">
        <v>1051.5</v>
      </c>
      <c r="R47" s="18"/>
      <c r="W47" s="58" t="s">
        <v>95</v>
      </c>
    </row>
    <row r="48" spans="2:25">
      <c r="B48" s="7"/>
      <c r="C48" s="7"/>
      <c r="D48" s="7"/>
      <c r="E48" s="20"/>
      <c r="F48" s="22"/>
      <c r="G48" s="22"/>
      <c r="H48" s="22"/>
      <c r="I48" s="22"/>
      <c r="J48" s="22"/>
      <c r="K48" s="22"/>
      <c r="L48" s="22"/>
      <c r="M48" s="22"/>
      <c r="N48" s="39"/>
      <c r="O48" s="39"/>
      <c r="P48" s="39"/>
      <c r="Q48" s="22"/>
      <c r="R48" s="22"/>
    </row>
    <row r="49" spans="2:20">
      <c r="B49" s="7"/>
      <c r="C49" s="7"/>
      <c r="D49" s="7"/>
      <c r="E49" s="20"/>
      <c r="F49" s="22"/>
      <c r="G49" s="22"/>
      <c r="H49" s="22"/>
      <c r="I49" s="22"/>
      <c r="J49" s="22"/>
      <c r="K49" s="22"/>
      <c r="L49" s="22"/>
      <c r="M49" s="22"/>
      <c r="N49" s="39"/>
      <c r="O49" s="39"/>
      <c r="P49" s="39"/>
      <c r="Q49" s="22"/>
      <c r="R49" s="22"/>
    </row>
    <row r="50" spans="2:20" ht="15.75" thickBot="1">
      <c r="B50" s="23" t="s">
        <v>38</v>
      </c>
      <c r="C50" s="24"/>
      <c r="D50" s="24"/>
      <c r="E50" s="24"/>
      <c r="F50" s="25">
        <f>F45-F47</f>
        <v>11276.77758</v>
      </c>
      <c r="G50" s="25">
        <f t="shared" ref="G50:Q50" si="7">G45-G47</f>
        <v>10768.614670000001</v>
      </c>
      <c r="H50" s="25">
        <f t="shared" si="7"/>
        <v>11579.400000000003</v>
      </c>
      <c r="I50" s="25">
        <f t="shared" si="7"/>
        <v>12766.379939999999</v>
      </c>
      <c r="J50" s="25">
        <f t="shared" si="7"/>
        <v>13456.035489999998</v>
      </c>
      <c r="K50" s="25">
        <f t="shared" si="7"/>
        <v>14504.262278799999</v>
      </c>
      <c r="L50" s="25">
        <f>L45-L47</f>
        <v>13373.52722126578</v>
      </c>
      <c r="M50" s="37"/>
      <c r="N50" s="42">
        <f t="shared" si="1"/>
        <v>2.8829697716078018E-2</v>
      </c>
      <c r="O50" s="42">
        <f t="shared" si="2"/>
        <v>7.7900120698923686E-2</v>
      </c>
      <c r="P50" s="42">
        <f t="shared" si="0"/>
        <v>-7.7958812092563015E-2</v>
      </c>
      <c r="Q50" s="25">
        <f t="shared" si="7"/>
        <v>13717.78798036578</v>
      </c>
      <c r="R50" s="37"/>
    </row>
    <row r="51" spans="2:20">
      <c r="B51" s="7"/>
      <c r="C51" s="7"/>
      <c r="D51" s="14"/>
      <c r="E51" s="20"/>
      <c r="F51" s="22"/>
      <c r="G51" s="22"/>
      <c r="H51" s="22"/>
      <c r="I51" s="22"/>
      <c r="J51" s="22"/>
      <c r="K51" s="22"/>
      <c r="L51" s="22"/>
      <c r="M51" s="22"/>
      <c r="N51" s="22"/>
      <c r="O51" s="22"/>
      <c r="P51" s="22"/>
      <c r="Q51" s="22"/>
      <c r="R51" s="22"/>
    </row>
    <row r="52" spans="2:20" hidden="1" outlineLevel="1">
      <c r="B52" s="7" t="s">
        <v>39</v>
      </c>
      <c r="C52" s="7"/>
      <c r="D52" s="7"/>
      <c r="E52" s="20"/>
      <c r="F52" s="14">
        <v>11276.8</v>
      </c>
      <c r="G52" s="14">
        <v>10768.6</v>
      </c>
      <c r="H52" s="14">
        <v>11579.4</v>
      </c>
      <c r="I52" s="14">
        <v>12766.4</v>
      </c>
      <c r="J52" s="14">
        <v>13456</v>
      </c>
      <c r="K52" s="14">
        <v>14504.3</v>
      </c>
      <c r="L52" s="14">
        <v>13717.8</v>
      </c>
      <c r="M52" s="14"/>
      <c r="N52" s="14"/>
      <c r="O52" s="14"/>
      <c r="P52" s="14"/>
      <c r="Q52" s="14">
        <v>13717.8</v>
      </c>
      <c r="R52" s="14"/>
    </row>
    <row r="53" spans="2:20" hidden="1" outlineLevel="1">
      <c r="B53" s="7"/>
      <c r="C53" s="7"/>
      <c r="D53" s="7"/>
      <c r="E53" s="20"/>
      <c r="F53" s="22"/>
      <c r="G53" s="22"/>
      <c r="H53" s="22"/>
      <c r="I53" s="22"/>
      <c r="J53" s="22"/>
      <c r="K53" s="22"/>
      <c r="L53" s="22"/>
      <c r="M53" s="22"/>
      <c r="N53" s="22"/>
      <c r="O53" s="22"/>
      <c r="P53" s="22"/>
      <c r="Q53" s="22"/>
      <c r="R53" s="22"/>
    </row>
    <row r="54" spans="2:20" hidden="1" outlineLevel="1">
      <c r="B54" s="15" t="s">
        <v>40</v>
      </c>
      <c r="C54" s="15"/>
      <c r="D54" s="15"/>
      <c r="E54" s="21"/>
      <c r="F54" s="17">
        <f>(F50/1)-F52</f>
        <v>-2.2419999999328866E-2</v>
      </c>
      <c r="G54" s="17">
        <f t="shared" ref="G54:Q54" si="8">(G50/1)-G52</f>
        <v>1.4670000000478467E-2</v>
      </c>
      <c r="H54" s="17">
        <f t="shared" si="8"/>
        <v>0</v>
      </c>
      <c r="I54" s="17">
        <f t="shared" si="8"/>
        <v>-2.0060000000739819E-2</v>
      </c>
      <c r="J54" s="17">
        <f t="shared" si="8"/>
        <v>3.5489999998389976E-2</v>
      </c>
      <c r="K54" s="17">
        <f t="shared" si="8"/>
        <v>-3.7721200000305544E-2</v>
      </c>
      <c r="L54" s="17">
        <f t="shared" si="8"/>
        <v>-344.27277873421917</v>
      </c>
      <c r="M54" s="17"/>
      <c r="N54" s="17"/>
      <c r="O54" s="17"/>
      <c r="P54" s="17"/>
      <c r="Q54" s="17">
        <f t="shared" si="8"/>
        <v>-1.2019634219541331E-2</v>
      </c>
      <c r="R54" s="18"/>
    </row>
    <row r="55" spans="2:20" collapsed="1">
      <c r="B55" s="7"/>
      <c r="C55" s="7"/>
      <c r="D55" s="7"/>
      <c r="E55" s="20"/>
      <c r="F55" s="49">
        <v>11276.77758</v>
      </c>
      <c r="G55" s="49">
        <v>10768.614670000001</v>
      </c>
      <c r="H55" s="49">
        <v>11579.400000000003</v>
      </c>
      <c r="I55" s="49">
        <v>12766.379939999997</v>
      </c>
      <c r="J55" s="49">
        <v>13456.035489999998</v>
      </c>
      <c r="K55" s="49">
        <v>14504.262278799999</v>
      </c>
      <c r="L55" s="49">
        <v>13373.587980365781</v>
      </c>
      <c r="M55" s="49"/>
      <c r="N55" s="49">
        <v>2.883047675074768E-2</v>
      </c>
      <c r="O55" s="49">
        <v>7.7900120698923686E-2</v>
      </c>
      <c r="P55" s="49">
        <v>-7.795462304117709E-2</v>
      </c>
      <c r="Q55" s="14"/>
      <c r="R55" s="14"/>
    </row>
    <row r="56" spans="2:20" ht="6.75" customHeight="1">
      <c r="B56" s="7"/>
      <c r="C56" s="7"/>
      <c r="D56" s="7"/>
      <c r="E56" s="20"/>
      <c r="F56" s="14"/>
      <c r="G56" s="14"/>
      <c r="H56" s="14"/>
      <c r="I56" s="14"/>
      <c r="J56" s="14"/>
      <c r="K56" s="14"/>
      <c r="L56" s="14"/>
      <c r="M56" s="14"/>
      <c r="N56" s="14"/>
      <c r="O56" s="14"/>
      <c r="P56" s="14"/>
      <c r="Q56" s="14"/>
      <c r="R56" s="14"/>
    </row>
    <row r="57" spans="2:20" hidden="1" outlineLevel="1">
      <c r="B57" s="7"/>
      <c r="C57" s="7"/>
      <c r="D57" s="7"/>
      <c r="E57" s="20"/>
      <c r="F57" s="14"/>
      <c r="G57" s="14"/>
      <c r="H57" s="14"/>
      <c r="I57" s="14"/>
      <c r="J57" s="14"/>
      <c r="K57" s="14"/>
      <c r="L57" s="14"/>
      <c r="M57" s="14"/>
      <c r="N57" s="14"/>
      <c r="O57" s="14"/>
      <c r="P57" s="14"/>
      <c r="Q57" s="14"/>
      <c r="R57" s="14"/>
      <c r="S57">
        <v>-20</v>
      </c>
    </row>
    <row r="58" spans="2:20" hidden="1" outlineLevel="1">
      <c r="B58" s="7"/>
      <c r="C58" s="7"/>
      <c r="D58" s="7"/>
      <c r="E58" s="20"/>
      <c r="F58" s="14"/>
      <c r="G58" s="14"/>
      <c r="H58" s="14"/>
      <c r="I58" s="14"/>
      <c r="J58" s="14"/>
      <c r="K58" s="14"/>
      <c r="L58" s="14"/>
      <c r="M58" s="14"/>
      <c r="N58" s="14"/>
      <c r="O58" s="14"/>
      <c r="P58" s="14"/>
      <c r="Q58" s="14"/>
      <c r="R58" s="14"/>
      <c r="S58">
        <v>-75</v>
      </c>
    </row>
    <row r="59" spans="2:20" hidden="1" outlineLevel="1">
      <c r="B59" s="7"/>
      <c r="C59" s="7"/>
      <c r="D59" s="7"/>
      <c r="E59" s="20"/>
      <c r="F59" s="14"/>
      <c r="G59" s="14"/>
      <c r="H59" s="14"/>
      <c r="I59" s="14"/>
      <c r="J59" s="14"/>
      <c r="K59" s="14"/>
      <c r="L59" s="14"/>
      <c r="M59" s="14"/>
      <c r="N59" s="14"/>
      <c r="O59" s="14"/>
      <c r="P59" s="14"/>
      <c r="Q59" s="14"/>
      <c r="R59" s="14"/>
      <c r="S59">
        <f>-124.6*2</f>
        <v>-249.2</v>
      </c>
    </row>
    <row r="60" spans="2:20" hidden="1" outlineLevel="1">
      <c r="B60" s="7"/>
      <c r="C60" s="7"/>
      <c r="D60" s="7"/>
      <c r="E60" s="20"/>
      <c r="F60" s="14"/>
      <c r="G60" s="14"/>
      <c r="H60" s="14"/>
      <c r="I60" s="14"/>
      <c r="J60" s="14"/>
      <c r="K60" s="14"/>
      <c r="L60" s="14"/>
      <c r="M60" s="14"/>
      <c r="N60" s="14"/>
      <c r="O60" s="14"/>
      <c r="P60" s="14"/>
      <c r="Q60" s="14"/>
      <c r="R60" s="14"/>
      <c r="S60" s="38">
        <f>Q50+S57+S58+S59</f>
        <v>13373.587980365779</v>
      </c>
      <c r="T60" t="s">
        <v>51</v>
      </c>
    </row>
    <row r="61" spans="2:20" collapsed="1">
      <c r="B61" s="7"/>
      <c r="C61" s="7"/>
      <c r="D61" s="7"/>
      <c r="E61" s="20"/>
      <c r="F61" s="14"/>
      <c r="G61" s="14"/>
      <c r="H61" s="14"/>
      <c r="I61" s="14"/>
      <c r="J61" s="14"/>
      <c r="K61" s="14"/>
      <c r="L61" s="14"/>
      <c r="M61" s="14"/>
      <c r="N61" s="14"/>
      <c r="O61" s="14"/>
      <c r="P61" s="14"/>
      <c r="Q61" s="14"/>
      <c r="R61" s="14"/>
    </row>
    <row r="62" spans="2:20" ht="32.25" customHeight="1">
      <c r="B62" s="196" t="s">
        <v>41</v>
      </c>
      <c r="C62" s="196"/>
      <c r="D62" s="196"/>
      <c r="E62" s="196"/>
      <c r="F62" s="196"/>
      <c r="G62" s="196"/>
      <c r="H62" s="196"/>
      <c r="I62" s="196"/>
      <c r="J62" s="196"/>
      <c r="K62" s="196"/>
      <c r="L62" s="196"/>
      <c r="M62" s="196"/>
      <c r="N62" s="196"/>
      <c r="O62" s="196"/>
      <c r="P62" s="196"/>
      <c r="Q62" s="196"/>
      <c r="R62" s="35"/>
    </row>
    <row r="63" spans="2:20">
      <c r="B63" s="7"/>
      <c r="C63" s="7"/>
      <c r="D63" s="7"/>
      <c r="E63" s="26"/>
      <c r="F63" s="27"/>
      <c r="G63" s="27"/>
      <c r="H63" s="27"/>
      <c r="I63" s="27"/>
      <c r="J63" s="27"/>
      <c r="K63" s="27"/>
      <c r="L63" s="27"/>
      <c r="M63" s="27"/>
      <c r="N63" s="27"/>
      <c r="O63" s="27"/>
      <c r="P63" s="27"/>
      <c r="Q63" s="27"/>
      <c r="R63" s="27"/>
    </row>
    <row r="64" spans="2:20">
      <c r="B64" s="7"/>
      <c r="C64" s="7"/>
      <c r="D64" s="7"/>
      <c r="E64" s="28"/>
      <c r="F64" s="29"/>
      <c r="G64" s="29"/>
      <c r="H64" s="29"/>
      <c r="I64" s="29"/>
      <c r="J64" s="29"/>
      <c r="K64" s="29"/>
      <c r="L64" s="29" t="s">
        <v>42</v>
      </c>
      <c r="M64" s="29"/>
      <c r="N64" s="29"/>
      <c r="O64" s="29"/>
      <c r="P64" s="29"/>
      <c r="Q64" s="29"/>
      <c r="R64" s="29"/>
    </row>
    <row r="65" spans="2:19">
      <c r="B65" s="7"/>
      <c r="C65" s="7"/>
      <c r="D65" s="7"/>
      <c r="E65" s="28"/>
      <c r="F65" s="29"/>
      <c r="G65" s="29"/>
      <c r="H65" s="29"/>
      <c r="I65" s="29"/>
      <c r="J65" s="29"/>
      <c r="K65" s="29"/>
      <c r="L65" s="29" t="s">
        <v>46</v>
      </c>
      <c r="M65" s="29"/>
      <c r="N65" s="29"/>
      <c r="O65" s="29"/>
      <c r="P65" s="29"/>
      <c r="Q65" s="29"/>
      <c r="R65" s="29"/>
    </row>
    <row r="66" spans="2:19">
      <c r="B66" s="7"/>
      <c r="C66" s="7"/>
      <c r="D66" s="7"/>
      <c r="E66" s="28"/>
      <c r="F66" s="29"/>
      <c r="G66" s="29"/>
      <c r="H66" s="29"/>
      <c r="I66" s="29"/>
      <c r="J66" s="29"/>
      <c r="K66" s="29"/>
      <c r="L66" s="29" t="s">
        <v>43</v>
      </c>
      <c r="M66" s="29"/>
      <c r="N66" s="29"/>
      <c r="O66" s="29"/>
      <c r="P66" s="29"/>
      <c r="Q66" s="29"/>
      <c r="R66" s="29"/>
    </row>
    <row r="67" spans="2:19">
      <c r="B67" s="7" t="s">
        <v>44</v>
      </c>
      <c r="C67" s="7"/>
      <c r="D67" s="7"/>
      <c r="E67" s="28"/>
      <c r="F67" s="29"/>
      <c r="G67" s="29"/>
      <c r="H67" s="29"/>
      <c r="I67" s="29"/>
      <c r="J67" s="29"/>
      <c r="K67" s="29"/>
      <c r="L67" s="29" t="s">
        <v>45</v>
      </c>
      <c r="M67" s="29"/>
      <c r="N67" s="29"/>
      <c r="O67" s="29"/>
      <c r="P67" s="29"/>
      <c r="Q67" s="29"/>
      <c r="R67" s="29"/>
    </row>
    <row r="68" spans="2:19">
      <c r="B68" s="7"/>
      <c r="C68" s="7"/>
      <c r="D68" s="7"/>
      <c r="E68" s="28"/>
      <c r="F68" s="29"/>
      <c r="G68" s="29"/>
      <c r="H68" s="29"/>
      <c r="I68" s="29"/>
      <c r="J68" s="29"/>
      <c r="K68" s="29"/>
      <c r="L68" s="29"/>
      <c r="M68" s="29"/>
      <c r="N68" s="29"/>
      <c r="O68" s="29"/>
      <c r="P68" s="29"/>
      <c r="Q68" s="29"/>
      <c r="R68" s="29"/>
    </row>
    <row r="69" spans="2:19">
      <c r="B69" s="7"/>
      <c r="C69" s="7"/>
      <c r="D69" s="7"/>
      <c r="E69" s="28"/>
      <c r="F69" s="29"/>
      <c r="G69" s="29"/>
      <c r="H69" s="29"/>
      <c r="I69" s="29"/>
      <c r="J69" s="29"/>
      <c r="K69" s="29"/>
      <c r="L69" s="29"/>
      <c r="M69" s="29"/>
      <c r="N69" s="29"/>
      <c r="O69" s="29"/>
      <c r="P69" s="29"/>
      <c r="Q69" s="29"/>
      <c r="R69" s="29"/>
    </row>
    <row r="70" spans="2:19">
      <c r="B70" s="7"/>
      <c r="C70" s="7"/>
      <c r="D70" s="7"/>
      <c r="E70" s="28"/>
      <c r="F70" s="29"/>
      <c r="G70" s="29"/>
      <c r="H70" s="29"/>
      <c r="I70" s="29"/>
      <c r="J70" s="29"/>
      <c r="K70" s="29"/>
      <c r="L70" s="29"/>
      <c r="M70" s="29"/>
      <c r="N70" s="29"/>
      <c r="O70" s="29"/>
      <c r="P70" s="29"/>
      <c r="Q70" s="29"/>
      <c r="R70" s="29"/>
      <c r="S70" s="9"/>
    </row>
    <row r="71" spans="2:19">
      <c r="B71" s="7"/>
      <c r="C71" s="7"/>
      <c r="D71" s="7"/>
      <c r="E71" s="28"/>
      <c r="F71" s="29"/>
      <c r="G71" s="29"/>
      <c r="H71" s="29"/>
      <c r="I71" s="29"/>
      <c r="J71" s="29"/>
      <c r="K71" s="29"/>
      <c r="L71" s="29"/>
      <c r="M71" s="29"/>
      <c r="N71" s="29"/>
      <c r="O71" s="29"/>
      <c r="P71" s="29"/>
      <c r="Q71" s="29"/>
      <c r="R71" s="29"/>
      <c r="S71" s="9"/>
    </row>
    <row r="72" spans="2:19">
      <c r="B72" s="7"/>
      <c r="C72" s="7"/>
      <c r="D72" s="7"/>
      <c r="E72" s="28"/>
      <c r="F72" s="29"/>
      <c r="G72" s="29"/>
      <c r="H72" s="29"/>
      <c r="I72" s="29"/>
      <c r="J72" s="29"/>
      <c r="K72" s="29"/>
      <c r="L72" s="29"/>
      <c r="M72" s="29"/>
      <c r="N72" s="29"/>
      <c r="O72" s="29"/>
      <c r="P72" s="29"/>
      <c r="Q72" s="29"/>
      <c r="R72" s="29"/>
      <c r="S72" s="9"/>
    </row>
    <row r="73" spans="2:19" s="13" customFormat="1" ht="24" customHeight="1">
      <c r="B73" s="7"/>
      <c r="C73" s="7"/>
      <c r="D73" s="7"/>
      <c r="E73" s="26"/>
      <c r="F73" s="30"/>
      <c r="G73" s="30"/>
      <c r="H73" s="30"/>
      <c r="I73" s="30"/>
      <c r="J73" s="30"/>
      <c r="K73" s="30"/>
      <c r="L73" s="30"/>
      <c r="M73" s="30"/>
      <c r="N73" s="30"/>
      <c r="O73" s="30"/>
      <c r="P73" s="30"/>
      <c r="Q73" s="30"/>
      <c r="R73" s="30"/>
      <c r="S73" s="12"/>
    </row>
    <row r="74" spans="2:19">
      <c r="B74" s="7"/>
      <c r="C74" s="7"/>
      <c r="D74" s="7"/>
      <c r="E74" s="28"/>
      <c r="F74" s="29"/>
      <c r="G74" s="29"/>
      <c r="H74" s="29"/>
      <c r="I74" s="29"/>
      <c r="J74" s="29"/>
      <c r="K74" s="29"/>
      <c r="L74" s="29"/>
      <c r="M74" s="29"/>
      <c r="N74" s="29"/>
      <c r="O74" s="29"/>
      <c r="P74" s="29"/>
      <c r="Q74" s="29"/>
      <c r="R74" s="29"/>
      <c r="S74" s="9"/>
    </row>
    <row r="75" spans="2:19">
      <c r="B75" s="7"/>
      <c r="C75" s="7"/>
      <c r="D75" s="7"/>
      <c r="E75" s="28"/>
      <c r="F75" s="29"/>
      <c r="G75" s="29"/>
      <c r="H75" s="29"/>
      <c r="I75" s="29"/>
      <c r="J75" s="29"/>
      <c r="K75" s="29"/>
      <c r="L75" s="29"/>
      <c r="M75" s="29"/>
      <c r="N75" s="29"/>
      <c r="O75" s="29"/>
      <c r="P75" s="29"/>
      <c r="Q75" s="29"/>
      <c r="R75" s="29"/>
      <c r="S75" s="9"/>
    </row>
    <row r="76" spans="2:19">
      <c r="B76" s="7"/>
      <c r="C76" s="7"/>
      <c r="D76" s="7"/>
      <c r="E76" s="28"/>
      <c r="F76" s="29"/>
      <c r="G76" s="29"/>
      <c r="H76" s="29"/>
      <c r="I76" s="29"/>
      <c r="J76" s="29"/>
      <c r="K76" s="29"/>
      <c r="L76" s="29"/>
      <c r="M76" s="29"/>
      <c r="N76" s="29"/>
      <c r="O76" s="29"/>
      <c r="P76" s="29"/>
      <c r="Q76" s="29"/>
      <c r="R76" s="29"/>
    </row>
    <row r="77" spans="2:19">
      <c r="B77" s="7"/>
      <c r="C77" s="7"/>
      <c r="D77" s="7"/>
      <c r="E77" s="28"/>
      <c r="F77" s="29"/>
      <c r="G77" s="29"/>
      <c r="H77" s="29"/>
      <c r="I77" s="29"/>
      <c r="J77" s="29"/>
      <c r="K77" s="29"/>
      <c r="L77" s="29"/>
      <c r="M77" s="29"/>
      <c r="N77" s="29"/>
      <c r="O77" s="29"/>
      <c r="P77" s="29"/>
      <c r="Q77" s="29"/>
      <c r="R77" s="29"/>
    </row>
    <row r="78" spans="2:19">
      <c r="B78" s="7"/>
      <c r="C78" s="7"/>
      <c r="D78" s="7"/>
      <c r="E78" s="28"/>
      <c r="F78" s="29"/>
      <c r="G78" s="29"/>
      <c r="H78" s="29"/>
      <c r="I78" s="29"/>
      <c r="J78" s="29"/>
      <c r="K78" s="29"/>
      <c r="L78" s="29"/>
      <c r="M78" s="29"/>
      <c r="N78" s="29"/>
      <c r="O78" s="29"/>
      <c r="P78" s="29"/>
      <c r="Q78" s="29"/>
      <c r="R78" s="29"/>
    </row>
    <row r="79" spans="2:19">
      <c r="B79" s="7"/>
      <c r="C79" s="7"/>
      <c r="D79" s="7"/>
      <c r="E79" s="28"/>
      <c r="F79" s="29"/>
      <c r="G79" s="29"/>
      <c r="H79" s="29"/>
      <c r="I79" s="29"/>
      <c r="J79" s="29"/>
      <c r="K79" s="29"/>
      <c r="L79" s="29"/>
      <c r="M79" s="29"/>
      <c r="N79" s="29"/>
      <c r="O79" s="29"/>
      <c r="P79" s="29"/>
      <c r="Q79" s="29"/>
      <c r="R79" s="29"/>
    </row>
    <row r="80" spans="2:19">
      <c r="B80" s="7"/>
      <c r="C80" s="7"/>
      <c r="D80" s="7"/>
      <c r="E80" s="28"/>
      <c r="F80" s="29"/>
      <c r="G80" s="29"/>
      <c r="H80" s="29"/>
      <c r="I80" s="29"/>
      <c r="J80" s="29"/>
      <c r="K80" s="29"/>
      <c r="L80" s="29"/>
      <c r="M80" s="29"/>
      <c r="N80" s="29"/>
      <c r="O80" s="29"/>
      <c r="P80" s="29"/>
      <c r="Q80" s="29"/>
      <c r="R80" s="29"/>
    </row>
    <row r="81" spans="2:18">
      <c r="B81" s="7"/>
      <c r="C81" s="7"/>
      <c r="D81" s="7"/>
      <c r="E81" s="28"/>
      <c r="F81" s="29"/>
      <c r="G81" s="29"/>
      <c r="H81" s="29"/>
      <c r="I81" s="29"/>
      <c r="J81" s="29"/>
      <c r="K81" s="29"/>
      <c r="L81" s="29"/>
      <c r="M81" s="29"/>
      <c r="N81" s="29"/>
      <c r="O81" s="29"/>
      <c r="P81" s="29"/>
      <c r="Q81" s="29"/>
      <c r="R81" s="29"/>
    </row>
    <row r="82" spans="2:18">
      <c r="B82" s="7"/>
      <c r="C82" s="7"/>
      <c r="D82" s="7"/>
      <c r="E82" s="28"/>
      <c r="F82" s="29"/>
      <c r="G82" s="29"/>
      <c r="H82" s="29"/>
      <c r="I82" s="29"/>
      <c r="J82" s="29"/>
      <c r="K82" s="29"/>
      <c r="L82" s="29"/>
      <c r="M82" s="29"/>
      <c r="N82" s="29"/>
      <c r="O82" s="29"/>
      <c r="P82" s="29"/>
      <c r="Q82" s="29"/>
      <c r="R82" s="29"/>
    </row>
    <row r="83" spans="2:18">
      <c r="B83" s="7"/>
      <c r="C83" s="7"/>
      <c r="D83" s="7"/>
      <c r="E83" s="28"/>
      <c r="F83" s="29"/>
      <c r="G83" s="29"/>
      <c r="H83" s="29"/>
      <c r="I83" s="29"/>
      <c r="J83" s="29"/>
      <c r="K83" s="29"/>
      <c r="L83" s="29"/>
      <c r="M83" s="29"/>
      <c r="N83" s="29"/>
      <c r="O83" s="29"/>
      <c r="P83" s="29"/>
      <c r="Q83" s="29"/>
      <c r="R83" s="29"/>
    </row>
    <row r="84" spans="2:18">
      <c r="B84" s="7"/>
      <c r="C84" s="7"/>
      <c r="D84" s="7"/>
      <c r="E84" s="28"/>
      <c r="F84" s="29"/>
      <c r="G84" s="29"/>
      <c r="H84" s="29"/>
      <c r="I84" s="29"/>
      <c r="J84" s="29"/>
      <c r="K84" s="29"/>
      <c r="L84" s="29"/>
      <c r="M84" s="29"/>
      <c r="N84" s="29"/>
      <c r="O84" s="29"/>
      <c r="P84" s="29"/>
      <c r="Q84" s="29"/>
      <c r="R84" s="29"/>
    </row>
    <row r="85" spans="2:18">
      <c r="B85" s="7"/>
      <c r="C85" s="7"/>
      <c r="D85" s="7"/>
      <c r="E85" s="28"/>
      <c r="F85" s="29"/>
      <c r="G85" s="29"/>
      <c r="H85" s="29"/>
      <c r="I85" s="29"/>
      <c r="J85" s="29"/>
      <c r="K85" s="29"/>
      <c r="L85" s="29"/>
      <c r="M85" s="29"/>
      <c r="N85" s="29"/>
      <c r="O85" s="29"/>
      <c r="P85" s="29"/>
      <c r="Q85" s="29"/>
      <c r="R85" s="29"/>
    </row>
    <row r="86" spans="2:18">
      <c r="B86" s="7"/>
      <c r="C86" s="7"/>
      <c r="D86" s="7"/>
      <c r="E86" s="28"/>
      <c r="F86" s="29"/>
      <c r="G86" s="29"/>
      <c r="H86" s="29"/>
      <c r="I86" s="29"/>
      <c r="J86" s="29"/>
      <c r="K86" s="29"/>
      <c r="L86" s="29"/>
      <c r="M86" s="29"/>
      <c r="N86" s="29"/>
      <c r="O86" s="29"/>
      <c r="P86" s="29"/>
      <c r="Q86" s="29"/>
      <c r="R86" s="29"/>
    </row>
    <row r="87" spans="2:18">
      <c r="B87" s="7"/>
      <c r="C87" s="7"/>
      <c r="D87" s="7"/>
      <c r="E87" s="28"/>
      <c r="F87" s="29"/>
      <c r="G87" s="29"/>
      <c r="H87" s="29"/>
      <c r="I87" s="29"/>
      <c r="J87" s="29"/>
      <c r="K87" s="29"/>
      <c r="L87" s="29"/>
      <c r="M87" s="29"/>
      <c r="N87" s="29"/>
      <c r="O87" s="29"/>
      <c r="P87" s="29"/>
      <c r="Q87" s="29"/>
      <c r="R87" s="29"/>
    </row>
    <row r="88" spans="2:18">
      <c r="B88" s="7"/>
      <c r="C88" s="7"/>
      <c r="D88" s="7"/>
      <c r="E88" s="28"/>
      <c r="F88" s="29"/>
      <c r="G88" s="29"/>
      <c r="H88" s="29"/>
      <c r="I88" s="29"/>
      <c r="J88" s="29"/>
      <c r="K88" s="29"/>
      <c r="L88" s="29"/>
      <c r="M88" s="29"/>
      <c r="N88" s="29"/>
      <c r="O88" s="29"/>
      <c r="P88" s="29"/>
      <c r="Q88" s="29"/>
      <c r="R88" s="29"/>
    </row>
    <row r="89" spans="2:18">
      <c r="B89" s="7"/>
      <c r="C89" s="7"/>
      <c r="D89" s="7"/>
      <c r="E89" s="28"/>
      <c r="F89" s="29"/>
      <c r="G89" s="29"/>
      <c r="H89" s="29"/>
      <c r="I89" s="29"/>
      <c r="J89" s="29"/>
      <c r="K89" s="29"/>
      <c r="L89" s="29"/>
      <c r="M89" s="29"/>
      <c r="N89" s="29"/>
      <c r="O89" s="29"/>
      <c r="P89" s="29"/>
      <c r="Q89" s="29"/>
      <c r="R89" s="29"/>
    </row>
    <row r="90" spans="2:18">
      <c r="B90" s="7"/>
      <c r="C90" s="7"/>
      <c r="D90" s="7"/>
      <c r="E90" s="28"/>
      <c r="F90" s="29"/>
      <c r="G90" s="29"/>
      <c r="H90" s="29"/>
      <c r="I90" s="29"/>
      <c r="J90" s="29"/>
      <c r="K90" s="29"/>
      <c r="L90" s="29"/>
      <c r="M90" s="29"/>
      <c r="N90" s="29"/>
      <c r="O90" s="29"/>
      <c r="P90" s="29"/>
      <c r="Q90" s="29"/>
      <c r="R90" s="29"/>
    </row>
    <row r="91" spans="2:18">
      <c r="B91" s="7"/>
      <c r="C91" s="7"/>
      <c r="D91" s="7"/>
      <c r="E91" s="28"/>
      <c r="F91" s="29"/>
      <c r="G91" s="29"/>
      <c r="H91" s="29"/>
      <c r="I91" s="29"/>
      <c r="J91" s="29"/>
      <c r="K91" s="29"/>
      <c r="L91" s="29"/>
      <c r="M91" s="29"/>
      <c r="N91" s="29"/>
      <c r="O91" s="29"/>
      <c r="P91" s="29"/>
      <c r="Q91" s="29"/>
      <c r="R91" s="29"/>
    </row>
    <row r="92" spans="2:18">
      <c r="B92" s="7"/>
      <c r="C92" s="7"/>
      <c r="D92" s="28"/>
      <c r="E92" s="28"/>
      <c r="F92" s="29"/>
      <c r="G92" s="29"/>
      <c r="H92" s="29"/>
      <c r="I92" s="29"/>
      <c r="J92" s="29"/>
      <c r="K92" s="29"/>
      <c r="L92" s="29"/>
      <c r="M92" s="29"/>
      <c r="N92" s="29"/>
      <c r="O92" s="29"/>
      <c r="P92" s="29"/>
      <c r="Q92" s="29"/>
      <c r="R92" s="29"/>
    </row>
    <row r="93" spans="2:18">
      <c r="B93" s="7"/>
      <c r="C93" s="7"/>
      <c r="D93" s="7"/>
      <c r="E93" s="28"/>
      <c r="F93" s="29"/>
      <c r="G93" s="29"/>
      <c r="H93" s="29"/>
      <c r="I93" s="29"/>
      <c r="J93" s="29"/>
      <c r="K93" s="29"/>
      <c r="L93" s="29"/>
      <c r="M93" s="29"/>
      <c r="N93" s="29"/>
      <c r="O93" s="29"/>
      <c r="P93" s="29"/>
      <c r="Q93" s="29"/>
      <c r="R93" s="29"/>
    </row>
    <row r="94" spans="2:18">
      <c r="B94" s="7"/>
      <c r="C94" s="7"/>
      <c r="D94" s="7"/>
      <c r="E94" s="28"/>
      <c r="F94" s="29"/>
      <c r="G94" s="29"/>
      <c r="H94" s="29"/>
      <c r="I94" s="29"/>
      <c r="J94" s="29"/>
      <c r="K94" s="29"/>
      <c r="L94" s="29"/>
      <c r="M94" s="29"/>
      <c r="N94" s="29"/>
      <c r="O94" s="29"/>
      <c r="P94" s="29"/>
      <c r="Q94" s="29"/>
      <c r="R94" s="29"/>
    </row>
    <row r="95" spans="2:18">
      <c r="B95" s="7"/>
      <c r="C95" s="7"/>
      <c r="D95" s="7"/>
      <c r="E95" s="28"/>
      <c r="F95" s="29"/>
      <c r="G95" s="29"/>
      <c r="H95" s="29"/>
      <c r="I95" s="29"/>
      <c r="J95" s="29"/>
      <c r="K95" s="29"/>
      <c r="L95" s="29"/>
      <c r="M95" s="29"/>
      <c r="N95" s="29"/>
      <c r="O95" s="29"/>
      <c r="P95" s="29"/>
      <c r="Q95" s="29"/>
      <c r="R95" s="29"/>
    </row>
    <row r="96" spans="2:18" s="32" customFormat="1">
      <c r="B96" s="19"/>
      <c r="C96" s="19"/>
      <c r="D96" s="19"/>
      <c r="E96" s="26"/>
      <c r="F96" s="31"/>
      <c r="G96" s="31"/>
      <c r="H96" s="31"/>
      <c r="I96" s="31"/>
      <c r="J96" s="31"/>
      <c r="K96" s="31"/>
      <c r="L96" s="31"/>
      <c r="M96" s="31"/>
      <c r="N96" s="31"/>
      <c r="O96" s="31"/>
      <c r="P96" s="31"/>
      <c r="Q96" s="31"/>
      <c r="R96" s="31"/>
    </row>
    <row r="97" spans="2:18">
      <c r="B97" s="7"/>
      <c r="C97" s="7"/>
      <c r="D97" s="7"/>
      <c r="E97" s="28"/>
      <c r="F97" s="29"/>
      <c r="G97" s="29"/>
      <c r="H97" s="29"/>
      <c r="I97" s="29"/>
      <c r="J97" s="29"/>
      <c r="K97" s="29"/>
      <c r="L97" s="29"/>
      <c r="M97" s="29"/>
      <c r="N97" s="29"/>
      <c r="O97" s="29"/>
      <c r="P97" s="29"/>
      <c r="Q97" s="29"/>
      <c r="R97" s="29"/>
    </row>
    <row r="98" spans="2:18">
      <c r="B98" s="7"/>
      <c r="C98" s="7"/>
      <c r="D98" s="7"/>
      <c r="E98" s="28"/>
      <c r="F98" s="29"/>
      <c r="G98" s="29"/>
      <c r="H98" s="29"/>
      <c r="I98" s="29"/>
      <c r="J98" s="29"/>
      <c r="K98" s="29"/>
      <c r="L98" s="29"/>
      <c r="M98" s="29"/>
      <c r="N98" s="29"/>
      <c r="O98" s="29"/>
      <c r="P98" s="29"/>
      <c r="Q98" s="29"/>
      <c r="R98" s="29"/>
    </row>
    <row r="99" spans="2:18">
      <c r="B99" s="7"/>
      <c r="C99" s="7"/>
      <c r="D99" s="7"/>
      <c r="E99" s="28"/>
      <c r="F99" s="29"/>
      <c r="G99" s="29"/>
      <c r="H99" s="29"/>
      <c r="I99" s="29"/>
      <c r="J99" s="29"/>
      <c r="K99" s="29"/>
      <c r="L99" s="29"/>
      <c r="M99" s="29"/>
      <c r="N99" s="29"/>
      <c r="O99" s="29"/>
      <c r="P99" s="29"/>
      <c r="Q99" s="29"/>
      <c r="R99" s="29"/>
    </row>
    <row r="100" spans="2:18">
      <c r="B100" s="7"/>
      <c r="C100" s="7"/>
      <c r="D100" s="7"/>
      <c r="E100" s="28"/>
      <c r="F100" s="29"/>
      <c r="G100" s="29"/>
      <c r="H100" s="29"/>
      <c r="I100" s="29"/>
      <c r="J100" s="29"/>
      <c r="K100" s="29"/>
      <c r="L100" s="29"/>
      <c r="M100" s="29"/>
      <c r="N100" s="29"/>
      <c r="O100" s="29"/>
      <c r="P100" s="29"/>
      <c r="Q100" s="29"/>
      <c r="R100" s="29"/>
    </row>
    <row r="101" spans="2:18">
      <c r="B101" s="7"/>
      <c r="C101" s="7"/>
      <c r="D101" s="7"/>
      <c r="E101" s="28"/>
      <c r="F101" s="29"/>
      <c r="G101" s="29"/>
      <c r="H101" s="29"/>
      <c r="I101" s="29"/>
      <c r="J101" s="29"/>
      <c r="K101" s="29"/>
      <c r="L101" s="29"/>
      <c r="M101" s="29"/>
      <c r="N101" s="29"/>
      <c r="O101" s="29"/>
      <c r="P101" s="29"/>
      <c r="Q101" s="29"/>
      <c r="R101" s="29"/>
    </row>
    <row r="102" spans="2:18">
      <c r="B102" s="7"/>
      <c r="C102" s="7"/>
      <c r="D102" s="7"/>
      <c r="E102" s="28"/>
      <c r="F102" s="29"/>
      <c r="G102" s="29"/>
      <c r="H102" s="29"/>
      <c r="I102" s="29"/>
      <c r="J102" s="29"/>
      <c r="K102" s="29"/>
      <c r="L102" s="29"/>
      <c r="M102" s="29"/>
      <c r="N102" s="29"/>
      <c r="O102" s="29"/>
      <c r="P102" s="29"/>
      <c r="Q102" s="29"/>
      <c r="R102" s="29"/>
    </row>
    <row r="103" spans="2:18">
      <c r="B103" s="28"/>
      <c r="C103" s="28"/>
      <c r="D103" s="28"/>
      <c r="E103" s="28"/>
      <c r="F103" s="28"/>
      <c r="G103" s="28"/>
      <c r="H103" s="28"/>
      <c r="I103" s="28"/>
      <c r="J103" s="28"/>
      <c r="K103" s="28"/>
      <c r="L103" s="28"/>
      <c r="M103" s="28"/>
      <c r="N103" s="28"/>
      <c r="O103" s="28"/>
      <c r="P103" s="28"/>
      <c r="Q103" s="28"/>
      <c r="R103" s="28"/>
    </row>
    <row r="104" spans="2:18">
      <c r="B104" s="28"/>
      <c r="C104" s="28"/>
      <c r="D104" s="28"/>
      <c r="E104" s="28"/>
      <c r="F104" s="28"/>
      <c r="G104" s="28"/>
      <c r="H104" s="28"/>
      <c r="I104" s="28"/>
      <c r="J104" s="28"/>
      <c r="K104" s="28"/>
      <c r="L104" s="28"/>
      <c r="M104" s="28"/>
      <c r="N104" s="28"/>
      <c r="O104" s="28"/>
      <c r="P104" s="28"/>
      <c r="Q104" s="28"/>
      <c r="R104" s="28"/>
    </row>
    <row r="105" spans="2:18">
      <c r="B105" s="28"/>
      <c r="C105" s="28"/>
      <c r="D105" s="28"/>
      <c r="E105" s="28"/>
      <c r="F105" s="28"/>
      <c r="G105" s="28"/>
      <c r="H105" s="28"/>
      <c r="I105" s="28"/>
      <c r="J105" s="28"/>
      <c r="K105" s="28"/>
      <c r="L105" s="28"/>
      <c r="M105" s="28"/>
      <c r="N105" s="28"/>
      <c r="O105" s="28"/>
      <c r="P105" s="28"/>
      <c r="Q105" s="28"/>
      <c r="R105" s="28"/>
    </row>
    <row r="106" spans="2:18">
      <c r="B106" s="28"/>
      <c r="C106" s="28"/>
      <c r="D106" s="28"/>
      <c r="E106" s="28"/>
      <c r="F106" s="28"/>
      <c r="G106" s="28"/>
      <c r="H106" s="28"/>
      <c r="I106" s="28"/>
      <c r="J106" s="28"/>
      <c r="K106" s="28"/>
      <c r="L106" s="28"/>
      <c r="M106" s="28"/>
      <c r="N106" s="28"/>
      <c r="O106" s="28"/>
      <c r="P106" s="28"/>
      <c r="Q106" s="28"/>
      <c r="R106" s="28"/>
    </row>
    <row r="107" spans="2:18">
      <c r="B107" s="28"/>
      <c r="C107" s="28"/>
      <c r="D107" s="28"/>
      <c r="E107" s="28"/>
      <c r="F107" s="28"/>
      <c r="G107" s="28"/>
      <c r="H107" s="28"/>
      <c r="I107" s="28"/>
      <c r="J107" s="28"/>
      <c r="K107" s="28"/>
      <c r="L107" s="28"/>
      <c r="M107" s="28"/>
      <c r="N107" s="28"/>
      <c r="O107" s="28"/>
      <c r="P107" s="28"/>
      <c r="Q107" s="28"/>
      <c r="R107" s="28"/>
    </row>
    <row r="108" spans="2:18">
      <c r="B108" s="28"/>
      <c r="C108" s="28"/>
      <c r="D108" s="28"/>
      <c r="E108" s="28"/>
      <c r="F108" s="28"/>
      <c r="G108" s="28"/>
      <c r="H108" s="28"/>
      <c r="I108" s="28"/>
      <c r="J108" s="28"/>
      <c r="K108" s="28"/>
      <c r="L108" s="28"/>
      <c r="M108" s="28"/>
      <c r="N108" s="28"/>
      <c r="O108" s="28"/>
      <c r="P108" s="28"/>
      <c r="Q108" s="28"/>
      <c r="R108" s="28"/>
    </row>
    <row r="109" spans="2:18">
      <c r="B109" s="28"/>
      <c r="C109" s="28"/>
      <c r="D109" s="28"/>
      <c r="E109" s="28"/>
      <c r="F109" s="28"/>
      <c r="G109" s="28"/>
      <c r="H109" s="28"/>
      <c r="I109" s="28"/>
      <c r="J109" s="28"/>
      <c r="K109" s="28"/>
      <c r="L109" s="28"/>
      <c r="M109" s="28"/>
      <c r="N109" s="28"/>
      <c r="O109" s="28"/>
      <c r="P109" s="28"/>
      <c r="Q109" s="28"/>
      <c r="R109" s="28"/>
    </row>
    <row r="110" spans="2:18">
      <c r="B110" s="28"/>
      <c r="C110" s="28"/>
      <c r="D110" s="28"/>
      <c r="E110" s="28"/>
      <c r="F110" s="28"/>
      <c r="G110" s="28"/>
      <c r="H110" s="28"/>
      <c r="I110" s="28"/>
      <c r="J110" s="28"/>
      <c r="K110" s="28"/>
      <c r="L110" s="28"/>
      <c r="M110" s="28"/>
      <c r="N110" s="28"/>
      <c r="O110" s="28"/>
      <c r="P110" s="28"/>
      <c r="Q110" s="28"/>
      <c r="R110" s="28"/>
    </row>
    <row r="111" spans="2:18">
      <c r="B111" s="28"/>
      <c r="C111" s="28"/>
      <c r="D111" s="28"/>
      <c r="E111" s="28"/>
      <c r="F111" s="28"/>
      <c r="G111" s="28"/>
      <c r="H111" s="28"/>
      <c r="I111" s="28"/>
      <c r="J111" s="28"/>
      <c r="K111" s="28"/>
      <c r="L111" s="28"/>
      <c r="M111" s="28"/>
      <c r="N111" s="28"/>
      <c r="O111" s="28"/>
      <c r="P111" s="28"/>
      <c r="Q111" s="28"/>
      <c r="R111" s="28"/>
    </row>
    <row r="112" spans="2:18">
      <c r="B112" s="28"/>
      <c r="C112" s="28"/>
      <c r="D112" s="28"/>
      <c r="E112" s="28"/>
      <c r="F112" s="28"/>
      <c r="G112" s="28"/>
      <c r="H112" s="28"/>
      <c r="I112" s="28"/>
      <c r="J112" s="28"/>
      <c r="K112" s="28"/>
      <c r="L112" s="28"/>
      <c r="M112" s="28"/>
      <c r="N112" s="28"/>
      <c r="O112" s="28"/>
      <c r="P112" s="28"/>
      <c r="Q112" s="28"/>
      <c r="R112" s="28"/>
    </row>
    <row r="113" spans="2:18">
      <c r="B113" s="28"/>
      <c r="C113" s="28"/>
      <c r="D113" s="28"/>
      <c r="E113" s="28"/>
      <c r="F113" s="28"/>
      <c r="G113" s="28"/>
      <c r="H113" s="28"/>
      <c r="I113" s="28"/>
      <c r="J113" s="28"/>
      <c r="K113" s="28"/>
      <c r="L113" s="28"/>
      <c r="M113" s="28"/>
      <c r="N113" s="28"/>
      <c r="O113" s="28"/>
      <c r="P113" s="28"/>
      <c r="Q113" s="28"/>
      <c r="R113" s="28"/>
    </row>
    <row r="114" spans="2:18">
      <c r="B114" s="28"/>
      <c r="C114" s="28"/>
      <c r="D114" s="28"/>
      <c r="E114" s="28"/>
      <c r="F114" s="28"/>
      <c r="G114" s="28"/>
      <c r="H114" s="28"/>
      <c r="I114" s="28"/>
      <c r="J114" s="28"/>
      <c r="K114" s="28"/>
      <c r="L114" s="28"/>
      <c r="M114" s="28"/>
      <c r="N114" s="28"/>
      <c r="O114" s="28"/>
      <c r="P114" s="28"/>
      <c r="Q114" s="28"/>
      <c r="R114" s="28"/>
    </row>
    <row r="115" spans="2:18">
      <c r="B115" s="28"/>
      <c r="C115" s="28"/>
      <c r="D115" s="28"/>
      <c r="E115" s="28"/>
      <c r="F115" s="28"/>
      <c r="G115" s="28"/>
      <c r="H115" s="28"/>
      <c r="I115" s="28"/>
      <c r="J115" s="28"/>
      <c r="K115" s="28"/>
      <c r="L115" s="28"/>
      <c r="M115" s="28"/>
      <c r="N115" s="28"/>
      <c r="O115" s="28"/>
      <c r="P115" s="28"/>
      <c r="Q115" s="28"/>
      <c r="R115" s="28"/>
    </row>
    <row r="116" spans="2:18">
      <c r="B116" s="28"/>
      <c r="C116" s="28"/>
      <c r="D116" s="28"/>
      <c r="E116" s="28"/>
      <c r="F116" s="28"/>
      <c r="G116" s="28"/>
      <c r="H116" s="28"/>
      <c r="I116" s="28"/>
      <c r="J116" s="28"/>
      <c r="K116" s="28"/>
      <c r="L116" s="28"/>
      <c r="M116" s="28"/>
      <c r="N116" s="28"/>
      <c r="O116" s="28"/>
      <c r="P116" s="28"/>
      <c r="Q116" s="28"/>
      <c r="R116" s="28"/>
    </row>
    <row r="117" spans="2:18">
      <c r="B117" s="28"/>
      <c r="C117" s="28"/>
      <c r="D117" s="28"/>
      <c r="E117" s="28"/>
      <c r="F117" s="28"/>
      <c r="G117" s="28"/>
      <c r="H117" s="28"/>
      <c r="I117" s="28"/>
      <c r="J117" s="28"/>
      <c r="K117" s="28"/>
      <c r="L117" s="28"/>
      <c r="M117" s="28"/>
      <c r="N117" s="28"/>
      <c r="O117" s="28"/>
      <c r="P117" s="28"/>
      <c r="Q117" s="28"/>
      <c r="R117" s="28"/>
    </row>
    <row r="118" spans="2:18">
      <c r="B118" s="28"/>
      <c r="C118" s="28"/>
      <c r="D118" s="28"/>
      <c r="E118" s="28"/>
      <c r="F118" s="28"/>
      <c r="G118" s="28"/>
      <c r="H118" s="28"/>
      <c r="I118" s="28"/>
      <c r="J118" s="28"/>
      <c r="K118" s="28"/>
      <c r="L118" s="28"/>
      <c r="M118" s="28"/>
      <c r="N118" s="28"/>
      <c r="O118" s="28"/>
      <c r="P118" s="28"/>
      <c r="Q118" s="28"/>
      <c r="R118" s="28"/>
    </row>
    <row r="119" spans="2:18">
      <c r="B119" s="28"/>
      <c r="C119" s="28"/>
      <c r="D119" s="28"/>
      <c r="E119" s="28"/>
      <c r="F119" s="28"/>
      <c r="G119" s="28"/>
      <c r="H119" s="28"/>
      <c r="I119" s="28"/>
      <c r="J119" s="28"/>
      <c r="K119" s="28"/>
      <c r="L119" s="28"/>
      <c r="M119" s="28"/>
      <c r="N119" s="28"/>
      <c r="O119" s="28"/>
      <c r="P119" s="28"/>
      <c r="Q119" s="28"/>
      <c r="R119" s="28"/>
    </row>
    <row r="120" spans="2:18">
      <c r="B120" s="28"/>
      <c r="C120" s="28"/>
      <c r="D120" s="28"/>
      <c r="E120" s="28"/>
      <c r="F120" s="28"/>
      <c r="G120" s="28"/>
      <c r="H120" s="28"/>
      <c r="I120" s="28"/>
      <c r="J120" s="28"/>
      <c r="K120" s="28"/>
      <c r="L120" s="28"/>
      <c r="M120" s="28"/>
      <c r="N120" s="28"/>
      <c r="O120" s="28"/>
      <c r="P120" s="28"/>
      <c r="Q120" s="28"/>
      <c r="R120" s="28"/>
    </row>
    <row r="121" spans="2:18">
      <c r="B121" s="28"/>
      <c r="C121" s="28"/>
      <c r="D121" s="28"/>
      <c r="E121" s="28"/>
      <c r="F121" s="28"/>
      <c r="G121" s="28"/>
      <c r="H121" s="28"/>
      <c r="I121" s="28"/>
      <c r="J121" s="28"/>
      <c r="K121" s="28"/>
      <c r="L121" s="28"/>
      <c r="M121" s="28"/>
      <c r="N121" s="28"/>
      <c r="O121" s="28"/>
      <c r="P121" s="28"/>
      <c r="Q121" s="28"/>
      <c r="R121" s="28"/>
    </row>
    <row r="122" spans="2:18">
      <c r="B122" s="28"/>
      <c r="C122" s="28"/>
      <c r="D122" s="28"/>
      <c r="E122" s="28"/>
      <c r="F122" s="28"/>
      <c r="G122" s="28"/>
      <c r="H122" s="28"/>
      <c r="I122" s="28"/>
      <c r="J122" s="28"/>
      <c r="K122" s="28"/>
      <c r="L122" s="28"/>
      <c r="M122" s="28"/>
      <c r="N122" s="28"/>
      <c r="O122" s="28"/>
      <c r="P122" s="28"/>
      <c r="Q122" s="28"/>
      <c r="R122" s="28"/>
    </row>
    <row r="123" spans="2:18">
      <c r="B123" s="28"/>
      <c r="C123" s="28"/>
      <c r="D123" s="28"/>
      <c r="E123" s="28"/>
      <c r="F123" s="28"/>
      <c r="G123" s="28"/>
      <c r="H123" s="28"/>
      <c r="I123" s="28"/>
      <c r="J123" s="28"/>
      <c r="K123" s="28"/>
      <c r="L123" s="28"/>
      <c r="M123" s="28"/>
      <c r="N123" s="28"/>
      <c r="O123" s="28"/>
      <c r="P123" s="28"/>
      <c r="Q123" s="28"/>
      <c r="R123" s="28"/>
    </row>
    <row r="124" spans="2:18">
      <c r="B124" s="28"/>
      <c r="C124" s="28"/>
      <c r="D124" s="28"/>
      <c r="E124" s="28"/>
      <c r="F124" s="28"/>
      <c r="G124" s="28"/>
      <c r="H124" s="28"/>
      <c r="I124" s="28"/>
      <c r="J124" s="28"/>
      <c r="K124" s="28"/>
      <c r="L124" s="28"/>
      <c r="M124" s="28"/>
      <c r="N124" s="28"/>
      <c r="O124" s="28"/>
      <c r="P124" s="28"/>
      <c r="Q124" s="28"/>
      <c r="R124" s="28"/>
    </row>
    <row r="125" spans="2:18">
      <c r="B125" s="28"/>
      <c r="C125" s="28"/>
      <c r="D125" s="28"/>
      <c r="E125" s="28"/>
      <c r="F125" s="28"/>
      <c r="G125" s="28"/>
      <c r="H125" s="28"/>
      <c r="I125" s="28"/>
      <c r="J125" s="28"/>
      <c r="K125" s="28"/>
      <c r="L125" s="28"/>
      <c r="M125" s="28"/>
      <c r="N125" s="28"/>
      <c r="O125" s="28"/>
      <c r="P125" s="28"/>
      <c r="Q125" s="28"/>
      <c r="R125" s="28"/>
    </row>
    <row r="126" spans="2:18">
      <c r="B126" s="28"/>
      <c r="C126" s="28"/>
      <c r="D126" s="28"/>
      <c r="E126" s="28"/>
      <c r="F126" s="28"/>
      <c r="G126" s="28"/>
      <c r="H126" s="28"/>
      <c r="I126" s="28"/>
      <c r="J126" s="28"/>
      <c r="K126" s="28"/>
      <c r="L126" s="28"/>
      <c r="M126" s="28"/>
      <c r="N126" s="28"/>
      <c r="O126" s="28"/>
      <c r="P126" s="28"/>
      <c r="Q126" s="28"/>
      <c r="R126" s="28"/>
    </row>
    <row r="127" spans="2:18">
      <c r="B127" s="28"/>
      <c r="C127" s="28"/>
      <c r="D127" s="28"/>
      <c r="E127" s="28"/>
      <c r="F127" s="28"/>
      <c r="G127" s="28"/>
      <c r="H127" s="28"/>
      <c r="I127" s="28"/>
      <c r="J127" s="28"/>
      <c r="K127" s="28"/>
      <c r="L127" s="28"/>
      <c r="M127" s="28"/>
      <c r="N127" s="28"/>
      <c r="O127" s="28"/>
      <c r="P127" s="28"/>
      <c r="Q127" s="28"/>
      <c r="R127" s="28"/>
    </row>
    <row r="128" spans="2:18">
      <c r="B128" s="28"/>
      <c r="C128" s="28"/>
      <c r="D128" s="28"/>
      <c r="E128" s="28"/>
      <c r="F128" s="28"/>
      <c r="G128" s="28"/>
      <c r="H128" s="28"/>
      <c r="I128" s="28"/>
      <c r="J128" s="28"/>
      <c r="K128" s="28"/>
      <c r="L128" s="28"/>
      <c r="M128" s="28"/>
      <c r="N128" s="28"/>
      <c r="O128" s="28"/>
      <c r="P128" s="28"/>
      <c r="Q128" s="28"/>
      <c r="R128" s="28"/>
    </row>
    <row r="129" spans="2:18">
      <c r="B129" s="28"/>
      <c r="C129" s="28"/>
      <c r="D129" s="28"/>
      <c r="E129" s="28"/>
      <c r="F129" s="28"/>
      <c r="G129" s="28"/>
      <c r="H129" s="28"/>
      <c r="I129" s="28"/>
      <c r="J129" s="28"/>
      <c r="K129" s="28"/>
      <c r="L129" s="28"/>
      <c r="M129" s="28"/>
      <c r="N129" s="28"/>
      <c r="O129" s="28"/>
      <c r="P129" s="28"/>
      <c r="Q129" s="28"/>
      <c r="R129" s="28"/>
    </row>
    <row r="130" spans="2:18">
      <c r="B130" s="28"/>
      <c r="C130" s="28"/>
      <c r="D130" s="28"/>
      <c r="E130" s="28"/>
      <c r="F130" s="28"/>
      <c r="G130" s="28"/>
      <c r="H130" s="28"/>
      <c r="I130" s="28"/>
      <c r="J130" s="28"/>
      <c r="K130" s="28"/>
      <c r="L130" s="28"/>
      <c r="M130" s="28"/>
      <c r="N130" s="28"/>
      <c r="O130" s="28"/>
      <c r="P130" s="28"/>
      <c r="Q130" s="28"/>
      <c r="R130" s="28"/>
    </row>
    <row r="131" spans="2:18">
      <c r="B131" s="28"/>
      <c r="C131" s="28"/>
      <c r="D131" s="28"/>
      <c r="E131" s="28"/>
      <c r="F131" s="28"/>
      <c r="G131" s="28"/>
      <c r="H131" s="28"/>
      <c r="I131" s="28"/>
      <c r="J131" s="28"/>
      <c r="K131" s="28"/>
      <c r="L131" s="28"/>
      <c r="M131" s="28"/>
      <c r="N131" s="28"/>
      <c r="O131" s="28"/>
      <c r="P131" s="28"/>
      <c r="Q131" s="28"/>
      <c r="R131" s="28"/>
    </row>
    <row r="132" spans="2:18">
      <c r="B132" s="28"/>
      <c r="C132" s="28"/>
      <c r="D132" s="28"/>
      <c r="E132" s="28"/>
      <c r="F132" s="28"/>
      <c r="G132" s="28"/>
      <c r="H132" s="28"/>
      <c r="I132" s="28"/>
      <c r="J132" s="28"/>
      <c r="K132" s="28"/>
      <c r="L132" s="28"/>
      <c r="M132" s="28"/>
      <c r="N132" s="28"/>
      <c r="O132" s="28"/>
      <c r="P132" s="28"/>
      <c r="Q132" s="28"/>
      <c r="R132" s="28"/>
    </row>
    <row r="133" spans="2:18">
      <c r="B133" s="28"/>
      <c r="C133" s="28"/>
      <c r="D133" s="28"/>
      <c r="E133" s="28"/>
      <c r="F133" s="28"/>
      <c r="G133" s="28"/>
      <c r="H133" s="28"/>
      <c r="I133" s="28"/>
      <c r="J133" s="28"/>
      <c r="K133" s="28"/>
      <c r="L133" s="28"/>
      <c r="M133" s="28"/>
      <c r="N133" s="28"/>
      <c r="O133" s="28"/>
      <c r="P133" s="28"/>
      <c r="Q133" s="28"/>
      <c r="R133" s="28"/>
    </row>
    <row r="134" spans="2:18">
      <c r="B134" s="28"/>
      <c r="C134" s="28"/>
      <c r="D134" s="28"/>
      <c r="E134" s="28"/>
      <c r="F134" s="28"/>
      <c r="G134" s="28"/>
      <c r="H134" s="28"/>
      <c r="I134" s="28"/>
      <c r="J134" s="28"/>
      <c r="K134" s="28"/>
      <c r="L134" s="28"/>
      <c r="M134" s="28"/>
      <c r="N134" s="28"/>
      <c r="O134" s="28"/>
      <c r="P134" s="28"/>
      <c r="Q134" s="28"/>
      <c r="R134" s="28"/>
    </row>
    <row r="135" spans="2:18">
      <c r="B135" s="28"/>
      <c r="C135" s="28"/>
      <c r="D135" s="28"/>
      <c r="E135" s="28"/>
      <c r="F135" s="28"/>
      <c r="G135" s="28"/>
      <c r="H135" s="28"/>
      <c r="I135" s="28"/>
      <c r="J135" s="28"/>
      <c r="K135" s="28"/>
      <c r="L135" s="28"/>
      <c r="M135" s="28"/>
      <c r="N135" s="28"/>
      <c r="O135" s="28"/>
      <c r="P135" s="28"/>
      <c r="Q135" s="28"/>
      <c r="R135" s="28"/>
    </row>
    <row r="136" spans="2:18">
      <c r="B136" s="28"/>
      <c r="C136" s="28"/>
      <c r="D136" s="28"/>
      <c r="E136" s="28"/>
      <c r="F136" s="28"/>
      <c r="G136" s="28"/>
      <c r="H136" s="28"/>
      <c r="I136" s="28"/>
      <c r="J136" s="28"/>
      <c r="K136" s="28"/>
      <c r="L136" s="28"/>
      <c r="M136" s="28"/>
      <c r="N136" s="28"/>
      <c r="O136" s="28"/>
      <c r="P136" s="28"/>
      <c r="Q136" s="28"/>
      <c r="R136" s="28"/>
    </row>
    <row r="137" spans="2:18">
      <c r="B137" s="28"/>
      <c r="C137" s="28"/>
      <c r="D137" s="28"/>
      <c r="E137" s="28"/>
      <c r="F137" s="28"/>
      <c r="G137" s="28"/>
      <c r="H137" s="28"/>
      <c r="I137" s="28"/>
      <c r="J137" s="28"/>
      <c r="K137" s="28"/>
      <c r="L137" s="28"/>
      <c r="M137" s="28"/>
      <c r="N137" s="28"/>
      <c r="O137" s="28"/>
      <c r="P137" s="28"/>
      <c r="Q137" s="28"/>
      <c r="R137" s="28"/>
    </row>
    <row r="138" spans="2:18">
      <c r="B138" s="28"/>
      <c r="C138" s="28"/>
      <c r="D138" s="28"/>
      <c r="E138" s="28"/>
      <c r="F138" s="28"/>
      <c r="G138" s="28"/>
      <c r="H138" s="28"/>
      <c r="I138" s="28"/>
      <c r="J138" s="28"/>
      <c r="K138" s="28"/>
      <c r="L138" s="28"/>
      <c r="M138" s="28"/>
      <c r="N138" s="28"/>
      <c r="O138" s="28"/>
      <c r="P138" s="28"/>
      <c r="Q138" s="28"/>
      <c r="R138" s="28"/>
    </row>
    <row r="139" spans="2:18">
      <c r="B139" s="28"/>
      <c r="C139" s="28"/>
      <c r="D139" s="28"/>
      <c r="E139" s="28"/>
      <c r="F139" s="28"/>
      <c r="G139" s="28"/>
      <c r="H139" s="28"/>
      <c r="I139" s="28"/>
      <c r="J139" s="28"/>
      <c r="K139" s="28"/>
      <c r="L139" s="28"/>
      <c r="M139" s="28"/>
      <c r="N139" s="28"/>
      <c r="O139" s="28"/>
      <c r="P139" s="28"/>
      <c r="Q139" s="28"/>
      <c r="R139" s="28"/>
    </row>
    <row r="140" spans="2:18">
      <c r="B140" s="28"/>
      <c r="C140" s="28"/>
      <c r="D140" s="28"/>
      <c r="E140" s="28"/>
      <c r="F140" s="28"/>
      <c r="G140" s="28"/>
      <c r="H140" s="28"/>
      <c r="I140" s="28"/>
      <c r="J140" s="28"/>
      <c r="K140" s="28"/>
      <c r="L140" s="28"/>
      <c r="M140" s="28"/>
      <c r="N140" s="28"/>
      <c r="O140" s="28"/>
      <c r="P140" s="28"/>
      <c r="Q140" s="28"/>
      <c r="R140" s="28"/>
    </row>
    <row r="141" spans="2:18">
      <c r="B141" s="28"/>
      <c r="C141" s="28"/>
      <c r="D141" s="28"/>
      <c r="E141" s="28"/>
      <c r="F141" s="28"/>
      <c r="G141" s="28"/>
      <c r="H141" s="28"/>
      <c r="I141" s="28"/>
      <c r="J141" s="28"/>
      <c r="K141" s="28"/>
      <c r="L141" s="28"/>
      <c r="M141" s="28"/>
      <c r="N141" s="28"/>
      <c r="O141" s="28"/>
      <c r="P141" s="28"/>
      <c r="Q141" s="28"/>
      <c r="R141" s="28"/>
    </row>
    <row r="142" spans="2:18">
      <c r="B142" s="28"/>
      <c r="C142" s="28"/>
      <c r="D142" s="28"/>
      <c r="E142" s="28"/>
      <c r="F142" s="28"/>
      <c r="G142" s="28"/>
      <c r="H142" s="28"/>
      <c r="I142" s="28"/>
      <c r="J142" s="28"/>
      <c r="K142" s="28"/>
      <c r="L142" s="28"/>
      <c r="M142" s="28"/>
      <c r="N142" s="28"/>
      <c r="O142" s="28"/>
      <c r="P142" s="28"/>
      <c r="Q142" s="28"/>
      <c r="R142" s="28"/>
    </row>
    <row r="143" spans="2:18">
      <c r="B143" s="28"/>
      <c r="C143" s="28"/>
      <c r="D143" s="28"/>
      <c r="E143" s="28"/>
      <c r="F143" s="28"/>
      <c r="G143" s="28"/>
      <c r="H143" s="28"/>
      <c r="I143" s="28"/>
      <c r="J143" s="28"/>
      <c r="K143" s="28"/>
      <c r="L143" s="28"/>
      <c r="M143" s="28"/>
      <c r="N143" s="28"/>
      <c r="O143" s="28"/>
      <c r="P143" s="28"/>
      <c r="Q143" s="28"/>
      <c r="R143" s="28"/>
    </row>
    <row r="144" spans="2:18">
      <c r="B144" s="28"/>
      <c r="C144" s="28"/>
      <c r="D144" s="28"/>
      <c r="E144" s="28"/>
      <c r="F144" s="28"/>
      <c r="G144" s="28"/>
      <c r="H144" s="28"/>
      <c r="I144" s="28"/>
      <c r="J144" s="28"/>
      <c r="K144" s="28"/>
      <c r="L144" s="28"/>
      <c r="M144" s="28"/>
      <c r="N144" s="28"/>
      <c r="O144" s="28"/>
      <c r="P144" s="28"/>
      <c r="Q144" s="28"/>
      <c r="R144" s="28"/>
    </row>
    <row r="145" spans="2:18">
      <c r="B145" s="28"/>
      <c r="C145" s="28"/>
      <c r="D145" s="28"/>
      <c r="E145" s="28"/>
      <c r="F145" s="28"/>
      <c r="G145" s="28"/>
      <c r="H145" s="28"/>
      <c r="I145" s="28"/>
      <c r="J145" s="28"/>
      <c r="K145" s="28"/>
      <c r="L145" s="28"/>
      <c r="M145" s="28"/>
      <c r="N145" s="28"/>
      <c r="O145" s="28"/>
      <c r="P145" s="28"/>
      <c r="Q145" s="28"/>
      <c r="R145" s="28"/>
    </row>
    <row r="146" spans="2:18">
      <c r="B146" s="28"/>
      <c r="C146" s="28"/>
      <c r="D146" s="28"/>
      <c r="E146" s="28"/>
      <c r="F146" s="28"/>
      <c r="G146" s="28"/>
      <c r="H146" s="28"/>
      <c r="I146" s="28"/>
      <c r="J146" s="28"/>
      <c r="K146" s="28"/>
      <c r="L146" s="28"/>
      <c r="M146" s="28"/>
      <c r="N146" s="28"/>
      <c r="O146" s="28"/>
      <c r="P146" s="28"/>
      <c r="Q146" s="28"/>
      <c r="R146" s="28"/>
    </row>
    <row r="147" spans="2:18">
      <c r="B147" s="28"/>
      <c r="C147" s="28"/>
      <c r="D147" s="28"/>
      <c r="E147" s="28"/>
      <c r="F147" s="28"/>
      <c r="G147" s="28"/>
      <c r="H147" s="28"/>
      <c r="I147" s="28"/>
      <c r="J147" s="28"/>
      <c r="K147" s="28"/>
      <c r="L147" s="28"/>
      <c r="M147" s="28"/>
      <c r="N147" s="28"/>
      <c r="O147" s="28"/>
      <c r="P147" s="28"/>
      <c r="Q147" s="28"/>
      <c r="R147" s="28"/>
    </row>
    <row r="148" spans="2:18">
      <c r="B148" s="28"/>
      <c r="C148" s="28"/>
      <c r="D148" s="28"/>
      <c r="E148" s="28"/>
      <c r="F148" s="28"/>
      <c r="G148" s="28"/>
      <c r="H148" s="28"/>
      <c r="I148" s="28"/>
      <c r="J148" s="28"/>
      <c r="K148" s="28"/>
      <c r="L148" s="28"/>
      <c r="M148" s="28"/>
      <c r="N148" s="28"/>
      <c r="O148" s="28"/>
      <c r="P148" s="28"/>
      <c r="Q148" s="28"/>
      <c r="R148" s="28"/>
    </row>
    <row r="149" spans="2:18">
      <c r="B149" s="28"/>
      <c r="C149" s="28"/>
      <c r="D149" s="28"/>
      <c r="E149" s="28"/>
      <c r="F149" s="28"/>
      <c r="G149" s="28"/>
      <c r="H149" s="28"/>
      <c r="I149" s="28"/>
      <c r="J149" s="28"/>
      <c r="K149" s="28"/>
      <c r="L149" s="28"/>
      <c r="M149" s="28"/>
      <c r="N149" s="28"/>
      <c r="O149" s="28"/>
      <c r="P149" s="28"/>
      <c r="Q149" s="28"/>
      <c r="R149" s="28"/>
    </row>
    <row r="150" spans="2:18">
      <c r="B150" s="28"/>
      <c r="C150" s="28"/>
      <c r="D150" s="28"/>
      <c r="E150" s="28"/>
      <c r="F150" s="28"/>
      <c r="G150" s="28"/>
      <c r="H150" s="28"/>
      <c r="I150" s="28"/>
      <c r="J150" s="28"/>
      <c r="K150" s="28"/>
      <c r="L150" s="28"/>
      <c r="M150" s="28"/>
      <c r="N150" s="28"/>
      <c r="O150" s="28"/>
      <c r="P150" s="28"/>
      <c r="Q150" s="28"/>
      <c r="R150" s="28"/>
    </row>
    <row r="151" spans="2:18">
      <c r="B151" s="28"/>
      <c r="C151" s="28"/>
      <c r="D151" s="28"/>
      <c r="E151" s="28"/>
      <c r="F151" s="28"/>
      <c r="G151" s="28"/>
      <c r="H151" s="28"/>
      <c r="I151" s="28"/>
      <c r="J151" s="28"/>
      <c r="K151" s="28"/>
      <c r="L151" s="28"/>
      <c r="M151" s="28"/>
      <c r="N151" s="28"/>
      <c r="O151" s="28"/>
      <c r="P151" s="28"/>
      <c r="Q151" s="28"/>
      <c r="R151" s="28"/>
    </row>
    <row r="152" spans="2:18">
      <c r="B152" s="28"/>
      <c r="C152" s="28"/>
      <c r="D152" s="28"/>
      <c r="E152" s="28"/>
      <c r="F152" s="28"/>
      <c r="G152" s="28"/>
      <c r="H152" s="28"/>
      <c r="I152" s="28"/>
      <c r="J152" s="28"/>
      <c r="K152" s="28"/>
      <c r="L152" s="28"/>
      <c r="M152" s="28"/>
      <c r="N152" s="28"/>
      <c r="O152" s="28"/>
      <c r="P152" s="28"/>
      <c r="Q152" s="28"/>
      <c r="R152" s="28"/>
    </row>
    <row r="153" spans="2:18">
      <c r="B153" s="28"/>
      <c r="C153" s="28"/>
      <c r="D153" s="28"/>
      <c r="E153" s="28"/>
      <c r="F153" s="28"/>
      <c r="G153" s="28"/>
      <c r="H153" s="28"/>
      <c r="I153" s="28"/>
      <c r="J153" s="28"/>
      <c r="K153" s="28"/>
      <c r="L153" s="28"/>
      <c r="M153" s="28"/>
      <c r="N153" s="28"/>
      <c r="O153" s="28"/>
      <c r="P153" s="28"/>
      <c r="Q153" s="28"/>
      <c r="R153" s="28"/>
    </row>
    <row r="154" spans="2:18">
      <c r="B154" s="28"/>
      <c r="C154" s="28"/>
      <c r="D154" s="28"/>
      <c r="E154" s="28"/>
      <c r="F154" s="28"/>
      <c r="G154" s="28"/>
      <c r="H154" s="28"/>
      <c r="I154" s="28"/>
      <c r="J154" s="28"/>
      <c r="K154" s="28"/>
      <c r="L154" s="28"/>
      <c r="M154" s="28"/>
      <c r="N154" s="28"/>
      <c r="O154" s="28"/>
      <c r="P154" s="28"/>
      <c r="Q154" s="28"/>
      <c r="R154" s="28"/>
    </row>
    <row r="155" spans="2:18">
      <c r="B155" s="28"/>
      <c r="C155" s="28"/>
      <c r="D155" s="28"/>
      <c r="E155" s="28"/>
      <c r="F155" s="28"/>
      <c r="G155" s="28"/>
      <c r="H155" s="28"/>
      <c r="I155" s="28"/>
      <c r="J155" s="28"/>
      <c r="K155" s="28"/>
      <c r="L155" s="28"/>
      <c r="M155" s="28"/>
      <c r="N155" s="28"/>
      <c r="O155" s="28"/>
      <c r="P155" s="28"/>
      <c r="Q155" s="28"/>
      <c r="R155" s="28"/>
    </row>
    <row r="156" spans="2:18">
      <c r="B156" s="28"/>
      <c r="C156" s="28"/>
      <c r="D156" s="28"/>
      <c r="E156" s="28"/>
      <c r="F156" s="28"/>
      <c r="G156" s="28"/>
      <c r="H156" s="28"/>
      <c r="I156" s="28"/>
      <c r="J156" s="28"/>
      <c r="K156" s="28"/>
      <c r="L156" s="28"/>
      <c r="M156" s="28"/>
      <c r="N156" s="28"/>
      <c r="O156" s="28"/>
      <c r="P156" s="28"/>
      <c r="Q156" s="28"/>
      <c r="R156" s="28"/>
    </row>
    <row r="157" spans="2:18">
      <c r="B157" s="28"/>
      <c r="C157" s="28"/>
      <c r="D157" s="28"/>
      <c r="E157" s="28"/>
      <c r="F157" s="28"/>
      <c r="G157" s="28"/>
      <c r="H157" s="28"/>
      <c r="I157" s="28"/>
      <c r="J157" s="28"/>
      <c r="K157" s="28"/>
      <c r="L157" s="28"/>
      <c r="M157" s="28"/>
      <c r="N157" s="28"/>
      <c r="O157" s="28"/>
      <c r="P157" s="28"/>
      <c r="Q157" s="28"/>
      <c r="R157" s="28"/>
    </row>
    <row r="158" spans="2:18">
      <c r="B158" s="28"/>
      <c r="C158" s="28"/>
      <c r="D158" s="28"/>
      <c r="E158" s="28"/>
      <c r="F158" s="28"/>
      <c r="G158" s="28"/>
      <c r="H158" s="28"/>
      <c r="I158" s="28"/>
      <c r="J158" s="28"/>
      <c r="K158" s="28"/>
      <c r="L158" s="28"/>
      <c r="M158" s="28"/>
      <c r="N158" s="28"/>
      <c r="O158" s="28"/>
      <c r="P158" s="28"/>
      <c r="Q158" s="28"/>
      <c r="R158" s="28"/>
    </row>
    <row r="159" spans="2:18">
      <c r="B159" s="28"/>
      <c r="C159" s="28"/>
      <c r="D159" s="28"/>
      <c r="E159" s="28"/>
      <c r="F159" s="28"/>
      <c r="G159" s="28"/>
      <c r="H159" s="28"/>
      <c r="I159" s="28"/>
      <c r="J159" s="28"/>
      <c r="K159" s="28"/>
      <c r="L159" s="28"/>
      <c r="M159" s="28"/>
      <c r="N159" s="28"/>
      <c r="O159" s="28"/>
      <c r="P159" s="28"/>
      <c r="Q159" s="28"/>
      <c r="R159" s="28"/>
    </row>
    <row r="160" spans="2:18">
      <c r="B160" s="28"/>
      <c r="C160" s="28"/>
      <c r="D160" s="28"/>
      <c r="E160" s="28"/>
      <c r="F160" s="28"/>
      <c r="G160" s="28"/>
      <c r="H160" s="28"/>
      <c r="I160" s="28"/>
      <c r="J160" s="28"/>
      <c r="K160" s="28"/>
      <c r="L160" s="28"/>
      <c r="M160" s="28"/>
      <c r="N160" s="28"/>
      <c r="O160" s="28"/>
      <c r="P160" s="28"/>
      <c r="Q160" s="28"/>
      <c r="R160" s="28"/>
    </row>
    <row r="161" spans="2:18">
      <c r="B161" s="28"/>
      <c r="C161" s="28"/>
      <c r="D161" s="28"/>
      <c r="E161" s="28"/>
      <c r="F161" s="28"/>
      <c r="G161" s="28"/>
      <c r="H161" s="28"/>
      <c r="I161" s="28"/>
      <c r="J161" s="28"/>
      <c r="K161" s="28"/>
      <c r="L161" s="28"/>
      <c r="M161" s="28"/>
      <c r="N161" s="28"/>
      <c r="O161" s="28"/>
      <c r="P161" s="28"/>
      <c r="Q161" s="28"/>
      <c r="R161" s="28"/>
    </row>
    <row r="162" spans="2:18">
      <c r="B162" s="28"/>
      <c r="C162" s="28"/>
      <c r="D162" s="28"/>
      <c r="E162" s="28"/>
      <c r="F162" s="28"/>
      <c r="G162" s="28"/>
      <c r="H162" s="28"/>
      <c r="I162" s="28"/>
      <c r="J162" s="28"/>
      <c r="K162" s="28"/>
      <c r="L162" s="28"/>
      <c r="M162" s="28"/>
      <c r="N162" s="28"/>
      <c r="O162" s="28"/>
      <c r="P162" s="28"/>
      <c r="Q162" s="28"/>
      <c r="R162" s="28"/>
    </row>
    <row r="163" spans="2:18">
      <c r="B163" s="28"/>
      <c r="C163" s="28"/>
      <c r="D163" s="28"/>
      <c r="E163" s="28"/>
      <c r="F163" s="28"/>
      <c r="G163" s="28"/>
      <c r="H163" s="28"/>
      <c r="I163" s="28"/>
      <c r="J163" s="28"/>
      <c r="K163" s="28"/>
      <c r="L163" s="28"/>
      <c r="M163" s="28"/>
      <c r="N163" s="28"/>
      <c r="O163" s="28"/>
      <c r="P163" s="28"/>
      <c r="Q163" s="28"/>
      <c r="R163" s="28"/>
    </row>
    <row r="164" spans="2:18">
      <c r="B164" s="28"/>
      <c r="C164" s="28"/>
      <c r="D164" s="28"/>
      <c r="E164" s="28"/>
      <c r="F164" s="28"/>
      <c r="G164" s="28"/>
      <c r="H164" s="28"/>
      <c r="I164" s="28"/>
      <c r="J164" s="28"/>
      <c r="K164" s="28"/>
      <c r="L164" s="28"/>
      <c r="M164" s="28"/>
      <c r="N164" s="28"/>
      <c r="O164" s="28"/>
      <c r="P164" s="28"/>
      <c r="Q164" s="28"/>
      <c r="R164" s="28"/>
    </row>
    <row r="165" spans="2:18">
      <c r="B165" s="28"/>
      <c r="C165" s="28"/>
      <c r="D165" s="28"/>
      <c r="E165" s="28"/>
      <c r="F165" s="28"/>
      <c r="G165" s="28"/>
      <c r="H165" s="28"/>
      <c r="I165" s="28"/>
      <c r="J165" s="28"/>
      <c r="K165" s="28"/>
      <c r="L165" s="28"/>
      <c r="M165" s="28"/>
      <c r="N165" s="28"/>
      <c r="O165" s="28"/>
      <c r="P165" s="28"/>
      <c r="Q165" s="28"/>
      <c r="R165" s="28"/>
    </row>
    <row r="166" spans="2:18">
      <c r="B166" s="28"/>
      <c r="C166" s="28"/>
      <c r="D166" s="28"/>
      <c r="E166" s="28"/>
      <c r="F166" s="28"/>
      <c r="G166" s="28"/>
      <c r="H166" s="28"/>
      <c r="I166" s="28"/>
      <c r="J166" s="28"/>
      <c r="K166" s="28"/>
      <c r="L166" s="28"/>
      <c r="M166" s="28"/>
      <c r="N166" s="28"/>
      <c r="O166" s="28"/>
      <c r="P166" s="28"/>
      <c r="Q166" s="28"/>
      <c r="R166" s="28"/>
    </row>
    <row r="167" spans="2:18">
      <c r="B167" s="28"/>
      <c r="C167" s="28"/>
      <c r="D167" s="28"/>
      <c r="E167" s="28"/>
      <c r="F167" s="28"/>
      <c r="G167" s="28"/>
      <c r="H167" s="28"/>
      <c r="I167" s="28"/>
      <c r="J167" s="28"/>
      <c r="K167" s="28"/>
      <c r="L167" s="28"/>
      <c r="M167" s="28"/>
      <c r="N167" s="28"/>
      <c r="O167" s="28"/>
      <c r="P167" s="28"/>
      <c r="Q167" s="28"/>
      <c r="R167" s="28"/>
    </row>
    <row r="168" spans="2:18">
      <c r="B168" s="28"/>
      <c r="C168" s="28"/>
      <c r="D168" s="28"/>
      <c r="E168" s="28"/>
      <c r="F168" s="28"/>
      <c r="G168" s="28"/>
      <c r="H168" s="28"/>
      <c r="I168" s="28"/>
      <c r="J168" s="28"/>
      <c r="K168" s="28"/>
      <c r="L168" s="28"/>
      <c r="M168" s="28"/>
      <c r="N168" s="28"/>
      <c r="O168" s="28"/>
      <c r="P168" s="28"/>
      <c r="Q168" s="28"/>
      <c r="R168" s="28"/>
    </row>
    <row r="169" spans="2:18">
      <c r="B169" s="28"/>
      <c r="C169" s="28"/>
      <c r="D169" s="28"/>
      <c r="E169" s="28"/>
      <c r="F169" s="28"/>
      <c r="G169" s="28"/>
      <c r="H169" s="28"/>
      <c r="I169" s="28"/>
      <c r="J169" s="28"/>
      <c r="K169" s="28"/>
      <c r="L169" s="28"/>
      <c r="M169" s="28"/>
      <c r="N169" s="28"/>
      <c r="O169" s="28"/>
      <c r="P169" s="28"/>
      <c r="Q169" s="28"/>
      <c r="R169" s="28"/>
    </row>
    <row r="170" spans="2:18">
      <c r="B170" s="28"/>
      <c r="C170" s="28"/>
      <c r="D170" s="28"/>
      <c r="E170" s="28"/>
      <c r="F170" s="28"/>
      <c r="G170" s="28"/>
      <c r="H170" s="28"/>
      <c r="I170" s="28"/>
      <c r="J170" s="28"/>
      <c r="K170" s="28"/>
      <c r="L170" s="28"/>
      <c r="M170" s="28"/>
      <c r="N170" s="28"/>
      <c r="O170" s="28"/>
      <c r="P170" s="28"/>
      <c r="Q170" s="28"/>
      <c r="R170" s="28"/>
    </row>
    <row r="171" spans="2:18">
      <c r="B171" s="28"/>
      <c r="C171" s="28"/>
      <c r="D171" s="28"/>
      <c r="E171" s="28"/>
      <c r="F171" s="28"/>
      <c r="G171" s="28"/>
      <c r="H171" s="28"/>
      <c r="I171" s="28"/>
      <c r="J171" s="28"/>
      <c r="K171" s="28"/>
      <c r="L171" s="28"/>
      <c r="M171" s="28"/>
      <c r="N171" s="28"/>
      <c r="O171" s="28"/>
      <c r="P171" s="28"/>
      <c r="Q171" s="28"/>
      <c r="R171" s="28"/>
    </row>
    <row r="172" spans="2:18">
      <c r="B172" s="28"/>
      <c r="C172" s="28"/>
      <c r="D172" s="28"/>
      <c r="E172" s="28"/>
      <c r="F172" s="28"/>
      <c r="G172" s="28"/>
      <c r="H172" s="28"/>
      <c r="I172" s="28"/>
      <c r="J172" s="28"/>
      <c r="K172" s="28"/>
      <c r="L172" s="28"/>
      <c r="M172" s="28"/>
      <c r="N172" s="28"/>
      <c r="O172" s="28"/>
      <c r="P172" s="28"/>
      <c r="Q172" s="28"/>
      <c r="R172" s="28"/>
    </row>
    <row r="173" spans="2:18">
      <c r="B173" s="28"/>
      <c r="C173" s="28"/>
      <c r="D173" s="28"/>
      <c r="E173" s="28"/>
      <c r="F173" s="28"/>
      <c r="G173" s="28"/>
      <c r="H173" s="28"/>
      <c r="I173" s="28"/>
      <c r="J173" s="28"/>
      <c r="K173" s="28"/>
      <c r="L173" s="28"/>
      <c r="M173" s="28"/>
      <c r="N173" s="28"/>
      <c r="O173" s="28"/>
      <c r="P173" s="28"/>
      <c r="Q173" s="28"/>
      <c r="R173" s="28"/>
    </row>
    <row r="174" spans="2:18">
      <c r="B174" s="28"/>
      <c r="C174" s="28"/>
      <c r="D174" s="28"/>
      <c r="E174" s="28"/>
      <c r="F174" s="28"/>
      <c r="G174" s="28"/>
      <c r="H174" s="28"/>
      <c r="I174" s="28"/>
      <c r="J174" s="28"/>
      <c r="K174" s="28"/>
      <c r="L174" s="28"/>
      <c r="M174" s="28"/>
      <c r="N174" s="28"/>
      <c r="O174" s="28"/>
      <c r="P174" s="28"/>
      <c r="Q174" s="28"/>
      <c r="R174" s="28"/>
    </row>
    <row r="175" spans="2:18">
      <c r="B175" s="28"/>
      <c r="C175" s="28"/>
      <c r="D175" s="28"/>
      <c r="E175" s="28"/>
      <c r="F175" s="28"/>
      <c r="G175" s="28"/>
      <c r="H175" s="28"/>
      <c r="I175" s="28"/>
      <c r="J175" s="28"/>
      <c r="K175" s="28"/>
      <c r="L175" s="28"/>
      <c r="M175" s="28"/>
      <c r="N175" s="28"/>
      <c r="O175" s="28"/>
      <c r="P175" s="28"/>
      <c r="Q175" s="28"/>
      <c r="R175" s="28"/>
    </row>
    <row r="176" spans="2:18">
      <c r="B176" s="28"/>
      <c r="C176" s="28"/>
      <c r="D176" s="28"/>
      <c r="E176" s="28"/>
      <c r="F176" s="28"/>
      <c r="G176" s="28"/>
      <c r="H176" s="28"/>
      <c r="I176" s="28"/>
      <c r="J176" s="28"/>
      <c r="K176" s="28"/>
      <c r="L176" s="28"/>
      <c r="M176" s="28"/>
      <c r="N176" s="28"/>
      <c r="O176" s="28"/>
      <c r="P176" s="28"/>
      <c r="Q176" s="28"/>
      <c r="R176" s="28"/>
    </row>
    <row r="177" spans="2:18">
      <c r="B177" s="28"/>
      <c r="C177" s="28"/>
      <c r="D177" s="28"/>
      <c r="E177" s="28"/>
      <c r="F177" s="28"/>
      <c r="G177" s="28"/>
      <c r="H177" s="28"/>
      <c r="I177" s="28"/>
      <c r="J177" s="28"/>
      <c r="K177" s="28"/>
      <c r="L177" s="28"/>
      <c r="M177" s="28"/>
      <c r="N177" s="28"/>
      <c r="O177" s="28"/>
      <c r="P177" s="28"/>
      <c r="Q177" s="28"/>
      <c r="R177" s="28"/>
    </row>
    <row r="178" spans="2:18">
      <c r="B178" s="28"/>
      <c r="C178" s="28"/>
      <c r="D178" s="28"/>
      <c r="E178" s="28"/>
      <c r="F178" s="28"/>
      <c r="G178" s="28"/>
      <c r="H178" s="28"/>
      <c r="I178" s="28"/>
      <c r="J178" s="28"/>
      <c r="K178" s="28"/>
      <c r="L178" s="28"/>
      <c r="M178" s="28"/>
      <c r="N178" s="28"/>
      <c r="O178" s="28"/>
      <c r="P178" s="28"/>
      <c r="Q178" s="28"/>
      <c r="R178" s="28"/>
    </row>
    <row r="179" spans="2:18">
      <c r="B179" s="28"/>
      <c r="C179" s="28"/>
      <c r="D179" s="28"/>
      <c r="E179" s="28"/>
      <c r="F179" s="28"/>
      <c r="G179" s="28"/>
      <c r="H179" s="28"/>
      <c r="I179" s="28"/>
      <c r="J179" s="28"/>
      <c r="K179" s="28"/>
      <c r="L179" s="28"/>
      <c r="M179" s="28"/>
      <c r="N179" s="28"/>
      <c r="O179" s="28"/>
      <c r="P179" s="28"/>
      <c r="Q179" s="28"/>
      <c r="R179" s="28"/>
    </row>
    <row r="180" spans="2:18">
      <c r="B180" s="28"/>
      <c r="C180" s="28"/>
      <c r="D180" s="28"/>
      <c r="E180" s="28"/>
      <c r="F180" s="28"/>
      <c r="G180" s="28"/>
      <c r="H180" s="28"/>
      <c r="I180" s="28"/>
      <c r="J180" s="28"/>
      <c r="K180" s="28"/>
      <c r="L180" s="28"/>
      <c r="M180" s="28"/>
      <c r="N180" s="28"/>
      <c r="O180" s="28"/>
      <c r="P180" s="28"/>
      <c r="Q180" s="28"/>
      <c r="R180" s="28"/>
    </row>
    <row r="181" spans="2:18">
      <c r="B181" s="28"/>
      <c r="C181" s="28"/>
      <c r="D181" s="28"/>
      <c r="E181" s="28"/>
      <c r="F181" s="28"/>
      <c r="G181" s="28"/>
      <c r="H181" s="28"/>
      <c r="I181" s="28"/>
      <c r="J181" s="28"/>
      <c r="K181" s="28"/>
      <c r="L181" s="28"/>
      <c r="M181" s="28"/>
      <c r="N181" s="28"/>
      <c r="O181" s="28"/>
      <c r="P181" s="28"/>
      <c r="Q181" s="28"/>
      <c r="R181" s="28"/>
    </row>
    <row r="182" spans="2:18">
      <c r="B182" s="28"/>
      <c r="C182" s="28"/>
      <c r="D182" s="28"/>
      <c r="E182" s="28"/>
      <c r="F182" s="28"/>
      <c r="G182" s="28"/>
      <c r="H182" s="28"/>
      <c r="I182" s="28"/>
      <c r="J182" s="28"/>
      <c r="K182" s="28"/>
      <c r="L182" s="28"/>
      <c r="M182" s="28"/>
      <c r="N182" s="28"/>
      <c r="O182" s="28"/>
      <c r="P182" s="28"/>
      <c r="Q182" s="28"/>
      <c r="R182" s="28"/>
    </row>
    <row r="183" spans="2:18">
      <c r="B183" s="28"/>
      <c r="C183" s="28"/>
      <c r="D183" s="28"/>
      <c r="E183" s="28"/>
      <c r="F183" s="28"/>
      <c r="G183" s="28"/>
      <c r="H183" s="28"/>
      <c r="I183" s="28"/>
      <c r="J183" s="28"/>
      <c r="K183" s="28"/>
      <c r="L183" s="28"/>
      <c r="M183" s="28"/>
      <c r="N183" s="28"/>
      <c r="O183" s="28"/>
      <c r="P183" s="28"/>
      <c r="Q183" s="28"/>
      <c r="R183" s="28"/>
    </row>
    <row r="184" spans="2:18">
      <c r="B184" s="28"/>
      <c r="C184" s="28"/>
      <c r="D184" s="28"/>
      <c r="E184" s="28"/>
      <c r="F184" s="28"/>
      <c r="G184" s="28"/>
      <c r="H184" s="28"/>
      <c r="I184" s="28"/>
      <c r="J184" s="28"/>
      <c r="K184" s="28"/>
      <c r="L184" s="28"/>
      <c r="M184" s="28"/>
      <c r="N184" s="28"/>
      <c r="O184" s="28"/>
      <c r="P184" s="28"/>
      <c r="Q184" s="28"/>
      <c r="R184" s="28"/>
    </row>
    <row r="185" spans="2:18">
      <c r="B185" s="28"/>
      <c r="C185" s="28"/>
      <c r="D185" s="28"/>
      <c r="E185" s="28"/>
      <c r="F185" s="28"/>
      <c r="G185" s="28"/>
      <c r="H185" s="28"/>
      <c r="I185" s="28"/>
      <c r="J185" s="28"/>
      <c r="K185" s="28"/>
      <c r="L185" s="28"/>
      <c r="M185" s="28"/>
      <c r="N185" s="28"/>
      <c r="O185" s="28"/>
      <c r="P185" s="28"/>
      <c r="Q185" s="28"/>
      <c r="R185" s="28"/>
    </row>
    <row r="186" spans="2:18">
      <c r="B186" s="28"/>
      <c r="C186" s="28"/>
      <c r="D186" s="28"/>
      <c r="E186" s="28"/>
      <c r="F186" s="28"/>
      <c r="G186" s="28"/>
      <c r="H186" s="28"/>
      <c r="I186" s="28"/>
      <c r="J186" s="28"/>
      <c r="K186" s="28"/>
      <c r="L186" s="28"/>
      <c r="M186" s="28"/>
      <c r="N186" s="28"/>
      <c r="O186" s="28"/>
      <c r="P186" s="28"/>
      <c r="Q186" s="28"/>
      <c r="R186" s="28"/>
    </row>
    <row r="187" spans="2:18">
      <c r="B187" s="28"/>
      <c r="C187" s="28"/>
      <c r="D187" s="28"/>
      <c r="E187" s="28"/>
      <c r="F187" s="28"/>
      <c r="G187" s="28"/>
      <c r="H187" s="28"/>
      <c r="I187" s="28"/>
      <c r="J187" s="28"/>
      <c r="K187" s="28"/>
      <c r="L187" s="28"/>
      <c r="M187" s="28"/>
      <c r="N187" s="28"/>
      <c r="O187" s="28"/>
      <c r="P187" s="28"/>
      <c r="Q187" s="28"/>
      <c r="R187" s="28"/>
    </row>
    <row r="188" spans="2:18">
      <c r="B188" s="28"/>
      <c r="C188" s="28"/>
      <c r="D188" s="28"/>
      <c r="E188" s="28"/>
      <c r="F188" s="28"/>
      <c r="G188" s="28"/>
      <c r="H188" s="28"/>
      <c r="I188" s="28"/>
      <c r="J188" s="28"/>
      <c r="K188" s="28"/>
      <c r="L188" s="28"/>
      <c r="M188" s="28"/>
      <c r="N188" s="28"/>
      <c r="O188" s="28"/>
      <c r="P188" s="28"/>
      <c r="Q188" s="28"/>
      <c r="R188" s="28"/>
    </row>
    <row r="189" spans="2:18">
      <c r="B189" s="28"/>
      <c r="C189" s="28"/>
      <c r="D189" s="28"/>
      <c r="E189" s="28"/>
      <c r="F189" s="28"/>
      <c r="G189" s="28"/>
      <c r="H189" s="28"/>
      <c r="I189" s="28"/>
      <c r="J189" s="28"/>
      <c r="K189" s="28"/>
      <c r="L189" s="28"/>
      <c r="M189" s="28"/>
      <c r="N189" s="28"/>
      <c r="O189" s="28"/>
      <c r="P189" s="28"/>
      <c r="Q189" s="28"/>
      <c r="R189" s="28"/>
    </row>
    <row r="190" spans="2:18">
      <c r="B190" s="28"/>
      <c r="C190" s="28"/>
      <c r="D190" s="28"/>
      <c r="E190" s="28"/>
      <c r="F190" s="28"/>
      <c r="G190" s="28"/>
      <c r="H190" s="28"/>
      <c r="I190" s="28"/>
      <c r="J190" s="28"/>
      <c r="K190" s="28"/>
      <c r="L190" s="28"/>
      <c r="M190" s="28"/>
      <c r="N190" s="28"/>
      <c r="O190" s="28"/>
      <c r="P190" s="28"/>
      <c r="Q190" s="28"/>
      <c r="R190" s="28"/>
    </row>
    <row r="191" spans="2:18">
      <c r="B191" s="28"/>
      <c r="C191" s="28"/>
      <c r="D191" s="28"/>
      <c r="E191" s="28"/>
      <c r="F191" s="28"/>
      <c r="G191" s="28"/>
      <c r="H191" s="28"/>
      <c r="I191" s="28"/>
      <c r="J191" s="28"/>
      <c r="K191" s="28"/>
      <c r="L191" s="28"/>
      <c r="M191" s="28"/>
      <c r="N191" s="28"/>
      <c r="O191" s="28"/>
      <c r="P191" s="28"/>
      <c r="Q191" s="28"/>
      <c r="R191" s="28"/>
    </row>
    <row r="192" spans="2:18">
      <c r="B192" s="28"/>
      <c r="C192" s="28"/>
      <c r="D192" s="28"/>
      <c r="E192" s="28"/>
      <c r="F192" s="28"/>
      <c r="G192" s="28"/>
      <c r="H192" s="28"/>
      <c r="I192" s="28"/>
      <c r="J192" s="28"/>
      <c r="K192" s="28"/>
      <c r="L192" s="28"/>
      <c r="M192" s="28"/>
      <c r="N192" s="28"/>
      <c r="O192" s="28"/>
      <c r="P192" s="28"/>
      <c r="Q192" s="28"/>
      <c r="R192" s="28"/>
    </row>
    <row r="193" spans="2:18">
      <c r="B193" s="28"/>
      <c r="C193" s="28"/>
      <c r="D193" s="28"/>
      <c r="E193" s="28"/>
      <c r="F193" s="28"/>
      <c r="G193" s="28"/>
      <c r="H193" s="28"/>
      <c r="I193" s="28"/>
      <c r="J193" s="28"/>
      <c r="K193" s="28"/>
      <c r="L193" s="28"/>
      <c r="M193" s="28"/>
      <c r="N193" s="28"/>
      <c r="O193" s="28"/>
      <c r="P193" s="28"/>
      <c r="Q193" s="28"/>
      <c r="R193" s="28"/>
    </row>
    <row r="194" spans="2:18">
      <c r="B194" s="28"/>
      <c r="C194" s="28"/>
      <c r="D194" s="28"/>
      <c r="E194" s="28"/>
      <c r="F194" s="28"/>
      <c r="G194" s="28"/>
      <c r="H194" s="28"/>
      <c r="I194" s="28"/>
      <c r="J194" s="28"/>
      <c r="K194" s="28"/>
      <c r="L194" s="28"/>
      <c r="M194" s="28"/>
      <c r="N194" s="28"/>
      <c r="O194" s="28"/>
      <c r="P194" s="28"/>
      <c r="Q194" s="28"/>
      <c r="R194" s="28"/>
    </row>
    <row r="195" spans="2:18">
      <c r="B195" s="28"/>
      <c r="C195" s="28"/>
      <c r="D195" s="28"/>
      <c r="E195" s="28"/>
      <c r="F195" s="28"/>
      <c r="G195" s="28"/>
      <c r="H195" s="28"/>
      <c r="I195" s="28"/>
      <c r="J195" s="28"/>
      <c r="K195" s="28"/>
      <c r="L195" s="28"/>
      <c r="M195" s="28"/>
      <c r="N195" s="28"/>
      <c r="O195" s="28"/>
      <c r="P195" s="28"/>
      <c r="Q195" s="28"/>
      <c r="R195" s="28"/>
    </row>
    <row r="196" spans="2:18">
      <c r="B196" s="28"/>
      <c r="C196" s="28"/>
      <c r="D196" s="28"/>
      <c r="E196" s="28"/>
      <c r="F196" s="28"/>
      <c r="G196" s="28"/>
      <c r="H196" s="28"/>
      <c r="I196" s="28"/>
      <c r="J196" s="28"/>
      <c r="K196" s="28"/>
      <c r="L196" s="28"/>
      <c r="M196" s="28"/>
      <c r="N196" s="28"/>
      <c r="O196" s="28"/>
      <c r="P196" s="28"/>
      <c r="Q196" s="28"/>
      <c r="R196" s="28"/>
    </row>
    <row r="197" spans="2:18">
      <c r="B197" s="28"/>
      <c r="C197" s="28"/>
      <c r="D197" s="28"/>
      <c r="E197" s="28"/>
      <c r="F197" s="28"/>
      <c r="G197" s="28"/>
      <c r="H197" s="28"/>
      <c r="I197" s="28"/>
      <c r="J197" s="28"/>
      <c r="K197" s="28"/>
      <c r="L197" s="28"/>
      <c r="M197" s="28"/>
      <c r="N197" s="28"/>
      <c r="O197" s="28"/>
      <c r="P197" s="28"/>
      <c r="Q197" s="28"/>
      <c r="R197" s="28"/>
    </row>
    <row r="198" spans="2:18">
      <c r="B198" s="28"/>
      <c r="C198" s="28"/>
      <c r="D198" s="28"/>
      <c r="E198" s="28"/>
      <c r="F198" s="28"/>
      <c r="G198" s="28"/>
      <c r="H198" s="28"/>
      <c r="I198" s="28"/>
      <c r="J198" s="28"/>
      <c r="K198" s="28"/>
      <c r="L198" s="28"/>
      <c r="M198" s="28"/>
      <c r="N198" s="28"/>
      <c r="O198" s="28"/>
      <c r="P198" s="28"/>
      <c r="Q198" s="28"/>
      <c r="R198" s="28"/>
    </row>
    <row r="199" spans="2:18">
      <c r="B199" s="28"/>
      <c r="C199" s="28"/>
      <c r="D199" s="28"/>
      <c r="E199" s="28"/>
      <c r="F199" s="28"/>
      <c r="G199" s="28"/>
      <c r="H199" s="28"/>
      <c r="I199" s="28"/>
      <c r="J199" s="28"/>
      <c r="K199" s="28"/>
      <c r="L199" s="28"/>
      <c r="M199" s="28"/>
      <c r="N199" s="28"/>
      <c r="O199" s="28"/>
      <c r="P199" s="28"/>
      <c r="Q199" s="28"/>
      <c r="R199" s="28"/>
    </row>
    <row r="200" spans="2:18">
      <c r="B200" s="28"/>
      <c r="C200" s="28"/>
      <c r="D200" s="28"/>
      <c r="E200" s="28"/>
      <c r="F200" s="28"/>
      <c r="G200" s="28"/>
      <c r="H200" s="28"/>
      <c r="I200" s="28"/>
      <c r="J200" s="28"/>
      <c r="K200" s="28"/>
      <c r="L200" s="28"/>
      <c r="M200" s="28"/>
      <c r="N200" s="28"/>
      <c r="O200" s="28"/>
      <c r="P200" s="28"/>
      <c r="Q200" s="28"/>
      <c r="R200" s="28"/>
    </row>
    <row r="201" spans="2:18">
      <c r="B201" s="28"/>
      <c r="C201" s="28"/>
      <c r="D201" s="28"/>
      <c r="E201" s="28"/>
      <c r="F201" s="28"/>
      <c r="G201" s="28"/>
      <c r="H201" s="28"/>
      <c r="I201" s="28"/>
      <c r="J201" s="28"/>
      <c r="K201" s="28"/>
      <c r="L201" s="28"/>
      <c r="M201" s="28"/>
      <c r="N201" s="28"/>
      <c r="O201" s="28"/>
      <c r="P201" s="28"/>
      <c r="Q201" s="28"/>
      <c r="R201" s="28"/>
    </row>
    <row r="202" spans="2:18">
      <c r="B202" s="28"/>
      <c r="C202" s="28"/>
      <c r="D202" s="28"/>
      <c r="E202" s="28"/>
      <c r="F202" s="28"/>
      <c r="G202" s="28"/>
      <c r="H202" s="28"/>
      <c r="I202" s="28"/>
      <c r="J202" s="28"/>
      <c r="K202" s="28"/>
      <c r="L202" s="28"/>
      <c r="M202" s="28"/>
      <c r="N202" s="28"/>
      <c r="O202" s="28"/>
      <c r="P202" s="28"/>
      <c r="Q202" s="28"/>
      <c r="R202" s="28"/>
    </row>
    <row r="203" spans="2:18">
      <c r="B203" s="28"/>
      <c r="C203" s="28"/>
      <c r="D203" s="28"/>
      <c r="E203" s="28"/>
      <c r="F203" s="28"/>
      <c r="G203" s="28"/>
      <c r="H203" s="28"/>
      <c r="I203" s="28"/>
      <c r="J203" s="28"/>
      <c r="K203" s="28"/>
      <c r="L203" s="28"/>
      <c r="M203" s="28"/>
      <c r="N203" s="28"/>
      <c r="O203" s="28"/>
      <c r="P203" s="28"/>
      <c r="Q203" s="28"/>
      <c r="R203" s="28"/>
    </row>
    <row r="204" spans="2:18">
      <c r="B204" s="28"/>
      <c r="C204" s="28"/>
      <c r="D204" s="28"/>
      <c r="E204" s="28"/>
      <c r="F204" s="28"/>
      <c r="G204" s="28"/>
      <c r="H204" s="28"/>
      <c r="I204" s="28"/>
      <c r="J204" s="28"/>
      <c r="K204" s="28"/>
      <c r="L204" s="28"/>
      <c r="M204" s="28"/>
      <c r="N204" s="28"/>
      <c r="O204" s="28"/>
      <c r="P204" s="28"/>
      <c r="Q204" s="28"/>
      <c r="R204" s="28"/>
    </row>
    <row r="205" spans="2:18">
      <c r="B205" s="28"/>
      <c r="C205" s="28"/>
      <c r="D205" s="28"/>
      <c r="E205" s="28"/>
      <c r="F205" s="28"/>
      <c r="G205" s="28"/>
      <c r="H205" s="28"/>
      <c r="I205" s="28"/>
      <c r="J205" s="28"/>
      <c r="K205" s="28"/>
      <c r="L205" s="28"/>
      <c r="M205" s="28"/>
      <c r="N205" s="28"/>
      <c r="O205" s="28"/>
      <c r="P205" s="28"/>
      <c r="Q205" s="28"/>
      <c r="R205" s="28"/>
    </row>
  </sheetData>
  <mergeCells count="7">
    <mergeCell ref="S22:S27"/>
    <mergeCell ref="B62:Q62"/>
    <mergeCell ref="V7:X9"/>
    <mergeCell ref="B2:Q2"/>
    <mergeCell ref="B3:Q3"/>
    <mergeCell ref="B4:Q4"/>
    <mergeCell ref="N8:P8"/>
  </mergeCells>
  <conditionalFormatting sqref="N48:N49">
    <cfRule type="cellIs" dxfId="38" priority="7" operator="lessThan">
      <formula>0</formula>
    </cfRule>
    <cfRule type="cellIs" dxfId="37" priority="8" operator="greaterThan">
      <formula>0.051</formula>
    </cfRule>
    <cfRule type="cellIs" dxfId="36" priority="9" operator="greaterThan">
      <formula>5.1</formula>
    </cfRule>
  </conditionalFormatting>
  <conditionalFormatting sqref="O48:O49">
    <cfRule type="cellIs" dxfId="35" priority="3" operator="lessThan">
      <formula>0</formula>
    </cfRule>
    <cfRule type="cellIs" dxfId="34" priority="4" operator="greaterThan">
      <formula>0.019</formula>
    </cfRule>
    <cfRule type="cellIs" dxfId="33" priority="5" operator="greaterThan">
      <formula>0.019</formula>
    </cfRule>
    <cfRule type="cellIs" dxfId="32" priority="6" operator="greaterThan">
      <formula>0.02</formula>
    </cfRule>
  </conditionalFormatting>
  <conditionalFormatting sqref="P48:P49">
    <cfRule type="cellIs" dxfId="31" priority="1" operator="lessThan">
      <formula>0</formula>
    </cfRule>
    <cfRule type="cellIs" dxfId="30" priority="2" operator="greaterThan">
      <formula>0.02</formula>
    </cfRule>
  </conditionalFormatting>
  <pageMargins left="0.25" right="0.25" top="0.75" bottom="0.75" header="0.3" footer="0.3"/>
  <pageSetup paperSize="5"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B1:U205"/>
  <sheetViews>
    <sheetView showGridLines="0" zoomScaleNormal="100" workbookViewId="0">
      <pane xSplit="5" ySplit="9" topLeftCell="F10" activePane="bottomRight" state="frozen"/>
      <selection pane="topRight" activeCell="E1" sqref="E1"/>
      <selection pane="bottomLeft" activeCell="A6" sqref="A6"/>
      <selection pane="bottomRight" activeCell="B3" sqref="B3:Q3"/>
    </sheetView>
  </sheetViews>
  <sheetFormatPr baseColWidth="10" defaultRowHeight="15" outlineLevelRow="1" outlineLevelCol="2"/>
  <cols>
    <col min="1" max="1" width="4.42578125" customWidth="1"/>
    <col min="2" max="2" width="10.28515625" customWidth="1"/>
    <col min="3" max="3" width="42.42578125" customWidth="1"/>
    <col min="4" max="4" width="28" customWidth="1"/>
    <col min="5" max="5" width="4.140625" customWidth="1"/>
    <col min="6" max="7" width="13.85546875" customWidth="1"/>
    <col min="8" max="8" width="15.42578125" customWidth="1"/>
    <col min="9" max="9" width="13" customWidth="1"/>
    <col min="10" max="10" width="12.85546875" customWidth="1"/>
    <col min="11" max="12" width="14.140625" bestFit="1" customWidth="1"/>
    <col min="13" max="13" width="5.85546875" customWidth="1"/>
    <col min="14" max="16" width="14.140625" customWidth="1"/>
    <col min="17" max="17" width="14.140625" hidden="1" customWidth="1" outlineLevel="1"/>
    <col min="18" max="18" width="4.7109375" hidden="1" customWidth="1" outlineLevel="2"/>
    <col min="19" max="19" width="30.5703125" hidden="1" customWidth="1" outlineLevel="2"/>
    <col min="20" max="20" width="0" hidden="1" customWidth="1" outlineLevel="1"/>
    <col min="21" max="21" width="2.140625" customWidth="1" collapsed="1"/>
    <col min="22" max="22" width="4.28515625" customWidth="1"/>
  </cols>
  <sheetData>
    <row r="1" spans="2:19">
      <c r="F1" s="1"/>
      <c r="G1" s="1"/>
      <c r="H1" s="2"/>
    </row>
    <row r="2" spans="2:19">
      <c r="B2" s="182" t="s">
        <v>0</v>
      </c>
      <c r="C2" s="182"/>
      <c r="D2" s="182"/>
      <c r="E2" s="182"/>
      <c r="F2" s="182"/>
      <c r="G2" s="182"/>
      <c r="H2" s="182"/>
      <c r="I2" s="182"/>
      <c r="J2" s="182"/>
      <c r="K2" s="182"/>
      <c r="L2" s="182"/>
      <c r="M2" s="182"/>
      <c r="N2" s="182"/>
      <c r="O2" s="182"/>
      <c r="P2" s="182"/>
      <c r="Q2" s="182"/>
      <c r="R2" s="33"/>
    </row>
    <row r="3" spans="2:19">
      <c r="B3" s="182" t="s">
        <v>1</v>
      </c>
      <c r="C3" s="182"/>
      <c r="D3" s="182"/>
      <c r="E3" s="182"/>
      <c r="F3" s="182"/>
      <c r="G3" s="182"/>
      <c r="H3" s="182"/>
      <c r="I3" s="182"/>
      <c r="J3" s="182"/>
      <c r="K3" s="182"/>
      <c r="L3" s="182"/>
      <c r="M3" s="182"/>
      <c r="N3" s="182"/>
      <c r="O3" s="182"/>
      <c r="P3" s="182"/>
      <c r="Q3" s="182"/>
      <c r="R3" s="33"/>
    </row>
    <row r="4" spans="2:19">
      <c r="B4" s="182" t="s">
        <v>2</v>
      </c>
      <c r="C4" s="182"/>
      <c r="D4" s="182"/>
      <c r="E4" s="182"/>
      <c r="F4" s="182"/>
      <c r="G4" s="182"/>
      <c r="H4" s="182"/>
      <c r="I4" s="182"/>
      <c r="J4" s="182"/>
      <c r="K4" s="182"/>
      <c r="L4" s="182"/>
      <c r="M4" s="182"/>
      <c r="N4" s="182"/>
      <c r="O4" s="182"/>
      <c r="P4" s="182"/>
      <c r="Q4" s="182"/>
      <c r="R4" s="33"/>
    </row>
    <row r="5" spans="2:19">
      <c r="B5" s="33"/>
      <c r="C5" s="33"/>
      <c r="D5" s="33"/>
      <c r="E5" s="33"/>
      <c r="F5" s="33"/>
      <c r="G5" s="33"/>
      <c r="H5" s="33"/>
      <c r="I5" s="33"/>
      <c r="J5" s="33"/>
      <c r="K5" s="33"/>
      <c r="L5" s="33"/>
      <c r="M5" s="33"/>
      <c r="N5" s="44" t="s">
        <v>58</v>
      </c>
      <c r="O5" s="47" t="s">
        <v>61</v>
      </c>
      <c r="P5" s="44" t="s">
        <v>60</v>
      </c>
      <c r="Q5" s="33"/>
      <c r="R5" s="33"/>
    </row>
    <row r="6" spans="2:19">
      <c r="B6" s="3"/>
      <c r="C6" s="4"/>
      <c r="D6" s="4"/>
      <c r="E6" s="4"/>
      <c r="F6" s="45"/>
      <c r="G6" s="45"/>
      <c r="H6" s="45"/>
      <c r="I6" s="45"/>
      <c r="J6" s="45"/>
      <c r="K6" s="45"/>
      <c r="L6" s="45"/>
      <c r="M6" s="45"/>
      <c r="N6" s="46" t="s">
        <v>59</v>
      </c>
      <c r="O6" s="48" t="s">
        <v>59</v>
      </c>
      <c r="P6" s="46" t="s">
        <v>59</v>
      </c>
      <c r="Q6" s="45"/>
      <c r="R6" s="34"/>
      <c r="S6" s="1"/>
    </row>
    <row r="7" spans="2:19" ht="9" customHeight="1">
      <c r="B7" s="3"/>
      <c r="C7" s="4"/>
      <c r="D7" s="4"/>
      <c r="E7" s="4"/>
      <c r="F7" s="34"/>
      <c r="G7" s="34"/>
      <c r="H7" s="34"/>
      <c r="I7" s="34"/>
      <c r="J7" s="34"/>
      <c r="K7" s="34"/>
      <c r="L7" s="34"/>
      <c r="M7" s="34"/>
      <c r="N7" s="34"/>
      <c r="O7" s="34"/>
      <c r="P7" s="34"/>
      <c r="Q7" s="34"/>
      <c r="R7" s="34"/>
      <c r="S7" s="1"/>
    </row>
    <row r="8" spans="2:19">
      <c r="B8" s="3"/>
      <c r="C8" s="4"/>
      <c r="D8" s="4"/>
      <c r="E8" s="4"/>
      <c r="F8" s="34"/>
      <c r="G8" s="34"/>
      <c r="H8" s="34"/>
      <c r="I8" s="34"/>
      <c r="J8" s="34"/>
      <c r="K8" s="34"/>
      <c r="L8" s="34"/>
      <c r="M8" s="34"/>
      <c r="N8" s="198" t="s">
        <v>54</v>
      </c>
      <c r="O8" s="198"/>
      <c r="P8" s="198"/>
      <c r="Q8" s="34"/>
      <c r="R8" s="34"/>
      <c r="S8" s="1"/>
    </row>
    <row r="9" spans="2:19">
      <c r="B9" s="3"/>
      <c r="C9" s="4"/>
      <c r="D9" s="4"/>
      <c r="E9" s="4"/>
      <c r="F9" s="5" t="s">
        <v>3</v>
      </c>
      <c r="G9" s="5" t="s">
        <v>4</v>
      </c>
      <c r="H9" s="5" t="s">
        <v>5</v>
      </c>
      <c r="I9" s="5" t="s">
        <v>6</v>
      </c>
      <c r="J9" s="6" t="s">
        <v>7</v>
      </c>
      <c r="K9" s="5" t="s">
        <v>8</v>
      </c>
      <c r="L9" s="6" t="s">
        <v>9</v>
      </c>
      <c r="M9" s="6"/>
      <c r="N9" s="6" t="s">
        <v>55</v>
      </c>
      <c r="O9" s="6" t="s">
        <v>56</v>
      </c>
      <c r="P9" s="6" t="s">
        <v>57</v>
      </c>
      <c r="Q9" s="6" t="s">
        <v>9</v>
      </c>
      <c r="R9" s="6"/>
      <c r="S9" s="36" t="s">
        <v>47</v>
      </c>
    </row>
    <row r="10" spans="2:19">
      <c r="B10" s="7"/>
      <c r="C10" s="7"/>
      <c r="D10" s="7"/>
      <c r="E10" s="4"/>
      <c r="F10" s="8"/>
      <c r="G10" s="8"/>
      <c r="H10" s="8"/>
      <c r="I10" s="8"/>
      <c r="J10" s="8"/>
      <c r="K10" s="8"/>
      <c r="L10" s="8" t="s">
        <v>48</v>
      </c>
      <c r="M10" s="22"/>
      <c r="N10" s="8"/>
      <c r="O10" s="8"/>
      <c r="P10" s="8"/>
      <c r="Q10" s="8" t="s">
        <v>49</v>
      </c>
      <c r="R10" s="8"/>
      <c r="S10" s="9"/>
    </row>
    <row r="11" spans="2:19" s="13" customFormat="1" ht="18" customHeight="1">
      <c r="B11" s="4" t="s">
        <v>10</v>
      </c>
      <c r="C11" s="10"/>
      <c r="D11" s="10"/>
      <c r="E11" s="10"/>
      <c r="F11" s="11">
        <v>0</v>
      </c>
      <c r="G11" s="11">
        <v>0</v>
      </c>
      <c r="H11" s="11">
        <v>454.61278999999996</v>
      </c>
      <c r="I11" s="11">
        <v>812.71965999999998</v>
      </c>
      <c r="J11" s="11">
        <v>1151.1051499999999</v>
      </c>
      <c r="K11" s="11">
        <v>618.1</v>
      </c>
      <c r="L11" s="11">
        <v>77</v>
      </c>
      <c r="M11" s="43"/>
      <c r="N11" s="41" t="s">
        <v>53</v>
      </c>
      <c r="O11" s="39">
        <f>(K11-J11)/J11</f>
        <v>-0.46303775984322537</v>
      </c>
      <c r="P11" s="39">
        <f>(L11-K11)/K11</f>
        <v>-0.8754246885617214</v>
      </c>
      <c r="Q11" s="11">
        <v>77</v>
      </c>
      <c r="R11" s="11"/>
      <c r="S11" s="12"/>
    </row>
    <row r="12" spans="2:19" s="13" customFormat="1" ht="18" customHeight="1">
      <c r="B12" s="51" t="s">
        <v>52</v>
      </c>
      <c r="C12" s="10"/>
      <c r="D12" s="10"/>
      <c r="E12" s="10"/>
      <c r="F12" s="11">
        <f>180.045+417.402</f>
        <v>597.447</v>
      </c>
      <c r="G12" s="11">
        <f>231.135+799.761</f>
        <v>1030.896</v>
      </c>
      <c r="H12" s="11">
        <f>262.921+678.08</f>
        <v>941.00099999999998</v>
      </c>
      <c r="I12" s="11">
        <f>213.407+628.858</f>
        <v>842.26499999999999</v>
      </c>
      <c r="J12" s="11">
        <f>212.536+570.437</f>
        <v>782.97299999999996</v>
      </c>
      <c r="K12" s="11">
        <f>281.783+736.67</f>
        <v>1018.453</v>
      </c>
      <c r="L12" s="11">
        <f>364.283+782.361</f>
        <v>1146.644</v>
      </c>
      <c r="M12" s="43"/>
      <c r="N12" s="39">
        <f>((1+(+L12-F12)/F12)^(1/6))-1</f>
        <v>0.11477752165317212</v>
      </c>
      <c r="O12" s="39">
        <f>(K12-J12)/J12</f>
        <v>0.30075111146872247</v>
      </c>
      <c r="P12" s="39">
        <f t="shared" ref="P12:P50" si="0">(L12-K12)/K12</f>
        <v>0.12586835131321725</v>
      </c>
      <c r="Q12" s="11"/>
      <c r="R12" s="11"/>
      <c r="S12" s="12"/>
    </row>
    <row r="13" spans="2:19">
      <c r="B13" s="7" t="s">
        <v>11</v>
      </c>
      <c r="C13" s="7"/>
      <c r="D13" s="7"/>
      <c r="E13" s="14"/>
      <c r="F13" s="11">
        <f>1604.59408-F12</f>
        <v>1007.1470800000001</v>
      </c>
      <c r="G13" s="11">
        <f>2090.40259-G12</f>
        <v>1059.5065900000002</v>
      </c>
      <c r="H13" s="11">
        <f>2099.34847-H12</f>
        <v>1158.3474699999999</v>
      </c>
      <c r="I13" s="11">
        <f>1997.94788-I12</f>
        <v>1155.6828799999998</v>
      </c>
      <c r="J13" s="11">
        <f>2084.80393-J12</f>
        <v>1301.8309300000001</v>
      </c>
      <c r="K13" s="11">
        <f>2342.50501-K12</f>
        <v>1324.0520099999999</v>
      </c>
      <c r="L13" s="11">
        <f>2519.847-L12</f>
        <v>1373.2030000000002</v>
      </c>
      <c r="M13" s="43"/>
      <c r="N13" s="39">
        <f t="shared" ref="N13:N50" si="1">((1+(+L13-F13)/F13)^(1/6))-1</f>
        <v>5.302894169876371E-2</v>
      </c>
      <c r="O13" s="39">
        <f t="shared" ref="O13:O50" si="2">(K13-J13)/J13</f>
        <v>1.7069098212315326E-2</v>
      </c>
      <c r="P13" s="39">
        <f t="shared" si="0"/>
        <v>3.7121645999389649E-2</v>
      </c>
      <c r="Q13" s="11">
        <v>2519.8470000000002</v>
      </c>
      <c r="R13" s="11"/>
      <c r="S13" s="9"/>
    </row>
    <row r="14" spans="2:19">
      <c r="B14" s="15" t="s">
        <v>12</v>
      </c>
      <c r="C14" s="15"/>
      <c r="D14" s="15"/>
      <c r="E14" s="16"/>
      <c r="F14" s="17">
        <f t="shared" ref="F14:L14" si="3">F11+F13+F12</f>
        <v>1604.5940800000001</v>
      </c>
      <c r="G14" s="17">
        <f t="shared" si="3"/>
        <v>2090.4025900000001</v>
      </c>
      <c r="H14" s="17">
        <f t="shared" si="3"/>
        <v>2553.96126</v>
      </c>
      <c r="I14" s="17">
        <f t="shared" si="3"/>
        <v>2810.6675399999999</v>
      </c>
      <c r="J14" s="17">
        <f t="shared" si="3"/>
        <v>3235.9090799999999</v>
      </c>
      <c r="K14" s="17">
        <f t="shared" si="3"/>
        <v>2960.6050099999998</v>
      </c>
      <c r="L14" s="17">
        <f t="shared" si="3"/>
        <v>2596.8470000000002</v>
      </c>
      <c r="M14" s="18"/>
      <c r="N14" s="40">
        <f t="shared" si="1"/>
        <v>8.3544776546460975E-2</v>
      </c>
      <c r="O14" s="40">
        <f t="shared" si="2"/>
        <v>-8.5077813743765676E-2</v>
      </c>
      <c r="P14" s="40">
        <f t="shared" si="0"/>
        <v>-0.12286610634358131</v>
      </c>
      <c r="Q14" s="17">
        <f t="shared" ref="Q14" si="4">Q11+Q13</f>
        <v>2596.8470000000002</v>
      </c>
      <c r="R14" s="18"/>
    </row>
    <row r="15" spans="2:19" ht="8.25" customHeight="1">
      <c r="B15" s="7"/>
      <c r="C15" s="7"/>
      <c r="D15" s="7"/>
      <c r="E15" s="14"/>
      <c r="F15" s="18"/>
      <c r="G15" s="18"/>
      <c r="H15" s="18"/>
      <c r="I15" s="18"/>
      <c r="J15" s="18"/>
      <c r="K15" s="18"/>
      <c r="L15" s="18"/>
      <c r="M15" s="18"/>
      <c r="N15" s="39"/>
      <c r="O15" s="39"/>
      <c r="P15" s="39"/>
      <c r="Q15" s="18"/>
      <c r="R15" s="18"/>
    </row>
    <row r="16" spans="2:19">
      <c r="B16" s="7" t="s">
        <v>13</v>
      </c>
      <c r="C16" s="7"/>
      <c r="D16" s="7"/>
      <c r="E16" s="14"/>
      <c r="F16" s="11">
        <v>3301.2202299999994</v>
      </c>
      <c r="G16" s="11">
        <v>3513.3509300000001</v>
      </c>
      <c r="H16" s="11">
        <v>3917.5796200000004</v>
      </c>
      <c r="I16" s="11">
        <v>3936.6712900000016</v>
      </c>
      <c r="J16" s="11">
        <v>4015.7355199999993</v>
      </c>
      <c r="K16" s="11">
        <v>4564.7323477</v>
      </c>
      <c r="L16" s="11">
        <v>4755.1625121057778</v>
      </c>
      <c r="M16" s="43"/>
      <c r="N16" s="39">
        <f>((1+(+L16-F16)/F16)^(1/6))-1</f>
        <v>6.271092272424772E-2</v>
      </c>
      <c r="O16" s="39">
        <f t="shared" si="2"/>
        <v>0.1367114006800928</v>
      </c>
      <c r="P16" s="39">
        <f t="shared" si="0"/>
        <v>4.1717706516073934E-2</v>
      </c>
      <c r="Q16" s="11">
        <v>4755.1625121057778</v>
      </c>
      <c r="R16" s="11"/>
    </row>
    <row r="17" spans="2:19">
      <c r="B17" s="15" t="s">
        <v>14</v>
      </c>
      <c r="C17" s="15"/>
      <c r="D17" s="15"/>
      <c r="E17" s="16"/>
      <c r="F17" s="17">
        <f>F14+F16</f>
        <v>4905.8143099999998</v>
      </c>
      <c r="G17" s="17">
        <f t="shared" ref="G17:Q17" si="5">G14+G16</f>
        <v>5603.7535200000002</v>
      </c>
      <c r="H17" s="17">
        <f t="shared" si="5"/>
        <v>6471.5408800000005</v>
      </c>
      <c r="I17" s="17">
        <f t="shared" si="5"/>
        <v>6747.3388300000015</v>
      </c>
      <c r="J17" s="17">
        <f t="shared" si="5"/>
        <v>7251.6445999999996</v>
      </c>
      <c r="K17" s="17">
        <f t="shared" si="5"/>
        <v>7525.3373577000002</v>
      </c>
      <c r="L17" s="17">
        <f t="shared" ref="L17" si="6">L14+L16</f>
        <v>7352.0095121057784</v>
      </c>
      <c r="M17" s="18"/>
      <c r="N17" s="40">
        <f t="shared" si="1"/>
        <v>6.9750485921170835E-2</v>
      </c>
      <c r="O17" s="40">
        <f t="shared" si="2"/>
        <v>3.7742163715524697E-2</v>
      </c>
      <c r="P17" s="40">
        <f t="shared" si="0"/>
        <v>-2.3032568156811071E-2</v>
      </c>
      <c r="Q17" s="17">
        <f t="shared" si="5"/>
        <v>7352.0095121057784</v>
      </c>
      <c r="R17" s="18"/>
    </row>
    <row r="18" spans="2:19">
      <c r="B18" s="7"/>
      <c r="C18" s="7"/>
      <c r="D18" s="7"/>
      <c r="E18" s="14"/>
      <c r="F18" s="18"/>
      <c r="G18" s="18"/>
      <c r="H18" s="18"/>
      <c r="I18" s="18"/>
      <c r="J18" s="18"/>
      <c r="K18" s="18"/>
      <c r="L18" s="18"/>
      <c r="M18" s="18"/>
      <c r="N18" s="39"/>
      <c r="O18" s="39"/>
      <c r="P18" s="39"/>
      <c r="Q18" s="18"/>
      <c r="R18" s="18"/>
    </row>
    <row r="19" spans="2:19">
      <c r="B19" s="52" t="s">
        <v>15</v>
      </c>
      <c r="C19" s="52"/>
      <c r="D19" s="7"/>
      <c r="E19" s="14"/>
      <c r="F19" s="11">
        <v>82.265860000000018</v>
      </c>
      <c r="G19" s="11">
        <v>72.566450000000017</v>
      </c>
      <c r="H19" s="11">
        <v>126.39467</v>
      </c>
      <c r="I19" s="11">
        <v>108.93971000000001</v>
      </c>
      <c r="J19" s="11">
        <v>103.86682</v>
      </c>
      <c r="K19" s="11">
        <v>118.99746</v>
      </c>
      <c r="L19" s="11">
        <v>128.99318891999999</v>
      </c>
      <c r="M19" s="43"/>
      <c r="N19" s="39">
        <f t="shared" si="1"/>
        <v>7.784883388722541E-2</v>
      </c>
      <c r="O19" s="39">
        <f t="shared" si="2"/>
        <v>0.1456734691598337</v>
      </c>
      <c r="P19" s="39">
        <f t="shared" si="0"/>
        <v>8.3999514947629889E-2</v>
      </c>
      <c r="Q19" s="11">
        <v>128.99318891999999</v>
      </c>
      <c r="R19" s="11"/>
    </row>
    <row r="20" spans="2:19">
      <c r="B20" s="7" t="s">
        <v>16</v>
      </c>
      <c r="C20" s="7"/>
      <c r="D20" s="7"/>
      <c r="E20" s="14"/>
      <c r="F20" s="11">
        <v>0</v>
      </c>
      <c r="G20" s="11">
        <v>34.855609999999999</v>
      </c>
      <c r="H20" s="11">
        <v>5.84619</v>
      </c>
      <c r="I20" s="11">
        <v>1.53125</v>
      </c>
      <c r="J20" s="11">
        <v>84.42407</v>
      </c>
      <c r="K20" s="11">
        <v>85.661349999999985</v>
      </c>
      <c r="L20" s="11">
        <v>0</v>
      </c>
      <c r="M20" s="43"/>
      <c r="N20" s="41" t="s">
        <v>53</v>
      </c>
      <c r="O20" s="39">
        <f t="shared" si="2"/>
        <v>1.4655536033739954E-2</v>
      </c>
      <c r="P20" s="39">
        <f t="shared" si="0"/>
        <v>-1</v>
      </c>
      <c r="Q20" s="11">
        <v>0</v>
      </c>
      <c r="R20" s="11"/>
    </row>
    <row r="21" spans="2:19">
      <c r="B21" s="52" t="s">
        <v>17</v>
      </c>
      <c r="C21" s="52"/>
      <c r="D21" s="7"/>
      <c r="E21" s="14"/>
      <c r="F21" s="11">
        <v>79.74730000000001</v>
      </c>
      <c r="G21" s="11">
        <v>75.011279999999999</v>
      </c>
      <c r="H21" s="11">
        <v>107.75895999999999</v>
      </c>
      <c r="I21" s="11">
        <v>131.73680999999999</v>
      </c>
      <c r="J21" s="11">
        <v>82.113769999999988</v>
      </c>
      <c r="K21" s="11">
        <v>129.50231200000002</v>
      </c>
      <c r="L21" s="11">
        <v>133.24521575999998</v>
      </c>
      <c r="M21" s="43"/>
      <c r="N21" s="39">
        <f t="shared" si="1"/>
        <v>8.9321158810667267E-2</v>
      </c>
      <c r="O21" s="39">
        <f t="shared" si="2"/>
        <v>0.57710834613975259</v>
      </c>
      <c r="P21" s="39">
        <f t="shared" si="0"/>
        <v>2.8902215738047684E-2</v>
      </c>
      <c r="Q21" s="11">
        <v>133.24521575999998</v>
      </c>
      <c r="R21" s="11"/>
    </row>
    <row r="22" spans="2:19">
      <c r="B22" s="7" t="s">
        <v>18</v>
      </c>
      <c r="C22" s="7"/>
      <c r="D22" s="7"/>
      <c r="E22" s="14"/>
      <c r="F22" s="11">
        <v>107.09584</v>
      </c>
      <c r="G22" s="11">
        <v>105.43622999999999</v>
      </c>
      <c r="H22" s="11">
        <v>139.54917</v>
      </c>
      <c r="I22" s="11">
        <v>99.594340000000017</v>
      </c>
      <c r="J22" s="11">
        <v>94.026970000000006</v>
      </c>
      <c r="K22" s="11">
        <v>103.28076</v>
      </c>
      <c r="L22" s="11">
        <v>105.44878382</v>
      </c>
      <c r="M22" s="43"/>
      <c r="N22" s="39">
        <f t="shared" si="1"/>
        <v>-2.5797934114192289E-3</v>
      </c>
      <c r="O22" s="39">
        <f t="shared" si="2"/>
        <v>9.8416337355122632E-2</v>
      </c>
      <c r="P22" s="39">
        <f t="shared" si="0"/>
        <v>2.099155563921104E-2</v>
      </c>
      <c r="Q22" s="11">
        <v>105.44878382</v>
      </c>
      <c r="R22" s="11"/>
      <c r="S22" s="195" t="s">
        <v>50</v>
      </c>
    </row>
    <row r="23" spans="2:19">
      <c r="B23" s="50" t="s">
        <v>62</v>
      </c>
      <c r="C23" s="50"/>
      <c r="D23" s="7"/>
      <c r="E23" s="14"/>
      <c r="F23" s="11">
        <v>76.75</v>
      </c>
      <c r="G23" s="11">
        <v>70.436999999999998</v>
      </c>
      <c r="H23" s="11">
        <v>77</v>
      </c>
      <c r="I23" s="11">
        <v>84.888000000000005</v>
      </c>
      <c r="J23" s="11">
        <v>87.444000000000003</v>
      </c>
      <c r="K23" s="11">
        <v>97.953999999999994</v>
      </c>
      <c r="L23" s="11">
        <v>102.646</v>
      </c>
      <c r="M23" s="43"/>
      <c r="N23" s="39">
        <f t="shared" ref="N23:N25" si="7">((1+(+L23-F23)/F23)^(1/6))-1</f>
        <v>4.9648624480829184E-2</v>
      </c>
      <c r="O23" s="39">
        <f t="shared" ref="O23:O25" si="8">(K23-J23)/J23</f>
        <v>0.12019120808746159</v>
      </c>
      <c r="P23" s="39">
        <f t="shared" ref="P23:P25" si="9">(L23-K23)/K23</f>
        <v>4.790003471017016E-2</v>
      </c>
      <c r="Q23" s="11"/>
      <c r="R23" s="11"/>
      <c r="S23" s="195"/>
    </row>
    <row r="24" spans="2:19">
      <c r="B24" s="50" t="s">
        <v>63</v>
      </c>
      <c r="C24" s="50"/>
      <c r="D24" s="7"/>
      <c r="E24" s="14"/>
      <c r="F24" s="11">
        <v>78.554000000000002</v>
      </c>
      <c r="G24" s="11">
        <v>77.522000000000006</v>
      </c>
      <c r="H24" s="11">
        <v>82.082999999999998</v>
      </c>
      <c r="I24" s="11">
        <v>138.77099999999999</v>
      </c>
      <c r="J24" s="11">
        <v>247.40700000000001</v>
      </c>
      <c r="K24" s="11">
        <v>140</v>
      </c>
      <c r="L24" s="11">
        <f>143.06-20</f>
        <v>123.06</v>
      </c>
      <c r="M24" s="43"/>
      <c r="N24" s="39">
        <f t="shared" si="7"/>
        <v>7.7683998286287359E-2</v>
      </c>
      <c r="O24" s="39">
        <f t="shared" si="8"/>
        <v>-0.43413080470641496</v>
      </c>
      <c r="P24" s="39">
        <f t="shared" si="9"/>
        <v>-0.12099999999999998</v>
      </c>
      <c r="Q24" s="11"/>
      <c r="R24" s="11"/>
      <c r="S24" s="195"/>
    </row>
    <row r="25" spans="2:19">
      <c r="B25" s="50" t="s">
        <v>64</v>
      </c>
      <c r="C25" s="50"/>
      <c r="D25" s="7"/>
      <c r="E25" s="14"/>
      <c r="F25" s="11">
        <v>632.30200000000002</v>
      </c>
      <c r="G25" s="11">
        <v>429.64400000000001</v>
      </c>
      <c r="H25" s="11">
        <v>277.43799999999999</v>
      </c>
      <c r="I25" s="11">
        <v>266.00900000000001</v>
      </c>
      <c r="J25" s="11">
        <v>274.80799999999999</v>
      </c>
      <c r="K25" s="11">
        <v>496.61599999999999</v>
      </c>
      <c r="L25" s="11">
        <f>610.076-75</f>
        <v>535.07600000000002</v>
      </c>
      <c r="M25" s="43"/>
      <c r="N25" s="39">
        <f t="shared" si="7"/>
        <v>-2.7442801426795893E-2</v>
      </c>
      <c r="O25" s="39">
        <f t="shared" si="8"/>
        <v>0.80713807458298159</v>
      </c>
      <c r="P25" s="39">
        <f t="shared" si="9"/>
        <v>7.744414195273619E-2</v>
      </c>
      <c r="Q25" s="11"/>
      <c r="R25" s="11"/>
      <c r="S25" s="195"/>
    </row>
    <row r="26" spans="2:19">
      <c r="B26" s="50" t="s">
        <v>65</v>
      </c>
      <c r="C26" s="50"/>
      <c r="D26" s="7"/>
      <c r="E26" s="14"/>
      <c r="F26" s="11">
        <f>2904.95289-F25-F24-F23</f>
        <v>2117.3468899999998</v>
      </c>
      <c r="G26" s="11">
        <f>1928.66238-G25-G24-G23</f>
        <v>1351.0593800000001</v>
      </c>
      <c r="H26" s="11">
        <f>1717.85718-H25-H24-H23</f>
        <v>1281.3361799999998</v>
      </c>
      <c r="I26" s="11">
        <f>2246.08559-I25-I24-I23</f>
        <v>1756.4175900000002</v>
      </c>
      <c r="J26" s="11">
        <f>2622.20426-J25-J24-J23</f>
        <v>2012.5452599999999</v>
      </c>
      <c r="K26" s="11">
        <f>2733.74454-K25-K24-K23</f>
        <v>1999.1745400000002</v>
      </c>
      <c r="L26" s="11">
        <f>926.379-124.6-124.6</f>
        <v>677.17899999999997</v>
      </c>
      <c r="M26" s="43"/>
      <c r="N26" s="39">
        <f t="shared" si="1"/>
        <v>-0.17303858877472922</v>
      </c>
      <c r="O26" s="39">
        <f t="shared" si="2"/>
        <v>-6.6436866120465118E-3</v>
      </c>
      <c r="P26" s="39">
        <f t="shared" si="0"/>
        <v>-0.66127069625446522</v>
      </c>
      <c r="Q26" s="11">
        <v>1782.1617590999999</v>
      </c>
      <c r="R26" s="11"/>
      <c r="S26" s="195"/>
    </row>
    <row r="27" spans="2:19">
      <c r="B27" s="7" t="s">
        <v>19</v>
      </c>
      <c r="C27" s="7"/>
      <c r="D27" s="7"/>
      <c r="E27" s="14"/>
      <c r="F27" s="11">
        <v>938.80128000000002</v>
      </c>
      <c r="G27" s="11">
        <v>971.53496999999993</v>
      </c>
      <c r="H27" s="11">
        <v>1111.22335</v>
      </c>
      <c r="I27" s="11">
        <v>1211.8718099999999</v>
      </c>
      <c r="J27" s="11">
        <v>1134.1740400000001</v>
      </c>
      <c r="K27" s="11">
        <v>1359.2803499999998</v>
      </c>
      <c r="L27" s="11">
        <v>1379.5433248999998</v>
      </c>
      <c r="M27" s="43"/>
      <c r="N27" s="39">
        <f t="shared" si="1"/>
        <v>6.6253030471121299E-2</v>
      </c>
      <c r="O27" s="39">
        <f t="shared" si="2"/>
        <v>0.19847598522004581</v>
      </c>
      <c r="P27" s="39">
        <f t="shared" si="0"/>
        <v>1.4907134425948276E-2</v>
      </c>
      <c r="Q27" s="11">
        <v>1379.5433248999998</v>
      </c>
      <c r="R27" s="11"/>
      <c r="S27" s="195"/>
    </row>
    <row r="28" spans="2:19">
      <c r="B28" s="7" t="s">
        <v>20</v>
      </c>
      <c r="C28" s="7"/>
      <c r="D28" s="7"/>
      <c r="E28" s="14"/>
      <c r="F28" s="11">
        <v>115.19518999999998</v>
      </c>
      <c r="G28" s="11">
        <v>125.53105000000001</v>
      </c>
      <c r="H28" s="11">
        <v>158.25775000000002</v>
      </c>
      <c r="I28" s="11">
        <v>141.02760000000001</v>
      </c>
      <c r="J28" s="11">
        <v>115.56957000000003</v>
      </c>
      <c r="K28" s="11">
        <v>152.44499999999999</v>
      </c>
      <c r="L28" s="11">
        <v>191.04499999999999</v>
      </c>
      <c r="M28" s="43"/>
      <c r="N28" s="39">
        <f t="shared" si="1"/>
        <v>8.796992045635732E-2</v>
      </c>
      <c r="O28" s="39">
        <f t="shared" si="2"/>
        <v>0.31907560095620291</v>
      </c>
      <c r="P28" s="39">
        <f t="shared" si="0"/>
        <v>0.25320607432188658</v>
      </c>
      <c r="Q28" s="11">
        <v>191.04499999999999</v>
      </c>
      <c r="R28" s="11"/>
    </row>
    <row r="29" spans="2:19">
      <c r="B29" s="7" t="s">
        <v>21</v>
      </c>
      <c r="C29" s="7"/>
      <c r="D29" s="7"/>
      <c r="E29" s="14"/>
      <c r="F29" s="11">
        <v>283.86591999999996</v>
      </c>
      <c r="G29" s="11">
        <v>312.47965000000005</v>
      </c>
      <c r="H29" s="11">
        <v>330.94155999999998</v>
      </c>
      <c r="I29" s="11">
        <v>332.74213000000003</v>
      </c>
      <c r="J29" s="11">
        <v>363.42032</v>
      </c>
      <c r="K29" s="11">
        <v>382.49448000000007</v>
      </c>
      <c r="L29" s="11">
        <v>410.46485999999999</v>
      </c>
      <c r="M29" s="43"/>
      <c r="N29" s="39">
        <f t="shared" si="1"/>
        <v>6.3392977289109309E-2</v>
      </c>
      <c r="O29" s="39">
        <f t="shared" si="2"/>
        <v>5.2485122460956678E-2</v>
      </c>
      <c r="P29" s="39">
        <f t="shared" si="0"/>
        <v>7.3126231782481968E-2</v>
      </c>
      <c r="Q29" s="11">
        <v>410.46485999999999</v>
      </c>
      <c r="R29" s="11"/>
    </row>
    <row r="30" spans="2:19">
      <c r="B30" s="52" t="s">
        <v>22</v>
      </c>
      <c r="C30" s="52"/>
      <c r="D30" s="7"/>
      <c r="E30" s="14"/>
      <c r="F30" s="11">
        <v>399.77252000000004</v>
      </c>
      <c r="G30" s="11">
        <v>303.84764000000007</v>
      </c>
      <c r="H30" s="11">
        <v>516.16938000000005</v>
      </c>
      <c r="I30" s="11">
        <v>545.14287999999999</v>
      </c>
      <c r="J30" s="11">
        <v>600.89410999999996</v>
      </c>
      <c r="K30" s="11">
        <v>597.60774000000004</v>
      </c>
      <c r="L30" s="11">
        <v>627.12303502000009</v>
      </c>
      <c r="M30" s="43"/>
      <c r="N30" s="39">
        <f t="shared" si="1"/>
        <v>7.7928536220020161E-2</v>
      </c>
      <c r="O30" s="39">
        <f t="shared" si="2"/>
        <v>-5.4691333220089648E-3</v>
      </c>
      <c r="P30" s="39">
        <f t="shared" si="0"/>
        <v>4.9389077557797444E-2</v>
      </c>
      <c r="Q30" s="11">
        <v>627.12303502000009</v>
      </c>
      <c r="R30" s="11"/>
    </row>
    <row r="31" spans="2:19">
      <c r="B31" s="7" t="s">
        <v>23</v>
      </c>
      <c r="C31" s="4"/>
      <c r="D31" s="7"/>
      <c r="E31" s="14"/>
      <c r="F31" s="11">
        <v>14.054160000000001</v>
      </c>
      <c r="G31" s="11">
        <v>14.292639999999999</v>
      </c>
      <c r="H31" s="11">
        <v>55.167210000000004</v>
      </c>
      <c r="I31" s="11">
        <v>23.299259999999997</v>
      </c>
      <c r="J31" s="11">
        <v>10.470079999999999</v>
      </c>
      <c r="K31" s="11">
        <v>26.126930000000002</v>
      </c>
      <c r="L31" s="11">
        <v>25.447885159999998</v>
      </c>
      <c r="M31" s="43"/>
      <c r="N31" s="39">
        <f t="shared" si="1"/>
        <v>0.10401371125197123</v>
      </c>
      <c r="O31" s="39">
        <f t="shared" si="2"/>
        <v>1.4953897200403439</v>
      </c>
      <c r="P31" s="39">
        <f t="shared" si="0"/>
        <v>-2.599022694208631E-2</v>
      </c>
      <c r="Q31" s="11">
        <v>25.447885159999998</v>
      </c>
      <c r="R31" s="11"/>
    </row>
    <row r="32" spans="2:19">
      <c r="B32" s="7" t="s">
        <v>24</v>
      </c>
      <c r="C32" s="4"/>
      <c r="D32" s="7"/>
      <c r="E32" s="14"/>
      <c r="F32" s="11">
        <v>147.04619</v>
      </c>
      <c r="G32" s="11">
        <v>173.65375</v>
      </c>
      <c r="H32" s="11">
        <v>183.69893000000002</v>
      </c>
      <c r="I32" s="11">
        <v>172.66951999999998</v>
      </c>
      <c r="J32" s="11">
        <v>174.78547</v>
      </c>
      <c r="K32" s="11">
        <v>190.60193999999998</v>
      </c>
      <c r="L32" s="11">
        <v>196.88744299999996</v>
      </c>
      <c r="M32" s="43"/>
      <c r="N32" s="39">
        <f t="shared" si="1"/>
        <v>4.9850292922798412E-2</v>
      </c>
      <c r="O32" s="39">
        <f t="shared" si="2"/>
        <v>9.0490759901266288E-2</v>
      </c>
      <c r="P32" s="39">
        <f t="shared" si="0"/>
        <v>3.2977119750197598E-2</v>
      </c>
      <c r="Q32" s="11">
        <v>196.88744299999996</v>
      </c>
      <c r="R32" s="11"/>
    </row>
    <row r="33" spans="2:18">
      <c r="B33" s="7" t="s">
        <v>25</v>
      </c>
      <c r="C33" s="7"/>
      <c r="D33" s="7"/>
      <c r="E33" s="14"/>
      <c r="F33" s="11">
        <v>8.5684199999999997</v>
      </c>
      <c r="G33" s="11">
        <v>6.2463699999999998</v>
      </c>
      <c r="H33" s="11">
        <v>4.4933500000000004</v>
      </c>
      <c r="I33" s="11">
        <v>5.2540200000000006</v>
      </c>
      <c r="J33" s="11">
        <v>4.5190900000000003</v>
      </c>
      <c r="K33" s="11">
        <v>5.43</v>
      </c>
      <c r="L33" s="11">
        <v>5.5490000000000004</v>
      </c>
      <c r="M33" s="43"/>
      <c r="N33" s="39">
        <f t="shared" si="1"/>
        <v>-6.9851414927486921E-2</v>
      </c>
      <c r="O33" s="39">
        <f t="shared" si="2"/>
        <v>0.20156934250037051</v>
      </c>
      <c r="P33" s="39">
        <f t="shared" si="0"/>
        <v>2.1915285451197176E-2</v>
      </c>
      <c r="Q33" s="11">
        <v>5.5490000000000004</v>
      </c>
      <c r="R33" s="11"/>
    </row>
    <row r="34" spans="2:18">
      <c r="B34" s="7" t="s">
        <v>26</v>
      </c>
      <c r="C34" s="7"/>
      <c r="D34" s="7"/>
      <c r="E34" s="14"/>
      <c r="F34" s="11">
        <v>532.46541000000002</v>
      </c>
      <c r="G34" s="11">
        <v>621.81415000000004</v>
      </c>
      <c r="H34" s="11">
        <v>638.37870999999996</v>
      </c>
      <c r="I34" s="11">
        <v>644.38495999999998</v>
      </c>
      <c r="J34" s="11">
        <v>654.42237999999998</v>
      </c>
      <c r="K34" s="11">
        <v>674.69167000000004</v>
      </c>
      <c r="L34" s="11">
        <v>724.15200000000004</v>
      </c>
      <c r="M34" s="43"/>
      <c r="N34" s="39">
        <f t="shared" si="1"/>
        <v>5.2583090774566799E-2</v>
      </c>
      <c r="O34" s="39">
        <f t="shared" si="2"/>
        <v>3.0972794665121432E-2</v>
      </c>
      <c r="P34" s="39">
        <f t="shared" si="0"/>
        <v>7.3308048993698111E-2</v>
      </c>
      <c r="Q34" s="11">
        <v>724.15200000000004</v>
      </c>
      <c r="R34" s="11"/>
    </row>
    <row r="35" spans="2:18">
      <c r="B35" s="7" t="s">
        <v>27</v>
      </c>
      <c r="C35" s="7"/>
      <c r="D35" s="19"/>
      <c r="E35" s="20"/>
      <c r="F35" s="11">
        <v>95.927660000000003</v>
      </c>
      <c r="G35" s="11">
        <v>82.215609999999998</v>
      </c>
      <c r="H35" s="11">
        <v>83.311240000000012</v>
      </c>
      <c r="I35" s="11">
        <v>86.003230000000016</v>
      </c>
      <c r="J35" s="11">
        <v>72.292140000000003</v>
      </c>
      <c r="K35" s="11">
        <v>84.649570000000011</v>
      </c>
      <c r="L35" s="11">
        <v>89.948146860000008</v>
      </c>
      <c r="M35" s="43"/>
      <c r="N35" s="39">
        <f t="shared" si="1"/>
        <v>-1.066950724860849E-2</v>
      </c>
      <c r="O35" s="39">
        <f t="shared" si="2"/>
        <v>0.17093739374709349</v>
      </c>
      <c r="P35" s="39">
        <f t="shared" si="0"/>
        <v>6.259425606060369E-2</v>
      </c>
      <c r="Q35" s="11">
        <v>89.948146860000008</v>
      </c>
      <c r="R35" s="11"/>
    </row>
    <row r="36" spans="2:18">
      <c r="B36" s="7" t="s">
        <v>28</v>
      </c>
      <c r="C36" s="7"/>
      <c r="D36" s="19"/>
      <c r="E36" s="20"/>
      <c r="F36" s="11">
        <v>93.629919999999998</v>
      </c>
      <c r="G36" s="11">
        <v>89.432599999999994</v>
      </c>
      <c r="H36" s="11">
        <v>74.565770000000001</v>
      </c>
      <c r="I36" s="11">
        <v>88.759900000000002</v>
      </c>
      <c r="J36" s="11">
        <v>78.483289999999997</v>
      </c>
      <c r="K36" s="11">
        <v>92.246030000000005</v>
      </c>
      <c r="L36" s="11">
        <v>117.48974222</v>
      </c>
      <c r="M36" s="43"/>
      <c r="N36" s="39">
        <f t="shared" si="1"/>
        <v>3.8558305275097293E-2</v>
      </c>
      <c r="O36" s="39">
        <f t="shared" si="2"/>
        <v>0.17535885664324224</v>
      </c>
      <c r="P36" s="39">
        <f t="shared" si="0"/>
        <v>0.27365635377479108</v>
      </c>
      <c r="Q36" s="11">
        <v>117.48974222</v>
      </c>
      <c r="R36" s="11"/>
    </row>
    <row r="37" spans="2:18">
      <c r="B37" s="7" t="s">
        <v>29</v>
      </c>
      <c r="C37" s="7"/>
      <c r="D37" s="19"/>
      <c r="E37" s="20"/>
      <c r="F37" s="11">
        <v>29.375900000000001</v>
      </c>
      <c r="G37" s="11">
        <v>29.25591</v>
      </c>
      <c r="H37" s="11">
        <v>24.864060000000002</v>
      </c>
      <c r="I37" s="11">
        <v>23.199300000000001</v>
      </c>
      <c r="J37" s="11">
        <v>10.682259999999999</v>
      </c>
      <c r="K37" s="11">
        <v>4.43</v>
      </c>
      <c r="L37" s="11">
        <v>3.1320000000000001</v>
      </c>
      <c r="M37" s="43"/>
      <c r="N37" s="39">
        <f t="shared" si="1"/>
        <v>-0.31139247857599828</v>
      </c>
      <c r="O37" s="39">
        <f t="shared" si="2"/>
        <v>-0.58529374870111761</v>
      </c>
      <c r="P37" s="39">
        <f>(L37-K37)/K37</f>
        <v>-0.29300225733634305</v>
      </c>
      <c r="Q37" s="11">
        <v>3.1320000000000001</v>
      </c>
      <c r="R37" s="11"/>
    </row>
    <row r="38" spans="2:18">
      <c r="B38" s="7" t="s">
        <v>30</v>
      </c>
      <c r="C38" s="7"/>
      <c r="D38" s="19"/>
      <c r="E38" s="20"/>
      <c r="F38" s="11">
        <v>92.800399999999996</v>
      </c>
      <c r="G38" s="11">
        <v>156.29213000000001</v>
      </c>
      <c r="H38" s="11">
        <v>200.94401999999999</v>
      </c>
      <c r="I38" s="11">
        <v>300.37466999999998</v>
      </c>
      <c r="J38" s="11">
        <v>260.10851000000002</v>
      </c>
      <c r="K38" s="11">
        <v>281.23575</v>
      </c>
      <c r="L38" s="11">
        <v>258.28800000000001</v>
      </c>
      <c r="M38" s="43"/>
      <c r="N38" s="39">
        <f t="shared" si="1"/>
        <v>0.18602104928203289</v>
      </c>
      <c r="O38" s="39">
        <f t="shared" si="2"/>
        <v>8.1224716561561064E-2</v>
      </c>
      <c r="P38" s="39">
        <f t="shared" si="0"/>
        <v>-8.1596134204132961E-2</v>
      </c>
      <c r="Q38" s="11">
        <v>258.28800000000001</v>
      </c>
      <c r="R38" s="11"/>
    </row>
    <row r="39" spans="2:18">
      <c r="B39" s="7" t="s">
        <v>31</v>
      </c>
      <c r="C39" s="7"/>
      <c r="D39" s="19"/>
      <c r="E39" s="20"/>
      <c r="F39" s="11">
        <v>2.0709999999999999E-2</v>
      </c>
      <c r="G39" s="11">
        <v>1.6539000000000001</v>
      </c>
      <c r="H39" s="11">
        <v>0.46106999999999998</v>
      </c>
      <c r="I39" s="11">
        <v>0.11306999999999999</v>
      </c>
      <c r="J39" s="11">
        <v>0.11393</v>
      </c>
      <c r="K39" s="11">
        <v>0.11393</v>
      </c>
      <c r="L39" s="11">
        <v>0.11427</v>
      </c>
      <c r="M39" s="43"/>
      <c r="N39" s="39">
        <f t="shared" si="1"/>
        <v>0.32930719295096367</v>
      </c>
      <c r="O39" s="39">
        <f t="shared" si="2"/>
        <v>0</v>
      </c>
      <c r="P39" s="39">
        <f t="shared" si="0"/>
        <v>2.9842885982620301E-3</v>
      </c>
      <c r="Q39" s="11">
        <v>0.11427</v>
      </c>
      <c r="R39" s="11"/>
    </row>
    <row r="40" spans="2:18">
      <c r="B40" s="52" t="s">
        <v>32</v>
      </c>
      <c r="C40" s="52"/>
      <c r="D40" s="53"/>
      <c r="E40" s="20"/>
      <c r="F40" s="11">
        <v>478.78449000000001</v>
      </c>
      <c r="G40" s="11">
        <v>475.79535999999962</v>
      </c>
      <c r="H40" s="11">
        <v>234.01070999999962</v>
      </c>
      <c r="I40" s="11">
        <v>524.54452000000003</v>
      </c>
      <c r="J40" s="11">
        <v>466.49510000000009</v>
      </c>
      <c r="K40" s="11">
        <v>821.87397910000016</v>
      </c>
      <c r="L40" s="11">
        <v>981.62381999999991</v>
      </c>
      <c r="M40" s="43"/>
      <c r="N40" s="39">
        <f t="shared" si="1"/>
        <v>0.12711311319633767</v>
      </c>
      <c r="O40" s="39">
        <f>(K40-J40)/J40</f>
        <v>0.7618062421234435</v>
      </c>
      <c r="P40" s="39">
        <f t="shared" si="0"/>
        <v>0.19437267143429351</v>
      </c>
      <c r="Q40" s="11">
        <v>981.62381999999991</v>
      </c>
      <c r="R40" s="11"/>
    </row>
    <row r="41" spans="2:18">
      <c r="B41" s="7" t="s">
        <v>33</v>
      </c>
      <c r="C41" s="7"/>
      <c r="D41" s="14"/>
      <c r="E41" s="14"/>
      <c r="F41" s="11">
        <v>124.95843000000001</v>
      </c>
      <c r="G41" s="11">
        <v>125.45827999999999</v>
      </c>
      <c r="H41" s="11">
        <v>127.77806999999999</v>
      </c>
      <c r="I41" s="11">
        <v>122.03872</v>
      </c>
      <c r="J41" s="11">
        <v>112.19878999999999</v>
      </c>
      <c r="K41" s="11">
        <v>101.91113</v>
      </c>
      <c r="L41" s="11">
        <v>136.62099349999997</v>
      </c>
      <c r="M41" s="43"/>
      <c r="N41" s="39">
        <f t="shared" si="1"/>
        <v>1.4982715427652948E-2</v>
      </c>
      <c r="O41" s="39">
        <f t="shared" si="2"/>
        <v>-9.1691363159976946E-2</v>
      </c>
      <c r="P41" s="39">
        <f t="shared" si="0"/>
        <v>0.34058952638440931</v>
      </c>
      <c r="Q41" s="11">
        <v>136.62099349999997</v>
      </c>
      <c r="R41" s="11"/>
    </row>
    <row r="42" spans="2:18">
      <c r="B42" s="54" t="s">
        <v>34</v>
      </c>
      <c r="C42" s="54"/>
      <c r="D42" s="7"/>
      <c r="E42" s="20"/>
      <c r="F42" s="11">
        <v>481.04676000000001</v>
      </c>
      <c r="G42" s="11">
        <v>176.34855999999999</v>
      </c>
      <c r="H42" s="11">
        <v>66.579619999999991</v>
      </c>
      <c r="I42" s="11">
        <v>89.240580000000008</v>
      </c>
      <c r="J42" s="11">
        <v>114.04216000000001</v>
      </c>
      <c r="K42" s="11">
        <v>100</v>
      </c>
      <c r="L42" s="11">
        <v>100</v>
      </c>
      <c r="M42" s="43"/>
      <c r="N42" s="39">
        <f t="shared" si="1"/>
        <v>-0.23033432668442511</v>
      </c>
      <c r="O42" s="39">
        <f t="shared" si="2"/>
        <v>-0.12313130512435058</v>
      </c>
      <c r="P42" s="39">
        <f t="shared" si="0"/>
        <v>0</v>
      </c>
      <c r="Q42" s="11">
        <v>100</v>
      </c>
      <c r="R42" s="11"/>
    </row>
    <row r="43" spans="2:18">
      <c r="B43" s="7" t="s">
        <v>35</v>
      </c>
      <c r="C43" s="7"/>
      <c r="D43" s="7"/>
      <c r="E43" s="20"/>
      <c r="F43" s="11">
        <v>14.724019999999999</v>
      </c>
      <c r="G43" s="11">
        <v>17.689630000000001</v>
      </c>
      <c r="H43" s="11">
        <v>17.24915</v>
      </c>
      <c r="I43" s="11">
        <v>19.25224</v>
      </c>
      <c r="J43" s="11">
        <v>18.983759999999997</v>
      </c>
      <c r="K43" s="11">
        <v>19.5</v>
      </c>
      <c r="L43" s="11">
        <v>20</v>
      </c>
      <c r="M43" s="43"/>
      <c r="N43" s="39">
        <f t="shared" si="1"/>
        <v>5.2367109261751033E-2</v>
      </c>
      <c r="O43" s="39">
        <f t="shared" si="2"/>
        <v>2.7193769832741431E-2</v>
      </c>
      <c r="P43" s="39">
        <f t="shared" si="0"/>
        <v>2.564102564102564E-2</v>
      </c>
      <c r="Q43" s="11">
        <v>20</v>
      </c>
      <c r="R43" s="11"/>
    </row>
    <row r="44" spans="2:18">
      <c r="B44" s="7"/>
      <c r="C44" s="7"/>
      <c r="D44" s="7"/>
      <c r="E44" s="20"/>
      <c r="F44" s="18"/>
      <c r="G44" s="18"/>
      <c r="H44" s="18"/>
      <c r="I44" s="18"/>
      <c r="J44" s="18"/>
      <c r="K44" s="18"/>
      <c r="L44" s="18"/>
      <c r="M44" s="18"/>
      <c r="N44" s="39"/>
      <c r="O44" s="39"/>
      <c r="P44" s="39"/>
      <c r="Q44" s="18"/>
      <c r="R44" s="18"/>
    </row>
    <row r="45" spans="2:18">
      <c r="B45" s="15" t="s">
        <v>36</v>
      </c>
      <c r="C45" s="15"/>
      <c r="D45" s="15"/>
      <c r="E45" s="21"/>
      <c r="F45" s="17">
        <f t="shared" ref="F45:Q45" si="10">SUM(F17:F43)</f>
        <v>11930.91358</v>
      </c>
      <c r="G45" s="17">
        <f t="shared" si="10"/>
        <v>11503.827670000001</v>
      </c>
      <c r="H45" s="17">
        <f t="shared" si="10"/>
        <v>12397.041000000003</v>
      </c>
      <c r="I45" s="17">
        <f t="shared" si="10"/>
        <v>13665.144939999998</v>
      </c>
      <c r="J45" s="17">
        <f t="shared" si="10"/>
        <v>14429.935489999998</v>
      </c>
      <c r="K45" s="17">
        <f t="shared" si="10"/>
        <v>15591.162278799999</v>
      </c>
      <c r="L45" s="17">
        <f>SUM(L17:L43)</f>
        <v>14425.08722126578</v>
      </c>
      <c r="M45" s="18"/>
      <c r="N45" s="40">
        <f t="shared" si="1"/>
        <v>3.2145185952206834E-2</v>
      </c>
      <c r="O45" s="40">
        <f t="shared" si="2"/>
        <v>8.0473456697345278E-2</v>
      </c>
      <c r="P45" s="40">
        <f t="shared" si="0"/>
        <v>-7.479077163604303E-2</v>
      </c>
      <c r="Q45" s="17">
        <f t="shared" si="10"/>
        <v>14769.28798036578</v>
      </c>
      <c r="R45" s="18"/>
    </row>
    <row r="46" spans="2:18">
      <c r="B46" s="7"/>
      <c r="C46" s="7"/>
      <c r="D46" s="7"/>
      <c r="E46" s="20"/>
      <c r="F46" s="18"/>
      <c r="G46" s="18"/>
      <c r="H46" s="18"/>
      <c r="I46" s="18"/>
      <c r="J46" s="18"/>
      <c r="K46" s="18"/>
      <c r="L46" s="18"/>
      <c r="M46" s="18"/>
      <c r="N46" s="39"/>
      <c r="O46" s="39"/>
      <c r="P46" s="39"/>
      <c r="Q46" s="18"/>
      <c r="R46" s="18"/>
    </row>
    <row r="47" spans="2:18">
      <c r="B47" s="15" t="s">
        <v>37</v>
      </c>
      <c r="C47" s="15"/>
      <c r="D47" s="15"/>
      <c r="E47" s="21"/>
      <c r="F47" s="17">
        <v>654.13599999999997</v>
      </c>
      <c r="G47" s="17">
        <v>735.21299999999997</v>
      </c>
      <c r="H47" s="17">
        <v>817.64099999999996</v>
      </c>
      <c r="I47" s="17">
        <v>898.76499999999999</v>
      </c>
      <c r="J47" s="17">
        <v>973.9</v>
      </c>
      <c r="K47" s="17">
        <v>1086.9000000000001</v>
      </c>
      <c r="L47" s="17">
        <v>1051.5</v>
      </c>
      <c r="M47" s="18"/>
      <c r="N47" s="40">
        <f t="shared" si="1"/>
        <v>8.2322958770411736E-2</v>
      </c>
      <c r="O47" s="40">
        <f t="shared" si="2"/>
        <v>0.11602833966526349</v>
      </c>
      <c r="P47" s="40">
        <f t="shared" si="0"/>
        <v>-3.256969362406853E-2</v>
      </c>
      <c r="Q47" s="17">
        <v>1051.5</v>
      </c>
      <c r="R47" s="18"/>
    </row>
    <row r="48" spans="2:18">
      <c r="B48" s="7"/>
      <c r="C48" s="7"/>
      <c r="D48" s="7"/>
      <c r="E48" s="20"/>
      <c r="F48" s="22"/>
      <c r="G48" s="22"/>
      <c r="H48" s="22"/>
      <c r="I48" s="22"/>
      <c r="J48" s="22"/>
      <c r="K48" s="22"/>
      <c r="L48" s="22"/>
      <c r="M48" s="22"/>
      <c r="N48" s="39"/>
      <c r="O48" s="39"/>
      <c r="P48" s="39"/>
      <c r="Q48" s="22"/>
      <c r="R48" s="22"/>
    </row>
    <row r="49" spans="2:20">
      <c r="B49" s="7"/>
      <c r="C49" s="7"/>
      <c r="D49" s="7"/>
      <c r="E49" s="20"/>
      <c r="F49" s="22"/>
      <c r="G49" s="22"/>
      <c r="H49" s="22"/>
      <c r="I49" s="22"/>
      <c r="J49" s="22"/>
      <c r="K49" s="22"/>
      <c r="L49" s="22"/>
      <c r="M49" s="22"/>
      <c r="N49" s="39"/>
      <c r="O49" s="39"/>
      <c r="P49" s="39"/>
      <c r="Q49" s="22"/>
      <c r="R49" s="22"/>
    </row>
    <row r="50" spans="2:20" ht="15.75" thickBot="1">
      <c r="B50" s="23" t="s">
        <v>38</v>
      </c>
      <c r="C50" s="24"/>
      <c r="D50" s="24"/>
      <c r="E50" s="24"/>
      <c r="F50" s="25">
        <f>F45-F47</f>
        <v>11276.77758</v>
      </c>
      <c r="G50" s="25">
        <f t="shared" ref="G50:Q50" si="11">G45-G47</f>
        <v>10768.614670000001</v>
      </c>
      <c r="H50" s="25">
        <f t="shared" si="11"/>
        <v>11579.400000000003</v>
      </c>
      <c r="I50" s="25">
        <f t="shared" si="11"/>
        <v>12766.379939999999</v>
      </c>
      <c r="J50" s="25">
        <f t="shared" si="11"/>
        <v>13456.035489999998</v>
      </c>
      <c r="K50" s="25">
        <f t="shared" si="11"/>
        <v>14504.262278799999</v>
      </c>
      <c r="L50" s="25">
        <f>L45-L47</f>
        <v>13373.58722126578</v>
      </c>
      <c r="M50" s="37"/>
      <c r="N50" s="42">
        <f t="shared" si="1"/>
        <v>2.8830467017816774E-2</v>
      </c>
      <c r="O50" s="42">
        <f t="shared" si="2"/>
        <v>7.7900120698923686E-2</v>
      </c>
      <c r="P50" s="42">
        <f t="shared" si="0"/>
        <v>-7.7954675377517033E-2</v>
      </c>
      <c r="Q50" s="25">
        <f t="shared" si="11"/>
        <v>13717.78798036578</v>
      </c>
      <c r="R50" s="37"/>
    </row>
    <row r="51" spans="2:20">
      <c r="B51" s="7"/>
      <c r="C51" s="7"/>
      <c r="D51" s="14"/>
      <c r="E51" s="20"/>
      <c r="F51" s="22"/>
      <c r="G51" s="22"/>
      <c r="H51" s="22"/>
      <c r="I51" s="22"/>
      <c r="J51" s="22"/>
      <c r="K51" s="22"/>
      <c r="L51" s="22"/>
      <c r="M51" s="22"/>
      <c r="N51" s="22"/>
      <c r="O51" s="22"/>
      <c r="P51" s="22"/>
      <c r="Q51" s="22"/>
      <c r="R51" s="22"/>
    </row>
    <row r="52" spans="2:20" hidden="1" outlineLevel="1">
      <c r="B52" s="7" t="s">
        <v>39</v>
      </c>
      <c r="C52" s="7"/>
      <c r="D52" s="7"/>
      <c r="E52" s="20"/>
      <c r="F52" s="14">
        <v>11276.8</v>
      </c>
      <c r="G52" s="14">
        <v>10768.6</v>
      </c>
      <c r="H52" s="14">
        <v>11579.4</v>
      </c>
      <c r="I52" s="14">
        <v>12766.4</v>
      </c>
      <c r="J52" s="14">
        <v>13456</v>
      </c>
      <c r="K52" s="14">
        <v>14504.3</v>
      </c>
      <c r="L52" s="14">
        <v>13717.8</v>
      </c>
      <c r="M52" s="14"/>
      <c r="N52" s="14"/>
      <c r="O52" s="14"/>
      <c r="P52" s="14"/>
      <c r="Q52" s="14">
        <v>13717.8</v>
      </c>
      <c r="R52" s="14"/>
    </row>
    <row r="53" spans="2:20" hidden="1" outlineLevel="1">
      <c r="B53" s="7"/>
      <c r="C53" s="7"/>
      <c r="D53" s="7"/>
      <c r="E53" s="20"/>
      <c r="F53" s="22"/>
      <c r="G53" s="22"/>
      <c r="H53" s="22"/>
      <c r="I53" s="22"/>
      <c r="J53" s="22"/>
      <c r="K53" s="22"/>
      <c r="L53" s="22"/>
      <c r="M53" s="22"/>
      <c r="N53" s="22"/>
      <c r="O53" s="22"/>
      <c r="P53" s="22"/>
      <c r="Q53" s="22"/>
      <c r="R53" s="22"/>
    </row>
    <row r="54" spans="2:20" hidden="1" outlineLevel="1">
      <c r="B54" s="15" t="s">
        <v>40</v>
      </c>
      <c r="C54" s="15"/>
      <c r="D54" s="15"/>
      <c r="E54" s="21"/>
      <c r="F54" s="17">
        <f>(F50/1)-F52</f>
        <v>-2.2419999999328866E-2</v>
      </c>
      <c r="G54" s="17">
        <f t="shared" ref="G54:Q54" si="12">(G50/1)-G52</f>
        <v>1.4670000000478467E-2</v>
      </c>
      <c r="H54" s="17">
        <f t="shared" si="12"/>
        <v>0</v>
      </c>
      <c r="I54" s="17">
        <f t="shared" si="12"/>
        <v>-2.0060000000739819E-2</v>
      </c>
      <c r="J54" s="17">
        <f t="shared" si="12"/>
        <v>3.5489999998389976E-2</v>
      </c>
      <c r="K54" s="17">
        <f t="shared" si="12"/>
        <v>-3.7721200000305544E-2</v>
      </c>
      <c r="L54" s="17">
        <f t="shared" ref="L54" si="13">(L50/1)-L52</f>
        <v>-344.21277873421968</v>
      </c>
      <c r="M54" s="17"/>
      <c r="N54" s="17"/>
      <c r="O54" s="17"/>
      <c r="P54" s="17"/>
      <c r="Q54" s="17">
        <f t="shared" si="12"/>
        <v>-1.2019634219541331E-2</v>
      </c>
      <c r="R54" s="18"/>
    </row>
    <row r="55" spans="2:20" collapsed="1">
      <c r="B55" s="7"/>
      <c r="C55" s="7"/>
      <c r="D55" s="7"/>
      <c r="E55" s="20"/>
      <c r="F55" s="49">
        <v>11276.77758</v>
      </c>
      <c r="G55" s="49">
        <v>10768.614670000001</v>
      </c>
      <c r="H55" s="49">
        <v>11579.400000000003</v>
      </c>
      <c r="I55" s="49">
        <v>12766.379939999997</v>
      </c>
      <c r="J55" s="49">
        <v>13456.035489999998</v>
      </c>
      <c r="K55" s="49">
        <v>14504.262278799999</v>
      </c>
      <c r="L55" s="49">
        <v>13373.587980365781</v>
      </c>
      <c r="M55" s="49"/>
      <c r="N55" s="49">
        <v>2.883047675074768E-2</v>
      </c>
      <c r="O55" s="49">
        <v>7.7900120698923686E-2</v>
      </c>
      <c r="P55" s="49">
        <v>-7.795462304117709E-2</v>
      </c>
      <c r="Q55" s="14"/>
      <c r="R55" s="14"/>
    </row>
    <row r="56" spans="2:20" ht="6.75" customHeight="1">
      <c r="B56" s="7"/>
      <c r="C56" s="7"/>
      <c r="D56" s="7"/>
      <c r="E56" s="20"/>
      <c r="F56" s="14"/>
      <c r="G56" s="14"/>
      <c r="H56" s="14"/>
      <c r="I56" s="14"/>
      <c r="J56" s="14"/>
      <c r="K56" s="14"/>
      <c r="L56" s="14"/>
      <c r="M56" s="14"/>
      <c r="N56" s="14"/>
      <c r="O56" s="14"/>
      <c r="P56" s="14"/>
      <c r="Q56" s="14"/>
      <c r="R56" s="14"/>
    </row>
    <row r="57" spans="2:20" hidden="1" outlineLevel="1">
      <c r="B57" s="7"/>
      <c r="C57" s="7"/>
      <c r="D57" s="7"/>
      <c r="E57" s="20"/>
      <c r="F57" s="14"/>
      <c r="G57" s="14"/>
      <c r="H57" s="14"/>
      <c r="I57" s="14"/>
      <c r="J57" s="14"/>
      <c r="K57" s="14"/>
      <c r="L57" s="14"/>
      <c r="M57" s="14"/>
      <c r="N57" s="14"/>
      <c r="O57" s="14"/>
      <c r="P57" s="14"/>
      <c r="Q57" s="14"/>
      <c r="R57" s="14"/>
      <c r="S57">
        <v>-20</v>
      </c>
    </row>
    <row r="58" spans="2:20" hidden="1" outlineLevel="1">
      <c r="B58" s="7"/>
      <c r="C58" s="7"/>
      <c r="D58" s="7"/>
      <c r="E58" s="20"/>
      <c r="F58" s="14"/>
      <c r="G58" s="14"/>
      <c r="H58" s="14"/>
      <c r="I58" s="14"/>
      <c r="J58" s="14"/>
      <c r="K58" s="14"/>
      <c r="L58" s="14"/>
      <c r="M58" s="14"/>
      <c r="N58" s="14"/>
      <c r="O58" s="14"/>
      <c r="P58" s="14"/>
      <c r="Q58" s="14"/>
      <c r="R58" s="14"/>
      <c r="S58">
        <v>-75</v>
      </c>
    </row>
    <row r="59" spans="2:20" hidden="1" outlineLevel="1">
      <c r="B59" s="7"/>
      <c r="C59" s="7"/>
      <c r="D59" s="7"/>
      <c r="E59" s="20"/>
      <c r="F59" s="14"/>
      <c r="G59" s="14"/>
      <c r="H59" s="14"/>
      <c r="I59" s="14"/>
      <c r="J59" s="14"/>
      <c r="K59" s="14"/>
      <c r="L59" s="14"/>
      <c r="M59" s="14"/>
      <c r="N59" s="14"/>
      <c r="O59" s="14"/>
      <c r="P59" s="14"/>
      <c r="Q59" s="14"/>
      <c r="R59" s="14"/>
      <c r="S59">
        <f>-124.6*2</f>
        <v>-249.2</v>
      </c>
    </row>
    <row r="60" spans="2:20" hidden="1" outlineLevel="1">
      <c r="B60" s="7"/>
      <c r="C60" s="7"/>
      <c r="D60" s="7"/>
      <c r="E60" s="20"/>
      <c r="F60" s="14"/>
      <c r="G60" s="14"/>
      <c r="H60" s="14"/>
      <c r="I60" s="14"/>
      <c r="J60" s="14"/>
      <c r="K60" s="14"/>
      <c r="L60" s="14"/>
      <c r="M60" s="14"/>
      <c r="N60" s="14"/>
      <c r="O60" s="14"/>
      <c r="P60" s="14"/>
      <c r="Q60" s="14"/>
      <c r="R60" s="14"/>
      <c r="S60" s="38">
        <f>Q50+S57+S58+S59</f>
        <v>13373.587980365779</v>
      </c>
      <c r="T60" t="s">
        <v>51</v>
      </c>
    </row>
    <row r="61" spans="2:20" collapsed="1">
      <c r="B61" s="7"/>
      <c r="C61" s="7"/>
      <c r="D61" s="7"/>
      <c r="E61" s="20"/>
      <c r="F61" s="14"/>
      <c r="G61" s="14"/>
      <c r="H61" s="14"/>
      <c r="I61" s="14"/>
      <c r="J61" s="14"/>
      <c r="K61" s="14"/>
      <c r="L61" s="14"/>
      <c r="M61" s="14"/>
      <c r="N61" s="14"/>
      <c r="O61" s="14"/>
      <c r="P61" s="14"/>
      <c r="Q61" s="14"/>
      <c r="R61" s="14"/>
    </row>
    <row r="62" spans="2:20" ht="32.25" customHeight="1">
      <c r="B62" s="196" t="s">
        <v>41</v>
      </c>
      <c r="C62" s="196"/>
      <c r="D62" s="196"/>
      <c r="E62" s="196"/>
      <c r="F62" s="196"/>
      <c r="G62" s="196"/>
      <c r="H62" s="196"/>
      <c r="I62" s="196"/>
      <c r="J62" s="196"/>
      <c r="K62" s="196"/>
      <c r="L62" s="196"/>
      <c r="M62" s="196"/>
      <c r="N62" s="196"/>
      <c r="O62" s="196"/>
      <c r="P62" s="196"/>
      <c r="Q62" s="196"/>
      <c r="R62" s="35"/>
    </row>
    <row r="63" spans="2:20">
      <c r="B63" s="7"/>
      <c r="C63" s="7"/>
      <c r="D63" s="7"/>
      <c r="E63" s="26"/>
      <c r="F63" s="27"/>
      <c r="G63" s="27"/>
      <c r="H63" s="27"/>
      <c r="I63" s="27"/>
      <c r="J63" s="27"/>
      <c r="K63" s="27"/>
      <c r="L63" s="27"/>
      <c r="M63" s="27"/>
      <c r="N63" s="27"/>
      <c r="O63" s="27"/>
      <c r="P63" s="27"/>
      <c r="Q63" s="27"/>
      <c r="R63" s="27"/>
    </row>
    <row r="64" spans="2:20">
      <c r="B64" s="7"/>
      <c r="C64" s="7"/>
      <c r="D64" s="7"/>
      <c r="E64" s="28"/>
      <c r="F64" s="29"/>
      <c r="G64" s="29"/>
      <c r="H64" s="29"/>
      <c r="I64" s="29"/>
      <c r="J64" s="29"/>
      <c r="K64" s="29"/>
      <c r="L64" s="29" t="s">
        <v>42</v>
      </c>
      <c r="M64" s="29"/>
      <c r="N64" s="29"/>
      <c r="O64" s="29"/>
      <c r="P64" s="29"/>
      <c r="Q64" s="29"/>
      <c r="R64" s="29"/>
    </row>
    <row r="65" spans="2:19">
      <c r="B65" s="7"/>
      <c r="C65" s="7"/>
      <c r="D65" s="7"/>
      <c r="E65" s="28"/>
      <c r="F65" s="29"/>
      <c r="G65" s="29"/>
      <c r="H65" s="29"/>
      <c r="I65" s="29"/>
      <c r="J65" s="29"/>
      <c r="K65" s="29"/>
      <c r="L65" s="29" t="s">
        <v>46</v>
      </c>
      <c r="M65" s="29"/>
      <c r="N65" s="29"/>
      <c r="O65" s="29"/>
      <c r="P65" s="29"/>
      <c r="Q65" s="29"/>
      <c r="R65" s="29"/>
    </row>
    <row r="66" spans="2:19">
      <c r="B66" s="7"/>
      <c r="C66" s="7"/>
      <c r="D66" s="7"/>
      <c r="E66" s="28"/>
      <c r="F66" s="29"/>
      <c r="G66" s="29"/>
      <c r="H66" s="29"/>
      <c r="I66" s="29"/>
      <c r="J66" s="29"/>
      <c r="K66" s="29"/>
      <c r="L66" s="29" t="s">
        <v>43</v>
      </c>
      <c r="M66" s="29"/>
      <c r="N66" s="29"/>
      <c r="O66" s="29"/>
      <c r="P66" s="29"/>
      <c r="Q66" s="29"/>
      <c r="R66" s="29"/>
    </row>
    <row r="67" spans="2:19">
      <c r="B67" s="7" t="s">
        <v>44</v>
      </c>
      <c r="C67" s="7"/>
      <c r="D67" s="7"/>
      <c r="E67" s="28"/>
      <c r="F67" s="29"/>
      <c r="G67" s="29"/>
      <c r="H67" s="29"/>
      <c r="I67" s="29"/>
      <c r="J67" s="29"/>
      <c r="K67" s="29"/>
      <c r="L67" s="29" t="s">
        <v>45</v>
      </c>
      <c r="M67" s="29"/>
      <c r="N67" s="29"/>
      <c r="O67" s="29"/>
      <c r="P67" s="29"/>
      <c r="Q67" s="29"/>
      <c r="R67" s="29"/>
    </row>
    <row r="68" spans="2:19">
      <c r="B68" s="7"/>
      <c r="C68" s="7"/>
      <c r="D68" s="7"/>
      <c r="E68" s="28"/>
      <c r="F68" s="29"/>
      <c r="G68" s="29"/>
      <c r="H68" s="29"/>
      <c r="I68" s="29"/>
      <c r="J68" s="29"/>
      <c r="K68" s="29"/>
      <c r="L68" s="29"/>
      <c r="M68" s="29"/>
      <c r="N68" s="29"/>
      <c r="O68" s="29"/>
      <c r="P68" s="29"/>
      <c r="Q68" s="29"/>
      <c r="R68" s="29"/>
    </row>
    <row r="69" spans="2:19">
      <c r="B69" s="7"/>
      <c r="C69" s="7"/>
      <c r="D69" s="7"/>
      <c r="E69" s="28"/>
      <c r="F69" s="29"/>
      <c r="G69" s="29"/>
      <c r="H69" s="29"/>
      <c r="I69" s="29"/>
      <c r="J69" s="29"/>
      <c r="K69" s="29"/>
      <c r="L69" s="29"/>
      <c r="M69" s="29"/>
      <c r="N69" s="29"/>
      <c r="O69" s="29"/>
      <c r="P69" s="29"/>
      <c r="Q69" s="29"/>
      <c r="R69" s="29"/>
    </row>
    <row r="70" spans="2:19">
      <c r="B70" s="7"/>
      <c r="C70" s="7"/>
      <c r="D70" s="7"/>
      <c r="E70" s="28"/>
      <c r="F70" s="29"/>
      <c r="G70" s="29"/>
      <c r="H70" s="29"/>
      <c r="I70" s="29"/>
      <c r="J70" s="29"/>
      <c r="K70" s="29"/>
      <c r="L70" s="29"/>
      <c r="M70" s="29"/>
      <c r="N70" s="29"/>
      <c r="O70" s="29"/>
      <c r="P70" s="29"/>
      <c r="Q70" s="29"/>
      <c r="R70" s="29"/>
      <c r="S70" s="9"/>
    </row>
    <row r="71" spans="2:19">
      <c r="B71" s="7"/>
      <c r="C71" s="7"/>
      <c r="D71" s="7"/>
      <c r="E71" s="28"/>
      <c r="F71" s="29"/>
      <c r="G71" s="29"/>
      <c r="H71" s="29"/>
      <c r="I71" s="29"/>
      <c r="J71" s="29"/>
      <c r="K71" s="29"/>
      <c r="L71" s="29"/>
      <c r="M71" s="29"/>
      <c r="N71" s="29"/>
      <c r="O71" s="29"/>
      <c r="P71" s="29"/>
      <c r="Q71" s="29"/>
      <c r="R71" s="29"/>
      <c r="S71" s="9"/>
    </row>
    <row r="72" spans="2:19">
      <c r="B72" s="7"/>
      <c r="C72" s="7"/>
      <c r="D72" s="7"/>
      <c r="E72" s="28"/>
      <c r="F72" s="29"/>
      <c r="G72" s="29"/>
      <c r="H72" s="29"/>
      <c r="I72" s="29"/>
      <c r="J72" s="29"/>
      <c r="K72" s="29"/>
      <c r="L72" s="29"/>
      <c r="M72" s="29"/>
      <c r="N72" s="29"/>
      <c r="O72" s="29"/>
      <c r="P72" s="29"/>
      <c r="Q72" s="29"/>
      <c r="R72" s="29"/>
      <c r="S72" s="9"/>
    </row>
    <row r="73" spans="2:19" s="13" customFormat="1" ht="24" customHeight="1">
      <c r="B73" s="7"/>
      <c r="C73" s="7"/>
      <c r="D73" s="7"/>
      <c r="E73" s="26"/>
      <c r="F73" s="30"/>
      <c r="G73" s="30"/>
      <c r="H73" s="30"/>
      <c r="I73" s="30"/>
      <c r="J73" s="30"/>
      <c r="K73" s="30"/>
      <c r="L73" s="30"/>
      <c r="M73" s="30"/>
      <c r="N73" s="30"/>
      <c r="O73" s="30"/>
      <c r="P73" s="30"/>
      <c r="Q73" s="30"/>
      <c r="R73" s="30"/>
      <c r="S73" s="12"/>
    </row>
    <row r="74" spans="2:19">
      <c r="B74" s="7"/>
      <c r="C74" s="7"/>
      <c r="D74" s="7"/>
      <c r="E74" s="28"/>
      <c r="F74" s="29"/>
      <c r="G74" s="29"/>
      <c r="H74" s="29"/>
      <c r="I74" s="29"/>
      <c r="J74" s="29"/>
      <c r="K74" s="29"/>
      <c r="L74" s="29"/>
      <c r="M74" s="29"/>
      <c r="N74" s="29"/>
      <c r="O74" s="29"/>
      <c r="P74" s="29"/>
      <c r="Q74" s="29"/>
      <c r="R74" s="29"/>
      <c r="S74" s="9"/>
    </row>
    <row r="75" spans="2:19">
      <c r="B75" s="7"/>
      <c r="C75" s="7"/>
      <c r="D75" s="7"/>
      <c r="E75" s="28"/>
      <c r="F75" s="29"/>
      <c r="G75" s="29"/>
      <c r="H75" s="29"/>
      <c r="I75" s="29"/>
      <c r="J75" s="29"/>
      <c r="K75" s="29"/>
      <c r="L75" s="29"/>
      <c r="M75" s="29"/>
      <c r="N75" s="29"/>
      <c r="O75" s="29"/>
      <c r="P75" s="29"/>
      <c r="Q75" s="29"/>
      <c r="R75" s="29"/>
      <c r="S75" s="9"/>
    </row>
    <row r="76" spans="2:19">
      <c r="B76" s="7"/>
      <c r="C76" s="7"/>
      <c r="D76" s="7"/>
      <c r="E76" s="28"/>
      <c r="F76" s="29"/>
      <c r="G76" s="29"/>
      <c r="H76" s="29"/>
      <c r="I76" s="29"/>
      <c r="J76" s="29"/>
      <c r="K76" s="29"/>
      <c r="L76" s="29"/>
      <c r="M76" s="29"/>
      <c r="N76" s="29"/>
      <c r="O76" s="29"/>
      <c r="P76" s="29"/>
      <c r="Q76" s="29"/>
      <c r="R76" s="29"/>
    </row>
    <row r="77" spans="2:19">
      <c r="B77" s="7"/>
      <c r="C77" s="7"/>
      <c r="D77" s="7"/>
      <c r="E77" s="28"/>
      <c r="F77" s="29"/>
      <c r="G77" s="29"/>
      <c r="H77" s="29"/>
      <c r="I77" s="29"/>
      <c r="J77" s="29"/>
      <c r="K77" s="29"/>
      <c r="L77" s="29"/>
      <c r="M77" s="29"/>
      <c r="N77" s="29"/>
      <c r="O77" s="29"/>
      <c r="P77" s="29"/>
      <c r="Q77" s="29"/>
      <c r="R77" s="29"/>
    </row>
    <row r="78" spans="2:19">
      <c r="B78" s="7"/>
      <c r="C78" s="7"/>
      <c r="D78" s="7"/>
      <c r="E78" s="28"/>
      <c r="F78" s="29"/>
      <c r="G78" s="29"/>
      <c r="H78" s="29"/>
      <c r="I78" s="29"/>
      <c r="J78" s="29"/>
      <c r="K78" s="29"/>
      <c r="L78" s="29"/>
      <c r="M78" s="29"/>
      <c r="N78" s="29"/>
      <c r="O78" s="29"/>
      <c r="P78" s="29"/>
      <c r="Q78" s="29"/>
      <c r="R78" s="29"/>
    </row>
    <row r="79" spans="2:19">
      <c r="B79" s="7"/>
      <c r="C79" s="7"/>
      <c r="D79" s="7"/>
      <c r="E79" s="28"/>
      <c r="F79" s="29"/>
      <c r="G79" s="29"/>
      <c r="H79" s="29"/>
      <c r="I79" s="29"/>
      <c r="J79" s="29"/>
      <c r="K79" s="29"/>
      <c r="L79" s="29"/>
      <c r="M79" s="29"/>
      <c r="N79" s="29"/>
      <c r="O79" s="29"/>
      <c r="P79" s="29"/>
      <c r="Q79" s="29"/>
      <c r="R79" s="29"/>
    </row>
    <row r="80" spans="2:19">
      <c r="B80" s="7"/>
      <c r="C80" s="7"/>
      <c r="D80" s="7"/>
      <c r="E80" s="28"/>
      <c r="F80" s="29"/>
      <c r="G80" s="29"/>
      <c r="H80" s="29"/>
      <c r="I80" s="29"/>
      <c r="J80" s="29"/>
      <c r="K80" s="29"/>
      <c r="L80" s="29"/>
      <c r="M80" s="29"/>
      <c r="N80" s="29"/>
      <c r="O80" s="29"/>
      <c r="P80" s="29"/>
      <c r="Q80" s="29"/>
      <c r="R80" s="29"/>
    </row>
    <row r="81" spans="2:18">
      <c r="B81" s="7"/>
      <c r="C81" s="7"/>
      <c r="D81" s="7"/>
      <c r="E81" s="28"/>
      <c r="F81" s="29"/>
      <c r="G81" s="29"/>
      <c r="H81" s="29"/>
      <c r="I81" s="29"/>
      <c r="J81" s="29"/>
      <c r="K81" s="29"/>
      <c r="L81" s="29"/>
      <c r="M81" s="29"/>
      <c r="N81" s="29"/>
      <c r="O81" s="29"/>
      <c r="P81" s="29"/>
      <c r="Q81" s="29"/>
      <c r="R81" s="29"/>
    </row>
    <row r="82" spans="2:18">
      <c r="B82" s="7"/>
      <c r="C82" s="7"/>
      <c r="D82" s="7"/>
      <c r="E82" s="28"/>
      <c r="F82" s="29"/>
      <c r="G82" s="29"/>
      <c r="H82" s="29"/>
      <c r="I82" s="29"/>
      <c r="J82" s="29"/>
      <c r="K82" s="29"/>
      <c r="L82" s="29"/>
      <c r="M82" s="29"/>
      <c r="N82" s="29"/>
      <c r="O82" s="29"/>
      <c r="P82" s="29"/>
      <c r="Q82" s="29"/>
      <c r="R82" s="29"/>
    </row>
    <row r="83" spans="2:18">
      <c r="B83" s="7"/>
      <c r="C83" s="7"/>
      <c r="D83" s="7"/>
      <c r="E83" s="28"/>
      <c r="F83" s="29"/>
      <c r="G83" s="29"/>
      <c r="H83" s="29"/>
      <c r="I83" s="29"/>
      <c r="J83" s="29"/>
      <c r="K83" s="29"/>
      <c r="L83" s="29"/>
      <c r="M83" s="29"/>
      <c r="N83" s="29"/>
      <c r="O83" s="29"/>
      <c r="P83" s="29"/>
      <c r="Q83" s="29"/>
      <c r="R83" s="29"/>
    </row>
    <row r="84" spans="2:18">
      <c r="B84" s="7"/>
      <c r="C84" s="7"/>
      <c r="D84" s="7"/>
      <c r="E84" s="28"/>
      <c r="F84" s="29"/>
      <c r="G84" s="29"/>
      <c r="H84" s="29"/>
      <c r="I84" s="29"/>
      <c r="J84" s="29"/>
      <c r="K84" s="29"/>
      <c r="L84" s="29"/>
      <c r="M84" s="29"/>
      <c r="N84" s="29"/>
      <c r="O84" s="29"/>
      <c r="P84" s="29"/>
      <c r="Q84" s="29"/>
      <c r="R84" s="29"/>
    </row>
    <row r="85" spans="2:18">
      <c r="B85" s="7"/>
      <c r="C85" s="7"/>
      <c r="D85" s="7"/>
      <c r="E85" s="28"/>
      <c r="F85" s="29"/>
      <c r="G85" s="29"/>
      <c r="H85" s="29"/>
      <c r="I85" s="29"/>
      <c r="J85" s="29"/>
      <c r="K85" s="29"/>
      <c r="L85" s="29"/>
      <c r="M85" s="29"/>
      <c r="N85" s="29"/>
      <c r="O85" s="29"/>
      <c r="P85" s="29"/>
      <c r="Q85" s="29"/>
      <c r="R85" s="29"/>
    </row>
    <row r="86" spans="2:18">
      <c r="B86" s="7"/>
      <c r="C86" s="7"/>
      <c r="D86" s="7"/>
      <c r="E86" s="28"/>
      <c r="F86" s="29"/>
      <c r="G86" s="29"/>
      <c r="H86" s="29"/>
      <c r="I86" s="29"/>
      <c r="J86" s="29"/>
      <c r="K86" s="29"/>
      <c r="L86" s="29"/>
      <c r="M86" s="29"/>
      <c r="N86" s="29"/>
      <c r="O86" s="29"/>
      <c r="P86" s="29"/>
      <c r="Q86" s="29"/>
      <c r="R86" s="29"/>
    </row>
    <row r="87" spans="2:18">
      <c r="B87" s="7"/>
      <c r="C87" s="7"/>
      <c r="D87" s="7"/>
      <c r="E87" s="28"/>
      <c r="F87" s="29"/>
      <c r="G87" s="29"/>
      <c r="H87" s="29"/>
      <c r="I87" s="29"/>
      <c r="J87" s="29"/>
      <c r="K87" s="29"/>
      <c r="L87" s="29"/>
      <c r="M87" s="29"/>
      <c r="N87" s="29"/>
      <c r="O87" s="29"/>
      <c r="P87" s="29"/>
      <c r="Q87" s="29"/>
      <c r="R87" s="29"/>
    </row>
    <row r="88" spans="2:18">
      <c r="B88" s="7"/>
      <c r="C88" s="7"/>
      <c r="D88" s="7"/>
      <c r="E88" s="28"/>
      <c r="F88" s="29"/>
      <c r="G88" s="29"/>
      <c r="H88" s="29"/>
      <c r="I88" s="29"/>
      <c r="J88" s="29"/>
      <c r="K88" s="29"/>
      <c r="L88" s="29"/>
      <c r="M88" s="29"/>
      <c r="N88" s="29"/>
      <c r="O88" s="29"/>
      <c r="P88" s="29"/>
      <c r="Q88" s="29"/>
      <c r="R88" s="29"/>
    </row>
    <row r="89" spans="2:18">
      <c r="B89" s="7"/>
      <c r="C89" s="7"/>
      <c r="D89" s="7"/>
      <c r="E89" s="28"/>
      <c r="F89" s="29"/>
      <c r="G89" s="29"/>
      <c r="H89" s="29"/>
      <c r="I89" s="29"/>
      <c r="J89" s="29"/>
      <c r="K89" s="29"/>
      <c r="L89" s="29"/>
      <c r="M89" s="29"/>
      <c r="N89" s="29"/>
      <c r="O89" s="29"/>
      <c r="P89" s="29"/>
      <c r="Q89" s="29"/>
      <c r="R89" s="29"/>
    </row>
    <row r="90" spans="2:18">
      <c r="B90" s="7"/>
      <c r="C90" s="7"/>
      <c r="D90" s="7"/>
      <c r="E90" s="28"/>
      <c r="F90" s="29"/>
      <c r="G90" s="29"/>
      <c r="H90" s="29"/>
      <c r="I90" s="29"/>
      <c r="J90" s="29"/>
      <c r="K90" s="29"/>
      <c r="L90" s="29"/>
      <c r="M90" s="29"/>
      <c r="N90" s="29"/>
      <c r="O90" s="29"/>
      <c r="P90" s="29"/>
      <c r="Q90" s="29"/>
      <c r="R90" s="29"/>
    </row>
    <row r="91" spans="2:18">
      <c r="B91" s="7"/>
      <c r="C91" s="7"/>
      <c r="D91" s="7"/>
      <c r="E91" s="28"/>
      <c r="F91" s="29"/>
      <c r="G91" s="29"/>
      <c r="H91" s="29"/>
      <c r="I91" s="29"/>
      <c r="J91" s="29"/>
      <c r="K91" s="29"/>
      <c r="L91" s="29"/>
      <c r="M91" s="29"/>
      <c r="N91" s="29"/>
      <c r="O91" s="29"/>
      <c r="P91" s="29"/>
      <c r="Q91" s="29"/>
      <c r="R91" s="29"/>
    </row>
    <row r="92" spans="2:18">
      <c r="B92" s="7"/>
      <c r="C92" s="7"/>
      <c r="D92" s="28"/>
      <c r="E92" s="28"/>
      <c r="F92" s="29"/>
      <c r="G92" s="29"/>
      <c r="H92" s="29"/>
      <c r="I92" s="29"/>
      <c r="J92" s="29"/>
      <c r="K92" s="29"/>
      <c r="L92" s="29"/>
      <c r="M92" s="29"/>
      <c r="N92" s="29"/>
      <c r="O92" s="29"/>
      <c r="P92" s="29"/>
      <c r="Q92" s="29"/>
      <c r="R92" s="29"/>
    </row>
    <row r="93" spans="2:18">
      <c r="B93" s="7"/>
      <c r="C93" s="7"/>
      <c r="D93" s="7"/>
      <c r="E93" s="28"/>
      <c r="F93" s="29"/>
      <c r="G93" s="29"/>
      <c r="H93" s="29"/>
      <c r="I93" s="29"/>
      <c r="J93" s="29"/>
      <c r="K93" s="29"/>
      <c r="L93" s="29"/>
      <c r="M93" s="29"/>
      <c r="N93" s="29"/>
      <c r="O93" s="29"/>
      <c r="P93" s="29"/>
      <c r="Q93" s="29"/>
      <c r="R93" s="29"/>
    </row>
    <row r="94" spans="2:18">
      <c r="B94" s="7"/>
      <c r="C94" s="7"/>
      <c r="D94" s="7"/>
      <c r="E94" s="28"/>
      <c r="F94" s="29"/>
      <c r="G94" s="29"/>
      <c r="H94" s="29"/>
      <c r="I94" s="29"/>
      <c r="J94" s="29"/>
      <c r="K94" s="29"/>
      <c r="L94" s="29"/>
      <c r="M94" s="29"/>
      <c r="N94" s="29"/>
      <c r="O94" s="29"/>
      <c r="P94" s="29"/>
      <c r="Q94" s="29"/>
      <c r="R94" s="29"/>
    </row>
    <row r="95" spans="2:18">
      <c r="B95" s="7"/>
      <c r="C95" s="7"/>
      <c r="D95" s="7"/>
      <c r="E95" s="28"/>
      <c r="F95" s="29"/>
      <c r="G95" s="29"/>
      <c r="H95" s="29"/>
      <c r="I95" s="29"/>
      <c r="J95" s="29"/>
      <c r="K95" s="29"/>
      <c r="L95" s="29"/>
      <c r="M95" s="29"/>
      <c r="N95" s="29"/>
      <c r="O95" s="29"/>
      <c r="P95" s="29"/>
      <c r="Q95" s="29"/>
      <c r="R95" s="29"/>
    </row>
    <row r="96" spans="2:18" s="32" customFormat="1">
      <c r="B96" s="19"/>
      <c r="C96" s="19"/>
      <c r="D96" s="19"/>
      <c r="E96" s="26"/>
      <c r="F96" s="31"/>
      <c r="G96" s="31"/>
      <c r="H96" s="31"/>
      <c r="I96" s="31"/>
      <c r="J96" s="31"/>
      <c r="K96" s="31"/>
      <c r="L96" s="31"/>
      <c r="M96" s="31"/>
      <c r="N96" s="31"/>
      <c r="O96" s="31"/>
      <c r="P96" s="31"/>
      <c r="Q96" s="31"/>
      <c r="R96" s="31"/>
    </row>
    <row r="97" spans="2:18">
      <c r="B97" s="7"/>
      <c r="C97" s="7"/>
      <c r="D97" s="7"/>
      <c r="E97" s="28"/>
      <c r="F97" s="29"/>
      <c r="G97" s="29"/>
      <c r="H97" s="29"/>
      <c r="I97" s="29"/>
      <c r="J97" s="29"/>
      <c r="K97" s="29"/>
      <c r="L97" s="29"/>
      <c r="M97" s="29"/>
      <c r="N97" s="29"/>
      <c r="O97" s="29"/>
      <c r="P97" s="29"/>
      <c r="Q97" s="29"/>
      <c r="R97" s="29"/>
    </row>
    <row r="98" spans="2:18">
      <c r="B98" s="7"/>
      <c r="C98" s="7"/>
      <c r="D98" s="7"/>
      <c r="E98" s="28"/>
      <c r="F98" s="29"/>
      <c r="G98" s="29"/>
      <c r="H98" s="29"/>
      <c r="I98" s="29"/>
      <c r="J98" s="29"/>
      <c r="K98" s="29"/>
      <c r="L98" s="29"/>
      <c r="M98" s="29"/>
      <c r="N98" s="29"/>
      <c r="O98" s="29"/>
      <c r="P98" s="29"/>
      <c r="Q98" s="29"/>
      <c r="R98" s="29"/>
    </row>
    <row r="99" spans="2:18">
      <c r="B99" s="7"/>
      <c r="C99" s="7"/>
      <c r="D99" s="7"/>
      <c r="E99" s="28"/>
      <c r="F99" s="29"/>
      <c r="G99" s="29"/>
      <c r="H99" s="29"/>
      <c r="I99" s="29"/>
      <c r="J99" s="29"/>
      <c r="K99" s="29"/>
      <c r="L99" s="29"/>
      <c r="M99" s="29"/>
      <c r="N99" s="29"/>
      <c r="O99" s="29"/>
      <c r="P99" s="29"/>
      <c r="Q99" s="29"/>
      <c r="R99" s="29"/>
    </row>
    <row r="100" spans="2:18">
      <c r="B100" s="7"/>
      <c r="C100" s="7"/>
      <c r="D100" s="7"/>
      <c r="E100" s="28"/>
      <c r="F100" s="29"/>
      <c r="G100" s="29"/>
      <c r="H100" s="29"/>
      <c r="I100" s="29"/>
      <c r="J100" s="29"/>
      <c r="K100" s="29"/>
      <c r="L100" s="29"/>
      <c r="M100" s="29"/>
      <c r="N100" s="29"/>
      <c r="O100" s="29"/>
      <c r="P100" s="29"/>
      <c r="Q100" s="29"/>
      <c r="R100" s="29"/>
    </row>
    <row r="101" spans="2:18">
      <c r="B101" s="7"/>
      <c r="C101" s="7"/>
      <c r="D101" s="7"/>
      <c r="E101" s="28"/>
      <c r="F101" s="29"/>
      <c r="G101" s="29"/>
      <c r="H101" s="29"/>
      <c r="I101" s="29"/>
      <c r="J101" s="29"/>
      <c r="K101" s="29"/>
      <c r="L101" s="29"/>
      <c r="M101" s="29"/>
      <c r="N101" s="29"/>
      <c r="O101" s="29"/>
      <c r="P101" s="29"/>
      <c r="Q101" s="29"/>
      <c r="R101" s="29"/>
    </row>
    <row r="102" spans="2:18">
      <c r="B102" s="7"/>
      <c r="C102" s="7"/>
      <c r="D102" s="7"/>
      <c r="E102" s="28"/>
      <c r="F102" s="29"/>
      <c r="G102" s="29"/>
      <c r="H102" s="29"/>
      <c r="I102" s="29"/>
      <c r="J102" s="29"/>
      <c r="K102" s="29"/>
      <c r="L102" s="29"/>
      <c r="M102" s="29"/>
      <c r="N102" s="29"/>
      <c r="O102" s="29"/>
      <c r="P102" s="29"/>
      <c r="Q102" s="29"/>
      <c r="R102" s="29"/>
    </row>
    <row r="103" spans="2:18">
      <c r="B103" s="28"/>
      <c r="C103" s="28"/>
      <c r="D103" s="28"/>
      <c r="E103" s="28"/>
      <c r="F103" s="28"/>
      <c r="G103" s="28"/>
      <c r="H103" s="28"/>
      <c r="I103" s="28"/>
      <c r="J103" s="28"/>
      <c r="K103" s="28"/>
      <c r="L103" s="28"/>
      <c r="M103" s="28"/>
      <c r="N103" s="28"/>
      <c r="O103" s="28"/>
      <c r="P103" s="28"/>
      <c r="Q103" s="28"/>
      <c r="R103" s="28"/>
    </row>
    <row r="104" spans="2:18">
      <c r="B104" s="28"/>
      <c r="C104" s="28"/>
      <c r="D104" s="28"/>
      <c r="E104" s="28"/>
      <c r="F104" s="28"/>
      <c r="G104" s="28"/>
      <c r="H104" s="28"/>
      <c r="I104" s="28"/>
      <c r="J104" s="28"/>
      <c r="K104" s="28"/>
      <c r="L104" s="28"/>
      <c r="M104" s="28"/>
      <c r="N104" s="28"/>
      <c r="O104" s="28"/>
      <c r="P104" s="28"/>
      <c r="Q104" s="28"/>
      <c r="R104" s="28"/>
    </row>
    <row r="105" spans="2:18">
      <c r="B105" s="28"/>
      <c r="C105" s="28"/>
      <c r="D105" s="28"/>
      <c r="E105" s="28"/>
      <c r="F105" s="28"/>
      <c r="G105" s="28"/>
      <c r="H105" s="28"/>
      <c r="I105" s="28"/>
      <c r="J105" s="28"/>
      <c r="K105" s="28"/>
      <c r="L105" s="28"/>
      <c r="M105" s="28"/>
      <c r="N105" s="28"/>
      <c r="O105" s="28"/>
      <c r="P105" s="28"/>
      <c r="Q105" s="28"/>
      <c r="R105" s="28"/>
    </row>
    <row r="106" spans="2:18">
      <c r="B106" s="28"/>
      <c r="C106" s="28"/>
      <c r="D106" s="28"/>
      <c r="E106" s="28"/>
      <c r="F106" s="28"/>
      <c r="G106" s="28"/>
      <c r="H106" s="28"/>
      <c r="I106" s="28"/>
      <c r="J106" s="28"/>
      <c r="K106" s="28"/>
      <c r="L106" s="28"/>
      <c r="M106" s="28"/>
      <c r="N106" s="28"/>
      <c r="O106" s="28"/>
      <c r="P106" s="28"/>
      <c r="Q106" s="28"/>
      <c r="R106" s="28"/>
    </row>
    <row r="107" spans="2:18">
      <c r="B107" s="28"/>
      <c r="C107" s="28"/>
      <c r="D107" s="28"/>
      <c r="E107" s="28"/>
      <c r="F107" s="28"/>
      <c r="G107" s="28"/>
      <c r="H107" s="28"/>
      <c r="I107" s="28"/>
      <c r="J107" s="28"/>
      <c r="K107" s="28"/>
      <c r="L107" s="28"/>
      <c r="M107" s="28"/>
      <c r="N107" s="28"/>
      <c r="O107" s="28"/>
      <c r="P107" s="28"/>
      <c r="Q107" s="28"/>
      <c r="R107" s="28"/>
    </row>
    <row r="108" spans="2:18">
      <c r="B108" s="28"/>
      <c r="C108" s="28"/>
      <c r="D108" s="28"/>
      <c r="E108" s="28"/>
      <c r="F108" s="28"/>
      <c r="G108" s="28"/>
      <c r="H108" s="28"/>
      <c r="I108" s="28"/>
      <c r="J108" s="28"/>
      <c r="K108" s="28"/>
      <c r="L108" s="28"/>
      <c r="M108" s="28"/>
      <c r="N108" s="28"/>
      <c r="O108" s="28"/>
      <c r="P108" s="28"/>
      <c r="Q108" s="28"/>
      <c r="R108" s="28"/>
    </row>
    <row r="109" spans="2:18">
      <c r="B109" s="28"/>
      <c r="C109" s="28"/>
      <c r="D109" s="28"/>
      <c r="E109" s="28"/>
      <c r="F109" s="28"/>
      <c r="G109" s="28"/>
      <c r="H109" s="28"/>
      <c r="I109" s="28"/>
      <c r="J109" s="28"/>
      <c r="K109" s="28"/>
      <c r="L109" s="28"/>
      <c r="M109" s="28"/>
      <c r="N109" s="28"/>
      <c r="O109" s="28"/>
      <c r="P109" s="28"/>
      <c r="Q109" s="28"/>
      <c r="R109" s="28"/>
    </row>
    <row r="110" spans="2:18">
      <c r="B110" s="28"/>
      <c r="C110" s="28"/>
      <c r="D110" s="28"/>
      <c r="E110" s="28"/>
      <c r="F110" s="28"/>
      <c r="G110" s="28"/>
      <c r="H110" s="28"/>
      <c r="I110" s="28"/>
      <c r="J110" s="28"/>
      <c r="K110" s="28"/>
      <c r="L110" s="28"/>
      <c r="M110" s="28"/>
      <c r="N110" s="28"/>
      <c r="O110" s="28"/>
      <c r="P110" s="28"/>
      <c r="Q110" s="28"/>
      <c r="R110" s="28"/>
    </row>
    <row r="111" spans="2:18">
      <c r="B111" s="28"/>
      <c r="C111" s="28"/>
      <c r="D111" s="28"/>
      <c r="E111" s="28"/>
      <c r="F111" s="28"/>
      <c r="G111" s="28"/>
      <c r="H111" s="28"/>
      <c r="I111" s="28"/>
      <c r="J111" s="28"/>
      <c r="K111" s="28"/>
      <c r="L111" s="28"/>
      <c r="M111" s="28"/>
      <c r="N111" s="28"/>
      <c r="O111" s="28"/>
      <c r="P111" s="28"/>
      <c r="Q111" s="28"/>
      <c r="R111" s="28"/>
    </row>
    <row r="112" spans="2:18">
      <c r="B112" s="28"/>
      <c r="C112" s="28"/>
      <c r="D112" s="28"/>
      <c r="E112" s="28"/>
      <c r="F112" s="28"/>
      <c r="G112" s="28"/>
      <c r="H112" s="28"/>
      <c r="I112" s="28"/>
      <c r="J112" s="28"/>
      <c r="K112" s="28"/>
      <c r="L112" s="28"/>
      <c r="M112" s="28"/>
      <c r="N112" s="28"/>
      <c r="O112" s="28"/>
      <c r="P112" s="28"/>
      <c r="Q112" s="28"/>
      <c r="R112" s="28"/>
    </row>
    <row r="113" spans="2:18">
      <c r="B113" s="28"/>
      <c r="C113" s="28"/>
      <c r="D113" s="28"/>
      <c r="E113" s="28"/>
      <c r="F113" s="28"/>
      <c r="G113" s="28"/>
      <c r="H113" s="28"/>
      <c r="I113" s="28"/>
      <c r="J113" s="28"/>
      <c r="K113" s="28"/>
      <c r="L113" s="28"/>
      <c r="M113" s="28"/>
      <c r="N113" s="28"/>
      <c r="O113" s="28"/>
      <c r="P113" s="28"/>
      <c r="Q113" s="28"/>
      <c r="R113" s="28"/>
    </row>
    <row r="114" spans="2:18">
      <c r="B114" s="28"/>
      <c r="C114" s="28"/>
      <c r="D114" s="28"/>
      <c r="E114" s="28"/>
      <c r="F114" s="28"/>
      <c r="G114" s="28"/>
      <c r="H114" s="28"/>
      <c r="I114" s="28"/>
      <c r="J114" s="28"/>
      <c r="K114" s="28"/>
      <c r="L114" s="28"/>
      <c r="M114" s="28"/>
      <c r="N114" s="28"/>
      <c r="O114" s="28"/>
      <c r="P114" s="28"/>
      <c r="Q114" s="28"/>
      <c r="R114" s="28"/>
    </row>
    <row r="115" spans="2:18">
      <c r="B115" s="28"/>
      <c r="C115" s="28"/>
      <c r="D115" s="28"/>
      <c r="E115" s="28"/>
      <c r="F115" s="28"/>
      <c r="G115" s="28"/>
      <c r="H115" s="28"/>
      <c r="I115" s="28"/>
      <c r="J115" s="28"/>
      <c r="K115" s="28"/>
      <c r="L115" s="28"/>
      <c r="M115" s="28"/>
      <c r="N115" s="28"/>
      <c r="O115" s="28"/>
      <c r="P115" s="28"/>
      <c r="Q115" s="28"/>
      <c r="R115" s="28"/>
    </row>
    <row r="116" spans="2:18">
      <c r="B116" s="28"/>
      <c r="C116" s="28"/>
      <c r="D116" s="28"/>
      <c r="E116" s="28"/>
      <c r="F116" s="28"/>
      <c r="G116" s="28"/>
      <c r="H116" s="28"/>
      <c r="I116" s="28"/>
      <c r="J116" s="28"/>
      <c r="K116" s="28"/>
      <c r="L116" s="28"/>
      <c r="M116" s="28"/>
      <c r="N116" s="28"/>
      <c r="O116" s="28"/>
      <c r="P116" s="28"/>
      <c r="Q116" s="28"/>
      <c r="R116" s="28"/>
    </row>
    <row r="117" spans="2:18">
      <c r="B117" s="28"/>
      <c r="C117" s="28"/>
      <c r="D117" s="28"/>
      <c r="E117" s="28"/>
      <c r="F117" s="28"/>
      <c r="G117" s="28"/>
      <c r="H117" s="28"/>
      <c r="I117" s="28"/>
      <c r="J117" s="28"/>
      <c r="K117" s="28"/>
      <c r="L117" s="28"/>
      <c r="M117" s="28"/>
      <c r="N117" s="28"/>
      <c r="O117" s="28"/>
      <c r="P117" s="28"/>
      <c r="Q117" s="28"/>
      <c r="R117" s="28"/>
    </row>
    <row r="118" spans="2:18">
      <c r="B118" s="28"/>
      <c r="C118" s="28"/>
      <c r="D118" s="28"/>
      <c r="E118" s="28"/>
      <c r="F118" s="28"/>
      <c r="G118" s="28"/>
      <c r="H118" s="28"/>
      <c r="I118" s="28"/>
      <c r="J118" s="28"/>
      <c r="K118" s="28"/>
      <c r="L118" s="28"/>
      <c r="M118" s="28"/>
      <c r="N118" s="28"/>
      <c r="O118" s="28"/>
      <c r="P118" s="28"/>
      <c r="Q118" s="28"/>
      <c r="R118" s="28"/>
    </row>
    <row r="119" spans="2:18">
      <c r="B119" s="28"/>
      <c r="C119" s="28"/>
      <c r="D119" s="28"/>
      <c r="E119" s="28"/>
      <c r="F119" s="28"/>
      <c r="G119" s="28"/>
      <c r="H119" s="28"/>
      <c r="I119" s="28"/>
      <c r="J119" s="28"/>
      <c r="K119" s="28"/>
      <c r="L119" s="28"/>
      <c r="M119" s="28"/>
      <c r="N119" s="28"/>
      <c r="O119" s="28"/>
      <c r="P119" s="28"/>
      <c r="Q119" s="28"/>
      <c r="R119" s="28"/>
    </row>
    <row r="120" spans="2:18">
      <c r="B120" s="28"/>
      <c r="C120" s="28"/>
      <c r="D120" s="28"/>
      <c r="E120" s="28"/>
      <c r="F120" s="28"/>
      <c r="G120" s="28"/>
      <c r="H120" s="28"/>
      <c r="I120" s="28"/>
      <c r="J120" s="28"/>
      <c r="K120" s="28"/>
      <c r="L120" s="28"/>
      <c r="M120" s="28"/>
      <c r="N120" s="28"/>
      <c r="O120" s="28"/>
      <c r="P120" s="28"/>
      <c r="Q120" s="28"/>
      <c r="R120" s="28"/>
    </row>
    <row r="121" spans="2:18">
      <c r="B121" s="28"/>
      <c r="C121" s="28"/>
      <c r="D121" s="28"/>
      <c r="E121" s="28"/>
      <c r="F121" s="28"/>
      <c r="G121" s="28"/>
      <c r="H121" s="28"/>
      <c r="I121" s="28"/>
      <c r="J121" s="28"/>
      <c r="K121" s="28"/>
      <c r="L121" s="28"/>
      <c r="M121" s="28"/>
      <c r="N121" s="28"/>
      <c r="O121" s="28"/>
      <c r="P121" s="28"/>
      <c r="Q121" s="28"/>
      <c r="R121" s="28"/>
    </row>
    <row r="122" spans="2:18">
      <c r="B122" s="28"/>
      <c r="C122" s="28"/>
      <c r="D122" s="28"/>
      <c r="E122" s="28"/>
      <c r="F122" s="28"/>
      <c r="G122" s="28"/>
      <c r="H122" s="28"/>
      <c r="I122" s="28"/>
      <c r="J122" s="28"/>
      <c r="K122" s="28"/>
      <c r="L122" s="28"/>
      <c r="M122" s="28"/>
      <c r="N122" s="28"/>
      <c r="O122" s="28"/>
      <c r="P122" s="28"/>
      <c r="Q122" s="28"/>
      <c r="R122" s="28"/>
    </row>
    <row r="123" spans="2:18">
      <c r="B123" s="28"/>
      <c r="C123" s="28"/>
      <c r="D123" s="28"/>
      <c r="E123" s="28"/>
      <c r="F123" s="28"/>
      <c r="G123" s="28"/>
      <c r="H123" s="28"/>
      <c r="I123" s="28"/>
      <c r="J123" s="28"/>
      <c r="K123" s="28"/>
      <c r="L123" s="28"/>
      <c r="M123" s="28"/>
      <c r="N123" s="28"/>
      <c r="O123" s="28"/>
      <c r="P123" s="28"/>
      <c r="Q123" s="28"/>
      <c r="R123" s="28"/>
    </row>
    <row r="124" spans="2:18">
      <c r="B124" s="28"/>
      <c r="C124" s="28"/>
      <c r="D124" s="28"/>
      <c r="E124" s="28"/>
      <c r="F124" s="28"/>
      <c r="G124" s="28"/>
      <c r="H124" s="28"/>
      <c r="I124" s="28"/>
      <c r="J124" s="28"/>
      <c r="K124" s="28"/>
      <c r="L124" s="28"/>
      <c r="M124" s="28"/>
      <c r="N124" s="28"/>
      <c r="O124" s="28"/>
      <c r="P124" s="28"/>
      <c r="Q124" s="28"/>
      <c r="R124" s="28"/>
    </row>
    <row r="125" spans="2:18">
      <c r="B125" s="28"/>
      <c r="C125" s="28"/>
      <c r="D125" s="28"/>
      <c r="E125" s="28"/>
      <c r="F125" s="28"/>
      <c r="G125" s="28"/>
      <c r="H125" s="28"/>
      <c r="I125" s="28"/>
      <c r="J125" s="28"/>
      <c r="K125" s="28"/>
      <c r="L125" s="28"/>
      <c r="M125" s="28"/>
      <c r="N125" s="28"/>
      <c r="O125" s="28"/>
      <c r="P125" s="28"/>
      <c r="Q125" s="28"/>
      <c r="R125" s="28"/>
    </row>
    <row r="126" spans="2:18">
      <c r="B126" s="28"/>
      <c r="C126" s="28"/>
      <c r="D126" s="28"/>
      <c r="E126" s="28"/>
      <c r="F126" s="28"/>
      <c r="G126" s="28"/>
      <c r="H126" s="28"/>
      <c r="I126" s="28"/>
      <c r="J126" s="28"/>
      <c r="K126" s="28"/>
      <c r="L126" s="28"/>
      <c r="M126" s="28"/>
      <c r="N126" s="28"/>
      <c r="O126" s="28"/>
      <c r="P126" s="28"/>
      <c r="Q126" s="28"/>
      <c r="R126" s="28"/>
    </row>
    <row r="127" spans="2:18">
      <c r="B127" s="28"/>
      <c r="C127" s="28"/>
      <c r="D127" s="28"/>
      <c r="E127" s="28"/>
      <c r="F127" s="28"/>
      <c r="G127" s="28"/>
      <c r="H127" s="28"/>
      <c r="I127" s="28"/>
      <c r="J127" s="28"/>
      <c r="K127" s="28"/>
      <c r="L127" s="28"/>
      <c r="M127" s="28"/>
      <c r="N127" s="28"/>
      <c r="O127" s="28"/>
      <c r="P127" s="28"/>
      <c r="Q127" s="28"/>
      <c r="R127" s="28"/>
    </row>
    <row r="128" spans="2:18">
      <c r="B128" s="28"/>
      <c r="C128" s="28"/>
      <c r="D128" s="28"/>
      <c r="E128" s="28"/>
      <c r="F128" s="28"/>
      <c r="G128" s="28"/>
      <c r="H128" s="28"/>
      <c r="I128" s="28"/>
      <c r="J128" s="28"/>
      <c r="K128" s="28"/>
      <c r="L128" s="28"/>
      <c r="M128" s="28"/>
      <c r="N128" s="28"/>
      <c r="O128" s="28"/>
      <c r="P128" s="28"/>
      <c r="Q128" s="28"/>
      <c r="R128" s="28"/>
    </row>
    <row r="129" spans="2:18">
      <c r="B129" s="28"/>
      <c r="C129" s="28"/>
      <c r="D129" s="28"/>
      <c r="E129" s="28"/>
      <c r="F129" s="28"/>
      <c r="G129" s="28"/>
      <c r="H129" s="28"/>
      <c r="I129" s="28"/>
      <c r="J129" s="28"/>
      <c r="K129" s="28"/>
      <c r="L129" s="28"/>
      <c r="M129" s="28"/>
      <c r="N129" s="28"/>
      <c r="O129" s="28"/>
      <c r="P129" s="28"/>
      <c r="Q129" s="28"/>
      <c r="R129" s="28"/>
    </row>
    <row r="130" spans="2:18">
      <c r="B130" s="28"/>
      <c r="C130" s="28"/>
      <c r="D130" s="28"/>
      <c r="E130" s="28"/>
      <c r="F130" s="28"/>
      <c r="G130" s="28"/>
      <c r="H130" s="28"/>
      <c r="I130" s="28"/>
      <c r="J130" s="28"/>
      <c r="K130" s="28"/>
      <c r="L130" s="28"/>
      <c r="M130" s="28"/>
      <c r="N130" s="28"/>
      <c r="O130" s="28"/>
      <c r="P130" s="28"/>
      <c r="Q130" s="28"/>
      <c r="R130" s="28"/>
    </row>
    <row r="131" spans="2:18">
      <c r="B131" s="28"/>
      <c r="C131" s="28"/>
      <c r="D131" s="28"/>
      <c r="E131" s="28"/>
      <c r="F131" s="28"/>
      <c r="G131" s="28"/>
      <c r="H131" s="28"/>
      <c r="I131" s="28"/>
      <c r="J131" s="28"/>
      <c r="K131" s="28"/>
      <c r="L131" s="28"/>
      <c r="M131" s="28"/>
      <c r="N131" s="28"/>
      <c r="O131" s="28"/>
      <c r="P131" s="28"/>
      <c r="Q131" s="28"/>
      <c r="R131" s="28"/>
    </row>
    <row r="132" spans="2:18">
      <c r="B132" s="28"/>
      <c r="C132" s="28"/>
      <c r="D132" s="28"/>
      <c r="E132" s="28"/>
      <c r="F132" s="28"/>
      <c r="G132" s="28"/>
      <c r="H132" s="28"/>
      <c r="I132" s="28"/>
      <c r="J132" s="28"/>
      <c r="K132" s="28"/>
      <c r="L132" s="28"/>
      <c r="M132" s="28"/>
      <c r="N132" s="28"/>
      <c r="O132" s="28"/>
      <c r="P132" s="28"/>
      <c r="Q132" s="28"/>
      <c r="R132" s="28"/>
    </row>
    <row r="133" spans="2:18">
      <c r="B133" s="28"/>
      <c r="C133" s="28"/>
      <c r="D133" s="28"/>
      <c r="E133" s="28"/>
      <c r="F133" s="28"/>
      <c r="G133" s="28"/>
      <c r="H133" s="28"/>
      <c r="I133" s="28"/>
      <c r="J133" s="28"/>
      <c r="K133" s="28"/>
      <c r="L133" s="28"/>
      <c r="M133" s="28"/>
      <c r="N133" s="28"/>
      <c r="O133" s="28"/>
      <c r="P133" s="28"/>
      <c r="Q133" s="28"/>
      <c r="R133" s="28"/>
    </row>
    <row r="134" spans="2:18">
      <c r="B134" s="28"/>
      <c r="C134" s="28"/>
      <c r="D134" s="28"/>
      <c r="E134" s="28"/>
      <c r="F134" s="28"/>
      <c r="G134" s="28"/>
      <c r="H134" s="28"/>
      <c r="I134" s="28"/>
      <c r="J134" s="28"/>
      <c r="K134" s="28"/>
      <c r="L134" s="28"/>
      <c r="M134" s="28"/>
      <c r="N134" s="28"/>
      <c r="O134" s="28"/>
      <c r="P134" s="28"/>
      <c r="Q134" s="28"/>
      <c r="R134" s="28"/>
    </row>
    <row r="135" spans="2:18">
      <c r="B135" s="28"/>
      <c r="C135" s="28"/>
      <c r="D135" s="28"/>
      <c r="E135" s="28"/>
      <c r="F135" s="28"/>
      <c r="G135" s="28"/>
      <c r="H135" s="28"/>
      <c r="I135" s="28"/>
      <c r="J135" s="28"/>
      <c r="K135" s="28"/>
      <c r="L135" s="28"/>
      <c r="M135" s="28"/>
      <c r="N135" s="28"/>
      <c r="O135" s="28"/>
      <c r="P135" s="28"/>
      <c r="Q135" s="28"/>
      <c r="R135" s="28"/>
    </row>
    <row r="136" spans="2:18">
      <c r="B136" s="28"/>
      <c r="C136" s="28"/>
      <c r="D136" s="28"/>
      <c r="E136" s="28"/>
      <c r="F136" s="28"/>
      <c r="G136" s="28"/>
      <c r="H136" s="28"/>
      <c r="I136" s="28"/>
      <c r="J136" s="28"/>
      <c r="K136" s="28"/>
      <c r="L136" s="28"/>
      <c r="M136" s="28"/>
      <c r="N136" s="28"/>
      <c r="O136" s="28"/>
      <c r="P136" s="28"/>
      <c r="Q136" s="28"/>
      <c r="R136" s="28"/>
    </row>
    <row r="137" spans="2:18">
      <c r="B137" s="28"/>
      <c r="C137" s="28"/>
      <c r="D137" s="28"/>
      <c r="E137" s="28"/>
      <c r="F137" s="28"/>
      <c r="G137" s="28"/>
      <c r="H137" s="28"/>
      <c r="I137" s="28"/>
      <c r="J137" s="28"/>
      <c r="K137" s="28"/>
      <c r="L137" s="28"/>
      <c r="M137" s="28"/>
      <c r="N137" s="28"/>
      <c r="O137" s="28"/>
      <c r="P137" s="28"/>
      <c r="Q137" s="28"/>
      <c r="R137" s="28"/>
    </row>
    <row r="138" spans="2:18">
      <c r="B138" s="28"/>
      <c r="C138" s="28"/>
      <c r="D138" s="28"/>
      <c r="E138" s="28"/>
      <c r="F138" s="28"/>
      <c r="G138" s="28"/>
      <c r="H138" s="28"/>
      <c r="I138" s="28"/>
      <c r="J138" s="28"/>
      <c r="K138" s="28"/>
      <c r="L138" s="28"/>
      <c r="M138" s="28"/>
      <c r="N138" s="28"/>
      <c r="O138" s="28"/>
      <c r="P138" s="28"/>
      <c r="Q138" s="28"/>
      <c r="R138" s="28"/>
    </row>
    <row r="139" spans="2:18">
      <c r="B139" s="28"/>
      <c r="C139" s="28"/>
      <c r="D139" s="28"/>
      <c r="E139" s="28"/>
      <c r="F139" s="28"/>
      <c r="G139" s="28"/>
      <c r="H139" s="28"/>
      <c r="I139" s="28"/>
      <c r="J139" s="28"/>
      <c r="K139" s="28"/>
      <c r="L139" s="28"/>
      <c r="M139" s="28"/>
      <c r="N139" s="28"/>
      <c r="O139" s="28"/>
      <c r="P139" s="28"/>
      <c r="Q139" s="28"/>
      <c r="R139" s="28"/>
    </row>
    <row r="140" spans="2:18">
      <c r="B140" s="28"/>
      <c r="C140" s="28"/>
      <c r="D140" s="28"/>
      <c r="E140" s="28"/>
      <c r="F140" s="28"/>
      <c r="G140" s="28"/>
      <c r="H140" s="28"/>
      <c r="I140" s="28"/>
      <c r="J140" s="28"/>
      <c r="K140" s="28"/>
      <c r="L140" s="28"/>
      <c r="M140" s="28"/>
      <c r="N140" s="28"/>
      <c r="O140" s="28"/>
      <c r="P140" s="28"/>
      <c r="Q140" s="28"/>
      <c r="R140" s="28"/>
    </row>
    <row r="141" spans="2:18">
      <c r="B141" s="28"/>
      <c r="C141" s="28"/>
      <c r="D141" s="28"/>
      <c r="E141" s="28"/>
      <c r="F141" s="28"/>
      <c r="G141" s="28"/>
      <c r="H141" s="28"/>
      <c r="I141" s="28"/>
      <c r="J141" s="28"/>
      <c r="K141" s="28"/>
      <c r="L141" s="28"/>
      <c r="M141" s="28"/>
      <c r="N141" s="28"/>
      <c r="O141" s="28"/>
      <c r="P141" s="28"/>
      <c r="Q141" s="28"/>
      <c r="R141" s="28"/>
    </row>
    <row r="142" spans="2:18">
      <c r="B142" s="28"/>
      <c r="C142" s="28"/>
      <c r="D142" s="28"/>
      <c r="E142" s="28"/>
      <c r="F142" s="28"/>
      <c r="G142" s="28"/>
      <c r="H142" s="28"/>
      <c r="I142" s="28"/>
      <c r="J142" s="28"/>
      <c r="K142" s="28"/>
      <c r="L142" s="28"/>
      <c r="M142" s="28"/>
      <c r="N142" s="28"/>
      <c r="O142" s="28"/>
      <c r="P142" s="28"/>
      <c r="Q142" s="28"/>
      <c r="R142" s="28"/>
    </row>
    <row r="143" spans="2:18">
      <c r="B143" s="28"/>
      <c r="C143" s="28"/>
      <c r="D143" s="28"/>
      <c r="E143" s="28"/>
      <c r="F143" s="28"/>
      <c r="G143" s="28"/>
      <c r="H143" s="28"/>
      <c r="I143" s="28"/>
      <c r="J143" s="28"/>
      <c r="K143" s="28"/>
      <c r="L143" s="28"/>
      <c r="M143" s="28"/>
      <c r="N143" s="28"/>
      <c r="O143" s="28"/>
      <c r="P143" s="28"/>
      <c r="Q143" s="28"/>
      <c r="R143" s="28"/>
    </row>
    <row r="144" spans="2:18">
      <c r="B144" s="28"/>
      <c r="C144" s="28"/>
      <c r="D144" s="28"/>
      <c r="E144" s="28"/>
      <c r="F144" s="28"/>
      <c r="G144" s="28"/>
      <c r="H144" s="28"/>
      <c r="I144" s="28"/>
      <c r="J144" s="28"/>
      <c r="K144" s="28"/>
      <c r="L144" s="28"/>
      <c r="M144" s="28"/>
      <c r="N144" s="28"/>
      <c r="O144" s="28"/>
      <c r="P144" s="28"/>
      <c r="Q144" s="28"/>
      <c r="R144" s="28"/>
    </row>
    <row r="145" spans="2:18">
      <c r="B145" s="28"/>
      <c r="C145" s="28"/>
      <c r="D145" s="28"/>
      <c r="E145" s="28"/>
      <c r="F145" s="28"/>
      <c r="G145" s="28"/>
      <c r="H145" s="28"/>
      <c r="I145" s="28"/>
      <c r="J145" s="28"/>
      <c r="K145" s="28"/>
      <c r="L145" s="28"/>
      <c r="M145" s="28"/>
      <c r="N145" s="28"/>
      <c r="O145" s="28"/>
      <c r="P145" s="28"/>
      <c r="Q145" s="28"/>
      <c r="R145" s="28"/>
    </row>
    <row r="146" spans="2:18">
      <c r="B146" s="28"/>
      <c r="C146" s="28"/>
      <c r="D146" s="28"/>
      <c r="E146" s="28"/>
      <c r="F146" s="28"/>
      <c r="G146" s="28"/>
      <c r="H146" s="28"/>
      <c r="I146" s="28"/>
      <c r="J146" s="28"/>
      <c r="K146" s="28"/>
      <c r="L146" s="28"/>
      <c r="M146" s="28"/>
      <c r="N146" s="28"/>
      <c r="O146" s="28"/>
      <c r="P146" s="28"/>
      <c r="Q146" s="28"/>
      <c r="R146" s="28"/>
    </row>
    <row r="147" spans="2:18">
      <c r="B147" s="28"/>
      <c r="C147" s="28"/>
      <c r="D147" s="28"/>
      <c r="E147" s="28"/>
      <c r="F147" s="28"/>
      <c r="G147" s="28"/>
      <c r="H147" s="28"/>
      <c r="I147" s="28"/>
      <c r="J147" s="28"/>
      <c r="K147" s="28"/>
      <c r="L147" s="28"/>
      <c r="M147" s="28"/>
      <c r="N147" s="28"/>
      <c r="O147" s="28"/>
      <c r="P147" s="28"/>
      <c r="Q147" s="28"/>
      <c r="R147" s="28"/>
    </row>
    <row r="148" spans="2:18">
      <c r="B148" s="28"/>
      <c r="C148" s="28"/>
      <c r="D148" s="28"/>
      <c r="E148" s="28"/>
      <c r="F148" s="28"/>
      <c r="G148" s="28"/>
      <c r="H148" s="28"/>
      <c r="I148" s="28"/>
      <c r="J148" s="28"/>
      <c r="K148" s="28"/>
      <c r="L148" s="28"/>
      <c r="M148" s="28"/>
      <c r="N148" s="28"/>
      <c r="O148" s="28"/>
      <c r="P148" s="28"/>
      <c r="Q148" s="28"/>
      <c r="R148" s="28"/>
    </row>
    <row r="149" spans="2:18">
      <c r="B149" s="28"/>
      <c r="C149" s="28"/>
      <c r="D149" s="28"/>
      <c r="E149" s="28"/>
      <c r="F149" s="28"/>
      <c r="G149" s="28"/>
      <c r="H149" s="28"/>
      <c r="I149" s="28"/>
      <c r="J149" s="28"/>
      <c r="K149" s="28"/>
      <c r="L149" s="28"/>
      <c r="M149" s="28"/>
      <c r="N149" s="28"/>
      <c r="O149" s="28"/>
      <c r="P149" s="28"/>
      <c r="Q149" s="28"/>
      <c r="R149" s="28"/>
    </row>
    <row r="150" spans="2:18">
      <c r="B150" s="28"/>
      <c r="C150" s="28"/>
      <c r="D150" s="28"/>
      <c r="E150" s="28"/>
      <c r="F150" s="28"/>
      <c r="G150" s="28"/>
      <c r="H150" s="28"/>
      <c r="I150" s="28"/>
      <c r="J150" s="28"/>
      <c r="K150" s="28"/>
      <c r="L150" s="28"/>
      <c r="M150" s="28"/>
      <c r="N150" s="28"/>
      <c r="O150" s="28"/>
      <c r="P150" s="28"/>
      <c r="Q150" s="28"/>
      <c r="R150" s="28"/>
    </row>
    <row r="151" spans="2:18">
      <c r="B151" s="28"/>
      <c r="C151" s="28"/>
      <c r="D151" s="28"/>
      <c r="E151" s="28"/>
      <c r="F151" s="28"/>
      <c r="G151" s="28"/>
      <c r="H151" s="28"/>
      <c r="I151" s="28"/>
      <c r="J151" s="28"/>
      <c r="K151" s="28"/>
      <c r="L151" s="28"/>
      <c r="M151" s="28"/>
      <c r="N151" s="28"/>
      <c r="O151" s="28"/>
      <c r="P151" s="28"/>
      <c r="Q151" s="28"/>
      <c r="R151" s="28"/>
    </row>
    <row r="152" spans="2:18">
      <c r="B152" s="28"/>
      <c r="C152" s="28"/>
      <c r="D152" s="28"/>
      <c r="E152" s="28"/>
      <c r="F152" s="28"/>
      <c r="G152" s="28"/>
      <c r="H152" s="28"/>
      <c r="I152" s="28"/>
      <c r="J152" s="28"/>
      <c r="K152" s="28"/>
      <c r="L152" s="28"/>
      <c r="M152" s="28"/>
      <c r="N152" s="28"/>
      <c r="O152" s="28"/>
      <c r="P152" s="28"/>
      <c r="Q152" s="28"/>
      <c r="R152" s="28"/>
    </row>
    <row r="153" spans="2:18">
      <c r="B153" s="28"/>
      <c r="C153" s="28"/>
      <c r="D153" s="28"/>
      <c r="E153" s="28"/>
      <c r="F153" s="28"/>
      <c r="G153" s="28"/>
      <c r="H153" s="28"/>
      <c r="I153" s="28"/>
      <c r="J153" s="28"/>
      <c r="K153" s="28"/>
      <c r="L153" s="28"/>
      <c r="M153" s="28"/>
      <c r="N153" s="28"/>
      <c r="O153" s="28"/>
      <c r="P153" s="28"/>
      <c r="Q153" s="28"/>
      <c r="R153" s="28"/>
    </row>
    <row r="154" spans="2:18">
      <c r="B154" s="28"/>
      <c r="C154" s="28"/>
      <c r="D154" s="28"/>
      <c r="E154" s="28"/>
      <c r="F154" s="28"/>
      <c r="G154" s="28"/>
      <c r="H154" s="28"/>
      <c r="I154" s="28"/>
      <c r="J154" s="28"/>
      <c r="K154" s="28"/>
      <c r="L154" s="28"/>
      <c r="M154" s="28"/>
      <c r="N154" s="28"/>
      <c r="O154" s="28"/>
      <c r="P154" s="28"/>
      <c r="Q154" s="28"/>
      <c r="R154" s="28"/>
    </row>
    <row r="155" spans="2:18">
      <c r="B155" s="28"/>
      <c r="C155" s="28"/>
      <c r="D155" s="28"/>
      <c r="E155" s="28"/>
      <c r="F155" s="28"/>
      <c r="G155" s="28"/>
      <c r="H155" s="28"/>
      <c r="I155" s="28"/>
      <c r="J155" s="28"/>
      <c r="K155" s="28"/>
      <c r="L155" s="28"/>
      <c r="M155" s="28"/>
      <c r="N155" s="28"/>
      <c r="O155" s="28"/>
      <c r="P155" s="28"/>
      <c r="Q155" s="28"/>
      <c r="R155" s="28"/>
    </row>
    <row r="156" spans="2:18">
      <c r="B156" s="28"/>
      <c r="C156" s="28"/>
      <c r="D156" s="28"/>
      <c r="E156" s="28"/>
      <c r="F156" s="28"/>
      <c r="G156" s="28"/>
      <c r="H156" s="28"/>
      <c r="I156" s="28"/>
      <c r="J156" s="28"/>
      <c r="K156" s="28"/>
      <c r="L156" s="28"/>
      <c r="M156" s="28"/>
      <c r="N156" s="28"/>
      <c r="O156" s="28"/>
      <c r="P156" s="28"/>
      <c r="Q156" s="28"/>
      <c r="R156" s="28"/>
    </row>
    <row r="157" spans="2:18">
      <c r="B157" s="28"/>
      <c r="C157" s="28"/>
      <c r="D157" s="28"/>
      <c r="E157" s="28"/>
      <c r="F157" s="28"/>
      <c r="G157" s="28"/>
      <c r="H157" s="28"/>
      <c r="I157" s="28"/>
      <c r="J157" s="28"/>
      <c r="K157" s="28"/>
      <c r="L157" s="28"/>
      <c r="M157" s="28"/>
      <c r="N157" s="28"/>
      <c r="O157" s="28"/>
      <c r="P157" s="28"/>
      <c r="Q157" s="28"/>
      <c r="R157" s="28"/>
    </row>
    <row r="158" spans="2:18">
      <c r="B158" s="28"/>
      <c r="C158" s="28"/>
      <c r="D158" s="28"/>
      <c r="E158" s="28"/>
      <c r="F158" s="28"/>
      <c r="G158" s="28"/>
      <c r="H158" s="28"/>
      <c r="I158" s="28"/>
      <c r="J158" s="28"/>
      <c r="K158" s="28"/>
      <c r="L158" s="28"/>
      <c r="M158" s="28"/>
      <c r="N158" s="28"/>
      <c r="O158" s="28"/>
      <c r="P158" s="28"/>
      <c r="Q158" s="28"/>
      <c r="R158" s="28"/>
    </row>
    <row r="159" spans="2:18">
      <c r="B159" s="28"/>
      <c r="C159" s="28"/>
      <c r="D159" s="28"/>
      <c r="E159" s="28"/>
      <c r="F159" s="28"/>
      <c r="G159" s="28"/>
      <c r="H159" s="28"/>
      <c r="I159" s="28"/>
      <c r="J159" s="28"/>
      <c r="K159" s="28"/>
      <c r="L159" s="28"/>
      <c r="M159" s="28"/>
      <c r="N159" s="28"/>
      <c r="O159" s="28"/>
      <c r="P159" s="28"/>
      <c r="Q159" s="28"/>
      <c r="R159" s="28"/>
    </row>
    <row r="160" spans="2:18">
      <c r="B160" s="28"/>
      <c r="C160" s="28"/>
      <c r="D160" s="28"/>
      <c r="E160" s="28"/>
      <c r="F160" s="28"/>
      <c r="G160" s="28"/>
      <c r="H160" s="28"/>
      <c r="I160" s="28"/>
      <c r="J160" s="28"/>
      <c r="K160" s="28"/>
      <c r="L160" s="28"/>
      <c r="M160" s="28"/>
      <c r="N160" s="28"/>
      <c r="O160" s="28"/>
      <c r="P160" s="28"/>
      <c r="Q160" s="28"/>
      <c r="R160" s="28"/>
    </row>
    <row r="161" spans="2:18">
      <c r="B161" s="28"/>
      <c r="C161" s="28"/>
      <c r="D161" s="28"/>
      <c r="E161" s="28"/>
      <c r="F161" s="28"/>
      <c r="G161" s="28"/>
      <c r="H161" s="28"/>
      <c r="I161" s="28"/>
      <c r="J161" s="28"/>
      <c r="K161" s="28"/>
      <c r="L161" s="28"/>
      <c r="M161" s="28"/>
      <c r="N161" s="28"/>
      <c r="O161" s="28"/>
      <c r="P161" s="28"/>
      <c r="Q161" s="28"/>
      <c r="R161" s="28"/>
    </row>
    <row r="162" spans="2:18">
      <c r="B162" s="28"/>
      <c r="C162" s="28"/>
      <c r="D162" s="28"/>
      <c r="E162" s="28"/>
      <c r="F162" s="28"/>
      <c r="G162" s="28"/>
      <c r="H162" s="28"/>
      <c r="I162" s="28"/>
      <c r="J162" s="28"/>
      <c r="K162" s="28"/>
      <c r="L162" s="28"/>
      <c r="M162" s="28"/>
      <c r="N162" s="28"/>
      <c r="O162" s="28"/>
      <c r="P162" s="28"/>
      <c r="Q162" s="28"/>
      <c r="R162" s="28"/>
    </row>
    <row r="163" spans="2:18">
      <c r="B163" s="28"/>
      <c r="C163" s="28"/>
      <c r="D163" s="28"/>
      <c r="E163" s="28"/>
      <c r="F163" s="28"/>
      <c r="G163" s="28"/>
      <c r="H163" s="28"/>
      <c r="I163" s="28"/>
      <c r="J163" s="28"/>
      <c r="K163" s="28"/>
      <c r="L163" s="28"/>
      <c r="M163" s="28"/>
      <c r="N163" s="28"/>
      <c r="O163" s="28"/>
      <c r="P163" s="28"/>
      <c r="Q163" s="28"/>
      <c r="R163" s="28"/>
    </row>
    <row r="164" spans="2:18">
      <c r="B164" s="28"/>
      <c r="C164" s="28"/>
      <c r="D164" s="28"/>
      <c r="E164" s="28"/>
      <c r="F164" s="28"/>
      <c r="G164" s="28"/>
      <c r="H164" s="28"/>
      <c r="I164" s="28"/>
      <c r="J164" s="28"/>
      <c r="K164" s="28"/>
      <c r="L164" s="28"/>
      <c r="M164" s="28"/>
      <c r="N164" s="28"/>
      <c r="O164" s="28"/>
      <c r="P164" s="28"/>
      <c r="Q164" s="28"/>
      <c r="R164" s="28"/>
    </row>
    <row r="165" spans="2:18">
      <c r="B165" s="28"/>
      <c r="C165" s="28"/>
      <c r="D165" s="28"/>
      <c r="E165" s="28"/>
      <c r="F165" s="28"/>
      <c r="G165" s="28"/>
      <c r="H165" s="28"/>
      <c r="I165" s="28"/>
      <c r="J165" s="28"/>
      <c r="K165" s="28"/>
      <c r="L165" s="28"/>
      <c r="M165" s="28"/>
      <c r="N165" s="28"/>
      <c r="O165" s="28"/>
      <c r="P165" s="28"/>
      <c r="Q165" s="28"/>
      <c r="R165" s="28"/>
    </row>
    <row r="166" spans="2:18">
      <c r="B166" s="28"/>
      <c r="C166" s="28"/>
      <c r="D166" s="28"/>
      <c r="E166" s="28"/>
      <c r="F166" s="28"/>
      <c r="G166" s="28"/>
      <c r="H166" s="28"/>
      <c r="I166" s="28"/>
      <c r="J166" s="28"/>
      <c r="K166" s="28"/>
      <c r="L166" s="28"/>
      <c r="M166" s="28"/>
      <c r="N166" s="28"/>
      <c r="O166" s="28"/>
      <c r="P166" s="28"/>
      <c r="Q166" s="28"/>
      <c r="R166" s="28"/>
    </row>
    <row r="167" spans="2:18">
      <c r="B167" s="28"/>
      <c r="C167" s="28"/>
      <c r="D167" s="28"/>
      <c r="E167" s="28"/>
      <c r="F167" s="28"/>
      <c r="G167" s="28"/>
      <c r="H167" s="28"/>
      <c r="I167" s="28"/>
      <c r="J167" s="28"/>
      <c r="K167" s="28"/>
      <c r="L167" s="28"/>
      <c r="M167" s="28"/>
      <c r="N167" s="28"/>
      <c r="O167" s="28"/>
      <c r="P167" s="28"/>
      <c r="Q167" s="28"/>
      <c r="R167" s="28"/>
    </row>
    <row r="168" spans="2:18">
      <c r="B168" s="28"/>
      <c r="C168" s="28"/>
      <c r="D168" s="28"/>
      <c r="E168" s="28"/>
      <c r="F168" s="28"/>
      <c r="G168" s="28"/>
      <c r="H168" s="28"/>
      <c r="I168" s="28"/>
      <c r="J168" s="28"/>
      <c r="K168" s="28"/>
      <c r="L168" s="28"/>
      <c r="M168" s="28"/>
      <c r="N168" s="28"/>
      <c r="O168" s="28"/>
      <c r="P168" s="28"/>
      <c r="Q168" s="28"/>
      <c r="R168" s="28"/>
    </row>
    <row r="169" spans="2:18">
      <c r="B169" s="28"/>
      <c r="C169" s="28"/>
      <c r="D169" s="28"/>
      <c r="E169" s="28"/>
      <c r="F169" s="28"/>
      <c r="G169" s="28"/>
      <c r="H169" s="28"/>
      <c r="I169" s="28"/>
      <c r="J169" s="28"/>
      <c r="K169" s="28"/>
      <c r="L169" s="28"/>
      <c r="M169" s="28"/>
      <c r="N169" s="28"/>
      <c r="O169" s="28"/>
      <c r="P169" s="28"/>
      <c r="Q169" s="28"/>
      <c r="R169" s="28"/>
    </row>
    <row r="170" spans="2:18">
      <c r="B170" s="28"/>
      <c r="C170" s="28"/>
      <c r="D170" s="28"/>
      <c r="E170" s="28"/>
      <c r="F170" s="28"/>
      <c r="G170" s="28"/>
      <c r="H170" s="28"/>
      <c r="I170" s="28"/>
      <c r="J170" s="28"/>
      <c r="K170" s="28"/>
      <c r="L170" s="28"/>
      <c r="M170" s="28"/>
      <c r="N170" s="28"/>
      <c r="O170" s="28"/>
      <c r="P170" s="28"/>
      <c r="Q170" s="28"/>
      <c r="R170" s="28"/>
    </row>
    <row r="171" spans="2:18">
      <c r="B171" s="28"/>
      <c r="C171" s="28"/>
      <c r="D171" s="28"/>
      <c r="E171" s="28"/>
      <c r="F171" s="28"/>
      <c r="G171" s="28"/>
      <c r="H171" s="28"/>
      <c r="I171" s="28"/>
      <c r="J171" s="28"/>
      <c r="K171" s="28"/>
      <c r="L171" s="28"/>
      <c r="M171" s="28"/>
      <c r="N171" s="28"/>
      <c r="O171" s="28"/>
      <c r="P171" s="28"/>
      <c r="Q171" s="28"/>
      <c r="R171" s="28"/>
    </row>
    <row r="172" spans="2:18">
      <c r="B172" s="28"/>
      <c r="C172" s="28"/>
      <c r="D172" s="28"/>
      <c r="E172" s="28"/>
      <c r="F172" s="28"/>
      <c r="G172" s="28"/>
      <c r="H172" s="28"/>
      <c r="I172" s="28"/>
      <c r="J172" s="28"/>
      <c r="K172" s="28"/>
      <c r="L172" s="28"/>
      <c r="M172" s="28"/>
      <c r="N172" s="28"/>
      <c r="O172" s="28"/>
      <c r="P172" s="28"/>
      <c r="Q172" s="28"/>
      <c r="R172" s="28"/>
    </row>
    <row r="173" spans="2:18">
      <c r="B173" s="28"/>
      <c r="C173" s="28"/>
      <c r="D173" s="28"/>
      <c r="E173" s="28"/>
      <c r="F173" s="28"/>
      <c r="G173" s="28"/>
      <c r="H173" s="28"/>
      <c r="I173" s="28"/>
      <c r="J173" s="28"/>
      <c r="K173" s="28"/>
      <c r="L173" s="28"/>
      <c r="M173" s="28"/>
      <c r="N173" s="28"/>
      <c r="O173" s="28"/>
      <c r="P173" s="28"/>
      <c r="Q173" s="28"/>
      <c r="R173" s="28"/>
    </row>
    <row r="174" spans="2:18">
      <c r="B174" s="28"/>
      <c r="C174" s="28"/>
      <c r="D174" s="28"/>
      <c r="E174" s="28"/>
      <c r="F174" s="28"/>
      <c r="G174" s="28"/>
      <c r="H174" s="28"/>
      <c r="I174" s="28"/>
      <c r="J174" s="28"/>
      <c r="K174" s="28"/>
      <c r="L174" s="28"/>
      <c r="M174" s="28"/>
      <c r="N174" s="28"/>
      <c r="O174" s="28"/>
      <c r="P174" s="28"/>
      <c r="Q174" s="28"/>
      <c r="R174" s="28"/>
    </row>
    <row r="175" spans="2:18">
      <c r="B175" s="28"/>
      <c r="C175" s="28"/>
      <c r="D175" s="28"/>
      <c r="E175" s="28"/>
      <c r="F175" s="28"/>
      <c r="G175" s="28"/>
      <c r="H175" s="28"/>
      <c r="I175" s="28"/>
      <c r="J175" s="28"/>
      <c r="K175" s="28"/>
      <c r="L175" s="28"/>
      <c r="M175" s="28"/>
      <c r="N175" s="28"/>
      <c r="O175" s="28"/>
      <c r="P175" s="28"/>
      <c r="Q175" s="28"/>
      <c r="R175" s="28"/>
    </row>
    <row r="176" spans="2:18">
      <c r="B176" s="28"/>
      <c r="C176" s="28"/>
      <c r="D176" s="28"/>
      <c r="E176" s="28"/>
      <c r="F176" s="28"/>
      <c r="G176" s="28"/>
      <c r="H176" s="28"/>
      <c r="I176" s="28"/>
      <c r="J176" s="28"/>
      <c r="K176" s="28"/>
      <c r="L176" s="28"/>
      <c r="M176" s="28"/>
      <c r="N176" s="28"/>
      <c r="O176" s="28"/>
      <c r="P176" s="28"/>
      <c r="Q176" s="28"/>
      <c r="R176" s="28"/>
    </row>
    <row r="177" spans="2:18">
      <c r="B177" s="28"/>
      <c r="C177" s="28"/>
      <c r="D177" s="28"/>
      <c r="E177" s="28"/>
      <c r="F177" s="28"/>
      <c r="G177" s="28"/>
      <c r="H177" s="28"/>
      <c r="I177" s="28"/>
      <c r="J177" s="28"/>
      <c r="K177" s="28"/>
      <c r="L177" s="28"/>
      <c r="M177" s="28"/>
      <c r="N177" s="28"/>
      <c r="O177" s="28"/>
      <c r="P177" s="28"/>
      <c r="Q177" s="28"/>
      <c r="R177" s="28"/>
    </row>
    <row r="178" spans="2:18">
      <c r="B178" s="28"/>
      <c r="C178" s="28"/>
      <c r="D178" s="28"/>
      <c r="E178" s="28"/>
      <c r="F178" s="28"/>
      <c r="G178" s="28"/>
      <c r="H178" s="28"/>
      <c r="I178" s="28"/>
      <c r="J178" s="28"/>
      <c r="K178" s="28"/>
      <c r="L178" s="28"/>
      <c r="M178" s="28"/>
      <c r="N178" s="28"/>
      <c r="O178" s="28"/>
      <c r="P178" s="28"/>
      <c r="Q178" s="28"/>
      <c r="R178" s="28"/>
    </row>
    <row r="179" spans="2:18">
      <c r="B179" s="28"/>
      <c r="C179" s="28"/>
      <c r="D179" s="28"/>
      <c r="E179" s="28"/>
      <c r="F179" s="28"/>
      <c r="G179" s="28"/>
      <c r="H179" s="28"/>
      <c r="I179" s="28"/>
      <c r="J179" s="28"/>
      <c r="K179" s="28"/>
      <c r="L179" s="28"/>
      <c r="M179" s="28"/>
      <c r="N179" s="28"/>
      <c r="O179" s="28"/>
      <c r="P179" s="28"/>
      <c r="Q179" s="28"/>
      <c r="R179" s="28"/>
    </row>
    <row r="180" spans="2:18">
      <c r="B180" s="28"/>
      <c r="C180" s="28"/>
      <c r="D180" s="28"/>
      <c r="E180" s="28"/>
      <c r="F180" s="28"/>
      <c r="G180" s="28"/>
      <c r="H180" s="28"/>
      <c r="I180" s="28"/>
      <c r="J180" s="28"/>
      <c r="K180" s="28"/>
      <c r="L180" s="28"/>
      <c r="M180" s="28"/>
      <c r="N180" s="28"/>
      <c r="O180" s="28"/>
      <c r="P180" s="28"/>
      <c r="Q180" s="28"/>
      <c r="R180" s="28"/>
    </row>
    <row r="181" spans="2:18">
      <c r="B181" s="28"/>
      <c r="C181" s="28"/>
      <c r="D181" s="28"/>
      <c r="E181" s="28"/>
      <c r="F181" s="28"/>
      <c r="G181" s="28"/>
      <c r="H181" s="28"/>
      <c r="I181" s="28"/>
      <c r="J181" s="28"/>
      <c r="K181" s="28"/>
      <c r="L181" s="28"/>
      <c r="M181" s="28"/>
      <c r="N181" s="28"/>
      <c r="O181" s="28"/>
      <c r="P181" s="28"/>
      <c r="Q181" s="28"/>
      <c r="R181" s="28"/>
    </row>
    <row r="182" spans="2:18">
      <c r="B182" s="28"/>
      <c r="C182" s="28"/>
      <c r="D182" s="28"/>
      <c r="E182" s="28"/>
      <c r="F182" s="28"/>
      <c r="G182" s="28"/>
      <c r="H182" s="28"/>
      <c r="I182" s="28"/>
      <c r="J182" s="28"/>
      <c r="K182" s="28"/>
      <c r="L182" s="28"/>
      <c r="M182" s="28"/>
      <c r="N182" s="28"/>
      <c r="O182" s="28"/>
      <c r="P182" s="28"/>
      <c r="Q182" s="28"/>
      <c r="R182" s="28"/>
    </row>
    <row r="183" spans="2:18">
      <c r="B183" s="28"/>
      <c r="C183" s="28"/>
      <c r="D183" s="28"/>
      <c r="E183" s="28"/>
      <c r="F183" s="28"/>
      <c r="G183" s="28"/>
      <c r="H183" s="28"/>
      <c r="I183" s="28"/>
      <c r="J183" s="28"/>
      <c r="K183" s="28"/>
      <c r="L183" s="28"/>
      <c r="M183" s="28"/>
      <c r="N183" s="28"/>
      <c r="O183" s="28"/>
      <c r="P183" s="28"/>
      <c r="Q183" s="28"/>
      <c r="R183" s="28"/>
    </row>
    <row r="184" spans="2:18">
      <c r="B184" s="28"/>
      <c r="C184" s="28"/>
      <c r="D184" s="28"/>
      <c r="E184" s="28"/>
      <c r="F184" s="28"/>
      <c r="G184" s="28"/>
      <c r="H184" s="28"/>
      <c r="I184" s="28"/>
      <c r="J184" s="28"/>
      <c r="K184" s="28"/>
      <c r="L184" s="28"/>
      <c r="M184" s="28"/>
      <c r="N184" s="28"/>
      <c r="O184" s="28"/>
      <c r="P184" s="28"/>
      <c r="Q184" s="28"/>
      <c r="R184" s="28"/>
    </row>
    <row r="185" spans="2:18">
      <c r="B185" s="28"/>
      <c r="C185" s="28"/>
      <c r="D185" s="28"/>
      <c r="E185" s="28"/>
      <c r="F185" s="28"/>
      <c r="G185" s="28"/>
      <c r="H185" s="28"/>
      <c r="I185" s="28"/>
      <c r="J185" s="28"/>
      <c r="K185" s="28"/>
      <c r="L185" s="28"/>
      <c r="M185" s="28"/>
      <c r="N185" s="28"/>
      <c r="O185" s="28"/>
      <c r="P185" s="28"/>
      <c r="Q185" s="28"/>
      <c r="R185" s="28"/>
    </row>
    <row r="186" spans="2:18">
      <c r="B186" s="28"/>
      <c r="C186" s="28"/>
      <c r="D186" s="28"/>
      <c r="E186" s="28"/>
      <c r="F186" s="28"/>
      <c r="G186" s="28"/>
      <c r="H186" s="28"/>
      <c r="I186" s="28"/>
      <c r="J186" s="28"/>
      <c r="K186" s="28"/>
      <c r="L186" s="28"/>
      <c r="M186" s="28"/>
      <c r="N186" s="28"/>
      <c r="O186" s="28"/>
      <c r="P186" s="28"/>
      <c r="Q186" s="28"/>
      <c r="R186" s="28"/>
    </row>
    <row r="187" spans="2:18">
      <c r="B187" s="28"/>
      <c r="C187" s="28"/>
      <c r="D187" s="28"/>
      <c r="E187" s="28"/>
      <c r="F187" s="28"/>
      <c r="G187" s="28"/>
      <c r="H187" s="28"/>
      <c r="I187" s="28"/>
      <c r="J187" s="28"/>
      <c r="K187" s="28"/>
      <c r="L187" s="28"/>
      <c r="M187" s="28"/>
      <c r="N187" s="28"/>
      <c r="O187" s="28"/>
      <c r="P187" s="28"/>
      <c r="Q187" s="28"/>
      <c r="R187" s="28"/>
    </row>
    <row r="188" spans="2:18">
      <c r="B188" s="28"/>
      <c r="C188" s="28"/>
      <c r="D188" s="28"/>
      <c r="E188" s="28"/>
      <c r="F188" s="28"/>
      <c r="G188" s="28"/>
      <c r="H188" s="28"/>
      <c r="I188" s="28"/>
      <c r="J188" s="28"/>
      <c r="K188" s="28"/>
      <c r="L188" s="28"/>
      <c r="M188" s="28"/>
      <c r="N188" s="28"/>
      <c r="O188" s="28"/>
      <c r="P188" s="28"/>
      <c r="Q188" s="28"/>
      <c r="R188" s="28"/>
    </row>
    <row r="189" spans="2:18">
      <c r="B189" s="28"/>
      <c r="C189" s="28"/>
      <c r="D189" s="28"/>
      <c r="E189" s="28"/>
      <c r="F189" s="28"/>
      <c r="G189" s="28"/>
      <c r="H189" s="28"/>
      <c r="I189" s="28"/>
      <c r="J189" s="28"/>
      <c r="K189" s="28"/>
      <c r="L189" s="28"/>
      <c r="M189" s="28"/>
      <c r="N189" s="28"/>
      <c r="O189" s="28"/>
      <c r="P189" s="28"/>
      <c r="Q189" s="28"/>
      <c r="R189" s="28"/>
    </row>
    <row r="190" spans="2:18">
      <c r="B190" s="28"/>
      <c r="C190" s="28"/>
      <c r="D190" s="28"/>
      <c r="E190" s="28"/>
      <c r="F190" s="28"/>
      <c r="G190" s="28"/>
      <c r="H190" s="28"/>
      <c r="I190" s="28"/>
      <c r="J190" s="28"/>
      <c r="K190" s="28"/>
      <c r="L190" s="28"/>
      <c r="M190" s="28"/>
      <c r="N190" s="28"/>
      <c r="O190" s="28"/>
      <c r="P190" s="28"/>
      <c r="Q190" s="28"/>
      <c r="R190" s="28"/>
    </row>
    <row r="191" spans="2:18">
      <c r="B191" s="28"/>
      <c r="C191" s="28"/>
      <c r="D191" s="28"/>
      <c r="E191" s="28"/>
      <c r="F191" s="28"/>
      <c r="G191" s="28"/>
      <c r="H191" s="28"/>
      <c r="I191" s="28"/>
      <c r="J191" s="28"/>
      <c r="K191" s="28"/>
      <c r="L191" s="28"/>
      <c r="M191" s="28"/>
      <c r="N191" s="28"/>
      <c r="O191" s="28"/>
      <c r="P191" s="28"/>
      <c r="Q191" s="28"/>
      <c r="R191" s="28"/>
    </row>
    <row r="192" spans="2:18">
      <c r="B192" s="28"/>
      <c r="C192" s="28"/>
      <c r="D192" s="28"/>
      <c r="E192" s="28"/>
      <c r="F192" s="28"/>
      <c r="G192" s="28"/>
      <c r="H192" s="28"/>
      <c r="I192" s="28"/>
      <c r="J192" s="28"/>
      <c r="K192" s="28"/>
      <c r="L192" s="28"/>
      <c r="M192" s="28"/>
      <c r="N192" s="28"/>
      <c r="O192" s="28"/>
      <c r="P192" s="28"/>
      <c r="Q192" s="28"/>
      <c r="R192" s="28"/>
    </row>
    <row r="193" spans="2:18">
      <c r="B193" s="28"/>
      <c r="C193" s="28"/>
      <c r="D193" s="28"/>
      <c r="E193" s="28"/>
      <c r="F193" s="28"/>
      <c r="G193" s="28"/>
      <c r="H193" s="28"/>
      <c r="I193" s="28"/>
      <c r="J193" s="28"/>
      <c r="K193" s="28"/>
      <c r="L193" s="28"/>
      <c r="M193" s="28"/>
      <c r="N193" s="28"/>
      <c r="O193" s="28"/>
      <c r="P193" s="28"/>
      <c r="Q193" s="28"/>
      <c r="R193" s="28"/>
    </row>
    <row r="194" spans="2:18">
      <c r="B194" s="28"/>
      <c r="C194" s="28"/>
      <c r="D194" s="28"/>
      <c r="E194" s="28"/>
      <c r="F194" s="28"/>
      <c r="G194" s="28"/>
      <c r="H194" s="28"/>
      <c r="I194" s="28"/>
      <c r="J194" s="28"/>
      <c r="K194" s="28"/>
      <c r="L194" s="28"/>
      <c r="M194" s="28"/>
      <c r="N194" s="28"/>
      <c r="O194" s="28"/>
      <c r="P194" s="28"/>
      <c r="Q194" s="28"/>
      <c r="R194" s="28"/>
    </row>
    <row r="195" spans="2:18">
      <c r="B195" s="28"/>
      <c r="C195" s="28"/>
      <c r="D195" s="28"/>
      <c r="E195" s="28"/>
      <c r="F195" s="28"/>
      <c r="G195" s="28"/>
      <c r="H195" s="28"/>
      <c r="I195" s="28"/>
      <c r="J195" s="28"/>
      <c r="K195" s="28"/>
      <c r="L195" s="28"/>
      <c r="M195" s="28"/>
      <c r="N195" s="28"/>
      <c r="O195" s="28"/>
      <c r="P195" s="28"/>
      <c r="Q195" s="28"/>
      <c r="R195" s="28"/>
    </row>
    <row r="196" spans="2:18">
      <c r="B196" s="28"/>
      <c r="C196" s="28"/>
      <c r="D196" s="28"/>
      <c r="E196" s="28"/>
      <c r="F196" s="28"/>
      <c r="G196" s="28"/>
      <c r="H196" s="28"/>
      <c r="I196" s="28"/>
      <c r="J196" s="28"/>
      <c r="K196" s="28"/>
      <c r="L196" s="28"/>
      <c r="M196" s="28"/>
      <c r="N196" s="28"/>
      <c r="O196" s="28"/>
      <c r="P196" s="28"/>
      <c r="Q196" s="28"/>
      <c r="R196" s="28"/>
    </row>
    <row r="197" spans="2:18">
      <c r="B197" s="28"/>
      <c r="C197" s="28"/>
      <c r="D197" s="28"/>
      <c r="E197" s="28"/>
      <c r="F197" s="28"/>
      <c r="G197" s="28"/>
      <c r="H197" s="28"/>
      <c r="I197" s="28"/>
      <c r="J197" s="28"/>
      <c r="K197" s="28"/>
      <c r="L197" s="28"/>
      <c r="M197" s="28"/>
      <c r="N197" s="28"/>
      <c r="O197" s="28"/>
      <c r="P197" s="28"/>
      <c r="Q197" s="28"/>
      <c r="R197" s="28"/>
    </row>
    <row r="198" spans="2:18">
      <c r="B198" s="28"/>
      <c r="C198" s="28"/>
      <c r="D198" s="28"/>
      <c r="E198" s="28"/>
      <c r="F198" s="28"/>
      <c r="G198" s="28"/>
      <c r="H198" s="28"/>
      <c r="I198" s="28"/>
      <c r="J198" s="28"/>
      <c r="K198" s="28"/>
      <c r="L198" s="28"/>
      <c r="M198" s="28"/>
      <c r="N198" s="28"/>
      <c r="O198" s="28"/>
      <c r="P198" s="28"/>
      <c r="Q198" s="28"/>
      <c r="R198" s="28"/>
    </row>
    <row r="199" spans="2:18">
      <c r="B199" s="28"/>
      <c r="C199" s="28"/>
      <c r="D199" s="28"/>
      <c r="E199" s="28"/>
      <c r="F199" s="28"/>
      <c r="G199" s="28"/>
      <c r="H199" s="28"/>
      <c r="I199" s="28"/>
      <c r="J199" s="28"/>
      <c r="K199" s="28"/>
      <c r="L199" s="28"/>
      <c r="M199" s="28"/>
      <c r="N199" s="28"/>
      <c r="O199" s="28"/>
      <c r="P199" s="28"/>
      <c r="Q199" s="28"/>
      <c r="R199" s="28"/>
    </row>
    <row r="200" spans="2:18">
      <c r="B200" s="28"/>
      <c r="C200" s="28"/>
      <c r="D200" s="28"/>
      <c r="E200" s="28"/>
      <c r="F200" s="28"/>
      <c r="G200" s="28"/>
      <c r="H200" s="28"/>
      <c r="I200" s="28"/>
      <c r="J200" s="28"/>
      <c r="K200" s="28"/>
      <c r="L200" s="28"/>
      <c r="M200" s="28"/>
      <c r="N200" s="28"/>
      <c r="O200" s="28"/>
      <c r="P200" s="28"/>
      <c r="Q200" s="28"/>
      <c r="R200" s="28"/>
    </row>
    <row r="201" spans="2:18">
      <c r="B201" s="28"/>
      <c r="C201" s="28"/>
      <c r="D201" s="28"/>
      <c r="E201" s="28"/>
      <c r="F201" s="28"/>
      <c r="G201" s="28"/>
      <c r="H201" s="28"/>
      <c r="I201" s="28"/>
      <c r="J201" s="28"/>
      <c r="K201" s="28"/>
      <c r="L201" s="28"/>
      <c r="M201" s="28"/>
      <c r="N201" s="28"/>
      <c r="O201" s="28"/>
      <c r="P201" s="28"/>
      <c r="Q201" s="28"/>
      <c r="R201" s="28"/>
    </row>
    <row r="202" spans="2:18">
      <c r="B202" s="28"/>
      <c r="C202" s="28"/>
      <c r="D202" s="28"/>
      <c r="E202" s="28"/>
      <c r="F202" s="28"/>
      <c r="G202" s="28"/>
      <c r="H202" s="28"/>
      <c r="I202" s="28"/>
      <c r="J202" s="28"/>
      <c r="K202" s="28"/>
      <c r="L202" s="28"/>
      <c r="M202" s="28"/>
      <c r="N202" s="28"/>
      <c r="O202" s="28"/>
      <c r="P202" s="28"/>
      <c r="Q202" s="28"/>
      <c r="R202" s="28"/>
    </row>
    <row r="203" spans="2:18">
      <c r="B203" s="28"/>
      <c r="C203" s="28"/>
      <c r="D203" s="28"/>
      <c r="E203" s="28"/>
      <c r="F203" s="28"/>
      <c r="G203" s="28"/>
      <c r="H203" s="28"/>
      <c r="I203" s="28"/>
      <c r="J203" s="28"/>
      <c r="K203" s="28"/>
      <c r="L203" s="28"/>
      <c r="M203" s="28"/>
      <c r="N203" s="28"/>
      <c r="O203" s="28"/>
      <c r="P203" s="28"/>
      <c r="Q203" s="28"/>
      <c r="R203" s="28"/>
    </row>
    <row r="204" spans="2:18">
      <c r="B204" s="28"/>
      <c r="C204" s="28"/>
      <c r="D204" s="28"/>
      <c r="E204" s="28"/>
      <c r="F204" s="28"/>
      <c r="G204" s="28"/>
      <c r="H204" s="28"/>
      <c r="I204" s="28"/>
      <c r="J204" s="28"/>
      <c r="K204" s="28"/>
      <c r="L204" s="28"/>
      <c r="M204" s="28"/>
      <c r="N204" s="28"/>
      <c r="O204" s="28"/>
      <c r="P204" s="28"/>
      <c r="Q204" s="28"/>
      <c r="R204" s="28"/>
    </row>
    <row r="205" spans="2:18">
      <c r="B205" s="28"/>
      <c r="C205" s="28"/>
      <c r="D205" s="28"/>
      <c r="E205" s="28"/>
      <c r="F205" s="28"/>
      <c r="G205" s="28"/>
      <c r="H205" s="28"/>
      <c r="I205" s="28"/>
      <c r="J205" s="28"/>
      <c r="K205" s="28"/>
      <c r="L205" s="28"/>
      <c r="M205" s="28"/>
      <c r="N205" s="28"/>
      <c r="O205" s="28"/>
      <c r="P205" s="28"/>
      <c r="Q205" s="28"/>
      <c r="R205" s="28"/>
    </row>
  </sheetData>
  <mergeCells count="6">
    <mergeCell ref="B2:Q2"/>
    <mergeCell ref="B3:Q3"/>
    <mergeCell ref="B4:Q4"/>
    <mergeCell ref="B62:Q62"/>
    <mergeCell ref="S22:S27"/>
    <mergeCell ref="N8:P8"/>
  </mergeCells>
  <conditionalFormatting sqref="N11:N50">
    <cfRule type="cellIs" dxfId="29" priority="7" operator="lessThan">
      <formula>0</formula>
    </cfRule>
    <cfRule type="cellIs" dxfId="28" priority="8" operator="greaterThan">
      <formula>0.051</formula>
    </cfRule>
    <cfRule type="cellIs" dxfId="27" priority="9" operator="greaterThan">
      <formula>5.1</formula>
    </cfRule>
  </conditionalFormatting>
  <conditionalFormatting sqref="O11:O50">
    <cfRule type="cellIs" dxfId="26" priority="3" operator="lessThan">
      <formula>0</formula>
    </cfRule>
    <cfRule type="cellIs" dxfId="25" priority="4" operator="greaterThan">
      <formula>0.019</formula>
    </cfRule>
    <cfRule type="cellIs" dxfId="24" priority="5" operator="greaterThan">
      <formula>0.019</formula>
    </cfRule>
    <cfRule type="cellIs" dxfId="23" priority="6" operator="greaterThan">
      <formula>0.02</formula>
    </cfRule>
  </conditionalFormatting>
  <conditionalFormatting sqref="P11:P50">
    <cfRule type="cellIs" dxfId="22" priority="1" operator="lessThan">
      <formula>0</formula>
    </cfRule>
    <cfRule type="cellIs" dxfId="21" priority="2" operator="greaterThan">
      <formula>0.02</formula>
    </cfRule>
  </conditionalFormatting>
  <pageMargins left="0.25" right="0.25" top="0.75" bottom="0.75" header="0.3" footer="0.3"/>
  <pageSetup paperSize="5"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B1:Y210"/>
  <sheetViews>
    <sheetView showGridLines="0" zoomScaleNormal="100" workbookViewId="0">
      <pane xSplit="5" ySplit="8" topLeftCell="F48" activePane="bottomRight" state="frozen"/>
      <selection pane="topRight" activeCell="E1" sqref="E1"/>
      <selection pane="bottomLeft" activeCell="A6" sqref="A6"/>
      <selection pane="bottomRight" activeCell="D74" sqref="D74"/>
    </sheetView>
  </sheetViews>
  <sheetFormatPr baseColWidth="10" defaultRowHeight="15" outlineLevelRow="1" outlineLevelCol="2"/>
  <cols>
    <col min="1" max="1" width="4.42578125" customWidth="1"/>
    <col min="2" max="2" width="10.28515625" customWidth="1"/>
    <col min="3" max="3" width="42.42578125" customWidth="1"/>
    <col min="4" max="4" width="28" customWidth="1"/>
    <col min="5" max="5" width="4.140625" customWidth="1"/>
    <col min="6" max="7" width="13.85546875" customWidth="1"/>
    <col min="8" max="8" width="15.42578125" customWidth="1"/>
    <col min="9" max="9" width="13" customWidth="1"/>
    <col min="10" max="10" width="12.85546875" customWidth="1"/>
    <col min="11" max="12" width="14.140625" bestFit="1" customWidth="1"/>
    <col min="13" max="13" width="5.85546875" customWidth="1"/>
    <col min="14" max="16" width="14.140625" customWidth="1"/>
    <col min="17" max="17" width="14.140625" hidden="1" customWidth="1" outlineLevel="1"/>
    <col min="18" max="18" width="4.7109375" hidden="1" customWidth="1" outlineLevel="2"/>
    <col min="19" max="19" width="30.5703125" hidden="1" customWidth="1" outlineLevel="2"/>
    <col min="20" max="20" width="11.42578125" hidden="1" customWidth="1" outlineLevel="1"/>
    <col min="21" max="21" width="2.140625" customWidth="1" collapsed="1"/>
    <col min="22" max="22" width="4.28515625" customWidth="1"/>
    <col min="23" max="23" width="7.42578125" customWidth="1"/>
  </cols>
  <sheetData>
    <row r="1" spans="2:25">
      <c r="F1" s="1"/>
      <c r="G1" s="1"/>
      <c r="H1" s="2"/>
    </row>
    <row r="2" spans="2:25">
      <c r="B2" s="182" t="s">
        <v>0</v>
      </c>
      <c r="C2" s="182"/>
      <c r="D2" s="182"/>
      <c r="E2" s="182"/>
      <c r="F2" s="182"/>
      <c r="G2" s="182"/>
      <c r="H2" s="182"/>
      <c r="I2" s="182"/>
      <c r="J2" s="182"/>
      <c r="K2" s="182"/>
      <c r="L2" s="182"/>
      <c r="M2" s="182"/>
      <c r="N2" s="182"/>
      <c r="O2" s="182"/>
      <c r="P2" s="182"/>
      <c r="Q2" s="182"/>
      <c r="R2" s="59"/>
    </row>
    <row r="3" spans="2:25">
      <c r="B3" s="182" t="s">
        <v>1</v>
      </c>
      <c r="C3" s="182"/>
      <c r="D3" s="182"/>
      <c r="E3" s="182"/>
      <c r="F3" s="182"/>
      <c r="G3" s="182"/>
      <c r="H3" s="182"/>
      <c r="I3" s="182"/>
      <c r="J3" s="182"/>
      <c r="K3" s="182"/>
      <c r="L3" s="182"/>
      <c r="M3" s="182"/>
      <c r="N3" s="182"/>
      <c r="O3" s="182"/>
      <c r="P3" s="182"/>
      <c r="Q3" s="182"/>
      <c r="R3" s="59"/>
    </row>
    <row r="4" spans="2:25">
      <c r="B4" s="182" t="s">
        <v>2</v>
      </c>
      <c r="C4" s="182"/>
      <c r="D4" s="182"/>
      <c r="E4" s="182"/>
      <c r="F4" s="182"/>
      <c r="G4" s="182"/>
      <c r="H4" s="182"/>
      <c r="I4" s="182"/>
      <c r="J4" s="182"/>
      <c r="K4" s="182"/>
      <c r="L4" s="182"/>
      <c r="M4" s="182"/>
      <c r="N4" s="182"/>
      <c r="O4" s="182"/>
      <c r="P4" s="182"/>
      <c r="Q4" s="182"/>
      <c r="R4" s="59"/>
    </row>
    <row r="5" spans="2:25">
      <c r="B5" s="3"/>
      <c r="C5" s="4"/>
      <c r="D5" s="4"/>
      <c r="E5" s="4"/>
      <c r="F5" s="45"/>
      <c r="G5" s="45"/>
      <c r="H5" s="45"/>
      <c r="I5" s="45"/>
      <c r="J5" s="45"/>
      <c r="K5" s="45"/>
      <c r="L5" s="45"/>
      <c r="M5" s="45"/>
      <c r="N5" s="45"/>
      <c r="O5" s="45"/>
      <c r="P5" s="45"/>
      <c r="Q5" s="45"/>
      <c r="R5" s="60"/>
      <c r="S5" s="1"/>
    </row>
    <row r="6" spans="2:25" ht="13.5" customHeight="1">
      <c r="B6" s="3"/>
      <c r="C6" s="4"/>
      <c r="D6" s="4"/>
      <c r="E6" s="4"/>
      <c r="F6" s="60"/>
      <c r="G6" s="60"/>
      <c r="H6" s="60"/>
      <c r="I6" s="60"/>
      <c r="J6" s="60"/>
      <c r="K6" s="60"/>
      <c r="L6" s="60"/>
      <c r="M6" s="60"/>
      <c r="N6" s="60"/>
      <c r="O6" s="60"/>
      <c r="P6" s="60"/>
      <c r="Q6" s="60"/>
      <c r="R6" s="60"/>
      <c r="S6" s="1"/>
      <c r="V6" s="197" t="s">
        <v>66</v>
      </c>
      <c r="W6" s="197"/>
      <c r="X6" s="197"/>
    </row>
    <row r="7" spans="2:25" ht="15" customHeight="1">
      <c r="B7" s="3"/>
      <c r="C7" s="4"/>
      <c r="D7" s="4"/>
      <c r="E7" s="4"/>
      <c r="F7" s="60"/>
      <c r="G7" s="60"/>
      <c r="H7" s="60"/>
      <c r="I7" s="60"/>
      <c r="J7" s="60"/>
      <c r="K7" s="60"/>
      <c r="L7" s="60"/>
      <c r="M7" s="60"/>
      <c r="N7" s="198" t="s">
        <v>54</v>
      </c>
      <c r="O7" s="198"/>
      <c r="P7" s="198"/>
      <c r="Q7" s="60"/>
      <c r="R7" s="60"/>
      <c r="S7" s="1"/>
      <c r="V7" s="197"/>
      <c r="W7" s="197"/>
      <c r="X7" s="197"/>
    </row>
    <row r="8" spans="2:25">
      <c r="B8" s="3"/>
      <c r="C8" s="4"/>
      <c r="D8" s="4"/>
      <c r="E8" s="4"/>
      <c r="F8" s="5" t="s">
        <v>3</v>
      </c>
      <c r="G8" s="5" t="s">
        <v>4</v>
      </c>
      <c r="H8" s="5" t="s">
        <v>5</v>
      </c>
      <c r="I8" s="5" t="s">
        <v>6</v>
      </c>
      <c r="J8" s="6" t="s">
        <v>7</v>
      </c>
      <c r="K8" s="5" t="s">
        <v>8</v>
      </c>
      <c r="L8" s="6" t="s">
        <v>9</v>
      </c>
      <c r="M8" s="6"/>
      <c r="N8" s="6" t="s">
        <v>55</v>
      </c>
      <c r="O8" s="6" t="s">
        <v>56</v>
      </c>
      <c r="P8" s="6" t="s">
        <v>57</v>
      </c>
      <c r="Q8" s="6" t="s">
        <v>9</v>
      </c>
      <c r="R8" s="6"/>
      <c r="S8" s="36" t="s">
        <v>47</v>
      </c>
      <c r="V8" s="197"/>
      <c r="W8" s="197"/>
      <c r="X8" s="197"/>
    </row>
    <row r="9" spans="2:25">
      <c r="B9" s="7"/>
      <c r="C9" s="7"/>
      <c r="D9" s="7"/>
      <c r="E9" s="4"/>
      <c r="F9" s="8"/>
      <c r="G9" s="8"/>
      <c r="H9" s="8"/>
      <c r="I9" s="8"/>
      <c r="J9" s="8"/>
      <c r="K9" s="8"/>
      <c r="L9" s="8" t="s">
        <v>48</v>
      </c>
      <c r="M9" s="22"/>
      <c r="N9" s="8"/>
      <c r="O9" s="8"/>
      <c r="P9" s="8"/>
      <c r="Q9" s="8" t="s">
        <v>49</v>
      </c>
      <c r="R9" s="8"/>
      <c r="S9" s="9"/>
    </row>
    <row r="10" spans="2:25">
      <c r="B10" s="7"/>
      <c r="C10" s="7"/>
      <c r="D10" s="7"/>
      <c r="E10" s="4"/>
      <c r="F10" s="8"/>
      <c r="G10" s="8"/>
      <c r="H10" s="8"/>
      <c r="I10" s="8"/>
      <c r="J10" s="8"/>
      <c r="K10" s="8" t="s">
        <v>110</v>
      </c>
      <c r="L10" s="64" t="s">
        <v>109</v>
      </c>
      <c r="M10" s="22"/>
      <c r="N10" s="8"/>
      <c r="O10" s="8"/>
      <c r="P10" s="8"/>
      <c r="Q10" s="8"/>
      <c r="R10" s="8"/>
      <c r="S10" s="9"/>
    </row>
    <row r="11" spans="2:25" s="13" customFormat="1" ht="18" customHeight="1">
      <c r="B11" s="4" t="s">
        <v>10</v>
      </c>
      <c r="C11" s="10"/>
      <c r="D11" s="10"/>
      <c r="E11" s="10"/>
      <c r="F11" s="11">
        <v>0</v>
      </c>
      <c r="G11" s="11">
        <v>0</v>
      </c>
      <c r="H11" s="11">
        <v>454.61278999999996</v>
      </c>
      <c r="I11" s="11">
        <v>812.71965999999998</v>
      </c>
      <c r="J11" s="11">
        <v>1151.1051499999999</v>
      </c>
      <c r="K11" s="11">
        <v>618.1</v>
      </c>
      <c r="L11" s="11">
        <v>77</v>
      </c>
      <c r="M11" s="43"/>
      <c r="N11" s="55" t="s">
        <v>53</v>
      </c>
      <c r="O11" s="56">
        <f>(K11-J11)/J11</f>
        <v>-0.46303775984322537</v>
      </c>
      <c r="P11" s="56">
        <f>(L11-K11)/K11</f>
        <v>-0.8754246885617214</v>
      </c>
      <c r="Q11" s="11">
        <v>77</v>
      </c>
      <c r="R11" s="11"/>
      <c r="S11" s="12"/>
    </row>
    <row r="12" spans="2:25" s="13" customFormat="1" ht="18" customHeight="1">
      <c r="B12" s="51" t="s">
        <v>52</v>
      </c>
      <c r="C12" s="10"/>
      <c r="D12" s="10"/>
      <c r="E12" s="10"/>
      <c r="F12" s="11">
        <f>180.045+417.402</f>
        <v>597.447</v>
      </c>
      <c r="G12" s="11">
        <f>231.135+799.761+6.781</f>
        <v>1037.6769999999999</v>
      </c>
      <c r="H12" s="11">
        <f>262.921+678.08+30.267</f>
        <v>971.26800000000003</v>
      </c>
      <c r="I12" s="11">
        <f>213.407+628.858+20.77</f>
        <v>863.03499999999997</v>
      </c>
      <c r="J12" s="11">
        <f>212.536+570.437+35.84</f>
        <v>818.81299999999999</v>
      </c>
      <c r="K12" s="11">
        <f>281.783+736.67</f>
        <v>1018.453</v>
      </c>
      <c r="L12" s="11">
        <f>364.283+782.361</f>
        <v>1146.644</v>
      </c>
      <c r="M12" s="43"/>
      <c r="N12" s="56">
        <f>((1+(+L12-F12)/F12)^(1/6))-1</f>
        <v>0.11477752165317212</v>
      </c>
      <c r="O12" s="56">
        <f>(K12-J12)/J12</f>
        <v>0.24381635367293875</v>
      </c>
      <c r="P12" s="56">
        <f t="shared" ref="P12:P50" si="0">(L12-K12)/K12</f>
        <v>0.12586835131321725</v>
      </c>
      <c r="Q12" s="11"/>
      <c r="R12" s="11"/>
      <c r="S12" s="12"/>
      <c r="W12" s="75" t="s">
        <v>67</v>
      </c>
      <c r="Y12" s="13" t="s">
        <v>73</v>
      </c>
    </row>
    <row r="13" spans="2:25">
      <c r="B13" s="7" t="s">
        <v>11</v>
      </c>
      <c r="C13" s="7"/>
      <c r="D13" s="7"/>
      <c r="E13" s="14"/>
      <c r="F13" s="11">
        <f>1604.59408-F12</f>
        <v>1007.1470800000001</v>
      </c>
      <c r="G13" s="11">
        <f>2090.40259-G12</f>
        <v>1052.7255900000002</v>
      </c>
      <c r="H13" s="11">
        <f>2099.34847-H12</f>
        <v>1128.0804699999999</v>
      </c>
      <c r="I13" s="11">
        <f>1997.94788-I12</f>
        <v>1134.9128799999999</v>
      </c>
      <c r="J13" s="11">
        <f>2084.80393-J12</f>
        <v>1265.9909299999999</v>
      </c>
      <c r="K13" s="11">
        <f>2342.50501-K12</f>
        <v>1324.0520099999999</v>
      </c>
      <c r="L13" s="11">
        <f>2519.847-L12</f>
        <v>1373.2030000000002</v>
      </c>
      <c r="M13" s="43"/>
      <c r="N13" s="56">
        <f t="shared" ref="N13:N50" si="1">((1+(+L13-F13)/F13)^(1/6))-1</f>
        <v>5.302894169876371E-2</v>
      </c>
      <c r="O13" s="56">
        <f t="shared" ref="O13:O50" si="2">(K13-J13)/J13</f>
        <v>4.5862161113587083E-2</v>
      </c>
      <c r="P13" s="56">
        <f t="shared" si="0"/>
        <v>3.7121645999389649E-2</v>
      </c>
      <c r="Q13" s="11">
        <v>2519.8470000000002</v>
      </c>
      <c r="R13" s="11"/>
      <c r="S13" s="9"/>
      <c r="W13" s="58" t="s">
        <v>68</v>
      </c>
      <c r="Y13" t="s">
        <v>74</v>
      </c>
    </row>
    <row r="14" spans="2:25">
      <c r="B14" s="15" t="s">
        <v>12</v>
      </c>
      <c r="C14" s="15"/>
      <c r="D14" s="15"/>
      <c r="E14" s="16"/>
      <c r="F14" s="17">
        <f t="shared" ref="F14:L14" si="3">F11+F13+F12</f>
        <v>1604.5940800000001</v>
      </c>
      <c r="G14" s="17">
        <f t="shared" si="3"/>
        <v>2090.4025900000001</v>
      </c>
      <c r="H14" s="17">
        <f t="shared" si="3"/>
        <v>2553.96126</v>
      </c>
      <c r="I14" s="17">
        <f t="shared" si="3"/>
        <v>2810.6675399999999</v>
      </c>
      <c r="J14" s="17">
        <f t="shared" si="3"/>
        <v>3235.9090799999999</v>
      </c>
      <c r="K14" s="17">
        <f t="shared" si="3"/>
        <v>2960.6050099999998</v>
      </c>
      <c r="L14" s="17">
        <f t="shared" si="3"/>
        <v>2596.8470000000002</v>
      </c>
      <c r="M14" s="18"/>
      <c r="N14" s="57">
        <f t="shared" si="1"/>
        <v>8.3544776546460975E-2</v>
      </c>
      <c r="O14" s="57">
        <f t="shared" si="2"/>
        <v>-8.5077813743765676E-2</v>
      </c>
      <c r="P14" s="57">
        <f t="shared" si="0"/>
        <v>-0.12286610634358131</v>
      </c>
      <c r="Q14" s="17">
        <f t="shared" ref="Q14" si="4">Q11+Q13</f>
        <v>2596.8470000000002</v>
      </c>
      <c r="R14" s="18"/>
    </row>
    <row r="15" spans="2:25" ht="8.25" customHeight="1">
      <c r="B15" s="7"/>
      <c r="C15" s="7"/>
      <c r="D15" s="7"/>
      <c r="E15" s="14"/>
      <c r="F15" s="18"/>
      <c r="G15" s="18"/>
      <c r="H15" s="18"/>
      <c r="I15" s="18"/>
      <c r="J15" s="18"/>
      <c r="K15" s="18"/>
      <c r="L15" s="18"/>
      <c r="M15" s="18"/>
      <c r="N15" s="56"/>
      <c r="O15" s="56"/>
      <c r="P15" s="56"/>
      <c r="Q15" s="18"/>
      <c r="R15" s="18"/>
    </row>
    <row r="16" spans="2:25">
      <c r="B16" s="7" t="s">
        <v>13</v>
      </c>
      <c r="C16" s="7"/>
      <c r="D16" s="7"/>
      <c r="E16" s="14"/>
      <c r="F16" s="11">
        <v>3301.2202299999994</v>
      </c>
      <c r="G16" s="11">
        <v>3513.3509300000001</v>
      </c>
      <c r="H16" s="11">
        <v>3917.5796200000004</v>
      </c>
      <c r="I16" s="11">
        <v>3936.6712900000016</v>
      </c>
      <c r="J16" s="11">
        <v>4015.7355199999993</v>
      </c>
      <c r="K16" s="11">
        <v>4564.7323477</v>
      </c>
      <c r="L16" s="11">
        <v>4755.1625121057778</v>
      </c>
      <c r="M16" s="43"/>
      <c r="N16" s="56">
        <f>((1+(+L16-F16)/F16)^(1/6))-1</f>
        <v>6.271092272424772E-2</v>
      </c>
      <c r="O16" s="56">
        <f t="shared" si="2"/>
        <v>0.1367114006800928</v>
      </c>
      <c r="P16" s="56">
        <f t="shared" si="0"/>
        <v>4.1717706516073934E-2</v>
      </c>
      <c r="Q16" s="11">
        <v>4755.1625121057778</v>
      </c>
      <c r="R16" s="11"/>
      <c r="W16" s="58" t="s">
        <v>68</v>
      </c>
      <c r="Y16" t="s">
        <v>74</v>
      </c>
    </row>
    <row r="17" spans="2:25">
      <c r="B17" s="15" t="s">
        <v>14</v>
      </c>
      <c r="C17" s="15"/>
      <c r="D17" s="15"/>
      <c r="E17" s="16"/>
      <c r="F17" s="17">
        <f>F14+F16</f>
        <v>4905.8143099999998</v>
      </c>
      <c r="G17" s="17">
        <f t="shared" ref="G17:Q17" si="5">G14+G16</f>
        <v>5603.7535200000002</v>
      </c>
      <c r="H17" s="17">
        <f t="shared" si="5"/>
        <v>6471.5408800000005</v>
      </c>
      <c r="I17" s="17">
        <f t="shared" si="5"/>
        <v>6747.3388300000015</v>
      </c>
      <c r="J17" s="17">
        <f t="shared" si="5"/>
        <v>7251.6445999999996</v>
      </c>
      <c r="K17" s="17">
        <f t="shared" si="5"/>
        <v>7525.3373577000002</v>
      </c>
      <c r="L17" s="17">
        <f t="shared" si="5"/>
        <v>7352.0095121057784</v>
      </c>
      <c r="M17" s="18"/>
      <c r="N17" s="57">
        <f t="shared" si="1"/>
        <v>6.9750485921170835E-2</v>
      </c>
      <c r="O17" s="57">
        <f t="shared" si="2"/>
        <v>3.7742163715524697E-2</v>
      </c>
      <c r="P17" s="57">
        <f t="shared" si="0"/>
        <v>-2.3032568156811071E-2</v>
      </c>
      <c r="Q17" s="17">
        <f t="shared" si="5"/>
        <v>7352.0095121057784</v>
      </c>
      <c r="R17" s="18"/>
    </row>
    <row r="18" spans="2:25">
      <c r="B18" s="7"/>
      <c r="C18" s="7"/>
      <c r="D18" s="7"/>
      <c r="E18" s="14"/>
      <c r="F18" s="18"/>
      <c r="G18" s="18"/>
      <c r="H18" s="18"/>
      <c r="I18" s="18"/>
      <c r="J18" s="18"/>
      <c r="K18" s="18"/>
      <c r="L18" s="18"/>
      <c r="M18" s="18"/>
      <c r="N18" s="56"/>
      <c r="O18" s="56"/>
      <c r="P18" s="56"/>
      <c r="Q18" s="18"/>
      <c r="R18" s="18"/>
    </row>
    <row r="19" spans="2:25">
      <c r="B19" s="52" t="s">
        <v>15</v>
      </c>
      <c r="C19" s="52"/>
      <c r="D19" s="7"/>
      <c r="E19" s="14"/>
      <c r="F19" s="11">
        <v>82.265860000000018</v>
      </c>
      <c r="G19" s="11">
        <v>72.566450000000017</v>
      </c>
      <c r="H19" s="11">
        <v>126.39467</v>
      </c>
      <c r="I19" s="11">
        <v>108.93971000000001</v>
      </c>
      <c r="J19" s="11">
        <v>103.86682</v>
      </c>
      <c r="K19" s="11">
        <v>118.99746</v>
      </c>
      <c r="L19" s="11">
        <v>128.99318891999999</v>
      </c>
      <c r="M19" s="43"/>
      <c r="N19" s="56">
        <f t="shared" si="1"/>
        <v>7.784883388722541E-2</v>
      </c>
      <c r="O19" s="56">
        <f t="shared" si="2"/>
        <v>0.1456734691598337</v>
      </c>
      <c r="P19" s="56">
        <f t="shared" si="0"/>
        <v>8.3999514947629889E-2</v>
      </c>
      <c r="Q19" s="11">
        <v>128.99318891999999</v>
      </c>
      <c r="R19" s="11"/>
      <c r="W19" s="75" t="s">
        <v>69</v>
      </c>
      <c r="Y19" t="s">
        <v>75</v>
      </c>
    </row>
    <row r="20" spans="2:25">
      <c r="B20" s="7" t="s">
        <v>16</v>
      </c>
      <c r="C20" s="7"/>
      <c r="D20" s="7"/>
      <c r="E20" s="14"/>
      <c r="F20" s="11">
        <v>0</v>
      </c>
      <c r="G20" s="11">
        <v>34.855609999999999</v>
      </c>
      <c r="H20" s="11">
        <v>5.84619</v>
      </c>
      <c r="I20" s="11">
        <v>1.53125</v>
      </c>
      <c r="J20" s="11">
        <v>84.42407</v>
      </c>
      <c r="K20" s="11">
        <v>85.661349999999985</v>
      </c>
      <c r="L20" s="11">
        <v>0</v>
      </c>
      <c r="M20" s="43"/>
      <c r="N20" s="55" t="s">
        <v>53</v>
      </c>
      <c r="O20" s="56">
        <f t="shared" si="2"/>
        <v>1.4655536033739954E-2</v>
      </c>
      <c r="P20" s="56">
        <f t="shared" si="0"/>
        <v>-1</v>
      </c>
      <c r="Q20" s="11">
        <v>0</v>
      </c>
      <c r="R20" s="11"/>
      <c r="W20" s="58"/>
    </row>
    <row r="21" spans="2:25">
      <c r="B21" s="52" t="s">
        <v>17</v>
      </c>
      <c r="C21" s="52"/>
      <c r="D21" s="7"/>
      <c r="E21" s="14"/>
      <c r="F21" s="11">
        <v>79.74730000000001</v>
      </c>
      <c r="G21" s="11">
        <v>75.011279999999999</v>
      </c>
      <c r="H21" s="11">
        <v>107.75895999999999</v>
      </c>
      <c r="I21" s="11">
        <v>131.73680999999999</v>
      </c>
      <c r="J21" s="11">
        <v>82.113769999999988</v>
      </c>
      <c r="K21" s="11">
        <v>129.50231200000002</v>
      </c>
      <c r="L21" s="11">
        <v>133.24521575999998</v>
      </c>
      <c r="M21" s="43"/>
      <c r="N21" s="56">
        <f t="shared" si="1"/>
        <v>8.9321158810667267E-2</v>
      </c>
      <c r="O21" s="56">
        <f t="shared" si="2"/>
        <v>0.57710834613975259</v>
      </c>
      <c r="P21" s="56">
        <f t="shared" si="0"/>
        <v>2.8902215738047684E-2</v>
      </c>
      <c r="Q21" s="11">
        <v>133.24521575999998</v>
      </c>
      <c r="R21" s="11"/>
      <c r="W21" s="58" t="s">
        <v>70</v>
      </c>
      <c r="Y21" t="s">
        <v>74</v>
      </c>
    </row>
    <row r="22" spans="2:25">
      <c r="B22" s="7" t="s">
        <v>18</v>
      </c>
      <c r="C22" s="7"/>
      <c r="D22" s="7"/>
      <c r="E22" s="14"/>
      <c r="F22" s="11">
        <v>107.09584</v>
      </c>
      <c r="G22" s="11">
        <v>105.43622999999999</v>
      </c>
      <c r="H22" s="11">
        <v>139.54917</v>
      </c>
      <c r="I22" s="11">
        <v>99.594340000000017</v>
      </c>
      <c r="J22" s="11">
        <v>94.026970000000006</v>
      </c>
      <c r="K22" s="11">
        <v>103.28076</v>
      </c>
      <c r="L22" s="11">
        <v>105.44878382</v>
      </c>
      <c r="M22" s="43"/>
      <c r="N22" s="56">
        <f t="shared" si="1"/>
        <v>-2.5797934114192289E-3</v>
      </c>
      <c r="O22" s="56">
        <f t="shared" si="2"/>
        <v>9.8416337355122632E-2</v>
      </c>
      <c r="P22" s="56">
        <f t="shared" si="0"/>
        <v>2.099155563921104E-2</v>
      </c>
      <c r="Q22" s="11">
        <v>105.44878382</v>
      </c>
      <c r="R22" s="11"/>
      <c r="S22" s="195" t="s">
        <v>50</v>
      </c>
      <c r="W22" s="58" t="s">
        <v>71</v>
      </c>
      <c r="Y22" t="s">
        <v>74</v>
      </c>
    </row>
    <row r="23" spans="2:25">
      <c r="B23" s="50" t="s">
        <v>62</v>
      </c>
      <c r="C23" s="50"/>
      <c r="D23" s="7"/>
      <c r="E23" s="14"/>
      <c r="F23" s="11">
        <v>76.75</v>
      </c>
      <c r="G23" s="11">
        <v>70.436999999999998</v>
      </c>
      <c r="H23" s="11">
        <v>77</v>
      </c>
      <c r="I23" s="11">
        <v>84.888000000000005</v>
      </c>
      <c r="J23" s="11">
        <v>87.444000000000003</v>
      </c>
      <c r="K23" s="11">
        <v>97.953999999999994</v>
      </c>
      <c r="L23" s="11">
        <v>102.646</v>
      </c>
      <c r="M23" s="43"/>
      <c r="N23" s="56">
        <f t="shared" si="1"/>
        <v>4.9648624480829184E-2</v>
      </c>
      <c r="O23" s="56">
        <f t="shared" si="2"/>
        <v>0.12019120808746159</v>
      </c>
      <c r="P23" s="56">
        <f t="shared" si="0"/>
        <v>4.790003471017016E-2</v>
      </c>
      <c r="Q23" s="11"/>
      <c r="R23" s="11"/>
      <c r="S23" s="195"/>
      <c r="W23" s="58"/>
    </row>
    <row r="24" spans="2:25">
      <c r="B24" s="50" t="s">
        <v>63</v>
      </c>
      <c r="C24" s="50"/>
      <c r="D24" s="7"/>
      <c r="E24" s="14"/>
      <c r="F24" s="11">
        <v>78.554000000000002</v>
      </c>
      <c r="G24" s="11">
        <v>77.522000000000006</v>
      </c>
      <c r="H24" s="11">
        <v>82.082999999999998</v>
      </c>
      <c r="I24" s="11">
        <v>138.77099999999999</v>
      </c>
      <c r="J24" s="11">
        <v>247.40700000000001</v>
      </c>
      <c r="K24" s="11">
        <f>140-20</f>
        <v>120</v>
      </c>
      <c r="L24" s="11">
        <f>143.06-20.06</f>
        <v>123</v>
      </c>
      <c r="M24" s="43"/>
      <c r="N24" s="56">
        <f t="shared" si="1"/>
        <v>7.7596406623829273E-2</v>
      </c>
      <c r="O24" s="56">
        <f t="shared" si="2"/>
        <v>-0.5149692611769271</v>
      </c>
      <c r="P24" s="56">
        <f t="shared" si="0"/>
        <v>2.5000000000000001E-2</v>
      </c>
      <c r="Q24" s="11"/>
      <c r="R24" s="11"/>
      <c r="S24" s="195"/>
      <c r="W24" s="58" t="s">
        <v>72</v>
      </c>
      <c r="Y24" t="s">
        <v>74</v>
      </c>
    </row>
    <row r="25" spans="2:25">
      <c r="B25" s="50" t="s">
        <v>64</v>
      </c>
      <c r="C25" s="50"/>
      <c r="D25" s="7"/>
      <c r="E25" s="14"/>
      <c r="F25" s="11">
        <v>632.30200000000002</v>
      </c>
      <c r="G25" s="11">
        <v>429.64400000000001</v>
      </c>
      <c r="H25" s="11">
        <v>277.43799999999999</v>
      </c>
      <c r="I25" s="11">
        <v>266.00900000000001</v>
      </c>
      <c r="J25" s="11">
        <v>274.80799999999999</v>
      </c>
      <c r="K25" s="11">
        <v>496.61599999999999</v>
      </c>
      <c r="L25" s="11">
        <f>610.076-75</f>
        <v>535.07600000000002</v>
      </c>
      <c r="M25" s="43"/>
      <c r="N25" s="56">
        <f t="shared" si="1"/>
        <v>-2.7442801426795893E-2</v>
      </c>
      <c r="O25" s="56">
        <f t="shared" si="2"/>
        <v>0.80713807458298159</v>
      </c>
      <c r="P25" s="56">
        <f t="shared" si="0"/>
        <v>7.744414195273619E-2</v>
      </c>
      <c r="Q25" s="11"/>
      <c r="R25" s="11"/>
      <c r="S25" s="195"/>
      <c r="W25" s="75" t="s">
        <v>77</v>
      </c>
      <c r="Y25" t="s">
        <v>76</v>
      </c>
    </row>
    <row r="26" spans="2:25">
      <c r="B26" s="50" t="s">
        <v>65</v>
      </c>
      <c r="C26" s="50"/>
      <c r="D26" s="7"/>
      <c r="E26" s="14"/>
      <c r="F26" s="11">
        <f>2904.95289-F25-F24-F23</f>
        <v>2117.3468899999998</v>
      </c>
      <c r="G26" s="11">
        <f>1928.66238-G25-G24-G23</f>
        <v>1351.0593800000001</v>
      </c>
      <c r="H26" s="11">
        <f>1717.85718-H25-H24-H23</f>
        <v>1281.3361799999998</v>
      </c>
      <c r="I26" s="11">
        <f>2246.08559-I25-I24-I23</f>
        <v>1756.4175900000002</v>
      </c>
      <c r="J26" s="11">
        <f>2622.20426-J25-J24-J23</f>
        <v>2012.5452599999999</v>
      </c>
      <c r="K26" s="11">
        <f>2733.74454-K25-K24-K23</f>
        <v>2019.1745400000002</v>
      </c>
      <c r="L26" s="11">
        <f>926.379-124.6-124.6</f>
        <v>677.17899999999997</v>
      </c>
      <c r="M26" s="43"/>
      <c r="N26" s="56">
        <f t="shared" si="1"/>
        <v>-0.17303858877472922</v>
      </c>
      <c r="O26" s="56">
        <f t="shared" si="2"/>
        <v>3.2939780941872261E-3</v>
      </c>
      <c r="P26" s="56">
        <f t="shared" si="0"/>
        <v>-0.66462582278795979</v>
      </c>
      <c r="Q26" s="11">
        <v>1782.1617590999999</v>
      </c>
      <c r="R26" s="11"/>
      <c r="S26" s="195"/>
      <c r="W26" s="58"/>
    </row>
    <row r="27" spans="2:25">
      <c r="B27" s="7" t="s">
        <v>96</v>
      </c>
      <c r="C27" s="7"/>
      <c r="D27" s="7"/>
      <c r="E27" s="14"/>
      <c r="F27" s="11">
        <v>938.80128000000002</v>
      </c>
      <c r="G27" s="11">
        <v>971.53496999999993</v>
      </c>
      <c r="H27" s="11">
        <v>1111.22335</v>
      </c>
      <c r="I27" s="11">
        <v>1211.8718099999999</v>
      </c>
      <c r="J27" s="11">
        <v>1134.1740400000001</v>
      </c>
      <c r="K27" s="11">
        <v>1359.2803499999998</v>
      </c>
      <c r="L27" s="11">
        <v>1379.5433248999998</v>
      </c>
      <c r="M27" s="43"/>
      <c r="N27" s="56">
        <f t="shared" si="1"/>
        <v>6.6253030471121299E-2</v>
      </c>
      <c r="O27" s="56">
        <f t="shared" si="2"/>
        <v>0.19847598522004581</v>
      </c>
      <c r="P27" s="56">
        <f t="shared" si="0"/>
        <v>1.4907134425948276E-2</v>
      </c>
      <c r="Q27" s="11">
        <v>1379.5433248999998</v>
      </c>
      <c r="R27" s="11"/>
      <c r="S27" s="195"/>
      <c r="W27" s="75" t="s">
        <v>78</v>
      </c>
      <c r="Y27" t="s">
        <v>76</v>
      </c>
    </row>
    <row r="28" spans="2:25">
      <c r="B28" s="7" t="s">
        <v>20</v>
      </c>
      <c r="C28" s="7"/>
      <c r="D28" s="7"/>
      <c r="E28" s="14"/>
      <c r="F28" s="11">
        <v>115.19518999999998</v>
      </c>
      <c r="G28" s="11">
        <v>125.53105000000001</v>
      </c>
      <c r="H28" s="11">
        <v>158.25775000000002</v>
      </c>
      <c r="I28" s="11">
        <v>141.02760000000001</v>
      </c>
      <c r="J28" s="11">
        <v>115.56957000000003</v>
      </c>
      <c r="K28" s="11">
        <v>152.44499999999999</v>
      </c>
      <c r="L28" s="11">
        <v>191.04499999999999</v>
      </c>
      <c r="M28" s="43"/>
      <c r="N28" s="56">
        <f t="shared" si="1"/>
        <v>8.796992045635732E-2</v>
      </c>
      <c r="O28" s="56">
        <f t="shared" si="2"/>
        <v>0.31907560095620291</v>
      </c>
      <c r="P28" s="56">
        <f t="shared" si="0"/>
        <v>0.25320607432188658</v>
      </c>
      <c r="Q28" s="11">
        <v>191.04499999999999</v>
      </c>
      <c r="R28" s="11"/>
      <c r="W28" s="58" t="s">
        <v>79</v>
      </c>
      <c r="Y28" t="s">
        <v>74</v>
      </c>
    </row>
    <row r="29" spans="2:25">
      <c r="B29" s="7" t="s">
        <v>21</v>
      </c>
      <c r="C29" s="7"/>
      <c r="D29" s="7"/>
      <c r="E29" s="14"/>
      <c r="F29" s="11">
        <v>283.86591999999996</v>
      </c>
      <c r="G29" s="11">
        <v>312.47965000000005</v>
      </c>
      <c r="H29" s="11">
        <v>330.94155999999998</v>
      </c>
      <c r="I29" s="11">
        <v>332.74213000000003</v>
      </c>
      <c r="J29" s="11">
        <v>363.42032</v>
      </c>
      <c r="K29" s="11">
        <v>382.49448000000007</v>
      </c>
      <c r="L29" s="11">
        <v>410.46485999999999</v>
      </c>
      <c r="M29" s="43"/>
      <c r="N29" s="56">
        <f t="shared" si="1"/>
        <v>6.3392977289109309E-2</v>
      </c>
      <c r="O29" s="56">
        <f t="shared" si="2"/>
        <v>5.2485122460956678E-2</v>
      </c>
      <c r="P29" s="56">
        <f t="shared" si="0"/>
        <v>7.3126231782481968E-2</v>
      </c>
      <c r="Q29" s="11">
        <v>410.46485999999999</v>
      </c>
      <c r="R29" s="11"/>
      <c r="W29" s="75" t="s">
        <v>80</v>
      </c>
      <c r="Y29" t="s">
        <v>76</v>
      </c>
    </row>
    <row r="30" spans="2:25">
      <c r="B30" s="52" t="s">
        <v>22</v>
      </c>
      <c r="C30" s="52"/>
      <c r="D30" s="7"/>
      <c r="E30" s="14"/>
      <c r="F30" s="11">
        <v>399.77252000000004</v>
      </c>
      <c r="G30" s="11">
        <v>303.84764000000007</v>
      </c>
      <c r="H30" s="11">
        <v>516.16938000000005</v>
      </c>
      <c r="I30" s="11">
        <v>545.14287999999999</v>
      </c>
      <c r="J30" s="11">
        <v>600.89410999999996</v>
      </c>
      <c r="K30" s="11">
        <v>597.60774000000004</v>
      </c>
      <c r="L30" s="11">
        <v>627.12303502000009</v>
      </c>
      <c r="M30" s="43"/>
      <c r="N30" s="56">
        <f t="shared" si="1"/>
        <v>7.7928536220020161E-2</v>
      </c>
      <c r="O30" s="56">
        <f t="shared" si="2"/>
        <v>-5.4691333220089648E-3</v>
      </c>
      <c r="P30" s="56">
        <f t="shared" si="0"/>
        <v>4.9389077557797444E-2</v>
      </c>
      <c r="Q30" s="11">
        <v>627.12303502000009</v>
      </c>
      <c r="R30" s="11"/>
      <c r="W30" s="58" t="s">
        <v>81</v>
      </c>
      <c r="Y30" t="s">
        <v>74</v>
      </c>
    </row>
    <row r="31" spans="2:25">
      <c r="B31" s="7" t="s">
        <v>23</v>
      </c>
      <c r="C31" s="4"/>
      <c r="D31" s="7"/>
      <c r="E31" s="14"/>
      <c r="F31" s="11">
        <v>14.054160000000001</v>
      </c>
      <c r="G31" s="11">
        <v>14.292639999999999</v>
      </c>
      <c r="H31" s="11">
        <v>55.167210000000004</v>
      </c>
      <c r="I31" s="11">
        <v>23.299259999999997</v>
      </c>
      <c r="J31" s="11">
        <v>10.470079999999999</v>
      </c>
      <c r="K31" s="11">
        <v>26.126930000000002</v>
      </c>
      <c r="L31" s="11">
        <v>25.447885159999998</v>
      </c>
      <c r="M31" s="43"/>
      <c r="N31" s="56">
        <f t="shared" si="1"/>
        <v>0.10401371125197123</v>
      </c>
      <c r="O31" s="56">
        <f t="shared" si="2"/>
        <v>1.4953897200403439</v>
      </c>
      <c r="P31" s="56">
        <f t="shared" si="0"/>
        <v>-2.599022694208631E-2</v>
      </c>
      <c r="Q31" s="11">
        <v>25.447885159999998</v>
      </c>
      <c r="R31" s="11"/>
      <c r="W31" s="58" t="s">
        <v>82</v>
      </c>
      <c r="Y31" t="s">
        <v>74</v>
      </c>
    </row>
    <row r="32" spans="2:25">
      <c r="B32" s="7" t="s">
        <v>24</v>
      </c>
      <c r="C32" s="4"/>
      <c r="D32" s="7"/>
      <c r="E32" s="14"/>
      <c r="F32" s="11">
        <v>147.04619</v>
      </c>
      <c r="G32" s="11">
        <v>173.65375</v>
      </c>
      <c r="H32" s="11">
        <v>183.69893000000002</v>
      </c>
      <c r="I32" s="11">
        <v>172.66951999999998</v>
      </c>
      <c r="J32" s="11">
        <v>174.78547</v>
      </c>
      <c r="K32" s="11">
        <v>190.60193999999998</v>
      </c>
      <c r="L32" s="11">
        <v>196.88744299999996</v>
      </c>
      <c r="M32" s="43"/>
      <c r="N32" s="56">
        <f t="shared" si="1"/>
        <v>4.9850292922798412E-2</v>
      </c>
      <c r="O32" s="56">
        <f t="shared" si="2"/>
        <v>9.0490759901266288E-2</v>
      </c>
      <c r="P32" s="56">
        <f t="shared" si="0"/>
        <v>3.2977119750197598E-2</v>
      </c>
      <c r="Q32" s="11">
        <v>196.88744299999996</v>
      </c>
      <c r="R32" s="11"/>
      <c r="W32" s="75" t="s">
        <v>83</v>
      </c>
      <c r="Y32" t="s">
        <v>76</v>
      </c>
    </row>
    <row r="33" spans="2:25">
      <c r="B33" s="7" t="s">
        <v>25</v>
      </c>
      <c r="C33" s="7"/>
      <c r="D33" s="7"/>
      <c r="E33" s="14"/>
      <c r="F33" s="11">
        <v>8.5684199999999997</v>
      </c>
      <c r="G33" s="11">
        <v>6.2463699999999998</v>
      </c>
      <c r="H33" s="11">
        <v>4.4933500000000004</v>
      </c>
      <c r="I33" s="11">
        <v>5.2540200000000006</v>
      </c>
      <c r="J33" s="11">
        <v>4.5190900000000003</v>
      </c>
      <c r="K33" s="11">
        <v>5.43</v>
      </c>
      <c r="L33" s="11">
        <v>5.5490000000000004</v>
      </c>
      <c r="M33" s="43"/>
      <c r="N33" s="56">
        <f t="shared" si="1"/>
        <v>-6.9851414927486921E-2</v>
      </c>
      <c r="O33" s="56">
        <f t="shared" si="2"/>
        <v>0.20156934250037051</v>
      </c>
      <c r="P33" s="56">
        <f t="shared" si="0"/>
        <v>2.1915285451197176E-2</v>
      </c>
      <c r="Q33" s="11">
        <v>5.5490000000000004</v>
      </c>
      <c r="R33" s="11"/>
      <c r="W33" s="58"/>
    </row>
    <row r="34" spans="2:25">
      <c r="B34" s="7" t="s">
        <v>26</v>
      </c>
      <c r="C34" s="7"/>
      <c r="D34" s="7"/>
      <c r="E34" s="14"/>
      <c r="F34" s="11">
        <v>532.46541000000002</v>
      </c>
      <c r="G34" s="11">
        <v>621.81415000000004</v>
      </c>
      <c r="H34" s="11">
        <v>638.37870999999996</v>
      </c>
      <c r="I34" s="11">
        <v>644.38495999999998</v>
      </c>
      <c r="J34" s="11">
        <v>654.42237999999998</v>
      </c>
      <c r="K34" s="11">
        <v>674.69167000000004</v>
      </c>
      <c r="L34" s="11">
        <v>724.15200000000004</v>
      </c>
      <c r="M34" s="43"/>
      <c r="N34" s="56">
        <f t="shared" si="1"/>
        <v>5.2583090774566799E-2</v>
      </c>
      <c r="O34" s="56">
        <f t="shared" si="2"/>
        <v>3.0972794665121432E-2</v>
      </c>
      <c r="P34" s="56">
        <f t="shared" si="0"/>
        <v>7.3308048993698111E-2</v>
      </c>
      <c r="Q34" s="11">
        <v>724.15200000000004</v>
      </c>
      <c r="R34" s="11"/>
      <c r="W34" s="58" t="s">
        <v>84</v>
      </c>
      <c r="Y34" t="s">
        <v>75</v>
      </c>
    </row>
    <row r="35" spans="2:25">
      <c r="B35" s="7" t="s">
        <v>27</v>
      </c>
      <c r="C35" s="7"/>
      <c r="D35" s="19"/>
      <c r="E35" s="20"/>
      <c r="F35" s="11">
        <v>95.927660000000003</v>
      </c>
      <c r="G35" s="11">
        <v>82.215609999999998</v>
      </c>
      <c r="H35" s="11">
        <v>83.311240000000012</v>
      </c>
      <c r="I35" s="11">
        <v>86.003230000000016</v>
      </c>
      <c r="J35" s="11">
        <v>72.292140000000003</v>
      </c>
      <c r="K35" s="11">
        <v>84.649570000000011</v>
      </c>
      <c r="L35" s="11">
        <v>89.948146860000008</v>
      </c>
      <c r="M35" s="43"/>
      <c r="N35" s="56">
        <f t="shared" si="1"/>
        <v>-1.066950724860849E-2</v>
      </c>
      <c r="O35" s="56">
        <f t="shared" si="2"/>
        <v>0.17093739374709349</v>
      </c>
      <c r="P35" s="56">
        <f t="shared" si="0"/>
        <v>6.259425606060369E-2</v>
      </c>
      <c r="Q35" s="11">
        <v>89.948146860000008</v>
      </c>
      <c r="R35" s="11"/>
      <c r="W35" s="58" t="s">
        <v>85</v>
      </c>
      <c r="Y35" t="s">
        <v>74</v>
      </c>
    </row>
    <row r="36" spans="2:25">
      <c r="B36" s="7" t="s">
        <v>28</v>
      </c>
      <c r="C36" s="7"/>
      <c r="D36" s="19"/>
      <c r="E36" s="20"/>
      <c r="F36" s="11">
        <v>93.629919999999998</v>
      </c>
      <c r="G36" s="11">
        <v>89.432599999999994</v>
      </c>
      <c r="H36" s="11">
        <v>74.565770000000001</v>
      </c>
      <c r="I36" s="11">
        <v>88.759900000000002</v>
      </c>
      <c r="J36" s="11">
        <v>78.483289999999997</v>
      </c>
      <c r="K36" s="11">
        <v>92.246030000000005</v>
      </c>
      <c r="L36" s="11">
        <v>117.48974222</v>
      </c>
      <c r="M36" s="43"/>
      <c r="N36" s="56">
        <f t="shared" si="1"/>
        <v>3.8558305275097293E-2</v>
      </c>
      <c r="O36" s="56">
        <f t="shared" si="2"/>
        <v>0.17535885664324224</v>
      </c>
      <c r="P36" s="56">
        <f t="shared" si="0"/>
        <v>0.27365635377479108</v>
      </c>
      <c r="Q36" s="11">
        <v>117.48974222</v>
      </c>
      <c r="R36" s="11"/>
      <c r="W36" s="75" t="s">
        <v>86</v>
      </c>
      <c r="Y36" t="s">
        <v>76</v>
      </c>
    </row>
    <row r="37" spans="2:25">
      <c r="B37" s="7" t="s">
        <v>29</v>
      </c>
      <c r="C37" s="7"/>
      <c r="D37" s="19"/>
      <c r="E37" s="20"/>
      <c r="F37" s="11">
        <v>29.375900000000001</v>
      </c>
      <c r="G37" s="11">
        <v>29.25591</v>
      </c>
      <c r="H37" s="11">
        <v>24.864060000000002</v>
      </c>
      <c r="I37" s="11">
        <v>23.199300000000001</v>
      </c>
      <c r="J37" s="11">
        <v>10.682259999999999</v>
      </c>
      <c r="K37" s="11">
        <v>4.43</v>
      </c>
      <c r="L37" s="11">
        <v>3.1320000000000001</v>
      </c>
      <c r="M37" s="43"/>
      <c r="N37" s="56">
        <f t="shared" si="1"/>
        <v>-0.31139247857599828</v>
      </c>
      <c r="O37" s="56">
        <f t="shared" si="2"/>
        <v>-0.58529374870111761</v>
      </c>
      <c r="P37" s="56">
        <f>(L37-K37)/K37</f>
        <v>-0.29300225733634305</v>
      </c>
      <c r="Q37" s="11">
        <v>3.1320000000000001</v>
      </c>
      <c r="R37" s="11"/>
      <c r="W37" s="75" t="s">
        <v>87</v>
      </c>
      <c r="Y37" t="s">
        <v>75</v>
      </c>
    </row>
    <row r="38" spans="2:25">
      <c r="B38" s="7" t="s">
        <v>30</v>
      </c>
      <c r="C38" s="7"/>
      <c r="D38" s="19"/>
      <c r="E38" s="20"/>
      <c r="F38" s="11">
        <v>92.800399999999996</v>
      </c>
      <c r="G38" s="11">
        <v>156.29213000000001</v>
      </c>
      <c r="H38" s="11">
        <v>200.94401999999999</v>
      </c>
      <c r="I38" s="11">
        <v>300.37466999999998</v>
      </c>
      <c r="J38" s="11">
        <v>260.10851000000002</v>
      </c>
      <c r="K38" s="11">
        <v>281.23575</v>
      </c>
      <c r="L38" s="11">
        <v>258.28800000000001</v>
      </c>
      <c r="M38" s="43"/>
      <c r="N38" s="56">
        <f t="shared" si="1"/>
        <v>0.18602104928203289</v>
      </c>
      <c r="O38" s="56">
        <f t="shared" si="2"/>
        <v>8.1224716561561064E-2</v>
      </c>
      <c r="P38" s="56">
        <f t="shared" si="0"/>
        <v>-8.1596134204132961E-2</v>
      </c>
      <c r="Q38" s="11">
        <v>258.28800000000001</v>
      </c>
      <c r="R38" s="11"/>
      <c r="W38" s="58" t="s">
        <v>88</v>
      </c>
      <c r="Y38" t="s">
        <v>89</v>
      </c>
    </row>
    <row r="39" spans="2:25">
      <c r="B39" s="7" t="s">
        <v>31</v>
      </c>
      <c r="C39" s="7"/>
      <c r="D39" s="19"/>
      <c r="E39" s="20"/>
      <c r="F39" s="11">
        <v>2.0709999999999999E-2</v>
      </c>
      <c r="G39" s="11">
        <v>1.6539000000000001</v>
      </c>
      <c r="H39" s="11">
        <v>0.46106999999999998</v>
      </c>
      <c r="I39" s="11">
        <v>0.11306999999999999</v>
      </c>
      <c r="J39" s="11">
        <v>0.11393</v>
      </c>
      <c r="K39" s="11">
        <v>0.11393</v>
      </c>
      <c r="L39" s="11">
        <v>0.11427</v>
      </c>
      <c r="M39" s="43"/>
      <c r="N39" s="56">
        <f t="shared" si="1"/>
        <v>0.32930719295096367</v>
      </c>
      <c r="O39" s="56">
        <f t="shared" si="2"/>
        <v>0</v>
      </c>
      <c r="P39" s="56">
        <f t="shared" si="0"/>
        <v>2.9842885982620301E-3</v>
      </c>
      <c r="Q39" s="11">
        <v>0.11427</v>
      </c>
      <c r="R39" s="11"/>
      <c r="W39" s="58"/>
    </row>
    <row r="40" spans="2:25">
      <c r="B40" s="52" t="s">
        <v>111</v>
      </c>
      <c r="C40" s="52"/>
      <c r="D40" s="53"/>
      <c r="E40" s="20"/>
      <c r="F40" s="11">
        <v>478.78449000000001</v>
      </c>
      <c r="G40" s="11">
        <v>475.79535999999962</v>
      </c>
      <c r="H40" s="11">
        <v>234.01070999999962</v>
      </c>
      <c r="I40" s="11">
        <v>524.54452000000003</v>
      </c>
      <c r="J40" s="11">
        <v>466.49510000000009</v>
      </c>
      <c r="K40" s="11">
        <v>821.87397910000016</v>
      </c>
      <c r="L40" s="11">
        <v>981.62381999999991</v>
      </c>
      <c r="M40" s="43"/>
      <c r="N40" s="56">
        <f t="shared" si="1"/>
        <v>0.12711311319633767</v>
      </c>
      <c r="O40" s="56">
        <f>(K40-J40)/J40</f>
        <v>0.7618062421234435</v>
      </c>
      <c r="P40" s="56">
        <f t="shared" si="0"/>
        <v>0.19437267143429351</v>
      </c>
      <c r="Q40" s="11">
        <v>981.62381999999991</v>
      </c>
      <c r="R40" s="11"/>
      <c r="W40" s="58" t="s">
        <v>90</v>
      </c>
      <c r="Y40" t="s">
        <v>91</v>
      </c>
    </row>
    <row r="41" spans="2:25">
      <c r="B41" s="7" t="s">
        <v>33</v>
      </c>
      <c r="C41" s="7"/>
      <c r="D41" s="14"/>
      <c r="E41" s="14"/>
      <c r="F41" s="11">
        <v>124.95843000000001</v>
      </c>
      <c r="G41" s="11">
        <v>125.45827999999999</v>
      </c>
      <c r="H41" s="11">
        <v>127.77806999999999</v>
      </c>
      <c r="I41" s="11">
        <v>122.03872</v>
      </c>
      <c r="J41" s="11">
        <v>112.19878999999999</v>
      </c>
      <c r="K41" s="11">
        <v>101.91113</v>
      </c>
      <c r="L41" s="11">
        <v>136.62099349999997</v>
      </c>
      <c r="M41" s="43"/>
      <c r="N41" s="56">
        <f t="shared" si="1"/>
        <v>1.4982715427652948E-2</v>
      </c>
      <c r="O41" s="56">
        <f t="shared" si="2"/>
        <v>-9.1691363159976946E-2</v>
      </c>
      <c r="P41" s="56">
        <f t="shared" si="0"/>
        <v>0.34058952638440931</v>
      </c>
      <c r="Q41" s="11">
        <v>136.62099349999997</v>
      </c>
      <c r="R41" s="11"/>
      <c r="W41" s="75" t="s">
        <v>92</v>
      </c>
      <c r="Y41" t="s">
        <v>76</v>
      </c>
    </row>
    <row r="42" spans="2:25">
      <c r="B42" s="54" t="s">
        <v>34</v>
      </c>
      <c r="C42" s="54"/>
      <c r="D42" s="7"/>
      <c r="E42" s="20"/>
      <c r="F42" s="11">
        <v>481.04676000000001</v>
      </c>
      <c r="G42" s="11">
        <v>176.34855999999999</v>
      </c>
      <c r="H42" s="11">
        <v>66.579619999999991</v>
      </c>
      <c r="I42" s="11">
        <v>89.240580000000008</v>
      </c>
      <c r="J42" s="11">
        <v>114.04216000000001</v>
      </c>
      <c r="K42" s="11">
        <v>100</v>
      </c>
      <c r="L42" s="11">
        <v>100</v>
      </c>
      <c r="M42" s="43"/>
      <c r="N42" s="56">
        <f t="shared" si="1"/>
        <v>-0.23033432668442511</v>
      </c>
      <c r="O42" s="56">
        <f t="shared" si="2"/>
        <v>-0.12313130512435058</v>
      </c>
      <c r="P42" s="56">
        <f t="shared" si="0"/>
        <v>0</v>
      </c>
      <c r="Q42" s="11">
        <v>100</v>
      </c>
      <c r="R42" s="11"/>
      <c r="W42" s="58" t="s">
        <v>93</v>
      </c>
      <c r="Y42" t="s">
        <v>94</v>
      </c>
    </row>
    <row r="43" spans="2:25">
      <c r="B43" s="7" t="s">
        <v>35</v>
      </c>
      <c r="C43" s="7"/>
      <c r="D43" s="7"/>
      <c r="E43" s="20"/>
      <c r="F43" s="11">
        <v>14.724019999999999</v>
      </c>
      <c r="G43" s="11">
        <v>17.689630000000001</v>
      </c>
      <c r="H43" s="11">
        <v>17.24915</v>
      </c>
      <c r="I43" s="11">
        <v>19.25224</v>
      </c>
      <c r="J43" s="11">
        <v>18.983759999999997</v>
      </c>
      <c r="K43" s="11">
        <v>19.5</v>
      </c>
      <c r="L43" s="11">
        <v>20</v>
      </c>
      <c r="M43" s="43"/>
      <c r="N43" s="56">
        <f t="shared" si="1"/>
        <v>5.2367109261751033E-2</v>
      </c>
      <c r="O43" s="56">
        <f t="shared" si="2"/>
        <v>2.7193769832741431E-2</v>
      </c>
      <c r="P43" s="56">
        <f t="shared" si="0"/>
        <v>2.564102564102564E-2</v>
      </c>
      <c r="Q43" s="11">
        <v>20</v>
      </c>
      <c r="R43" s="11"/>
      <c r="W43" s="58"/>
    </row>
    <row r="44" spans="2:25">
      <c r="B44" s="7"/>
      <c r="C44" s="7"/>
      <c r="D44" s="7"/>
      <c r="E44" s="20"/>
      <c r="F44" s="18"/>
      <c r="G44" s="18"/>
      <c r="H44" s="18"/>
      <c r="I44" s="18"/>
      <c r="J44" s="18"/>
      <c r="K44" s="18"/>
      <c r="L44" s="18"/>
      <c r="M44" s="18"/>
      <c r="N44" s="56"/>
      <c r="O44" s="56"/>
      <c r="P44" s="56"/>
      <c r="Q44" s="18"/>
      <c r="R44" s="18"/>
    </row>
    <row r="45" spans="2:25">
      <c r="B45" s="15" t="s">
        <v>36</v>
      </c>
      <c r="C45" s="15"/>
      <c r="D45" s="15"/>
      <c r="E45" s="21"/>
      <c r="F45" s="17">
        <f t="shared" ref="F45:Q45" si="6">SUM(F17:F43)</f>
        <v>11930.91358</v>
      </c>
      <c r="G45" s="17">
        <f t="shared" si="6"/>
        <v>11503.827670000001</v>
      </c>
      <c r="H45" s="17">
        <f t="shared" si="6"/>
        <v>12397.041000000003</v>
      </c>
      <c r="I45" s="17">
        <f t="shared" si="6"/>
        <v>13665.144939999998</v>
      </c>
      <c r="J45" s="17">
        <f t="shared" si="6"/>
        <v>14429.935489999998</v>
      </c>
      <c r="K45" s="17">
        <f t="shared" si="6"/>
        <v>15591.162278799999</v>
      </c>
      <c r="L45" s="17">
        <f>SUM(L17:L43)</f>
        <v>14425.02722126578</v>
      </c>
      <c r="M45" s="18"/>
      <c r="N45" s="57">
        <f t="shared" si="1"/>
        <v>3.2144470430034433E-2</v>
      </c>
      <c r="O45" s="57">
        <f t="shared" si="2"/>
        <v>8.0473456697345278E-2</v>
      </c>
      <c r="P45" s="57">
        <f t="shared" si="0"/>
        <v>-7.4794619970049603E-2</v>
      </c>
      <c r="Q45" s="17">
        <f t="shared" si="6"/>
        <v>14769.28798036578</v>
      </c>
      <c r="R45" s="18"/>
    </row>
    <row r="46" spans="2:25">
      <c r="B46" s="7"/>
      <c r="C46" s="7"/>
      <c r="D46" s="7"/>
      <c r="E46" s="20"/>
      <c r="F46" s="18"/>
      <c r="G46" s="18"/>
      <c r="H46" s="18"/>
      <c r="I46" s="18"/>
      <c r="J46" s="18"/>
      <c r="K46" s="18"/>
      <c r="L46" s="18"/>
      <c r="M46" s="18"/>
      <c r="N46" s="56"/>
      <c r="O46" s="56"/>
      <c r="P46" s="56"/>
      <c r="Q46" s="18"/>
      <c r="R46" s="18"/>
    </row>
    <row r="47" spans="2:25">
      <c r="B47" s="15" t="s">
        <v>37</v>
      </c>
      <c r="C47" s="15"/>
      <c r="D47" s="15"/>
      <c r="E47" s="21"/>
      <c r="F47" s="17">
        <v>654.13599999999997</v>
      </c>
      <c r="G47" s="17">
        <v>735.21299999999997</v>
      </c>
      <c r="H47" s="17">
        <v>817.64099999999996</v>
      </c>
      <c r="I47" s="17">
        <v>898.76499999999999</v>
      </c>
      <c r="J47" s="17">
        <v>973.9</v>
      </c>
      <c r="K47" s="17">
        <v>1086.9000000000001</v>
      </c>
      <c r="L47" s="17">
        <v>1051.5</v>
      </c>
      <c r="M47" s="18"/>
      <c r="N47" s="57">
        <f t="shared" si="1"/>
        <v>8.2322958770411736E-2</v>
      </c>
      <c r="O47" s="57">
        <f t="shared" si="2"/>
        <v>0.11602833966526349</v>
      </c>
      <c r="P47" s="57">
        <f t="shared" si="0"/>
        <v>-3.256969362406853E-2</v>
      </c>
      <c r="Q47" s="17">
        <v>1051.5</v>
      </c>
      <c r="R47" s="18"/>
      <c r="W47" s="58" t="s">
        <v>95</v>
      </c>
    </row>
    <row r="48" spans="2:25">
      <c r="B48" s="7"/>
      <c r="C48" s="7"/>
      <c r="D48" s="7"/>
      <c r="E48" s="20"/>
      <c r="F48" s="22"/>
      <c r="G48" s="22"/>
      <c r="H48" s="22"/>
      <c r="I48" s="22"/>
      <c r="J48" s="22"/>
      <c r="K48" s="22"/>
      <c r="L48" s="22"/>
      <c r="M48" s="22"/>
      <c r="N48" s="39"/>
      <c r="O48" s="39"/>
      <c r="P48" s="39"/>
      <c r="Q48" s="22"/>
      <c r="R48" s="22"/>
    </row>
    <row r="49" spans="2:20">
      <c r="B49" s="7"/>
      <c r="C49" s="7"/>
      <c r="D49" s="7"/>
      <c r="E49" s="20"/>
      <c r="F49" s="22"/>
      <c r="G49" s="22"/>
      <c r="H49" s="22"/>
      <c r="I49" s="22"/>
      <c r="J49" s="22"/>
      <c r="K49" s="22"/>
      <c r="L49" s="22"/>
      <c r="M49" s="22"/>
      <c r="N49" s="39"/>
      <c r="O49" s="39"/>
      <c r="P49" s="39"/>
      <c r="Q49" s="22"/>
      <c r="R49" s="22"/>
    </row>
    <row r="50" spans="2:20" ht="15.75" thickBot="1">
      <c r="B50" s="23" t="s">
        <v>38</v>
      </c>
      <c r="C50" s="24"/>
      <c r="D50" s="24"/>
      <c r="E50" s="24"/>
      <c r="F50" s="25">
        <f>F45-F47</f>
        <v>11276.77758</v>
      </c>
      <c r="G50" s="25">
        <f t="shared" ref="G50:Q50" si="7">G45-G47</f>
        <v>10768.614670000001</v>
      </c>
      <c r="H50" s="25">
        <f t="shared" si="7"/>
        <v>11579.400000000003</v>
      </c>
      <c r="I50" s="25">
        <f t="shared" si="7"/>
        <v>12766.379939999999</v>
      </c>
      <c r="J50" s="25">
        <f t="shared" si="7"/>
        <v>13456.035489999998</v>
      </c>
      <c r="K50" s="25">
        <f t="shared" si="7"/>
        <v>14504.262278799999</v>
      </c>
      <c r="L50" s="25">
        <f>L45-L47</f>
        <v>13373.52722126578</v>
      </c>
      <c r="M50" s="37"/>
      <c r="N50" s="42">
        <f t="shared" si="1"/>
        <v>2.8829697716078018E-2</v>
      </c>
      <c r="O50" s="42">
        <f t="shared" si="2"/>
        <v>7.7900120698923686E-2</v>
      </c>
      <c r="P50" s="42">
        <f t="shared" si="0"/>
        <v>-7.7958812092563015E-2</v>
      </c>
      <c r="Q50" s="25">
        <f t="shared" si="7"/>
        <v>13717.78798036578</v>
      </c>
      <c r="R50" s="37"/>
      <c r="S50" s="38"/>
    </row>
    <row r="51" spans="2:20">
      <c r="B51" s="7"/>
      <c r="C51" s="7"/>
      <c r="D51" s="14"/>
      <c r="E51" s="20"/>
      <c r="F51" s="22"/>
      <c r="G51" s="22"/>
      <c r="H51" s="22"/>
      <c r="I51" s="22"/>
      <c r="J51" s="22"/>
      <c r="K51" s="22"/>
      <c r="L51" s="22"/>
      <c r="M51" s="22"/>
      <c r="N51" s="22"/>
      <c r="O51" s="22"/>
      <c r="P51" s="22"/>
      <c r="Q51" s="22"/>
      <c r="R51" s="22"/>
    </row>
    <row r="52" spans="2:20" hidden="1" outlineLevel="1">
      <c r="B52" s="7" t="s">
        <v>39</v>
      </c>
      <c r="C52" s="7"/>
      <c r="D52" s="7"/>
      <c r="E52" s="20"/>
      <c r="F52" s="14">
        <v>11276.8</v>
      </c>
      <c r="G52" s="14">
        <v>10768.6</v>
      </c>
      <c r="H52" s="14">
        <v>11579.4</v>
      </c>
      <c r="I52" s="14">
        <v>12766.4</v>
      </c>
      <c r="J52" s="14">
        <v>13456</v>
      </c>
      <c r="K52" s="14">
        <v>14504.3</v>
      </c>
      <c r="L52" s="14">
        <v>13717.8</v>
      </c>
      <c r="M52" s="14"/>
      <c r="N52" s="14"/>
      <c r="O52" s="14"/>
      <c r="P52" s="14"/>
      <c r="Q52" s="14">
        <v>13717.8</v>
      </c>
      <c r="R52" s="14"/>
    </row>
    <row r="53" spans="2:20" hidden="1" outlineLevel="1">
      <c r="B53" s="7"/>
      <c r="C53" s="7"/>
      <c r="D53" s="7"/>
      <c r="E53" s="20"/>
      <c r="F53" s="22"/>
      <c r="G53" s="22"/>
      <c r="H53" s="22"/>
      <c r="I53" s="22"/>
      <c r="J53" s="22"/>
      <c r="K53" s="22"/>
      <c r="L53" s="22"/>
      <c r="M53" s="22"/>
      <c r="N53" s="22"/>
      <c r="O53" s="22"/>
      <c r="P53" s="22"/>
      <c r="Q53" s="22"/>
      <c r="R53" s="22"/>
    </row>
    <row r="54" spans="2:20" hidden="1" outlineLevel="1">
      <c r="B54" s="15" t="s">
        <v>40</v>
      </c>
      <c r="C54" s="15"/>
      <c r="D54" s="15"/>
      <c r="E54" s="21"/>
      <c r="F54" s="17">
        <f>(F50/1)-F52</f>
        <v>-2.2419999999328866E-2</v>
      </c>
      <c r="G54" s="17">
        <f t="shared" ref="G54:Q54" si="8">(G50/1)-G52</f>
        <v>1.4670000000478467E-2</v>
      </c>
      <c r="H54" s="17">
        <f t="shared" si="8"/>
        <v>0</v>
      </c>
      <c r="I54" s="17">
        <f t="shared" si="8"/>
        <v>-2.0060000000739819E-2</v>
      </c>
      <c r="J54" s="17">
        <f t="shared" si="8"/>
        <v>3.5489999998389976E-2</v>
      </c>
      <c r="K54" s="17">
        <f t="shared" si="8"/>
        <v>-3.7721200000305544E-2</v>
      </c>
      <c r="L54" s="17">
        <f t="shared" si="8"/>
        <v>-344.27277873421917</v>
      </c>
      <c r="M54" s="17"/>
      <c r="N54" s="17"/>
      <c r="O54" s="17"/>
      <c r="P54" s="17"/>
      <c r="Q54" s="17">
        <f t="shared" si="8"/>
        <v>-1.2019634219541331E-2</v>
      </c>
      <c r="R54" s="18"/>
    </row>
    <row r="55" spans="2:20" collapsed="1">
      <c r="B55" s="7"/>
      <c r="C55" s="7"/>
      <c r="D55" s="7"/>
      <c r="E55" s="20"/>
      <c r="F55" s="49">
        <v>11276.77758</v>
      </c>
      <c r="G55" s="49">
        <v>10768.614670000001</v>
      </c>
      <c r="H55" s="49">
        <v>11579.400000000003</v>
      </c>
      <c r="I55" s="49">
        <v>12766.379939999997</v>
      </c>
      <c r="J55" s="49">
        <v>13456.035489999998</v>
      </c>
      <c r="K55" s="49">
        <v>14504.262278799999</v>
      </c>
      <c r="L55" s="49">
        <v>13373.587980365781</v>
      </c>
      <c r="M55" s="49"/>
      <c r="N55" s="49">
        <v>2.883047675074768E-2</v>
      </c>
      <c r="O55" s="49">
        <v>7.7900120698923686E-2</v>
      </c>
      <c r="P55" s="49">
        <v>-7.795462304117709E-2</v>
      </c>
      <c r="Q55" s="14"/>
      <c r="R55" s="14"/>
    </row>
    <row r="56" spans="2:20" ht="6.75" customHeight="1">
      <c r="B56" s="7"/>
      <c r="C56" s="7"/>
      <c r="D56" s="7"/>
      <c r="E56" s="20"/>
      <c r="F56" s="14"/>
      <c r="G56" s="14"/>
      <c r="H56" s="14"/>
      <c r="I56" s="14"/>
      <c r="J56" s="14"/>
      <c r="K56" s="14"/>
      <c r="L56" s="14"/>
      <c r="M56" s="14"/>
      <c r="N56" s="14"/>
      <c r="O56" s="14"/>
      <c r="P56" s="14"/>
      <c r="Q56" s="14"/>
      <c r="R56" s="14"/>
    </row>
    <row r="57" spans="2:20" hidden="1" outlineLevel="1">
      <c r="B57" s="7"/>
      <c r="C57" s="7"/>
      <c r="D57" s="7"/>
      <c r="E57" s="20"/>
      <c r="F57" s="14"/>
      <c r="G57" s="14"/>
      <c r="H57" s="14"/>
      <c r="I57" s="14"/>
      <c r="J57" s="14"/>
      <c r="K57" s="14"/>
      <c r="L57" s="14"/>
      <c r="M57" s="14"/>
      <c r="N57" s="14"/>
      <c r="O57" s="14"/>
      <c r="P57" s="14"/>
      <c r="Q57" s="14"/>
      <c r="R57" s="14"/>
      <c r="S57">
        <v>-20</v>
      </c>
    </row>
    <row r="58" spans="2:20" hidden="1" outlineLevel="1">
      <c r="B58" s="7"/>
      <c r="C58" s="7"/>
      <c r="D58" s="7"/>
      <c r="E58" s="20"/>
      <c r="F58" s="14"/>
      <c r="G58" s="14"/>
      <c r="H58" s="14"/>
      <c r="I58" s="14"/>
      <c r="J58" s="14"/>
      <c r="K58" s="14"/>
      <c r="L58" s="14"/>
      <c r="M58" s="14"/>
      <c r="N58" s="14"/>
      <c r="O58" s="14"/>
      <c r="P58" s="14"/>
      <c r="Q58" s="14"/>
      <c r="R58" s="14"/>
      <c r="S58">
        <v>-75</v>
      </c>
    </row>
    <row r="59" spans="2:20" hidden="1" outlineLevel="1">
      <c r="B59" s="7"/>
      <c r="C59" s="7"/>
      <c r="D59" s="7"/>
      <c r="E59" s="20"/>
      <c r="F59" s="14"/>
      <c r="G59" s="14"/>
      <c r="H59" s="14"/>
      <c r="I59" s="14"/>
      <c r="J59" s="14"/>
      <c r="K59" s="14"/>
      <c r="L59" s="14"/>
      <c r="M59" s="14"/>
      <c r="N59" s="14"/>
      <c r="O59" s="14"/>
      <c r="P59" s="14"/>
      <c r="Q59" s="14"/>
      <c r="R59" s="14"/>
      <c r="S59">
        <f>-124.6*2</f>
        <v>-249.2</v>
      </c>
    </row>
    <row r="60" spans="2:20" hidden="1" outlineLevel="1">
      <c r="B60" s="7"/>
      <c r="C60" s="7"/>
      <c r="D60" s="7"/>
      <c r="E60" s="20"/>
      <c r="F60" s="14"/>
      <c r="G60" s="14"/>
      <c r="H60" s="14"/>
      <c r="I60" s="14"/>
      <c r="J60" s="14"/>
      <c r="K60" s="14"/>
      <c r="L60" s="14"/>
      <c r="M60" s="14"/>
      <c r="N60" s="14"/>
      <c r="O60" s="14"/>
      <c r="P60" s="14"/>
      <c r="Q60" s="14"/>
      <c r="R60" s="14"/>
      <c r="S60" s="38">
        <f>Q50+S57+S58+S59</f>
        <v>13373.587980365779</v>
      </c>
      <c r="T60" t="s">
        <v>51</v>
      </c>
    </row>
    <row r="61" spans="2:20" collapsed="1">
      <c r="B61" s="7"/>
      <c r="C61" s="7"/>
      <c r="D61" s="7"/>
      <c r="E61" s="20"/>
      <c r="F61" s="14"/>
      <c r="G61" s="14"/>
      <c r="H61" s="14"/>
      <c r="I61" s="14"/>
      <c r="J61" s="14"/>
      <c r="K61" s="14"/>
      <c r="L61" s="14"/>
      <c r="M61" s="14"/>
      <c r="N61" s="14"/>
      <c r="O61" s="14"/>
      <c r="P61" s="14"/>
      <c r="Q61" s="14"/>
      <c r="R61" s="14"/>
    </row>
    <row r="62" spans="2:20" ht="18" customHeight="1">
      <c r="B62" s="196" t="s">
        <v>112</v>
      </c>
      <c r="C62" s="196"/>
      <c r="D62" s="196"/>
      <c r="E62" s="196"/>
      <c r="F62" s="196"/>
      <c r="G62" s="196"/>
      <c r="H62" s="196"/>
      <c r="I62" s="196"/>
      <c r="J62" s="196"/>
      <c r="K62" s="196"/>
      <c r="L62" s="196"/>
      <c r="M62" s="196"/>
      <c r="N62" s="196"/>
      <c r="O62" s="196"/>
      <c r="P62" s="196"/>
      <c r="Q62" s="196"/>
      <c r="R62" s="61"/>
    </row>
    <row r="63" spans="2:20" ht="19.5" customHeight="1">
      <c r="B63" s="196" t="s">
        <v>113</v>
      </c>
      <c r="C63" s="196"/>
      <c r="D63" s="196"/>
      <c r="E63" s="196"/>
      <c r="F63" s="196"/>
      <c r="G63" s="196"/>
      <c r="H63" s="196"/>
      <c r="I63" s="196"/>
      <c r="J63" s="196"/>
      <c r="K63" s="196"/>
      <c r="L63" s="196"/>
      <c r="M63" s="196"/>
      <c r="N63" s="196"/>
      <c r="O63" s="196"/>
      <c r="P63" s="196"/>
      <c r="Q63" s="61"/>
      <c r="R63" s="61"/>
    </row>
    <row r="64" spans="2:20" ht="18.75" customHeight="1">
      <c r="B64" s="196" t="s">
        <v>114</v>
      </c>
      <c r="C64" s="196"/>
      <c r="D64" s="196"/>
      <c r="E64" s="196"/>
      <c r="F64" s="196"/>
      <c r="G64" s="196"/>
      <c r="H64" s="196"/>
      <c r="I64" s="196"/>
      <c r="J64" s="196"/>
      <c r="K64" s="196"/>
      <c r="L64" s="196"/>
      <c r="M64" s="196"/>
      <c r="N64" s="196"/>
      <c r="O64" s="196"/>
      <c r="P64" s="196"/>
      <c r="Q64" s="61"/>
      <c r="R64" s="61"/>
    </row>
    <row r="65" spans="2:19" ht="18.75" customHeight="1">
      <c r="B65" s="61"/>
      <c r="C65" s="7" t="s">
        <v>63</v>
      </c>
      <c r="D65" s="11">
        <v>-20.059999999999999</v>
      </c>
      <c r="E65" s="61"/>
      <c r="F65" s="61"/>
      <c r="G65" s="61"/>
      <c r="H65" s="61"/>
      <c r="I65" s="61"/>
      <c r="J65" s="61"/>
      <c r="K65" s="61"/>
      <c r="L65" s="61"/>
      <c r="M65" s="61"/>
      <c r="N65" s="61"/>
      <c r="O65" s="61"/>
      <c r="P65" s="61"/>
      <c r="Q65" s="61"/>
      <c r="R65" s="61"/>
    </row>
    <row r="66" spans="2:19" ht="18.75" customHeight="1">
      <c r="B66" s="61"/>
      <c r="C66" s="7" t="s">
        <v>64</v>
      </c>
      <c r="D66" s="11">
        <v>-75</v>
      </c>
      <c r="E66" s="61"/>
      <c r="F66" s="61"/>
      <c r="G66" s="61"/>
      <c r="H66" s="61"/>
      <c r="I66" s="61"/>
      <c r="J66" s="61"/>
      <c r="K66" s="61"/>
      <c r="L66" s="61"/>
      <c r="M66" s="61"/>
      <c r="N66" s="61"/>
      <c r="O66" s="61"/>
      <c r="P66" s="61"/>
      <c r="Q66" s="61"/>
      <c r="R66" s="61"/>
    </row>
    <row r="67" spans="2:19" ht="18.75" customHeight="1">
      <c r="B67" s="61"/>
      <c r="C67" s="7" t="s">
        <v>65</v>
      </c>
      <c r="D67" s="65">
        <v>-249.2</v>
      </c>
      <c r="E67" s="61"/>
      <c r="F67" s="61"/>
      <c r="G67" s="61"/>
      <c r="H67" s="61"/>
      <c r="I67" s="61"/>
      <c r="J67" s="61"/>
      <c r="K67" s="61"/>
      <c r="L67" s="61"/>
      <c r="M67" s="61"/>
      <c r="N67" s="61"/>
      <c r="O67" s="61"/>
      <c r="P67" s="61"/>
      <c r="Q67" s="61"/>
      <c r="R67" s="61"/>
    </row>
    <row r="68" spans="2:19">
      <c r="B68" s="7"/>
      <c r="C68" s="7"/>
      <c r="D68" s="65">
        <f>SUM(D65:D67)</f>
        <v>-344.26</v>
      </c>
      <c r="E68" s="26"/>
      <c r="F68" s="27"/>
      <c r="G68" s="27"/>
      <c r="H68" s="27"/>
      <c r="I68" s="27"/>
      <c r="J68" s="27"/>
      <c r="K68" s="27"/>
      <c r="L68" s="27"/>
      <c r="M68" s="27"/>
      <c r="N68" s="27"/>
      <c r="O68" s="27"/>
      <c r="P68" s="27"/>
      <c r="Q68" s="27"/>
      <c r="R68" s="27"/>
    </row>
    <row r="69" spans="2:19">
      <c r="B69" s="7"/>
      <c r="C69" s="7"/>
      <c r="D69" s="7"/>
      <c r="E69" s="28"/>
      <c r="F69" s="29"/>
      <c r="G69" s="29"/>
      <c r="H69" s="29"/>
      <c r="I69" s="29"/>
      <c r="J69" s="29"/>
      <c r="K69" s="29"/>
      <c r="L69" s="29" t="s">
        <v>42</v>
      </c>
      <c r="M69" s="29"/>
      <c r="N69" s="29"/>
      <c r="O69" s="29"/>
      <c r="P69" s="29"/>
      <c r="Q69" s="29"/>
      <c r="R69" s="29"/>
    </row>
    <row r="70" spans="2:19">
      <c r="B70" s="7"/>
      <c r="C70" s="7"/>
      <c r="D70" s="7"/>
      <c r="E70" s="28"/>
      <c r="F70" s="29"/>
      <c r="G70" s="29"/>
      <c r="H70" s="29"/>
      <c r="I70" s="29"/>
      <c r="J70" s="29"/>
      <c r="K70" s="29"/>
      <c r="L70" s="29" t="s">
        <v>46</v>
      </c>
      <c r="M70" s="29"/>
      <c r="N70" s="29"/>
      <c r="O70" s="29"/>
      <c r="P70" s="29"/>
      <c r="Q70" s="29"/>
      <c r="R70" s="29"/>
    </row>
    <row r="71" spans="2:19">
      <c r="B71" s="7"/>
      <c r="C71" s="7"/>
      <c r="D71" s="7"/>
      <c r="E71" s="28"/>
      <c r="F71" s="29"/>
      <c r="G71" s="29"/>
      <c r="H71" s="29"/>
      <c r="I71" s="29"/>
      <c r="J71" s="29"/>
      <c r="K71" s="29"/>
      <c r="L71" s="29" t="s">
        <v>43</v>
      </c>
      <c r="M71" s="29"/>
      <c r="N71" s="29"/>
      <c r="O71" s="29"/>
      <c r="P71" s="29"/>
      <c r="Q71" s="29"/>
      <c r="R71" s="29"/>
    </row>
    <row r="72" spans="2:19">
      <c r="B72" s="7" t="s">
        <v>44</v>
      </c>
      <c r="C72" s="7"/>
      <c r="D72" s="7"/>
      <c r="E72" s="28"/>
      <c r="F72" s="29"/>
      <c r="G72" s="29"/>
      <c r="H72" s="29"/>
      <c r="I72" s="29"/>
      <c r="J72" s="29"/>
      <c r="K72" s="29"/>
      <c r="L72" s="29" t="s">
        <v>45</v>
      </c>
      <c r="M72" s="29"/>
      <c r="N72" s="29"/>
      <c r="O72" s="29"/>
      <c r="P72" s="29"/>
      <c r="Q72" s="29"/>
      <c r="R72" s="29"/>
    </row>
    <row r="73" spans="2:19">
      <c r="B73" s="7"/>
      <c r="C73" s="7"/>
      <c r="D73" s="7"/>
      <c r="E73" s="28"/>
      <c r="F73" s="29"/>
      <c r="G73" s="29"/>
      <c r="H73" s="29"/>
      <c r="I73" s="29"/>
      <c r="J73" s="29"/>
      <c r="K73" s="29"/>
      <c r="L73" s="29"/>
      <c r="M73" s="29"/>
      <c r="N73" s="29"/>
      <c r="O73" s="29"/>
      <c r="P73" s="29"/>
      <c r="Q73" s="29"/>
      <c r="R73" s="29"/>
    </row>
    <row r="74" spans="2:19">
      <c r="B74" s="7"/>
      <c r="C74" s="7"/>
      <c r="D74" s="7"/>
      <c r="E74" s="28"/>
      <c r="F74" s="29"/>
      <c r="G74" s="29"/>
      <c r="H74" s="29"/>
      <c r="I74" s="29"/>
      <c r="J74" s="29"/>
      <c r="K74" s="29"/>
      <c r="L74" s="29"/>
      <c r="M74" s="29"/>
      <c r="N74" s="29"/>
      <c r="O74" s="29"/>
      <c r="P74" s="29"/>
      <c r="Q74" s="29"/>
      <c r="R74" s="29"/>
    </row>
    <row r="75" spans="2:19">
      <c r="B75" s="7"/>
      <c r="C75" s="7"/>
      <c r="D75" s="7"/>
      <c r="E75" s="28"/>
      <c r="F75" s="29"/>
      <c r="G75" s="29"/>
      <c r="H75" s="29"/>
      <c r="I75" s="29"/>
      <c r="J75" s="29"/>
      <c r="K75" s="29"/>
      <c r="L75" s="29"/>
      <c r="M75" s="29"/>
      <c r="N75" s="29"/>
      <c r="O75" s="29"/>
      <c r="P75" s="29"/>
      <c r="Q75" s="29"/>
      <c r="R75" s="29"/>
      <c r="S75" s="9"/>
    </row>
    <row r="76" spans="2:19">
      <c r="B76" s="7"/>
      <c r="C76" s="7"/>
      <c r="D76" s="7"/>
      <c r="E76" s="28"/>
      <c r="F76" s="29"/>
      <c r="G76" s="29"/>
      <c r="H76" s="29"/>
      <c r="I76" s="29"/>
      <c r="J76" s="29"/>
      <c r="K76" s="29"/>
      <c r="L76" s="29"/>
      <c r="M76" s="29"/>
      <c r="N76" s="29"/>
      <c r="O76" s="29"/>
      <c r="P76" s="29"/>
      <c r="Q76" s="29"/>
      <c r="R76" s="29"/>
      <c r="S76" s="9"/>
    </row>
    <row r="77" spans="2:19">
      <c r="B77" s="7"/>
      <c r="C77" s="7"/>
      <c r="D77" s="7"/>
      <c r="E77" s="28"/>
      <c r="F77" s="29"/>
      <c r="G77" s="29"/>
      <c r="H77" s="29"/>
      <c r="I77" s="29"/>
      <c r="J77" s="29"/>
      <c r="K77" s="29"/>
      <c r="L77" s="29"/>
      <c r="M77" s="29"/>
      <c r="N77" s="29"/>
      <c r="O77" s="29"/>
      <c r="P77" s="29"/>
      <c r="Q77" s="29"/>
      <c r="R77" s="29"/>
      <c r="S77" s="9"/>
    </row>
    <row r="78" spans="2:19" s="13" customFormat="1" ht="24" customHeight="1">
      <c r="B78" s="7"/>
      <c r="C78" s="7"/>
      <c r="D78" s="7"/>
      <c r="E78" s="26"/>
      <c r="F78" s="30"/>
      <c r="G78" s="30"/>
      <c r="H78" s="30"/>
      <c r="I78" s="30"/>
      <c r="J78" s="30"/>
      <c r="K78" s="30"/>
      <c r="L78" s="30"/>
      <c r="M78" s="30"/>
      <c r="N78" s="30"/>
      <c r="O78" s="30"/>
      <c r="P78" s="30"/>
      <c r="Q78" s="30"/>
      <c r="R78" s="30"/>
      <c r="S78" s="12"/>
    </row>
    <row r="79" spans="2:19">
      <c r="B79" s="7"/>
      <c r="C79" s="7"/>
      <c r="D79" s="7"/>
      <c r="E79" s="28"/>
      <c r="F79" s="29"/>
      <c r="G79" s="29"/>
      <c r="H79" s="29"/>
      <c r="I79" s="29"/>
      <c r="J79" s="29"/>
      <c r="K79" s="29"/>
      <c r="L79" s="29"/>
      <c r="M79" s="29"/>
      <c r="N79" s="29"/>
      <c r="O79" s="29"/>
      <c r="P79" s="29"/>
      <c r="Q79" s="29"/>
      <c r="R79" s="29"/>
      <c r="S79" s="9"/>
    </row>
    <row r="80" spans="2:19">
      <c r="B80" s="7"/>
      <c r="C80" s="7"/>
      <c r="D80" s="7"/>
      <c r="E80" s="28"/>
      <c r="F80" s="29"/>
      <c r="G80" s="29"/>
      <c r="H80" s="29"/>
      <c r="I80" s="29"/>
      <c r="J80" s="29"/>
      <c r="K80" s="29"/>
      <c r="L80" s="29"/>
      <c r="M80" s="29"/>
      <c r="N80" s="29"/>
      <c r="O80" s="29"/>
      <c r="P80" s="29"/>
      <c r="Q80" s="29"/>
      <c r="R80" s="29"/>
      <c r="S80" s="9"/>
    </row>
    <row r="81" spans="2:18">
      <c r="B81" s="7"/>
      <c r="C81" s="7"/>
      <c r="D81" s="7"/>
      <c r="E81" s="28"/>
      <c r="F81" s="29"/>
      <c r="G81" s="29"/>
      <c r="H81" s="29"/>
      <c r="I81" s="29"/>
      <c r="J81" s="29"/>
      <c r="K81" s="29"/>
      <c r="L81" s="29"/>
      <c r="M81" s="29"/>
      <c r="N81" s="29"/>
      <c r="O81" s="29"/>
      <c r="P81" s="29"/>
      <c r="Q81" s="29"/>
      <c r="R81" s="29"/>
    </row>
    <row r="82" spans="2:18">
      <c r="B82" s="7"/>
      <c r="C82" s="7"/>
      <c r="D82" s="7"/>
      <c r="E82" s="28"/>
      <c r="F82" s="29"/>
      <c r="G82" s="29"/>
      <c r="H82" s="29"/>
      <c r="I82" s="29"/>
      <c r="J82" s="29"/>
      <c r="K82" s="29"/>
      <c r="L82" s="29"/>
      <c r="M82" s="29"/>
      <c r="N82" s="29"/>
      <c r="O82" s="29"/>
      <c r="P82" s="29"/>
      <c r="Q82" s="29"/>
      <c r="R82" s="29"/>
    </row>
    <row r="83" spans="2:18">
      <c r="B83" s="7"/>
      <c r="C83" s="7"/>
      <c r="D83" s="7"/>
      <c r="E83" s="28"/>
      <c r="F83" s="29"/>
      <c r="G83" s="29"/>
      <c r="H83" s="29"/>
      <c r="I83" s="29"/>
      <c r="J83" s="29"/>
      <c r="K83" s="29"/>
      <c r="L83" s="29"/>
      <c r="M83" s="29"/>
      <c r="N83" s="29"/>
      <c r="O83" s="29"/>
      <c r="P83" s="29"/>
      <c r="Q83" s="29"/>
      <c r="R83" s="29"/>
    </row>
    <row r="84" spans="2:18">
      <c r="B84" s="7"/>
      <c r="C84" s="7"/>
      <c r="D84" s="7"/>
      <c r="E84" s="28"/>
      <c r="F84" s="29"/>
      <c r="G84" s="29"/>
      <c r="H84" s="29"/>
      <c r="I84" s="29"/>
      <c r="J84" s="29"/>
      <c r="K84" s="29"/>
      <c r="L84" s="29"/>
      <c r="M84" s="29"/>
      <c r="N84" s="29"/>
      <c r="O84" s="29"/>
      <c r="P84" s="29"/>
      <c r="Q84" s="29"/>
      <c r="R84" s="29"/>
    </row>
    <row r="85" spans="2:18">
      <c r="B85" s="7"/>
      <c r="C85" s="7"/>
      <c r="D85" s="7"/>
      <c r="E85" s="28"/>
      <c r="F85" s="29"/>
      <c r="G85" s="29"/>
      <c r="H85" s="29"/>
      <c r="I85" s="29"/>
      <c r="J85" s="29"/>
      <c r="K85" s="29"/>
      <c r="L85" s="29"/>
      <c r="M85" s="29"/>
      <c r="N85" s="29"/>
      <c r="O85" s="29"/>
      <c r="P85" s="29"/>
      <c r="Q85" s="29"/>
      <c r="R85" s="29"/>
    </row>
    <row r="86" spans="2:18">
      <c r="B86" s="7"/>
      <c r="C86" s="7"/>
      <c r="D86" s="7"/>
      <c r="E86" s="28"/>
      <c r="F86" s="29"/>
      <c r="G86" s="29"/>
      <c r="H86" s="29"/>
      <c r="I86" s="29"/>
      <c r="J86" s="29"/>
      <c r="K86" s="29"/>
      <c r="L86" s="29"/>
      <c r="M86" s="29"/>
      <c r="N86" s="29"/>
      <c r="O86" s="29"/>
      <c r="P86" s="29"/>
      <c r="Q86" s="29"/>
      <c r="R86" s="29"/>
    </row>
    <row r="87" spans="2:18">
      <c r="B87" s="7"/>
      <c r="C87" s="7"/>
      <c r="D87" s="7"/>
      <c r="E87" s="28"/>
      <c r="F87" s="29"/>
      <c r="G87" s="29"/>
      <c r="H87" s="29"/>
      <c r="I87" s="29"/>
      <c r="J87" s="29"/>
      <c r="K87" s="29"/>
      <c r="L87" s="29"/>
      <c r="M87" s="29"/>
      <c r="N87" s="29"/>
      <c r="O87" s="29"/>
      <c r="P87" s="29"/>
      <c r="Q87" s="29"/>
      <c r="R87" s="29"/>
    </row>
    <row r="88" spans="2:18">
      <c r="B88" s="7"/>
      <c r="C88" s="7"/>
      <c r="D88" s="7"/>
      <c r="E88" s="28"/>
      <c r="F88" s="29"/>
      <c r="G88" s="29"/>
      <c r="H88" s="29"/>
      <c r="I88" s="29"/>
      <c r="J88" s="29"/>
      <c r="K88" s="29"/>
      <c r="L88" s="29"/>
      <c r="M88" s="29"/>
      <c r="N88" s="29"/>
      <c r="O88" s="29"/>
      <c r="P88" s="29"/>
      <c r="Q88" s="29"/>
      <c r="R88" s="29"/>
    </row>
    <row r="89" spans="2:18">
      <c r="B89" s="7"/>
      <c r="C89" s="7"/>
      <c r="D89" s="7"/>
      <c r="E89" s="28"/>
      <c r="F89" s="29"/>
      <c r="G89" s="29"/>
      <c r="H89" s="29"/>
      <c r="I89" s="29"/>
      <c r="J89" s="29"/>
      <c r="K89" s="29"/>
      <c r="L89" s="29"/>
      <c r="M89" s="29"/>
      <c r="N89" s="29"/>
      <c r="O89" s="29"/>
      <c r="P89" s="29"/>
      <c r="Q89" s="29"/>
      <c r="R89" s="29"/>
    </row>
    <row r="90" spans="2:18">
      <c r="B90" s="7"/>
      <c r="C90" s="7"/>
      <c r="D90" s="7"/>
      <c r="E90" s="28"/>
      <c r="F90" s="29"/>
      <c r="G90" s="29"/>
      <c r="H90" s="29"/>
      <c r="I90" s="29"/>
      <c r="J90" s="29"/>
      <c r="K90" s="29"/>
      <c r="L90" s="29"/>
      <c r="M90" s="29"/>
      <c r="N90" s="29"/>
      <c r="O90" s="29"/>
      <c r="P90" s="29"/>
      <c r="Q90" s="29"/>
      <c r="R90" s="29"/>
    </row>
    <row r="91" spans="2:18">
      <c r="B91" s="7"/>
      <c r="C91" s="7"/>
      <c r="D91" s="7"/>
      <c r="E91" s="28"/>
      <c r="F91" s="29"/>
      <c r="G91" s="29"/>
      <c r="H91" s="29"/>
      <c r="I91" s="29"/>
      <c r="J91" s="29"/>
      <c r="K91" s="29"/>
      <c r="L91" s="29"/>
      <c r="M91" s="29"/>
      <c r="N91" s="29"/>
      <c r="O91" s="29"/>
      <c r="P91" s="29"/>
      <c r="Q91" s="29"/>
      <c r="R91" s="29"/>
    </row>
    <row r="92" spans="2:18">
      <c r="B92" s="7"/>
      <c r="C92" s="7"/>
      <c r="D92" s="7"/>
      <c r="E92" s="28"/>
      <c r="F92" s="29"/>
      <c r="G92" s="29"/>
      <c r="H92" s="29"/>
      <c r="I92" s="29"/>
      <c r="J92" s="29"/>
      <c r="K92" s="29"/>
      <c r="L92" s="29"/>
      <c r="M92" s="29"/>
      <c r="N92" s="29"/>
      <c r="O92" s="29"/>
      <c r="P92" s="29"/>
      <c r="Q92" s="29"/>
      <c r="R92" s="29"/>
    </row>
    <row r="93" spans="2:18">
      <c r="B93" s="7"/>
      <c r="C93" s="7"/>
      <c r="D93" s="7"/>
      <c r="E93" s="28"/>
      <c r="F93" s="29"/>
      <c r="G93" s="29"/>
      <c r="H93" s="29"/>
      <c r="I93" s="29"/>
      <c r="J93" s="29"/>
      <c r="K93" s="29"/>
      <c r="L93" s="29"/>
      <c r="M93" s="29"/>
      <c r="N93" s="29"/>
      <c r="O93" s="29"/>
      <c r="P93" s="29"/>
      <c r="Q93" s="29"/>
      <c r="R93" s="29"/>
    </row>
    <row r="94" spans="2:18">
      <c r="B94" s="7"/>
      <c r="C94" s="7"/>
      <c r="D94" s="7"/>
      <c r="E94" s="28"/>
      <c r="F94" s="29"/>
      <c r="G94" s="29"/>
      <c r="H94" s="29"/>
      <c r="I94" s="29"/>
      <c r="J94" s="29"/>
      <c r="K94" s="29"/>
      <c r="L94" s="29"/>
      <c r="M94" s="29"/>
      <c r="N94" s="29"/>
      <c r="O94" s="29"/>
      <c r="P94" s="29"/>
      <c r="Q94" s="29"/>
      <c r="R94" s="29"/>
    </row>
    <row r="95" spans="2:18">
      <c r="B95" s="7"/>
      <c r="C95" s="7"/>
      <c r="D95" s="7"/>
      <c r="E95" s="28"/>
      <c r="F95" s="29"/>
      <c r="G95" s="29"/>
      <c r="H95" s="29"/>
      <c r="I95" s="29"/>
      <c r="J95" s="29"/>
      <c r="K95" s="29"/>
      <c r="L95" s="29"/>
      <c r="M95" s="29"/>
      <c r="N95" s="29"/>
      <c r="O95" s="29"/>
      <c r="P95" s="29"/>
      <c r="Q95" s="29"/>
      <c r="R95" s="29"/>
    </row>
    <row r="96" spans="2:18">
      <c r="B96" s="7"/>
      <c r="C96" s="7"/>
      <c r="D96" s="7"/>
      <c r="E96" s="28"/>
      <c r="F96" s="29"/>
      <c r="G96" s="29"/>
      <c r="H96" s="29"/>
      <c r="I96" s="29"/>
      <c r="J96" s="29"/>
      <c r="K96" s="29"/>
      <c r="L96" s="29"/>
      <c r="M96" s="29"/>
      <c r="N96" s="29"/>
      <c r="O96" s="29"/>
      <c r="P96" s="29"/>
      <c r="Q96" s="29"/>
      <c r="R96" s="29"/>
    </row>
    <row r="97" spans="2:18">
      <c r="B97" s="7"/>
      <c r="C97" s="7"/>
      <c r="D97" s="28"/>
      <c r="E97" s="28"/>
      <c r="F97" s="29"/>
      <c r="G97" s="29"/>
      <c r="H97" s="29"/>
      <c r="I97" s="29"/>
      <c r="J97" s="29"/>
      <c r="K97" s="29"/>
      <c r="L97" s="29"/>
      <c r="M97" s="29"/>
      <c r="N97" s="29"/>
      <c r="O97" s="29"/>
      <c r="P97" s="29"/>
      <c r="Q97" s="29"/>
      <c r="R97" s="29"/>
    </row>
    <row r="98" spans="2:18">
      <c r="B98" s="7"/>
      <c r="C98" s="7"/>
      <c r="D98" s="7"/>
      <c r="E98" s="28"/>
      <c r="F98" s="29"/>
      <c r="G98" s="29"/>
      <c r="H98" s="29"/>
      <c r="I98" s="29"/>
      <c r="J98" s="29"/>
      <c r="K98" s="29"/>
      <c r="L98" s="29"/>
      <c r="M98" s="29"/>
      <c r="N98" s="29"/>
      <c r="O98" s="29"/>
      <c r="P98" s="29"/>
      <c r="Q98" s="29"/>
      <c r="R98" s="29"/>
    </row>
    <row r="99" spans="2:18">
      <c r="B99" s="7"/>
      <c r="C99" s="7"/>
      <c r="D99" s="7"/>
      <c r="E99" s="28"/>
      <c r="F99" s="29"/>
      <c r="G99" s="29"/>
      <c r="H99" s="29"/>
      <c r="I99" s="29"/>
      <c r="J99" s="29"/>
      <c r="K99" s="29"/>
      <c r="L99" s="29"/>
      <c r="M99" s="29"/>
      <c r="N99" s="29"/>
      <c r="O99" s="29"/>
      <c r="P99" s="29"/>
      <c r="Q99" s="29"/>
      <c r="R99" s="29"/>
    </row>
    <row r="100" spans="2:18">
      <c r="B100" s="7"/>
      <c r="C100" s="7"/>
      <c r="D100" s="7"/>
      <c r="E100" s="28"/>
      <c r="F100" s="29"/>
      <c r="G100" s="29"/>
      <c r="H100" s="29"/>
      <c r="I100" s="29"/>
      <c r="J100" s="29"/>
      <c r="K100" s="29"/>
      <c r="L100" s="29"/>
      <c r="M100" s="29"/>
      <c r="N100" s="29"/>
      <c r="O100" s="29"/>
      <c r="P100" s="29"/>
      <c r="Q100" s="29"/>
      <c r="R100" s="29"/>
    </row>
    <row r="101" spans="2:18" s="32" customFormat="1">
      <c r="B101" s="19"/>
      <c r="C101" s="19"/>
      <c r="D101" s="19"/>
      <c r="E101" s="26"/>
      <c r="F101" s="31"/>
      <c r="G101" s="31"/>
      <c r="H101" s="31"/>
      <c r="I101" s="31"/>
      <c r="J101" s="31"/>
      <c r="K101" s="31"/>
      <c r="L101" s="31"/>
      <c r="M101" s="31"/>
      <c r="N101" s="31"/>
      <c r="O101" s="31"/>
      <c r="P101" s="31"/>
      <c r="Q101" s="31"/>
      <c r="R101" s="31"/>
    </row>
    <row r="102" spans="2:18">
      <c r="B102" s="7"/>
      <c r="C102" s="7"/>
      <c r="D102" s="7"/>
      <c r="E102" s="28"/>
      <c r="F102" s="29"/>
      <c r="G102" s="29"/>
      <c r="H102" s="29"/>
      <c r="I102" s="29"/>
      <c r="J102" s="29"/>
      <c r="K102" s="29"/>
      <c r="L102" s="29"/>
      <c r="M102" s="29"/>
      <c r="N102" s="29"/>
      <c r="O102" s="29"/>
      <c r="P102" s="29"/>
      <c r="Q102" s="29"/>
      <c r="R102" s="29"/>
    </row>
    <row r="103" spans="2:18">
      <c r="B103" s="7"/>
      <c r="C103" s="7"/>
      <c r="D103" s="7"/>
      <c r="E103" s="28"/>
      <c r="F103" s="29"/>
      <c r="G103" s="29"/>
      <c r="H103" s="29"/>
      <c r="I103" s="29"/>
      <c r="J103" s="29"/>
      <c r="K103" s="29"/>
      <c r="L103" s="29"/>
      <c r="M103" s="29"/>
      <c r="N103" s="29"/>
      <c r="O103" s="29"/>
      <c r="P103" s="29"/>
      <c r="Q103" s="29"/>
      <c r="R103" s="29"/>
    </row>
    <row r="104" spans="2:18">
      <c r="B104" s="7"/>
      <c r="C104" s="7"/>
      <c r="D104" s="7"/>
      <c r="E104" s="28"/>
      <c r="F104" s="29"/>
      <c r="G104" s="29"/>
      <c r="H104" s="29"/>
      <c r="I104" s="29"/>
      <c r="J104" s="29"/>
      <c r="K104" s="29"/>
      <c r="L104" s="29"/>
      <c r="M104" s="29"/>
      <c r="N104" s="29"/>
      <c r="O104" s="29"/>
      <c r="P104" s="29"/>
      <c r="Q104" s="29"/>
      <c r="R104" s="29"/>
    </row>
    <row r="105" spans="2:18">
      <c r="B105" s="7"/>
      <c r="C105" s="7"/>
      <c r="D105" s="7"/>
      <c r="E105" s="28"/>
      <c r="F105" s="29"/>
      <c r="G105" s="29"/>
      <c r="H105" s="29"/>
      <c r="I105" s="29"/>
      <c r="J105" s="29"/>
      <c r="K105" s="29"/>
      <c r="L105" s="29"/>
      <c r="M105" s="29"/>
      <c r="N105" s="29"/>
      <c r="O105" s="29"/>
      <c r="P105" s="29"/>
      <c r="Q105" s="29"/>
      <c r="R105" s="29"/>
    </row>
    <row r="106" spans="2:18">
      <c r="B106" s="7"/>
      <c r="C106" s="7"/>
      <c r="D106" s="7"/>
      <c r="E106" s="28"/>
      <c r="F106" s="29"/>
      <c r="G106" s="29"/>
      <c r="H106" s="29"/>
      <c r="I106" s="29"/>
      <c r="J106" s="29"/>
      <c r="K106" s="29"/>
      <c r="L106" s="29"/>
      <c r="M106" s="29"/>
      <c r="N106" s="29"/>
      <c r="O106" s="29"/>
      <c r="P106" s="29"/>
      <c r="Q106" s="29"/>
      <c r="R106" s="29"/>
    </row>
    <row r="107" spans="2:18">
      <c r="B107" s="7"/>
      <c r="C107" s="7"/>
      <c r="D107" s="7"/>
      <c r="E107" s="28"/>
      <c r="F107" s="29"/>
      <c r="G107" s="29"/>
      <c r="H107" s="29"/>
      <c r="I107" s="29"/>
      <c r="J107" s="29"/>
      <c r="K107" s="29"/>
      <c r="L107" s="29"/>
      <c r="M107" s="29"/>
      <c r="N107" s="29"/>
      <c r="O107" s="29"/>
      <c r="P107" s="29"/>
      <c r="Q107" s="29"/>
      <c r="R107" s="29"/>
    </row>
    <row r="108" spans="2:18">
      <c r="B108" s="28"/>
      <c r="C108" s="28"/>
      <c r="D108" s="28"/>
      <c r="E108" s="28"/>
      <c r="F108" s="28"/>
      <c r="G108" s="28"/>
      <c r="H108" s="28"/>
      <c r="I108" s="28"/>
      <c r="J108" s="28"/>
      <c r="K108" s="28"/>
      <c r="L108" s="28"/>
      <c r="M108" s="28"/>
      <c r="N108" s="28"/>
      <c r="O108" s="28"/>
      <c r="P108" s="28"/>
      <c r="Q108" s="28"/>
      <c r="R108" s="28"/>
    </row>
    <row r="109" spans="2:18">
      <c r="B109" s="28"/>
      <c r="C109" s="28"/>
      <c r="D109" s="28"/>
      <c r="E109" s="28"/>
      <c r="F109" s="28"/>
      <c r="G109" s="28"/>
      <c r="H109" s="28"/>
      <c r="I109" s="28"/>
      <c r="J109" s="28"/>
      <c r="K109" s="28"/>
      <c r="L109" s="28"/>
      <c r="M109" s="28"/>
      <c r="N109" s="28"/>
      <c r="O109" s="28"/>
      <c r="P109" s="28"/>
      <c r="Q109" s="28"/>
      <c r="R109" s="28"/>
    </row>
    <row r="110" spans="2:18">
      <c r="B110" s="28"/>
      <c r="C110" s="28"/>
      <c r="D110" s="28"/>
      <c r="E110" s="28"/>
      <c r="F110" s="28"/>
      <c r="G110" s="28"/>
      <c r="H110" s="28"/>
      <c r="I110" s="28"/>
      <c r="J110" s="28"/>
      <c r="K110" s="28"/>
      <c r="L110" s="28"/>
      <c r="M110" s="28"/>
      <c r="N110" s="28"/>
      <c r="O110" s="28"/>
      <c r="P110" s="28"/>
      <c r="Q110" s="28"/>
      <c r="R110" s="28"/>
    </row>
    <row r="111" spans="2:18">
      <c r="B111" s="28"/>
      <c r="C111" s="28"/>
      <c r="D111" s="28"/>
      <c r="E111" s="28"/>
      <c r="F111" s="28"/>
      <c r="G111" s="28"/>
      <c r="H111" s="28"/>
      <c r="I111" s="28"/>
      <c r="J111" s="28"/>
      <c r="K111" s="28"/>
      <c r="L111" s="28"/>
      <c r="M111" s="28"/>
      <c r="N111" s="28"/>
      <c r="O111" s="28"/>
      <c r="P111" s="28"/>
      <c r="Q111" s="28"/>
      <c r="R111" s="28"/>
    </row>
    <row r="112" spans="2:18">
      <c r="B112" s="28"/>
      <c r="C112" s="28"/>
      <c r="D112" s="28"/>
      <c r="E112" s="28"/>
      <c r="F112" s="28"/>
      <c r="G112" s="28"/>
      <c r="H112" s="28"/>
      <c r="I112" s="28"/>
      <c r="J112" s="28"/>
      <c r="K112" s="28"/>
      <c r="L112" s="28"/>
      <c r="M112" s="28"/>
      <c r="N112" s="28"/>
      <c r="O112" s="28"/>
      <c r="P112" s="28"/>
      <c r="Q112" s="28"/>
      <c r="R112" s="28"/>
    </row>
    <row r="113" spans="2:18">
      <c r="B113" s="28"/>
      <c r="C113" s="28"/>
      <c r="D113" s="28"/>
      <c r="E113" s="28"/>
      <c r="F113" s="28"/>
      <c r="G113" s="28"/>
      <c r="H113" s="28"/>
      <c r="I113" s="28"/>
      <c r="J113" s="28"/>
      <c r="K113" s="28"/>
      <c r="L113" s="28"/>
      <c r="M113" s="28"/>
      <c r="N113" s="28"/>
      <c r="O113" s="28"/>
      <c r="P113" s="28"/>
      <c r="Q113" s="28"/>
      <c r="R113" s="28"/>
    </row>
    <row r="114" spans="2:18">
      <c r="B114" s="28"/>
      <c r="C114" s="28"/>
      <c r="D114" s="28"/>
      <c r="E114" s="28"/>
      <c r="F114" s="28"/>
      <c r="G114" s="28"/>
      <c r="H114" s="28"/>
      <c r="I114" s="28"/>
      <c r="J114" s="28"/>
      <c r="K114" s="28"/>
      <c r="L114" s="28"/>
      <c r="M114" s="28"/>
      <c r="N114" s="28"/>
      <c r="O114" s="28"/>
      <c r="P114" s="28"/>
      <c r="Q114" s="28"/>
      <c r="R114" s="28"/>
    </row>
    <row r="115" spans="2:18">
      <c r="B115" s="28"/>
      <c r="C115" s="28"/>
      <c r="D115" s="28"/>
      <c r="E115" s="28"/>
      <c r="F115" s="28"/>
      <c r="G115" s="28"/>
      <c r="H115" s="28"/>
      <c r="I115" s="28"/>
      <c r="J115" s="28"/>
      <c r="K115" s="28"/>
      <c r="L115" s="28"/>
      <c r="M115" s="28"/>
      <c r="N115" s="28"/>
      <c r="O115" s="28"/>
      <c r="P115" s="28"/>
      <c r="Q115" s="28"/>
      <c r="R115" s="28"/>
    </row>
    <row r="116" spans="2:18">
      <c r="B116" s="28"/>
      <c r="C116" s="28"/>
      <c r="D116" s="28"/>
      <c r="E116" s="28"/>
      <c r="F116" s="28"/>
      <c r="G116" s="28"/>
      <c r="H116" s="28"/>
      <c r="I116" s="28"/>
      <c r="J116" s="28"/>
      <c r="K116" s="28"/>
      <c r="L116" s="28"/>
      <c r="M116" s="28"/>
      <c r="N116" s="28"/>
      <c r="O116" s="28"/>
      <c r="P116" s="28"/>
      <c r="Q116" s="28"/>
      <c r="R116" s="28"/>
    </row>
    <row r="117" spans="2:18">
      <c r="B117" s="28"/>
      <c r="C117" s="28"/>
      <c r="D117" s="28"/>
      <c r="E117" s="28"/>
      <c r="F117" s="28"/>
      <c r="G117" s="28"/>
      <c r="H117" s="28"/>
      <c r="I117" s="28"/>
      <c r="J117" s="28"/>
      <c r="K117" s="28"/>
      <c r="L117" s="28"/>
      <c r="M117" s="28"/>
      <c r="N117" s="28"/>
      <c r="O117" s="28"/>
      <c r="P117" s="28"/>
      <c r="Q117" s="28"/>
      <c r="R117" s="28"/>
    </row>
    <row r="118" spans="2:18">
      <c r="B118" s="28"/>
      <c r="C118" s="28"/>
      <c r="D118" s="28"/>
      <c r="E118" s="28"/>
      <c r="F118" s="28"/>
      <c r="G118" s="28"/>
      <c r="H118" s="28"/>
      <c r="I118" s="28"/>
      <c r="J118" s="28"/>
      <c r="K118" s="28"/>
      <c r="L118" s="28"/>
      <c r="M118" s="28"/>
      <c r="N118" s="28"/>
      <c r="O118" s="28"/>
      <c r="P118" s="28"/>
      <c r="Q118" s="28"/>
      <c r="R118" s="28"/>
    </row>
    <row r="119" spans="2:18">
      <c r="B119" s="28"/>
      <c r="C119" s="28"/>
      <c r="D119" s="28"/>
      <c r="E119" s="28"/>
      <c r="F119" s="28"/>
      <c r="G119" s="28"/>
      <c r="H119" s="28"/>
      <c r="I119" s="28"/>
      <c r="J119" s="28"/>
      <c r="K119" s="28"/>
      <c r="L119" s="28"/>
      <c r="M119" s="28"/>
      <c r="N119" s="28"/>
      <c r="O119" s="28"/>
      <c r="P119" s="28"/>
      <c r="Q119" s="28"/>
      <c r="R119" s="28"/>
    </row>
    <row r="120" spans="2:18">
      <c r="B120" s="28"/>
      <c r="C120" s="28"/>
      <c r="D120" s="28"/>
      <c r="E120" s="28"/>
      <c r="F120" s="28"/>
      <c r="G120" s="28"/>
      <c r="H120" s="28"/>
      <c r="I120" s="28"/>
      <c r="J120" s="28"/>
      <c r="K120" s="28"/>
      <c r="L120" s="28"/>
      <c r="M120" s="28"/>
      <c r="N120" s="28"/>
      <c r="O120" s="28"/>
      <c r="P120" s="28"/>
      <c r="Q120" s="28"/>
      <c r="R120" s="28"/>
    </row>
    <row r="121" spans="2:18">
      <c r="B121" s="28"/>
      <c r="C121" s="28"/>
      <c r="D121" s="28"/>
      <c r="E121" s="28"/>
      <c r="F121" s="28"/>
      <c r="G121" s="28"/>
      <c r="H121" s="28"/>
      <c r="I121" s="28"/>
      <c r="J121" s="28"/>
      <c r="K121" s="28"/>
      <c r="L121" s="28"/>
      <c r="M121" s="28"/>
      <c r="N121" s="28"/>
      <c r="O121" s="28"/>
      <c r="P121" s="28"/>
      <c r="Q121" s="28"/>
      <c r="R121" s="28"/>
    </row>
    <row r="122" spans="2:18">
      <c r="B122" s="28"/>
      <c r="C122" s="28"/>
      <c r="D122" s="28"/>
      <c r="E122" s="28"/>
      <c r="F122" s="28"/>
      <c r="G122" s="28"/>
      <c r="H122" s="28"/>
      <c r="I122" s="28"/>
      <c r="J122" s="28"/>
      <c r="K122" s="28"/>
      <c r="L122" s="28"/>
      <c r="M122" s="28"/>
      <c r="N122" s="28"/>
      <c r="O122" s="28"/>
      <c r="P122" s="28"/>
      <c r="Q122" s="28"/>
      <c r="R122" s="28"/>
    </row>
    <row r="123" spans="2:18">
      <c r="B123" s="28"/>
      <c r="C123" s="28"/>
      <c r="D123" s="28"/>
      <c r="E123" s="28"/>
      <c r="F123" s="28"/>
      <c r="G123" s="28"/>
      <c r="H123" s="28"/>
      <c r="I123" s="28"/>
      <c r="J123" s="28"/>
      <c r="K123" s="28"/>
      <c r="L123" s="28"/>
      <c r="M123" s="28"/>
      <c r="N123" s="28"/>
      <c r="O123" s="28"/>
      <c r="P123" s="28"/>
      <c r="Q123" s="28"/>
      <c r="R123" s="28"/>
    </row>
    <row r="124" spans="2:18">
      <c r="B124" s="28"/>
      <c r="C124" s="28"/>
      <c r="D124" s="28"/>
      <c r="E124" s="28"/>
      <c r="F124" s="28"/>
      <c r="G124" s="28"/>
      <c r="H124" s="28"/>
      <c r="I124" s="28"/>
      <c r="J124" s="28"/>
      <c r="K124" s="28"/>
      <c r="L124" s="28"/>
      <c r="M124" s="28"/>
      <c r="N124" s="28"/>
      <c r="O124" s="28"/>
      <c r="P124" s="28"/>
      <c r="Q124" s="28"/>
      <c r="R124" s="28"/>
    </row>
    <row r="125" spans="2:18">
      <c r="B125" s="28"/>
      <c r="C125" s="28"/>
      <c r="D125" s="28"/>
      <c r="E125" s="28"/>
      <c r="F125" s="28"/>
      <c r="G125" s="28"/>
      <c r="H125" s="28"/>
      <c r="I125" s="28"/>
      <c r="J125" s="28"/>
      <c r="K125" s="28"/>
      <c r="L125" s="28"/>
      <c r="M125" s="28"/>
      <c r="N125" s="28"/>
      <c r="O125" s="28"/>
      <c r="P125" s="28"/>
      <c r="Q125" s="28"/>
      <c r="R125" s="28"/>
    </row>
    <row r="126" spans="2:18">
      <c r="B126" s="28"/>
      <c r="C126" s="28"/>
      <c r="D126" s="28"/>
      <c r="E126" s="28"/>
      <c r="F126" s="28"/>
      <c r="G126" s="28"/>
      <c r="H126" s="28"/>
      <c r="I126" s="28"/>
      <c r="J126" s="28"/>
      <c r="K126" s="28"/>
      <c r="L126" s="28"/>
      <c r="M126" s="28"/>
      <c r="N126" s="28"/>
      <c r="O126" s="28"/>
      <c r="P126" s="28"/>
      <c r="Q126" s="28"/>
      <c r="R126" s="28"/>
    </row>
    <row r="127" spans="2:18">
      <c r="B127" s="28"/>
      <c r="C127" s="28"/>
      <c r="D127" s="28"/>
      <c r="E127" s="28"/>
      <c r="F127" s="28"/>
      <c r="G127" s="28"/>
      <c r="H127" s="28"/>
      <c r="I127" s="28"/>
      <c r="J127" s="28"/>
      <c r="K127" s="28"/>
      <c r="L127" s="28"/>
      <c r="M127" s="28"/>
      <c r="N127" s="28"/>
      <c r="O127" s="28"/>
      <c r="P127" s="28"/>
      <c r="Q127" s="28"/>
      <c r="R127" s="28"/>
    </row>
    <row r="128" spans="2:18">
      <c r="B128" s="28"/>
      <c r="C128" s="28"/>
      <c r="D128" s="28"/>
      <c r="E128" s="28"/>
      <c r="F128" s="28"/>
      <c r="G128" s="28"/>
      <c r="H128" s="28"/>
      <c r="I128" s="28"/>
      <c r="J128" s="28"/>
      <c r="K128" s="28"/>
      <c r="L128" s="28"/>
      <c r="M128" s="28"/>
      <c r="N128" s="28"/>
      <c r="O128" s="28"/>
      <c r="P128" s="28"/>
      <c r="Q128" s="28"/>
      <c r="R128" s="28"/>
    </row>
    <row r="129" spans="2:18">
      <c r="B129" s="28"/>
      <c r="C129" s="28"/>
      <c r="D129" s="28"/>
      <c r="E129" s="28"/>
      <c r="F129" s="28"/>
      <c r="G129" s="28"/>
      <c r="H129" s="28"/>
      <c r="I129" s="28"/>
      <c r="J129" s="28"/>
      <c r="K129" s="28"/>
      <c r="L129" s="28"/>
      <c r="M129" s="28"/>
      <c r="N129" s="28"/>
      <c r="O129" s="28"/>
      <c r="P129" s="28"/>
      <c r="Q129" s="28"/>
      <c r="R129" s="28"/>
    </row>
    <row r="130" spans="2:18">
      <c r="B130" s="28"/>
      <c r="C130" s="28"/>
      <c r="D130" s="28"/>
      <c r="E130" s="28"/>
      <c r="F130" s="28"/>
      <c r="G130" s="28"/>
      <c r="H130" s="28"/>
      <c r="I130" s="28"/>
      <c r="J130" s="28"/>
      <c r="K130" s="28"/>
      <c r="L130" s="28"/>
      <c r="M130" s="28"/>
      <c r="N130" s="28"/>
      <c r="O130" s="28"/>
      <c r="P130" s="28"/>
      <c r="Q130" s="28"/>
      <c r="R130" s="28"/>
    </row>
    <row r="131" spans="2:18">
      <c r="B131" s="28"/>
      <c r="C131" s="28"/>
      <c r="D131" s="28"/>
      <c r="E131" s="28"/>
      <c r="F131" s="28"/>
      <c r="G131" s="28"/>
      <c r="H131" s="28"/>
      <c r="I131" s="28"/>
      <c r="J131" s="28"/>
      <c r="K131" s="28"/>
      <c r="L131" s="28"/>
      <c r="M131" s="28"/>
      <c r="N131" s="28"/>
      <c r="O131" s="28"/>
      <c r="P131" s="28"/>
      <c r="Q131" s="28"/>
      <c r="R131" s="28"/>
    </row>
    <row r="132" spans="2:18">
      <c r="B132" s="28"/>
      <c r="C132" s="28"/>
      <c r="D132" s="28"/>
      <c r="E132" s="28"/>
      <c r="F132" s="28"/>
      <c r="G132" s="28"/>
      <c r="H132" s="28"/>
      <c r="I132" s="28"/>
      <c r="J132" s="28"/>
      <c r="K132" s="28"/>
      <c r="L132" s="28"/>
      <c r="M132" s="28"/>
      <c r="N132" s="28"/>
      <c r="O132" s="28"/>
      <c r="P132" s="28"/>
      <c r="Q132" s="28"/>
      <c r="R132" s="28"/>
    </row>
    <row r="133" spans="2:18">
      <c r="B133" s="28"/>
      <c r="C133" s="28"/>
      <c r="D133" s="28"/>
      <c r="E133" s="28"/>
      <c r="F133" s="28"/>
      <c r="G133" s="28"/>
      <c r="H133" s="28"/>
      <c r="I133" s="28"/>
      <c r="J133" s="28"/>
      <c r="K133" s="28"/>
      <c r="L133" s="28"/>
      <c r="M133" s="28"/>
      <c r="N133" s="28"/>
      <c r="O133" s="28"/>
      <c r="P133" s="28"/>
      <c r="Q133" s="28"/>
      <c r="R133" s="28"/>
    </row>
    <row r="134" spans="2:18">
      <c r="B134" s="28"/>
      <c r="C134" s="28"/>
      <c r="D134" s="28"/>
      <c r="E134" s="28"/>
      <c r="F134" s="28"/>
      <c r="G134" s="28"/>
      <c r="H134" s="28"/>
      <c r="I134" s="28"/>
      <c r="J134" s="28"/>
      <c r="K134" s="28"/>
      <c r="L134" s="28"/>
      <c r="M134" s="28"/>
      <c r="N134" s="28"/>
      <c r="O134" s="28"/>
      <c r="P134" s="28"/>
      <c r="Q134" s="28"/>
      <c r="R134" s="28"/>
    </row>
    <row r="135" spans="2:18">
      <c r="B135" s="28"/>
      <c r="C135" s="28"/>
      <c r="D135" s="28"/>
      <c r="E135" s="28"/>
      <c r="F135" s="28"/>
      <c r="G135" s="28"/>
      <c r="H135" s="28"/>
      <c r="I135" s="28"/>
      <c r="J135" s="28"/>
      <c r="K135" s="28"/>
      <c r="L135" s="28"/>
      <c r="M135" s="28"/>
      <c r="N135" s="28"/>
      <c r="O135" s="28"/>
      <c r="P135" s="28"/>
      <c r="Q135" s="28"/>
      <c r="R135" s="28"/>
    </row>
    <row r="136" spans="2:18">
      <c r="B136" s="28"/>
      <c r="C136" s="28"/>
      <c r="D136" s="28"/>
      <c r="E136" s="28"/>
      <c r="F136" s="28"/>
      <c r="G136" s="28"/>
      <c r="H136" s="28"/>
      <c r="I136" s="28"/>
      <c r="J136" s="28"/>
      <c r="K136" s="28"/>
      <c r="L136" s="28"/>
      <c r="M136" s="28"/>
      <c r="N136" s="28"/>
      <c r="O136" s="28"/>
      <c r="P136" s="28"/>
      <c r="Q136" s="28"/>
      <c r="R136" s="28"/>
    </row>
    <row r="137" spans="2:18">
      <c r="B137" s="28"/>
      <c r="C137" s="28"/>
      <c r="D137" s="28"/>
      <c r="E137" s="28"/>
      <c r="F137" s="28"/>
      <c r="G137" s="28"/>
      <c r="H137" s="28"/>
      <c r="I137" s="28"/>
      <c r="J137" s="28"/>
      <c r="K137" s="28"/>
      <c r="L137" s="28"/>
      <c r="M137" s="28"/>
      <c r="N137" s="28"/>
      <c r="O137" s="28"/>
      <c r="P137" s="28"/>
      <c r="Q137" s="28"/>
      <c r="R137" s="28"/>
    </row>
    <row r="138" spans="2:18">
      <c r="B138" s="28"/>
      <c r="C138" s="28"/>
      <c r="D138" s="28"/>
      <c r="E138" s="28"/>
      <c r="F138" s="28"/>
      <c r="G138" s="28"/>
      <c r="H138" s="28"/>
      <c r="I138" s="28"/>
      <c r="J138" s="28"/>
      <c r="K138" s="28"/>
      <c r="L138" s="28"/>
      <c r="M138" s="28"/>
      <c r="N138" s="28"/>
      <c r="O138" s="28"/>
      <c r="P138" s="28"/>
      <c r="Q138" s="28"/>
      <c r="R138" s="28"/>
    </row>
    <row r="139" spans="2:18">
      <c r="B139" s="28"/>
      <c r="C139" s="28"/>
      <c r="D139" s="28"/>
      <c r="E139" s="28"/>
      <c r="F139" s="28"/>
      <c r="G139" s="28"/>
      <c r="H139" s="28"/>
      <c r="I139" s="28"/>
      <c r="J139" s="28"/>
      <c r="K139" s="28"/>
      <c r="L139" s="28"/>
      <c r="M139" s="28"/>
      <c r="N139" s="28"/>
      <c r="O139" s="28"/>
      <c r="P139" s="28"/>
      <c r="Q139" s="28"/>
      <c r="R139" s="28"/>
    </row>
    <row r="140" spans="2:18">
      <c r="B140" s="28"/>
      <c r="C140" s="28"/>
      <c r="D140" s="28"/>
      <c r="E140" s="28"/>
      <c r="F140" s="28"/>
      <c r="G140" s="28"/>
      <c r="H140" s="28"/>
      <c r="I140" s="28"/>
      <c r="J140" s="28"/>
      <c r="K140" s="28"/>
      <c r="L140" s="28"/>
      <c r="M140" s="28"/>
      <c r="N140" s="28"/>
      <c r="O140" s="28"/>
      <c r="P140" s="28"/>
      <c r="Q140" s="28"/>
      <c r="R140" s="28"/>
    </row>
    <row r="141" spans="2:18">
      <c r="B141" s="28"/>
      <c r="C141" s="28"/>
      <c r="D141" s="28"/>
      <c r="E141" s="28"/>
      <c r="F141" s="28"/>
      <c r="G141" s="28"/>
      <c r="H141" s="28"/>
      <c r="I141" s="28"/>
      <c r="J141" s="28"/>
      <c r="K141" s="28"/>
      <c r="L141" s="28"/>
      <c r="M141" s="28"/>
      <c r="N141" s="28"/>
      <c r="O141" s="28"/>
      <c r="P141" s="28"/>
      <c r="Q141" s="28"/>
      <c r="R141" s="28"/>
    </row>
    <row r="142" spans="2:18">
      <c r="B142" s="28"/>
      <c r="C142" s="28"/>
      <c r="D142" s="28"/>
      <c r="E142" s="28"/>
      <c r="F142" s="28"/>
      <c r="G142" s="28"/>
      <c r="H142" s="28"/>
      <c r="I142" s="28"/>
      <c r="J142" s="28"/>
      <c r="K142" s="28"/>
      <c r="L142" s="28"/>
      <c r="M142" s="28"/>
      <c r="N142" s="28"/>
      <c r="O142" s="28"/>
      <c r="P142" s="28"/>
      <c r="Q142" s="28"/>
      <c r="R142" s="28"/>
    </row>
    <row r="143" spans="2:18">
      <c r="B143" s="28"/>
      <c r="C143" s="28"/>
      <c r="D143" s="28"/>
      <c r="E143" s="28"/>
      <c r="F143" s="28"/>
      <c r="G143" s="28"/>
      <c r="H143" s="28"/>
      <c r="I143" s="28"/>
      <c r="J143" s="28"/>
      <c r="K143" s="28"/>
      <c r="L143" s="28"/>
      <c r="M143" s="28"/>
      <c r="N143" s="28"/>
      <c r="O143" s="28"/>
      <c r="P143" s="28"/>
      <c r="Q143" s="28"/>
      <c r="R143" s="28"/>
    </row>
    <row r="144" spans="2:18">
      <c r="B144" s="28"/>
      <c r="C144" s="28"/>
      <c r="D144" s="28"/>
      <c r="E144" s="28"/>
      <c r="F144" s="28"/>
      <c r="G144" s="28"/>
      <c r="H144" s="28"/>
      <c r="I144" s="28"/>
      <c r="J144" s="28"/>
      <c r="K144" s="28"/>
      <c r="L144" s="28"/>
      <c r="M144" s="28"/>
      <c r="N144" s="28"/>
      <c r="O144" s="28"/>
      <c r="P144" s="28"/>
      <c r="Q144" s="28"/>
      <c r="R144" s="28"/>
    </row>
    <row r="145" spans="2:18">
      <c r="B145" s="28"/>
      <c r="C145" s="28"/>
      <c r="D145" s="28"/>
      <c r="E145" s="28"/>
      <c r="F145" s="28"/>
      <c r="G145" s="28"/>
      <c r="H145" s="28"/>
      <c r="I145" s="28"/>
      <c r="J145" s="28"/>
      <c r="K145" s="28"/>
      <c r="L145" s="28"/>
      <c r="M145" s="28"/>
      <c r="N145" s="28"/>
      <c r="O145" s="28"/>
      <c r="P145" s="28"/>
      <c r="Q145" s="28"/>
      <c r="R145" s="28"/>
    </row>
    <row r="146" spans="2:18">
      <c r="B146" s="28"/>
      <c r="C146" s="28"/>
      <c r="D146" s="28"/>
      <c r="E146" s="28"/>
      <c r="F146" s="28"/>
      <c r="G146" s="28"/>
      <c r="H146" s="28"/>
      <c r="I146" s="28"/>
      <c r="J146" s="28"/>
      <c r="K146" s="28"/>
      <c r="L146" s="28"/>
      <c r="M146" s="28"/>
      <c r="N146" s="28"/>
      <c r="O146" s="28"/>
      <c r="P146" s="28"/>
      <c r="Q146" s="28"/>
      <c r="R146" s="28"/>
    </row>
    <row r="147" spans="2:18">
      <c r="B147" s="28"/>
      <c r="C147" s="28"/>
      <c r="D147" s="28"/>
      <c r="E147" s="28"/>
      <c r="F147" s="28"/>
      <c r="G147" s="28"/>
      <c r="H147" s="28"/>
      <c r="I147" s="28"/>
      <c r="J147" s="28"/>
      <c r="K147" s="28"/>
      <c r="L147" s="28"/>
      <c r="M147" s="28"/>
      <c r="N147" s="28"/>
      <c r="O147" s="28"/>
      <c r="P147" s="28"/>
      <c r="Q147" s="28"/>
      <c r="R147" s="28"/>
    </row>
    <row r="148" spans="2:18">
      <c r="B148" s="28"/>
      <c r="C148" s="28"/>
      <c r="D148" s="28"/>
      <c r="E148" s="28"/>
      <c r="F148" s="28"/>
      <c r="G148" s="28"/>
      <c r="H148" s="28"/>
      <c r="I148" s="28"/>
      <c r="J148" s="28"/>
      <c r="K148" s="28"/>
      <c r="L148" s="28"/>
      <c r="M148" s="28"/>
      <c r="N148" s="28"/>
      <c r="O148" s="28"/>
      <c r="P148" s="28"/>
      <c r="Q148" s="28"/>
      <c r="R148" s="28"/>
    </row>
    <row r="149" spans="2:18">
      <c r="B149" s="28"/>
      <c r="C149" s="28"/>
      <c r="D149" s="28"/>
      <c r="E149" s="28"/>
      <c r="F149" s="28"/>
      <c r="G149" s="28"/>
      <c r="H149" s="28"/>
      <c r="I149" s="28"/>
      <c r="J149" s="28"/>
      <c r="K149" s="28"/>
      <c r="L149" s="28"/>
      <c r="M149" s="28"/>
      <c r="N149" s="28"/>
      <c r="O149" s="28"/>
      <c r="P149" s="28"/>
      <c r="Q149" s="28"/>
      <c r="R149" s="28"/>
    </row>
    <row r="150" spans="2:18">
      <c r="B150" s="28"/>
      <c r="C150" s="28"/>
      <c r="D150" s="28"/>
      <c r="E150" s="28"/>
      <c r="F150" s="28"/>
      <c r="G150" s="28"/>
      <c r="H150" s="28"/>
      <c r="I150" s="28"/>
      <c r="J150" s="28"/>
      <c r="K150" s="28"/>
      <c r="L150" s="28"/>
      <c r="M150" s="28"/>
      <c r="N150" s="28"/>
      <c r="O150" s="28"/>
      <c r="P150" s="28"/>
      <c r="Q150" s="28"/>
      <c r="R150" s="28"/>
    </row>
    <row r="151" spans="2:18">
      <c r="B151" s="28"/>
      <c r="C151" s="28"/>
      <c r="D151" s="28"/>
      <c r="E151" s="28"/>
      <c r="F151" s="28"/>
      <c r="G151" s="28"/>
      <c r="H151" s="28"/>
      <c r="I151" s="28"/>
      <c r="J151" s="28"/>
      <c r="K151" s="28"/>
      <c r="L151" s="28"/>
      <c r="M151" s="28"/>
      <c r="N151" s="28"/>
      <c r="O151" s="28"/>
      <c r="P151" s="28"/>
      <c r="Q151" s="28"/>
      <c r="R151" s="28"/>
    </row>
    <row r="152" spans="2:18">
      <c r="B152" s="28"/>
      <c r="C152" s="28"/>
      <c r="D152" s="28"/>
      <c r="E152" s="28"/>
      <c r="F152" s="28"/>
      <c r="G152" s="28"/>
      <c r="H152" s="28"/>
      <c r="I152" s="28"/>
      <c r="J152" s="28"/>
      <c r="K152" s="28"/>
      <c r="L152" s="28"/>
      <c r="M152" s="28"/>
      <c r="N152" s="28"/>
      <c r="O152" s="28"/>
      <c r="P152" s="28"/>
      <c r="Q152" s="28"/>
      <c r="R152" s="28"/>
    </row>
    <row r="153" spans="2:18">
      <c r="B153" s="28"/>
      <c r="C153" s="28"/>
      <c r="D153" s="28"/>
      <c r="E153" s="28"/>
      <c r="F153" s="28"/>
      <c r="G153" s="28"/>
      <c r="H153" s="28"/>
      <c r="I153" s="28"/>
      <c r="J153" s="28"/>
      <c r="K153" s="28"/>
      <c r="L153" s="28"/>
      <c r="M153" s="28"/>
      <c r="N153" s="28"/>
      <c r="O153" s="28"/>
      <c r="P153" s="28"/>
      <c r="Q153" s="28"/>
      <c r="R153" s="28"/>
    </row>
    <row r="154" spans="2:18">
      <c r="B154" s="28"/>
      <c r="C154" s="28"/>
      <c r="D154" s="28"/>
      <c r="E154" s="28"/>
      <c r="F154" s="28"/>
      <c r="G154" s="28"/>
      <c r="H154" s="28"/>
      <c r="I154" s="28"/>
      <c r="J154" s="28"/>
      <c r="K154" s="28"/>
      <c r="L154" s="28"/>
      <c r="M154" s="28"/>
      <c r="N154" s="28"/>
      <c r="O154" s="28"/>
      <c r="P154" s="28"/>
      <c r="Q154" s="28"/>
      <c r="R154" s="28"/>
    </row>
    <row r="155" spans="2:18">
      <c r="B155" s="28"/>
      <c r="C155" s="28"/>
      <c r="D155" s="28"/>
      <c r="E155" s="28"/>
      <c r="F155" s="28"/>
      <c r="G155" s="28"/>
      <c r="H155" s="28"/>
      <c r="I155" s="28"/>
      <c r="J155" s="28"/>
      <c r="K155" s="28"/>
      <c r="L155" s="28"/>
      <c r="M155" s="28"/>
      <c r="N155" s="28"/>
      <c r="O155" s="28"/>
      <c r="P155" s="28"/>
      <c r="Q155" s="28"/>
      <c r="R155" s="28"/>
    </row>
    <row r="156" spans="2:18">
      <c r="B156" s="28"/>
      <c r="C156" s="28"/>
      <c r="D156" s="28"/>
      <c r="E156" s="28"/>
      <c r="F156" s="28"/>
      <c r="G156" s="28"/>
      <c r="H156" s="28"/>
      <c r="I156" s="28"/>
      <c r="J156" s="28"/>
      <c r="K156" s="28"/>
      <c r="L156" s="28"/>
      <c r="M156" s="28"/>
      <c r="N156" s="28"/>
      <c r="O156" s="28"/>
      <c r="P156" s="28"/>
      <c r="Q156" s="28"/>
      <c r="R156" s="28"/>
    </row>
    <row r="157" spans="2:18">
      <c r="B157" s="28"/>
      <c r="C157" s="28"/>
      <c r="D157" s="28"/>
      <c r="E157" s="28"/>
      <c r="F157" s="28"/>
      <c r="G157" s="28"/>
      <c r="H157" s="28"/>
      <c r="I157" s="28"/>
      <c r="J157" s="28"/>
      <c r="K157" s="28"/>
      <c r="L157" s="28"/>
      <c r="M157" s="28"/>
      <c r="N157" s="28"/>
      <c r="O157" s="28"/>
      <c r="P157" s="28"/>
      <c r="Q157" s="28"/>
      <c r="R157" s="28"/>
    </row>
    <row r="158" spans="2:18">
      <c r="B158" s="28"/>
      <c r="C158" s="28"/>
      <c r="D158" s="28"/>
      <c r="E158" s="28"/>
      <c r="F158" s="28"/>
      <c r="G158" s="28"/>
      <c r="H158" s="28"/>
      <c r="I158" s="28"/>
      <c r="J158" s="28"/>
      <c r="K158" s="28"/>
      <c r="L158" s="28"/>
      <c r="M158" s="28"/>
      <c r="N158" s="28"/>
      <c r="O158" s="28"/>
      <c r="P158" s="28"/>
      <c r="Q158" s="28"/>
      <c r="R158" s="28"/>
    </row>
    <row r="159" spans="2:18">
      <c r="B159" s="28"/>
      <c r="C159" s="28"/>
      <c r="D159" s="28"/>
      <c r="E159" s="28"/>
      <c r="F159" s="28"/>
      <c r="G159" s="28"/>
      <c r="H159" s="28"/>
      <c r="I159" s="28"/>
      <c r="J159" s="28"/>
      <c r="K159" s="28"/>
      <c r="L159" s="28"/>
      <c r="M159" s="28"/>
      <c r="N159" s="28"/>
      <c r="O159" s="28"/>
      <c r="P159" s="28"/>
      <c r="Q159" s="28"/>
      <c r="R159" s="28"/>
    </row>
    <row r="160" spans="2:18">
      <c r="B160" s="28"/>
      <c r="C160" s="28"/>
      <c r="D160" s="28"/>
      <c r="E160" s="28"/>
      <c r="F160" s="28"/>
      <c r="G160" s="28"/>
      <c r="H160" s="28"/>
      <c r="I160" s="28"/>
      <c r="J160" s="28"/>
      <c r="K160" s="28"/>
      <c r="L160" s="28"/>
      <c r="M160" s="28"/>
      <c r="N160" s="28"/>
      <c r="O160" s="28"/>
      <c r="P160" s="28"/>
      <c r="Q160" s="28"/>
      <c r="R160" s="28"/>
    </row>
    <row r="161" spans="2:18">
      <c r="B161" s="28"/>
      <c r="C161" s="28"/>
      <c r="D161" s="28"/>
      <c r="E161" s="28"/>
      <c r="F161" s="28"/>
      <c r="G161" s="28"/>
      <c r="H161" s="28"/>
      <c r="I161" s="28"/>
      <c r="J161" s="28"/>
      <c r="K161" s="28"/>
      <c r="L161" s="28"/>
      <c r="M161" s="28"/>
      <c r="N161" s="28"/>
      <c r="O161" s="28"/>
      <c r="P161" s="28"/>
      <c r="Q161" s="28"/>
      <c r="R161" s="28"/>
    </row>
    <row r="162" spans="2:18">
      <c r="B162" s="28"/>
      <c r="C162" s="28"/>
      <c r="D162" s="28"/>
      <c r="E162" s="28"/>
      <c r="F162" s="28"/>
      <c r="G162" s="28"/>
      <c r="H162" s="28"/>
      <c r="I162" s="28"/>
      <c r="J162" s="28"/>
      <c r="K162" s="28"/>
      <c r="L162" s="28"/>
      <c r="M162" s="28"/>
      <c r="N162" s="28"/>
      <c r="O162" s="28"/>
      <c r="P162" s="28"/>
      <c r="Q162" s="28"/>
      <c r="R162" s="28"/>
    </row>
    <row r="163" spans="2:18">
      <c r="B163" s="28"/>
      <c r="C163" s="28"/>
      <c r="D163" s="28"/>
      <c r="E163" s="28"/>
      <c r="F163" s="28"/>
      <c r="G163" s="28"/>
      <c r="H163" s="28"/>
      <c r="I163" s="28"/>
      <c r="J163" s="28"/>
      <c r="K163" s="28"/>
      <c r="L163" s="28"/>
      <c r="M163" s="28"/>
      <c r="N163" s="28"/>
      <c r="O163" s="28"/>
      <c r="P163" s="28"/>
      <c r="Q163" s="28"/>
      <c r="R163" s="28"/>
    </row>
    <row r="164" spans="2:18">
      <c r="B164" s="28"/>
      <c r="C164" s="28"/>
      <c r="D164" s="28"/>
      <c r="E164" s="28"/>
      <c r="F164" s="28"/>
      <c r="G164" s="28"/>
      <c r="H164" s="28"/>
      <c r="I164" s="28"/>
      <c r="J164" s="28"/>
      <c r="K164" s="28"/>
      <c r="L164" s="28"/>
      <c r="M164" s="28"/>
      <c r="N164" s="28"/>
      <c r="O164" s="28"/>
      <c r="P164" s="28"/>
      <c r="Q164" s="28"/>
      <c r="R164" s="28"/>
    </row>
    <row r="165" spans="2:18">
      <c r="B165" s="28"/>
      <c r="C165" s="28"/>
      <c r="D165" s="28"/>
      <c r="E165" s="28"/>
      <c r="F165" s="28"/>
      <c r="G165" s="28"/>
      <c r="H165" s="28"/>
      <c r="I165" s="28"/>
      <c r="J165" s="28"/>
      <c r="K165" s="28"/>
      <c r="L165" s="28"/>
      <c r="M165" s="28"/>
      <c r="N165" s="28"/>
      <c r="O165" s="28"/>
      <c r="P165" s="28"/>
      <c r="Q165" s="28"/>
      <c r="R165" s="28"/>
    </row>
    <row r="166" spans="2:18">
      <c r="B166" s="28"/>
      <c r="C166" s="28"/>
      <c r="D166" s="28"/>
      <c r="E166" s="28"/>
      <c r="F166" s="28"/>
      <c r="G166" s="28"/>
      <c r="H166" s="28"/>
      <c r="I166" s="28"/>
      <c r="J166" s="28"/>
      <c r="K166" s="28"/>
      <c r="L166" s="28"/>
      <c r="M166" s="28"/>
      <c r="N166" s="28"/>
      <c r="O166" s="28"/>
      <c r="P166" s="28"/>
      <c r="Q166" s="28"/>
      <c r="R166" s="28"/>
    </row>
    <row r="167" spans="2:18">
      <c r="B167" s="28"/>
      <c r="C167" s="28"/>
      <c r="D167" s="28"/>
      <c r="E167" s="28"/>
      <c r="F167" s="28"/>
      <c r="G167" s="28"/>
      <c r="H167" s="28"/>
      <c r="I167" s="28"/>
      <c r="J167" s="28"/>
      <c r="K167" s="28"/>
      <c r="L167" s="28"/>
      <c r="M167" s="28"/>
      <c r="N167" s="28"/>
      <c r="O167" s="28"/>
      <c r="P167" s="28"/>
      <c r="Q167" s="28"/>
      <c r="R167" s="28"/>
    </row>
    <row r="168" spans="2:18">
      <c r="B168" s="28"/>
      <c r="C168" s="28"/>
      <c r="D168" s="28"/>
      <c r="E168" s="28"/>
      <c r="F168" s="28"/>
      <c r="G168" s="28"/>
      <c r="H168" s="28"/>
      <c r="I168" s="28"/>
      <c r="J168" s="28"/>
      <c r="K168" s="28"/>
      <c r="L168" s="28"/>
      <c r="M168" s="28"/>
      <c r="N168" s="28"/>
      <c r="O168" s="28"/>
      <c r="P168" s="28"/>
      <c r="Q168" s="28"/>
      <c r="R168" s="28"/>
    </row>
    <row r="169" spans="2:18">
      <c r="B169" s="28"/>
      <c r="C169" s="28"/>
      <c r="D169" s="28"/>
      <c r="E169" s="28"/>
      <c r="F169" s="28"/>
      <c r="G169" s="28"/>
      <c r="H169" s="28"/>
      <c r="I169" s="28"/>
      <c r="J169" s="28"/>
      <c r="K169" s="28"/>
      <c r="L169" s="28"/>
      <c r="M169" s="28"/>
      <c r="N169" s="28"/>
      <c r="O169" s="28"/>
      <c r="P169" s="28"/>
      <c r="Q169" s="28"/>
      <c r="R169" s="28"/>
    </row>
    <row r="170" spans="2:18">
      <c r="B170" s="28"/>
      <c r="C170" s="28"/>
      <c r="D170" s="28"/>
      <c r="E170" s="28"/>
      <c r="F170" s="28"/>
      <c r="G170" s="28"/>
      <c r="H170" s="28"/>
      <c r="I170" s="28"/>
      <c r="J170" s="28"/>
      <c r="K170" s="28"/>
      <c r="L170" s="28"/>
      <c r="M170" s="28"/>
      <c r="N170" s="28"/>
      <c r="O170" s="28"/>
      <c r="P170" s="28"/>
      <c r="Q170" s="28"/>
      <c r="R170" s="28"/>
    </row>
    <row r="171" spans="2:18">
      <c r="B171" s="28"/>
      <c r="C171" s="28"/>
      <c r="D171" s="28"/>
      <c r="E171" s="28"/>
      <c r="F171" s="28"/>
      <c r="G171" s="28"/>
      <c r="H171" s="28"/>
      <c r="I171" s="28"/>
      <c r="J171" s="28"/>
      <c r="K171" s="28"/>
      <c r="L171" s="28"/>
      <c r="M171" s="28"/>
      <c r="N171" s="28"/>
      <c r="O171" s="28"/>
      <c r="P171" s="28"/>
      <c r="Q171" s="28"/>
      <c r="R171" s="28"/>
    </row>
    <row r="172" spans="2:18">
      <c r="B172" s="28"/>
      <c r="C172" s="28"/>
      <c r="D172" s="28"/>
      <c r="E172" s="28"/>
      <c r="F172" s="28"/>
      <c r="G172" s="28"/>
      <c r="H172" s="28"/>
      <c r="I172" s="28"/>
      <c r="J172" s="28"/>
      <c r="K172" s="28"/>
      <c r="L172" s="28"/>
      <c r="M172" s="28"/>
      <c r="N172" s="28"/>
      <c r="O172" s="28"/>
      <c r="P172" s="28"/>
      <c r="Q172" s="28"/>
      <c r="R172" s="28"/>
    </row>
    <row r="173" spans="2:18">
      <c r="B173" s="28"/>
      <c r="C173" s="28"/>
      <c r="D173" s="28"/>
      <c r="E173" s="28"/>
      <c r="F173" s="28"/>
      <c r="G173" s="28"/>
      <c r="H173" s="28"/>
      <c r="I173" s="28"/>
      <c r="J173" s="28"/>
      <c r="K173" s="28"/>
      <c r="L173" s="28"/>
      <c r="M173" s="28"/>
      <c r="N173" s="28"/>
      <c r="O173" s="28"/>
      <c r="P173" s="28"/>
      <c r="Q173" s="28"/>
      <c r="R173" s="28"/>
    </row>
    <row r="174" spans="2:18">
      <c r="B174" s="28"/>
      <c r="C174" s="28"/>
      <c r="D174" s="28"/>
      <c r="E174" s="28"/>
      <c r="F174" s="28"/>
      <c r="G174" s="28"/>
      <c r="H174" s="28"/>
      <c r="I174" s="28"/>
      <c r="J174" s="28"/>
      <c r="K174" s="28"/>
      <c r="L174" s="28"/>
      <c r="M174" s="28"/>
      <c r="N174" s="28"/>
      <c r="O174" s="28"/>
      <c r="P174" s="28"/>
      <c r="Q174" s="28"/>
      <c r="R174" s="28"/>
    </row>
    <row r="175" spans="2:18">
      <c r="B175" s="28"/>
      <c r="C175" s="28"/>
      <c r="D175" s="28"/>
      <c r="E175" s="28"/>
      <c r="F175" s="28"/>
      <c r="G175" s="28"/>
      <c r="H175" s="28"/>
      <c r="I175" s="28"/>
      <c r="J175" s="28"/>
      <c r="K175" s="28"/>
      <c r="L175" s="28"/>
      <c r="M175" s="28"/>
      <c r="N175" s="28"/>
      <c r="O175" s="28"/>
      <c r="P175" s="28"/>
      <c r="Q175" s="28"/>
      <c r="R175" s="28"/>
    </row>
    <row r="176" spans="2:18">
      <c r="B176" s="28"/>
      <c r="C176" s="28"/>
      <c r="D176" s="28"/>
      <c r="E176" s="28"/>
      <c r="F176" s="28"/>
      <c r="G176" s="28"/>
      <c r="H176" s="28"/>
      <c r="I176" s="28"/>
      <c r="J176" s="28"/>
      <c r="K176" s="28"/>
      <c r="L176" s="28"/>
      <c r="M176" s="28"/>
      <c r="N176" s="28"/>
      <c r="O176" s="28"/>
      <c r="P176" s="28"/>
      <c r="Q176" s="28"/>
      <c r="R176" s="28"/>
    </row>
    <row r="177" spans="2:18">
      <c r="B177" s="28"/>
      <c r="C177" s="28"/>
      <c r="D177" s="28"/>
      <c r="E177" s="28"/>
      <c r="F177" s="28"/>
      <c r="G177" s="28"/>
      <c r="H177" s="28"/>
      <c r="I177" s="28"/>
      <c r="J177" s="28"/>
      <c r="K177" s="28"/>
      <c r="L177" s="28"/>
      <c r="M177" s="28"/>
      <c r="N177" s="28"/>
      <c r="O177" s="28"/>
      <c r="P177" s="28"/>
      <c r="Q177" s="28"/>
      <c r="R177" s="28"/>
    </row>
    <row r="178" spans="2:18">
      <c r="B178" s="28"/>
      <c r="C178" s="28"/>
      <c r="D178" s="28"/>
      <c r="E178" s="28"/>
      <c r="F178" s="28"/>
      <c r="G178" s="28"/>
      <c r="H178" s="28"/>
      <c r="I178" s="28"/>
      <c r="J178" s="28"/>
      <c r="K178" s="28"/>
      <c r="L178" s="28"/>
      <c r="M178" s="28"/>
      <c r="N178" s="28"/>
      <c r="O178" s="28"/>
      <c r="P178" s="28"/>
      <c r="Q178" s="28"/>
      <c r="R178" s="28"/>
    </row>
    <row r="179" spans="2:18">
      <c r="B179" s="28"/>
      <c r="C179" s="28"/>
      <c r="D179" s="28"/>
      <c r="E179" s="28"/>
      <c r="F179" s="28"/>
      <c r="G179" s="28"/>
      <c r="H179" s="28"/>
      <c r="I179" s="28"/>
      <c r="J179" s="28"/>
      <c r="K179" s="28"/>
      <c r="L179" s="28"/>
      <c r="M179" s="28"/>
      <c r="N179" s="28"/>
      <c r="O179" s="28"/>
      <c r="P179" s="28"/>
      <c r="Q179" s="28"/>
      <c r="R179" s="28"/>
    </row>
    <row r="180" spans="2:18">
      <c r="B180" s="28"/>
      <c r="C180" s="28"/>
      <c r="D180" s="28"/>
      <c r="E180" s="28"/>
      <c r="F180" s="28"/>
      <c r="G180" s="28"/>
      <c r="H180" s="28"/>
      <c r="I180" s="28"/>
      <c r="J180" s="28"/>
      <c r="K180" s="28"/>
      <c r="L180" s="28"/>
      <c r="M180" s="28"/>
      <c r="N180" s="28"/>
      <c r="O180" s="28"/>
      <c r="P180" s="28"/>
      <c r="Q180" s="28"/>
      <c r="R180" s="28"/>
    </row>
    <row r="181" spans="2:18">
      <c r="B181" s="28"/>
      <c r="C181" s="28"/>
      <c r="D181" s="28"/>
      <c r="E181" s="28"/>
      <c r="F181" s="28"/>
      <c r="G181" s="28"/>
      <c r="H181" s="28"/>
      <c r="I181" s="28"/>
      <c r="J181" s="28"/>
      <c r="K181" s="28"/>
      <c r="L181" s="28"/>
      <c r="M181" s="28"/>
      <c r="N181" s="28"/>
      <c r="O181" s="28"/>
      <c r="P181" s="28"/>
      <c r="Q181" s="28"/>
      <c r="R181" s="28"/>
    </row>
    <row r="182" spans="2:18">
      <c r="B182" s="28"/>
      <c r="C182" s="28"/>
      <c r="D182" s="28"/>
      <c r="E182" s="28"/>
      <c r="F182" s="28"/>
      <c r="G182" s="28"/>
      <c r="H182" s="28"/>
      <c r="I182" s="28"/>
      <c r="J182" s="28"/>
      <c r="K182" s="28"/>
      <c r="L182" s="28"/>
      <c r="M182" s="28"/>
      <c r="N182" s="28"/>
      <c r="O182" s="28"/>
      <c r="P182" s="28"/>
      <c r="Q182" s="28"/>
      <c r="R182" s="28"/>
    </row>
    <row r="183" spans="2:18">
      <c r="B183" s="28"/>
      <c r="C183" s="28"/>
      <c r="D183" s="28"/>
      <c r="E183" s="28"/>
      <c r="F183" s="28"/>
      <c r="G183" s="28"/>
      <c r="H183" s="28"/>
      <c r="I183" s="28"/>
      <c r="J183" s="28"/>
      <c r="K183" s="28"/>
      <c r="L183" s="28"/>
      <c r="M183" s="28"/>
      <c r="N183" s="28"/>
      <c r="O183" s="28"/>
      <c r="P183" s="28"/>
      <c r="Q183" s="28"/>
      <c r="R183" s="28"/>
    </row>
    <row r="184" spans="2:18">
      <c r="B184" s="28"/>
      <c r="C184" s="28"/>
      <c r="D184" s="28"/>
      <c r="E184" s="28"/>
      <c r="F184" s="28"/>
      <c r="G184" s="28"/>
      <c r="H184" s="28"/>
      <c r="I184" s="28"/>
      <c r="J184" s="28"/>
      <c r="K184" s="28"/>
      <c r="L184" s="28"/>
      <c r="M184" s="28"/>
      <c r="N184" s="28"/>
      <c r="O184" s="28"/>
      <c r="P184" s="28"/>
      <c r="Q184" s="28"/>
      <c r="R184" s="28"/>
    </row>
    <row r="185" spans="2:18">
      <c r="B185" s="28"/>
      <c r="C185" s="28"/>
      <c r="D185" s="28"/>
      <c r="E185" s="28"/>
      <c r="F185" s="28"/>
      <c r="G185" s="28"/>
      <c r="H185" s="28"/>
      <c r="I185" s="28"/>
      <c r="J185" s="28"/>
      <c r="K185" s="28"/>
      <c r="L185" s="28"/>
      <c r="M185" s="28"/>
      <c r="N185" s="28"/>
      <c r="O185" s="28"/>
      <c r="P185" s="28"/>
      <c r="Q185" s="28"/>
      <c r="R185" s="28"/>
    </row>
    <row r="186" spans="2:18">
      <c r="B186" s="28"/>
      <c r="C186" s="28"/>
      <c r="D186" s="28"/>
      <c r="E186" s="28"/>
      <c r="F186" s="28"/>
      <c r="G186" s="28"/>
      <c r="H186" s="28"/>
      <c r="I186" s="28"/>
      <c r="J186" s="28"/>
      <c r="K186" s="28"/>
      <c r="L186" s="28"/>
      <c r="M186" s="28"/>
      <c r="N186" s="28"/>
      <c r="O186" s="28"/>
      <c r="P186" s="28"/>
      <c r="Q186" s="28"/>
      <c r="R186" s="28"/>
    </row>
    <row r="187" spans="2:18">
      <c r="B187" s="28"/>
      <c r="C187" s="28"/>
      <c r="D187" s="28"/>
      <c r="E187" s="28"/>
      <c r="F187" s="28"/>
      <c r="G187" s="28"/>
      <c r="H187" s="28"/>
      <c r="I187" s="28"/>
      <c r="J187" s="28"/>
      <c r="K187" s="28"/>
      <c r="L187" s="28"/>
      <c r="M187" s="28"/>
      <c r="N187" s="28"/>
      <c r="O187" s="28"/>
      <c r="P187" s="28"/>
      <c r="Q187" s="28"/>
      <c r="R187" s="28"/>
    </row>
    <row r="188" spans="2:18">
      <c r="B188" s="28"/>
      <c r="C188" s="28"/>
      <c r="D188" s="28"/>
      <c r="E188" s="28"/>
      <c r="F188" s="28"/>
      <c r="G188" s="28"/>
      <c r="H188" s="28"/>
      <c r="I188" s="28"/>
      <c r="J188" s="28"/>
      <c r="K188" s="28"/>
      <c r="L188" s="28"/>
      <c r="M188" s="28"/>
      <c r="N188" s="28"/>
      <c r="O188" s="28"/>
      <c r="P188" s="28"/>
      <c r="Q188" s="28"/>
      <c r="R188" s="28"/>
    </row>
    <row r="189" spans="2:18">
      <c r="B189" s="28"/>
      <c r="C189" s="28"/>
      <c r="D189" s="28"/>
      <c r="E189" s="28"/>
      <c r="F189" s="28"/>
      <c r="G189" s="28"/>
      <c r="H189" s="28"/>
      <c r="I189" s="28"/>
      <c r="J189" s="28"/>
      <c r="K189" s="28"/>
      <c r="L189" s="28"/>
      <c r="M189" s="28"/>
      <c r="N189" s="28"/>
      <c r="O189" s="28"/>
      <c r="P189" s="28"/>
      <c r="Q189" s="28"/>
      <c r="R189" s="28"/>
    </row>
    <row r="190" spans="2:18">
      <c r="B190" s="28"/>
      <c r="C190" s="28"/>
      <c r="D190" s="28"/>
      <c r="E190" s="28"/>
      <c r="F190" s="28"/>
      <c r="G190" s="28"/>
      <c r="H190" s="28"/>
      <c r="I190" s="28"/>
      <c r="J190" s="28"/>
      <c r="K190" s="28"/>
      <c r="L190" s="28"/>
      <c r="M190" s="28"/>
      <c r="N190" s="28"/>
      <c r="O190" s="28"/>
      <c r="P190" s="28"/>
      <c r="Q190" s="28"/>
      <c r="R190" s="28"/>
    </row>
    <row r="191" spans="2:18">
      <c r="B191" s="28"/>
      <c r="C191" s="28"/>
      <c r="D191" s="28"/>
      <c r="E191" s="28"/>
      <c r="F191" s="28"/>
      <c r="G191" s="28"/>
      <c r="H191" s="28"/>
      <c r="I191" s="28"/>
      <c r="J191" s="28"/>
      <c r="K191" s="28"/>
      <c r="L191" s="28"/>
      <c r="M191" s="28"/>
      <c r="N191" s="28"/>
      <c r="O191" s="28"/>
      <c r="P191" s="28"/>
      <c r="Q191" s="28"/>
      <c r="R191" s="28"/>
    </row>
    <row r="192" spans="2:18">
      <c r="B192" s="28"/>
      <c r="C192" s="28"/>
      <c r="D192" s="28"/>
      <c r="E192" s="28"/>
      <c r="F192" s="28"/>
      <c r="G192" s="28"/>
      <c r="H192" s="28"/>
      <c r="I192" s="28"/>
      <c r="J192" s="28"/>
      <c r="K192" s="28"/>
      <c r="L192" s="28"/>
      <c r="M192" s="28"/>
      <c r="N192" s="28"/>
      <c r="O192" s="28"/>
      <c r="P192" s="28"/>
      <c r="Q192" s="28"/>
      <c r="R192" s="28"/>
    </row>
    <row r="193" spans="2:18">
      <c r="B193" s="28"/>
      <c r="C193" s="28"/>
      <c r="D193" s="28"/>
      <c r="E193" s="28"/>
      <c r="F193" s="28"/>
      <c r="G193" s="28"/>
      <c r="H193" s="28"/>
      <c r="I193" s="28"/>
      <c r="J193" s="28"/>
      <c r="K193" s="28"/>
      <c r="L193" s="28"/>
      <c r="M193" s="28"/>
      <c r="N193" s="28"/>
      <c r="O193" s="28"/>
      <c r="P193" s="28"/>
      <c r="Q193" s="28"/>
      <c r="R193" s="28"/>
    </row>
    <row r="194" spans="2:18">
      <c r="B194" s="28"/>
      <c r="C194" s="28"/>
      <c r="D194" s="28"/>
      <c r="E194" s="28"/>
      <c r="F194" s="28"/>
      <c r="G194" s="28"/>
      <c r="H194" s="28"/>
      <c r="I194" s="28"/>
      <c r="J194" s="28"/>
      <c r="K194" s="28"/>
      <c r="L194" s="28"/>
      <c r="M194" s="28"/>
      <c r="N194" s="28"/>
      <c r="O194" s="28"/>
      <c r="P194" s="28"/>
      <c r="Q194" s="28"/>
      <c r="R194" s="28"/>
    </row>
    <row r="195" spans="2:18">
      <c r="B195" s="28"/>
      <c r="C195" s="28"/>
      <c r="D195" s="28"/>
      <c r="E195" s="28"/>
      <c r="F195" s="28"/>
      <c r="G195" s="28"/>
      <c r="H195" s="28"/>
      <c r="I195" s="28"/>
      <c r="J195" s="28"/>
      <c r="K195" s="28"/>
      <c r="L195" s="28"/>
      <c r="M195" s="28"/>
      <c r="N195" s="28"/>
      <c r="O195" s="28"/>
      <c r="P195" s="28"/>
      <c r="Q195" s="28"/>
      <c r="R195" s="28"/>
    </row>
    <row r="196" spans="2:18">
      <c r="B196" s="28"/>
      <c r="C196" s="28"/>
      <c r="D196" s="28"/>
      <c r="E196" s="28"/>
      <c r="F196" s="28"/>
      <c r="G196" s="28"/>
      <c r="H196" s="28"/>
      <c r="I196" s="28"/>
      <c r="J196" s="28"/>
      <c r="K196" s="28"/>
      <c r="L196" s="28"/>
      <c r="M196" s="28"/>
      <c r="N196" s="28"/>
      <c r="O196" s="28"/>
      <c r="P196" s="28"/>
      <c r="Q196" s="28"/>
      <c r="R196" s="28"/>
    </row>
    <row r="197" spans="2:18">
      <c r="B197" s="28"/>
      <c r="C197" s="28"/>
      <c r="D197" s="28"/>
      <c r="E197" s="28"/>
      <c r="F197" s="28"/>
      <c r="G197" s="28"/>
      <c r="H197" s="28"/>
      <c r="I197" s="28"/>
      <c r="J197" s="28"/>
      <c r="K197" s="28"/>
      <c r="L197" s="28"/>
      <c r="M197" s="28"/>
      <c r="N197" s="28"/>
      <c r="O197" s="28"/>
      <c r="P197" s="28"/>
      <c r="Q197" s="28"/>
      <c r="R197" s="28"/>
    </row>
    <row r="198" spans="2:18">
      <c r="B198" s="28"/>
      <c r="C198" s="28"/>
      <c r="D198" s="28"/>
      <c r="E198" s="28"/>
      <c r="F198" s="28"/>
      <c r="G198" s="28"/>
      <c r="H198" s="28"/>
      <c r="I198" s="28"/>
      <c r="J198" s="28"/>
      <c r="K198" s="28"/>
      <c r="L198" s="28"/>
      <c r="M198" s="28"/>
      <c r="N198" s="28"/>
      <c r="O198" s="28"/>
      <c r="P198" s="28"/>
      <c r="Q198" s="28"/>
      <c r="R198" s="28"/>
    </row>
    <row r="199" spans="2:18">
      <c r="B199" s="28"/>
      <c r="C199" s="28"/>
      <c r="D199" s="28"/>
      <c r="E199" s="28"/>
      <c r="F199" s="28"/>
      <c r="G199" s="28"/>
      <c r="H199" s="28"/>
      <c r="I199" s="28"/>
      <c r="J199" s="28"/>
      <c r="K199" s="28"/>
      <c r="L199" s="28"/>
      <c r="M199" s="28"/>
      <c r="N199" s="28"/>
      <c r="O199" s="28"/>
      <c r="P199" s="28"/>
      <c r="Q199" s="28"/>
      <c r="R199" s="28"/>
    </row>
    <row r="200" spans="2:18">
      <c r="B200" s="28"/>
      <c r="C200" s="28"/>
      <c r="D200" s="28"/>
      <c r="E200" s="28"/>
      <c r="F200" s="28"/>
      <c r="G200" s="28"/>
      <c r="H200" s="28"/>
      <c r="I200" s="28"/>
      <c r="J200" s="28"/>
      <c r="K200" s="28"/>
      <c r="L200" s="28"/>
      <c r="M200" s="28"/>
      <c r="N200" s="28"/>
      <c r="O200" s="28"/>
      <c r="P200" s="28"/>
      <c r="Q200" s="28"/>
      <c r="R200" s="28"/>
    </row>
    <row r="201" spans="2:18">
      <c r="B201" s="28"/>
      <c r="C201" s="28"/>
      <c r="D201" s="28"/>
      <c r="E201" s="28"/>
      <c r="F201" s="28"/>
      <c r="G201" s="28"/>
      <c r="H201" s="28"/>
      <c r="I201" s="28"/>
      <c r="J201" s="28"/>
      <c r="K201" s="28"/>
      <c r="L201" s="28"/>
      <c r="M201" s="28"/>
      <c r="N201" s="28"/>
      <c r="O201" s="28"/>
      <c r="P201" s="28"/>
      <c r="Q201" s="28"/>
      <c r="R201" s="28"/>
    </row>
    <row r="202" spans="2:18">
      <c r="B202" s="28"/>
      <c r="C202" s="28"/>
      <c r="D202" s="28"/>
      <c r="E202" s="28"/>
      <c r="F202" s="28"/>
      <c r="G202" s="28"/>
      <c r="H202" s="28"/>
      <c r="I202" s="28"/>
      <c r="J202" s="28"/>
      <c r="K202" s="28"/>
      <c r="L202" s="28"/>
      <c r="M202" s="28"/>
      <c r="N202" s="28"/>
      <c r="O202" s="28"/>
      <c r="P202" s="28"/>
      <c r="Q202" s="28"/>
      <c r="R202" s="28"/>
    </row>
    <row r="203" spans="2:18">
      <c r="B203" s="28"/>
      <c r="C203" s="28"/>
      <c r="D203" s="28"/>
      <c r="E203" s="28"/>
      <c r="F203" s="28"/>
      <c r="G203" s="28"/>
      <c r="H203" s="28"/>
      <c r="I203" s="28"/>
      <c r="J203" s="28"/>
      <c r="K203" s="28"/>
      <c r="L203" s="28"/>
      <c r="M203" s="28"/>
      <c r="N203" s="28"/>
      <c r="O203" s="28"/>
      <c r="P203" s="28"/>
      <c r="Q203" s="28"/>
      <c r="R203" s="28"/>
    </row>
    <row r="204" spans="2:18">
      <c r="B204" s="28"/>
      <c r="C204" s="28"/>
      <c r="D204" s="28"/>
      <c r="E204" s="28"/>
      <c r="F204" s="28"/>
      <c r="G204" s="28"/>
      <c r="H204" s="28"/>
      <c r="I204" s="28"/>
      <c r="J204" s="28"/>
      <c r="K204" s="28"/>
      <c r="L204" s="28"/>
      <c r="M204" s="28"/>
      <c r="N204" s="28"/>
      <c r="O204" s="28"/>
      <c r="P204" s="28"/>
      <c r="Q204" s="28"/>
      <c r="R204" s="28"/>
    </row>
    <row r="205" spans="2:18">
      <c r="B205" s="28"/>
      <c r="C205" s="28"/>
      <c r="D205" s="28"/>
      <c r="E205" s="28"/>
      <c r="F205" s="28"/>
      <c r="G205" s="28"/>
      <c r="H205" s="28"/>
      <c r="I205" s="28"/>
      <c r="J205" s="28"/>
      <c r="K205" s="28"/>
      <c r="L205" s="28"/>
      <c r="M205" s="28"/>
      <c r="N205" s="28"/>
      <c r="O205" s="28"/>
      <c r="P205" s="28"/>
      <c r="Q205" s="28"/>
      <c r="R205" s="28"/>
    </row>
    <row r="206" spans="2:18">
      <c r="B206" s="28"/>
      <c r="C206" s="28"/>
      <c r="D206" s="28"/>
      <c r="E206" s="28"/>
      <c r="F206" s="28"/>
      <c r="G206" s="28"/>
      <c r="H206" s="28"/>
      <c r="I206" s="28"/>
      <c r="J206" s="28"/>
      <c r="K206" s="28"/>
      <c r="L206" s="28"/>
      <c r="M206" s="28"/>
      <c r="N206" s="28"/>
      <c r="O206" s="28"/>
      <c r="P206" s="28"/>
      <c r="Q206" s="28"/>
      <c r="R206" s="28"/>
    </row>
    <row r="207" spans="2:18">
      <c r="B207" s="28"/>
      <c r="C207" s="28"/>
      <c r="D207" s="28"/>
      <c r="E207" s="28"/>
      <c r="F207" s="28"/>
      <c r="G207" s="28"/>
      <c r="H207" s="28"/>
      <c r="I207" s="28"/>
      <c r="J207" s="28"/>
      <c r="K207" s="28"/>
      <c r="L207" s="28"/>
      <c r="M207" s="28"/>
      <c r="N207" s="28"/>
      <c r="O207" s="28"/>
      <c r="P207" s="28"/>
      <c r="Q207" s="28"/>
      <c r="R207" s="28"/>
    </row>
    <row r="208" spans="2:18">
      <c r="B208" s="28"/>
      <c r="C208" s="28"/>
      <c r="D208" s="28"/>
      <c r="E208" s="28"/>
      <c r="F208" s="28"/>
      <c r="G208" s="28"/>
      <c r="H208" s="28"/>
      <c r="I208" s="28"/>
      <c r="J208" s="28"/>
      <c r="K208" s="28"/>
      <c r="L208" s="28"/>
      <c r="M208" s="28"/>
      <c r="N208" s="28"/>
      <c r="O208" s="28"/>
      <c r="P208" s="28"/>
      <c r="Q208" s="28"/>
      <c r="R208" s="28"/>
    </row>
    <row r="209" spans="2:18">
      <c r="B209" s="28"/>
      <c r="C209" s="28"/>
      <c r="D209" s="28"/>
      <c r="E209" s="28"/>
      <c r="F209" s="28"/>
      <c r="G209" s="28"/>
      <c r="H209" s="28"/>
      <c r="I209" s="28"/>
      <c r="J209" s="28"/>
      <c r="K209" s="28"/>
      <c r="L209" s="28"/>
      <c r="M209" s="28"/>
      <c r="N209" s="28"/>
      <c r="O209" s="28"/>
      <c r="P209" s="28"/>
      <c r="Q209" s="28"/>
      <c r="R209" s="28"/>
    </row>
    <row r="210" spans="2:18">
      <c r="B210" s="28"/>
      <c r="C210" s="28"/>
      <c r="D210" s="28"/>
      <c r="E210" s="28"/>
      <c r="F210" s="28"/>
      <c r="G210" s="28"/>
      <c r="H210" s="28"/>
      <c r="I210" s="28"/>
      <c r="J210" s="28"/>
      <c r="K210" s="28"/>
      <c r="L210" s="28"/>
      <c r="M210" s="28"/>
      <c r="N210" s="28"/>
      <c r="O210" s="28"/>
      <c r="P210" s="28"/>
      <c r="Q210" s="28"/>
      <c r="R210" s="28"/>
    </row>
  </sheetData>
  <mergeCells count="9">
    <mergeCell ref="B64:P64"/>
    <mergeCell ref="B2:Q2"/>
    <mergeCell ref="B3:Q3"/>
    <mergeCell ref="B4:Q4"/>
    <mergeCell ref="V6:X8"/>
    <mergeCell ref="N7:P7"/>
    <mergeCell ref="S22:S27"/>
    <mergeCell ref="B62:Q62"/>
    <mergeCell ref="B63:P63"/>
  </mergeCells>
  <conditionalFormatting sqref="N48:N49">
    <cfRule type="cellIs" dxfId="20" priority="7" operator="lessThan">
      <formula>0</formula>
    </cfRule>
    <cfRule type="cellIs" dxfId="19" priority="8" operator="greaterThan">
      <formula>0.051</formula>
    </cfRule>
    <cfRule type="cellIs" dxfId="18" priority="9" operator="greaterThan">
      <formula>5.1</formula>
    </cfRule>
  </conditionalFormatting>
  <conditionalFormatting sqref="O48:O49">
    <cfRule type="cellIs" dxfId="17" priority="3" operator="lessThan">
      <formula>0</formula>
    </cfRule>
    <cfRule type="cellIs" dxfId="16" priority="4" operator="greaterThan">
      <formula>0.019</formula>
    </cfRule>
    <cfRule type="cellIs" dxfId="15" priority="5" operator="greaterThan">
      <formula>0.019</formula>
    </cfRule>
    <cfRule type="cellIs" dxfId="14" priority="6" operator="greaterThan">
      <formula>0.02</formula>
    </cfRule>
  </conditionalFormatting>
  <conditionalFormatting sqref="P48:P49">
    <cfRule type="cellIs" dxfId="13" priority="1" operator="lessThan">
      <formula>0</formula>
    </cfRule>
    <cfRule type="cellIs" dxfId="12" priority="2" operator="greaterThan">
      <formula>0.02</formula>
    </cfRule>
  </conditionalFormatting>
  <pageMargins left="0.25" right="0.25" top="0.5" bottom="0.75" header="0.3" footer="0.3"/>
  <pageSetup paperSize="5"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92D050"/>
  </sheetPr>
  <dimension ref="A1:Z204"/>
  <sheetViews>
    <sheetView showGridLines="0" tabSelected="1" zoomScaleNormal="100" workbookViewId="0">
      <pane xSplit="6" ySplit="8" topLeftCell="G9" activePane="bottomRight" state="frozen"/>
      <selection pane="topRight" activeCell="E1" sqref="E1"/>
      <selection pane="bottomLeft" activeCell="A6" sqref="A6"/>
      <selection pane="bottomRight" activeCell="D7" sqref="D7"/>
    </sheetView>
  </sheetViews>
  <sheetFormatPr baseColWidth="10" defaultRowHeight="15" outlineLevelCol="2"/>
  <cols>
    <col min="1" max="1" width="4.85546875" style="78" customWidth="1"/>
    <col min="2" max="2" width="1.7109375" style="78" customWidth="1"/>
    <col min="3" max="3" width="10.28515625" style="78" customWidth="1"/>
    <col min="4" max="4" width="42.42578125" style="78" customWidth="1"/>
    <col min="5" max="5" width="18.5703125" style="78" customWidth="1"/>
    <col min="6" max="6" width="4.140625" style="78" customWidth="1"/>
    <col min="7" max="8" width="13.85546875" style="78" customWidth="1"/>
    <col min="9" max="9" width="15.42578125" style="78" customWidth="1"/>
    <col min="10" max="10" width="13" style="78" customWidth="1"/>
    <col min="11" max="11" width="12.85546875" style="78" customWidth="1"/>
    <col min="12" max="13" width="14.140625" style="78" bestFit="1" customWidth="1"/>
    <col min="14" max="14" width="4.7109375" style="78" customWidth="1"/>
    <col min="15" max="15" width="9.7109375" style="140" customWidth="1"/>
    <col min="16" max="18" width="9.7109375" style="78" customWidth="1"/>
    <col min="19" max="19" width="14.140625" style="78" hidden="1" customWidth="1" outlineLevel="1"/>
    <col min="20" max="20" width="4.7109375" style="78" hidden="1" customWidth="1" outlineLevel="2"/>
    <col min="21" max="21" width="30.5703125" style="78" hidden="1" customWidth="1" outlineLevel="2"/>
    <col min="22" max="22" width="11.42578125" style="78" hidden="1" customWidth="1" outlineLevel="1"/>
    <col min="23" max="23" width="2.140625" style="78" customWidth="1" collapsed="1"/>
    <col min="24" max="24" width="4.28515625" style="78" customWidth="1"/>
    <col min="25" max="25" width="7.42578125" style="78" customWidth="1"/>
    <col min="26" max="26" width="5.42578125" style="78" customWidth="1"/>
    <col min="27" max="16384" width="11.42578125" style="78"/>
  </cols>
  <sheetData>
    <row r="1" spans="1:26" ht="9" customHeight="1">
      <c r="G1" s="1"/>
      <c r="H1" s="1"/>
      <c r="I1" s="2"/>
    </row>
    <row r="2" spans="1:26">
      <c r="C2" s="182" t="s">
        <v>0</v>
      </c>
      <c r="D2" s="182"/>
      <c r="E2" s="182"/>
      <c r="F2" s="182"/>
      <c r="G2" s="182"/>
      <c r="H2" s="182"/>
      <c r="I2" s="182"/>
      <c r="J2" s="182"/>
      <c r="K2" s="182"/>
      <c r="L2" s="182"/>
      <c r="M2" s="182"/>
      <c r="N2" s="182"/>
      <c r="O2" s="182"/>
      <c r="P2" s="182"/>
      <c r="Q2" s="182"/>
      <c r="R2" s="182"/>
      <c r="S2" s="182"/>
      <c r="T2" s="80"/>
    </row>
    <row r="3" spans="1:26">
      <c r="C3" s="182" t="s">
        <v>1</v>
      </c>
      <c r="D3" s="182"/>
      <c r="E3" s="182"/>
      <c r="F3" s="182"/>
      <c r="G3" s="182"/>
      <c r="H3" s="182"/>
      <c r="I3" s="182"/>
      <c r="J3" s="182"/>
      <c r="K3" s="182"/>
      <c r="L3" s="182"/>
      <c r="M3" s="182"/>
      <c r="N3" s="182"/>
      <c r="O3" s="182"/>
      <c r="P3" s="182"/>
      <c r="Q3" s="182"/>
      <c r="R3" s="182"/>
      <c r="S3" s="182"/>
      <c r="T3" s="80"/>
    </row>
    <row r="4" spans="1:26">
      <c r="C4" s="182" t="s">
        <v>2</v>
      </c>
      <c r="D4" s="182"/>
      <c r="E4" s="182"/>
      <c r="F4" s="182"/>
      <c r="G4" s="182"/>
      <c r="H4" s="182"/>
      <c r="I4" s="182"/>
      <c r="J4" s="182"/>
      <c r="K4" s="182"/>
      <c r="L4" s="182"/>
      <c r="M4" s="182"/>
      <c r="N4" s="182"/>
      <c r="O4" s="182"/>
      <c r="P4" s="182"/>
      <c r="Q4" s="182"/>
      <c r="R4" s="182"/>
      <c r="S4" s="182"/>
      <c r="T4" s="80"/>
    </row>
    <row r="5" spans="1:26" ht="15" customHeight="1">
      <c r="C5" s="3"/>
      <c r="D5" s="4"/>
      <c r="E5" s="4"/>
      <c r="F5" s="4"/>
      <c r="G5" s="45"/>
      <c r="H5" s="45"/>
      <c r="I5" s="45"/>
      <c r="J5" s="45"/>
      <c r="K5" s="45"/>
      <c r="L5" s="45"/>
      <c r="M5" s="45"/>
      <c r="N5" s="45"/>
      <c r="O5" s="45"/>
      <c r="P5" s="45"/>
      <c r="Q5" s="45"/>
      <c r="R5" s="45"/>
      <c r="S5" s="45"/>
      <c r="T5" s="82"/>
      <c r="U5" s="1"/>
      <c r="X5" s="197" t="s">
        <v>66</v>
      </c>
      <c r="Y5" s="197"/>
      <c r="Z5" s="197"/>
    </row>
    <row r="6" spans="1:26" ht="13.5" customHeight="1">
      <c r="C6" s="3"/>
      <c r="D6" s="4"/>
      <c r="E6" s="4"/>
      <c r="F6" s="4"/>
      <c r="G6" s="82"/>
      <c r="H6" s="82"/>
      <c r="I6" s="82"/>
      <c r="J6" s="82"/>
      <c r="K6" s="82"/>
      <c r="L6" s="82"/>
      <c r="M6" s="82"/>
      <c r="N6" s="82"/>
      <c r="O6" s="161"/>
      <c r="P6" s="82"/>
      <c r="Q6" s="82"/>
      <c r="R6" s="82"/>
      <c r="S6" s="82"/>
      <c r="T6" s="82"/>
      <c r="U6" s="1"/>
      <c r="X6" s="197"/>
      <c r="Y6" s="197"/>
      <c r="Z6" s="197"/>
    </row>
    <row r="7" spans="1:26" ht="15" customHeight="1">
      <c r="C7" s="3"/>
      <c r="D7" s="4"/>
      <c r="E7" s="4"/>
      <c r="F7" s="4"/>
      <c r="G7" s="82"/>
      <c r="H7" s="82"/>
      <c r="I7" s="82"/>
      <c r="J7" s="82"/>
      <c r="K7" s="82"/>
      <c r="L7" s="82"/>
      <c r="M7" s="82"/>
      <c r="N7" s="82"/>
      <c r="O7" s="198" t="s">
        <v>54</v>
      </c>
      <c r="P7" s="198"/>
      <c r="Q7" s="198"/>
      <c r="R7" s="198"/>
      <c r="S7" s="82"/>
      <c r="T7" s="82"/>
      <c r="U7" s="1"/>
      <c r="X7" s="197"/>
      <c r="Y7" s="197"/>
      <c r="Z7" s="197"/>
    </row>
    <row r="8" spans="1:26">
      <c r="C8" s="3"/>
      <c r="D8" s="4"/>
      <c r="E8" s="4"/>
      <c r="F8" s="4"/>
      <c r="G8" s="5" t="s">
        <v>3</v>
      </c>
      <c r="H8" s="5" t="s">
        <v>4</v>
      </c>
      <c r="I8" s="5" t="s">
        <v>5</v>
      </c>
      <c r="J8" s="5" t="s">
        <v>6</v>
      </c>
      <c r="K8" s="6" t="s">
        <v>7</v>
      </c>
      <c r="L8" s="5" t="s">
        <v>8</v>
      </c>
      <c r="M8" s="6" t="s">
        <v>9</v>
      </c>
      <c r="N8" s="6"/>
      <c r="O8" s="6" t="s">
        <v>239</v>
      </c>
      <c r="P8" s="6" t="s">
        <v>55</v>
      </c>
      <c r="Q8" s="6" t="s">
        <v>56</v>
      </c>
      <c r="R8" s="6" t="s">
        <v>57</v>
      </c>
      <c r="S8" s="6" t="s">
        <v>9</v>
      </c>
      <c r="T8" s="6"/>
      <c r="U8" s="36" t="s">
        <v>47</v>
      </c>
      <c r="X8" s="197"/>
      <c r="Y8" s="197"/>
      <c r="Z8" s="197"/>
    </row>
    <row r="9" spans="1:26">
      <c r="C9" s="7"/>
      <c r="D9" s="7"/>
      <c r="E9" s="7"/>
      <c r="F9" s="4"/>
      <c r="G9" s="8"/>
      <c r="H9" s="8"/>
      <c r="I9" s="8"/>
      <c r="J9" s="8"/>
      <c r="K9" s="8"/>
      <c r="L9" s="8"/>
      <c r="M9" s="8" t="s">
        <v>48</v>
      </c>
      <c r="N9" s="22"/>
      <c r="O9" s="22"/>
      <c r="P9" s="8"/>
      <c r="Q9" s="8"/>
      <c r="R9" s="8"/>
      <c r="S9" s="8" t="s">
        <v>49</v>
      </c>
      <c r="T9" s="8"/>
      <c r="U9" s="9"/>
    </row>
    <row r="10" spans="1:26">
      <c r="C10" s="7"/>
      <c r="D10" s="7"/>
      <c r="E10" s="7"/>
      <c r="F10" s="4"/>
      <c r="G10" s="8"/>
      <c r="H10" s="8"/>
      <c r="I10" s="8"/>
      <c r="J10" s="8"/>
      <c r="K10" s="8"/>
      <c r="L10" s="8" t="s">
        <v>110</v>
      </c>
      <c r="M10" s="64" t="s">
        <v>109</v>
      </c>
      <c r="N10" s="22"/>
      <c r="O10" s="22"/>
      <c r="P10" s="8"/>
      <c r="Q10" s="8"/>
      <c r="R10" s="8"/>
      <c r="S10" s="8"/>
      <c r="T10" s="8"/>
      <c r="U10" s="9"/>
    </row>
    <row r="11" spans="1:26" s="13" customFormat="1" ht="18" customHeight="1">
      <c r="A11" s="84">
        <v>1</v>
      </c>
      <c r="C11" s="4" t="s">
        <v>10</v>
      </c>
      <c r="D11" s="10"/>
      <c r="E11" s="10"/>
      <c r="F11" s="10"/>
      <c r="G11" s="11">
        <v>0</v>
      </c>
      <c r="H11" s="11">
        <v>0</v>
      </c>
      <c r="I11" s="11">
        <v>454.61278999999996</v>
      </c>
      <c r="J11" s="11">
        <v>812.71965999999998</v>
      </c>
      <c r="K11" s="11">
        <v>1151.1051499999999</v>
      </c>
      <c r="L11" s="11">
        <v>618.1</v>
      </c>
      <c r="M11" s="11">
        <v>77</v>
      </c>
      <c r="N11" s="43"/>
      <c r="O11" s="55" t="s">
        <v>53</v>
      </c>
      <c r="P11" s="55" t="s">
        <v>53</v>
      </c>
      <c r="Q11" s="56">
        <f>(L11-K11)/K11</f>
        <v>-0.46303775984322537</v>
      </c>
      <c r="R11" s="56">
        <f>(M11-L11)/L11</f>
        <v>-0.8754246885617214</v>
      </c>
      <c r="S11" s="11">
        <v>77</v>
      </c>
      <c r="T11" s="11"/>
      <c r="U11" s="12"/>
    </row>
    <row r="12" spans="1:26" s="13" customFormat="1" ht="18" customHeight="1">
      <c r="A12" s="84">
        <f>A11+1</f>
        <v>2</v>
      </c>
      <c r="C12" s="85" t="s">
        <v>52</v>
      </c>
      <c r="D12" s="86"/>
      <c r="E12" s="10"/>
      <c r="F12" s="10"/>
      <c r="G12" s="11">
        <f>180.045+417.402</f>
        <v>597.447</v>
      </c>
      <c r="H12" s="11">
        <f>231.135+799.761+6.781</f>
        <v>1037.6769999999999</v>
      </c>
      <c r="I12" s="11">
        <f>262.921+678.08+30.267</f>
        <v>971.26800000000003</v>
      </c>
      <c r="J12" s="11">
        <f>213.407+628.858+20.77</f>
        <v>863.03499999999997</v>
      </c>
      <c r="K12" s="11">
        <f>212.536+570.437+35.84</f>
        <v>818.81299999999999</v>
      </c>
      <c r="L12" s="11">
        <f>281.783+736.67</f>
        <v>1018.453</v>
      </c>
      <c r="M12" s="11">
        <f>364.283+782.361</f>
        <v>1146.644</v>
      </c>
      <c r="N12" s="43"/>
      <c r="O12" s="56">
        <f>((1+(+L12-G12)/G12)^(1/5))-1</f>
        <v>0.1125725008889511</v>
      </c>
      <c r="P12" s="56">
        <f>((1+(+M12-G12)/G12)^(1/6))-1</f>
        <v>0.11477752165317212</v>
      </c>
      <c r="Q12" s="56">
        <f>(L12-K12)/K12</f>
        <v>0.24381635367293875</v>
      </c>
      <c r="R12" s="56">
        <f t="shared" ref="R12:R50" si="0">(M12-L12)/L12</f>
        <v>0.12586835131321725</v>
      </c>
      <c r="S12" s="11"/>
      <c r="T12" s="11"/>
      <c r="U12" s="12"/>
      <c r="Y12" s="166" t="s">
        <v>67</v>
      </c>
    </row>
    <row r="13" spans="1:26">
      <c r="A13" s="84">
        <f t="shared" ref="A13:A43" si="1">A12+1</f>
        <v>3</v>
      </c>
      <c r="C13" s="7" t="s">
        <v>11</v>
      </c>
      <c r="D13" s="7"/>
      <c r="E13" s="7"/>
      <c r="F13" s="14"/>
      <c r="G13" s="11">
        <v>619.02300000000002</v>
      </c>
      <c r="H13" s="11">
        <v>573.69200000000001</v>
      </c>
      <c r="I13" s="11">
        <v>548.33199999999999</v>
      </c>
      <c r="J13" s="11">
        <v>484.83600000000001</v>
      </c>
      <c r="K13" s="11">
        <v>467.19600000000003</v>
      </c>
      <c r="L13" s="11">
        <v>551.48</v>
      </c>
      <c r="M13" s="11">
        <v>699.63699999999994</v>
      </c>
      <c r="N13" s="43"/>
      <c r="O13" s="56">
        <f t="shared" ref="O13:O50" si="2">((1+(+L13-G13)/G13)^(1/5))-1</f>
        <v>-2.2842440321110713E-2</v>
      </c>
      <c r="P13" s="56">
        <f t="shared" ref="P13:P50" si="3">((1+(+M13-G13)/G13)^(1/6))-1</f>
        <v>2.0612768215386934E-2</v>
      </c>
      <c r="Q13" s="56">
        <f t="shared" ref="Q13:Q50" si="4">(L13-K13)/K13</f>
        <v>0.18040394181457031</v>
      </c>
      <c r="R13" s="56">
        <f t="shared" si="0"/>
        <v>0.26865344164792909</v>
      </c>
      <c r="S13" s="11">
        <v>2519.8470000000002</v>
      </c>
      <c r="T13" s="11"/>
      <c r="U13" s="9"/>
      <c r="Y13" s="166" t="s">
        <v>68</v>
      </c>
    </row>
    <row r="14" spans="1:26">
      <c r="A14" s="84">
        <f t="shared" si="1"/>
        <v>4</v>
      </c>
      <c r="C14" s="15" t="s">
        <v>12</v>
      </c>
      <c r="D14" s="15"/>
      <c r="E14" s="15"/>
      <c r="F14" s="16"/>
      <c r="G14" s="17">
        <f t="shared" ref="G14:M14" si="5">G11+G13+G12</f>
        <v>1216.47</v>
      </c>
      <c r="H14" s="17">
        <f t="shared" si="5"/>
        <v>1611.3689999999999</v>
      </c>
      <c r="I14" s="17">
        <f t="shared" si="5"/>
        <v>1974.21279</v>
      </c>
      <c r="J14" s="17">
        <f t="shared" si="5"/>
        <v>2160.5906599999998</v>
      </c>
      <c r="K14" s="17">
        <f t="shared" si="5"/>
        <v>2437.1141499999999</v>
      </c>
      <c r="L14" s="17">
        <f t="shared" si="5"/>
        <v>2188.0329999999999</v>
      </c>
      <c r="M14" s="17">
        <f t="shared" si="5"/>
        <v>1923.2809999999999</v>
      </c>
      <c r="N14" s="18"/>
      <c r="O14" s="57">
        <f t="shared" si="2"/>
        <v>0.12458035572809023</v>
      </c>
      <c r="P14" s="57">
        <f t="shared" si="3"/>
        <v>7.9336564183525748E-2</v>
      </c>
      <c r="Q14" s="57">
        <f t="shared" si="4"/>
        <v>-0.10220331698455733</v>
      </c>
      <c r="R14" s="57">
        <f t="shared" si="0"/>
        <v>-0.12100000319922047</v>
      </c>
      <c r="S14" s="17">
        <f t="shared" ref="S14" si="6">S11+S13</f>
        <v>2596.8470000000002</v>
      </c>
      <c r="T14" s="18"/>
      <c r="Y14" s="138"/>
    </row>
    <row r="15" spans="1:26" ht="8.25" customHeight="1">
      <c r="A15" s="84"/>
      <c r="C15" s="7"/>
      <c r="D15" s="7"/>
      <c r="E15" s="7"/>
      <c r="F15" s="14"/>
      <c r="G15" s="18"/>
      <c r="H15" s="18"/>
      <c r="I15" s="18"/>
      <c r="J15" s="18"/>
      <c r="K15" s="18"/>
      <c r="L15" s="18"/>
      <c r="M15" s="18"/>
      <c r="N15" s="18"/>
      <c r="O15" s="56"/>
      <c r="P15" s="56"/>
      <c r="Q15" s="56"/>
      <c r="R15" s="56"/>
      <c r="S15" s="18"/>
      <c r="T15" s="18"/>
      <c r="Y15" s="138"/>
    </row>
    <row r="16" spans="1:26">
      <c r="A16" s="84">
        <f>A14+1</f>
        <v>5</v>
      </c>
      <c r="C16" s="7" t="s">
        <v>13</v>
      </c>
      <c r="D16" s="7"/>
      <c r="E16" s="7"/>
      <c r="F16" s="14"/>
      <c r="G16" s="11">
        <v>3301.2202299999994</v>
      </c>
      <c r="H16" s="11">
        <v>3513.3509300000001</v>
      </c>
      <c r="I16" s="11">
        <v>3917.5796200000004</v>
      </c>
      <c r="J16" s="11">
        <v>3936.6712900000016</v>
      </c>
      <c r="K16" s="11">
        <v>4015.7355199999993</v>
      </c>
      <c r="L16" s="11">
        <v>4564.7323477</v>
      </c>
      <c r="M16" s="11">
        <v>4755.1625121057778</v>
      </c>
      <c r="N16" s="43"/>
      <c r="O16" s="56">
        <f t="shared" si="2"/>
        <v>6.6960063480870025E-2</v>
      </c>
      <c r="P16" s="56">
        <f>((1+(+M16-G16)/G16)^(1/6))-1</f>
        <v>6.271092272424772E-2</v>
      </c>
      <c r="Q16" s="56">
        <f t="shared" si="4"/>
        <v>0.1367114006800928</v>
      </c>
      <c r="R16" s="56">
        <f t="shared" si="0"/>
        <v>4.1717706516073934E-2</v>
      </c>
      <c r="S16" s="11">
        <v>4755.1625121057778</v>
      </c>
      <c r="T16" s="11"/>
      <c r="Y16" s="166" t="s">
        <v>68</v>
      </c>
    </row>
    <row r="17" spans="1:25">
      <c r="A17" s="84">
        <f t="shared" si="1"/>
        <v>6</v>
      </c>
      <c r="C17" s="15" t="s">
        <v>14</v>
      </c>
      <c r="D17" s="15"/>
      <c r="E17" s="15"/>
      <c r="F17" s="16"/>
      <c r="G17" s="17">
        <f>G14+G16</f>
        <v>4517.6902299999992</v>
      </c>
      <c r="H17" s="17">
        <f t="shared" ref="H17:S17" si="7">H14+H16</f>
        <v>5124.7199300000002</v>
      </c>
      <c r="I17" s="17">
        <f t="shared" si="7"/>
        <v>5891.79241</v>
      </c>
      <c r="J17" s="17">
        <f t="shared" si="7"/>
        <v>6097.2619500000019</v>
      </c>
      <c r="K17" s="17">
        <f t="shared" si="7"/>
        <v>6452.8496699999996</v>
      </c>
      <c r="L17" s="17">
        <f t="shared" si="7"/>
        <v>6752.7653477000003</v>
      </c>
      <c r="M17" s="17">
        <f t="shared" si="7"/>
        <v>6678.4435121057777</v>
      </c>
      <c r="N17" s="18"/>
      <c r="O17" s="57">
        <f t="shared" si="2"/>
        <v>8.3709902944216319E-2</v>
      </c>
      <c r="P17" s="57">
        <f t="shared" si="3"/>
        <v>6.7316282040090325E-2</v>
      </c>
      <c r="Q17" s="57">
        <f t="shared" si="4"/>
        <v>4.6478020260465908E-2</v>
      </c>
      <c r="R17" s="57">
        <f t="shared" si="0"/>
        <v>-1.1006133305007666E-2</v>
      </c>
      <c r="S17" s="17">
        <f t="shared" si="7"/>
        <v>7352.0095121057784</v>
      </c>
      <c r="T17" s="18"/>
      <c r="Y17" s="138"/>
    </row>
    <row r="18" spans="1:25" ht="12.75" customHeight="1">
      <c r="A18" s="84"/>
      <c r="C18" s="7"/>
      <c r="D18" s="7"/>
      <c r="E18" s="7"/>
      <c r="F18" s="14"/>
      <c r="G18" s="18"/>
      <c r="H18" s="18"/>
      <c r="I18" s="18"/>
      <c r="J18" s="18"/>
      <c r="K18" s="18"/>
      <c r="L18" s="18"/>
      <c r="M18" s="18"/>
      <c r="N18" s="18"/>
      <c r="O18" s="56"/>
      <c r="P18" s="56"/>
      <c r="Q18" s="56"/>
      <c r="R18" s="56"/>
      <c r="S18" s="18"/>
      <c r="T18" s="18"/>
      <c r="Y18" s="138"/>
    </row>
    <row r="19" spans="1:25">
      <c r="A19" s="84">
        <f>A17+1</f>
        <v>7</v>
      </c>
      <c r="C19" s="7" t="s">
        <v>15</v>
      </c>
      <c r="D19" s="7"/>
      <c r="E19" s="7"/>
      <c r="F19" s="14"/>
      <c r="G19" s="11">
        <v>82.265860000000018</v>
      </c>
      <c r="H19" s="11">
        <v>72.566450000000017</v>
      </c>
      <c r="I19" s="11">
        <v>126.39467</v>
      </c>
      <c r="J19" s="11">
        <v>108.93971000000001</v>
      </c>
      <c r="K19" s="11">
        <v>103.86682</v>
      </c>
      <c r="L19" s="11">
        <v>118.99746</v>
      </c>
      <c r="M19" s="11">
        <v>128.99318891999999</v>
      </c>
      <c r="N19" s="43"/>
      <c r="O19" s="56">
        <f t="shared" si="2"/>
        <v>7.6622891949943872E-2</v>
      </c>
      <c r="P19" s="56">
        <f t="shared" si="3"/>
        <v>7.784883388722541E-2</v>
      </c>
      <c r="Q19" s="56">
        <f t="shared" si="4"/>
        <v>0.1456734691598337</v>
      </c>
      <c r="R19" s="56">
        <f t="shared" si="0"/>
        <v>8.3999514947629889E-2</v>
      </c>
      <c r="S19" s="11">
        <v>128.99318891999999</v>
      </c>
      <c r="T19" s="11"/>
      <c r="Y19" s="166" t="s">
        <v>69</v>
      </c>
    </row>
    <row r="20" spans="1:25">
      <c r="A20" s="84">
        <f t="shared" si="1"/>
        <v>8</v>
      </c>
      <c r="C20" s="7" t="s">
        <v>16</v>
      </c>
      <c r="D20" s="7"/>
      <c r="E20" s="7"/>
      <c r="F20" s="14"/>
      <c r="G20" s="11">
        <v>0</v>
      </c>
      <c r="H20" s="11">
        <v>34.855609999999999</v>
      </c>
      <c r="I20" s="11">
        <v>5.84619</v>
      </c>
      <c r="J20" s="11">
        <v>1.53125</v>
      </c>
      <c r="K20" s="11">
        <v>84.42407</v>
      </c>
      <c r="L20" s="11">
        <v>85.661349999999985</v>
      </c>
      <c r="M20" s="11">
        <v>0</v>
      </c>
      <c r="N20" s="43"/>
      <c r="O20" s="55" t="s">
        <v>53</v>
      </c>
      <c r="P20" s="55" t="s">
        <v>53</v>
      </c>
      <c r="Q20" s="56">
        <f t="shared" si="4"/>
        <v>1.4655536033739954E-2</v>
      </c>
      <c r="R20" s="56">
        <f t="shared" si="0"/>
        <v>-1</v>
      </c>
      <c r="S20" s="11">
        <v>0</v>
      </c>
      <c r="T20" s="11"/>
      <c r="Y20" s="166"/>
    </row>
    <row r="21" spans="1:25">
      <c r="A21" s="84">
        <f t="shared" si="1"/>
        <v>9</v>
      </c>
      <c r="C21" s="7" t="s">
        <v>17</v>
      </c>
      <c r="D21" s="7"/>
      <c r="E21" s="7"/>
      <c r="F21" s="14"/>
      <c r="G21" s="11">
        <v>79.74730000000001</v>
      </c>
      <c r="H21" s="11">
        <v>75.011279999999999</v>
      </c>
      <c r="I21" s="11">
        <v>107.75895999999999</v>
      </c>
      <c r="J21" s="11">
        <v>131.73680999999999</v>
      </c>
      <c r="K21" s="11">
        <v>82.113769999999988</v>
      </c>
      <c r="L21" s="11">
        <v>129.50231200000002</v>
      </c>
      <c r="M21" s="11">
        <v>133.24521575999998</v>
      </c>
      <c r="N21" s="43"/>
      <c r="O21" s="56">
        <f t="shared" si="2"/>
        <v>0.10182419991167557</v>
      </c>
      <c r="P21" s="56">
        <f t="shared" si="3"/>
        <v>8.9321158810667267E-2</v>
      </c>
      <c r="Q21" s="56">
        <f t="shared" si="4"/>
        <v>0.57710834613975259</v>
      </c>
      <c r="R21" s="56">
        <f t="shared" si="0"/>
        <v>2.8902215738047684E-2</v>
      </c>
      <c r="S21" s="11">
        <v>133.24521575999998</v>
      </c>
      <c r="T21" s="11"/>
      <c r="Y21" s="166" t="s">
        <v>70</v>
      </c>
    </row>
    <row r="22" spans="1:25">
      <c r="A22" s="84">
        <f t="shared" si="1"/>
        <v>10</v>
      </c>
      <c r="C22" s="7" t="s">
        <v>18</v>
      </c>
      <c r="D22" s="7"/>
      <c r="E22" s="7"/>
      <c r="F22" s="14"/>
      <c r="G22" s="11">
        <v>107.09584</v>
      </c>
      <c r="H22" s="11">
        <v>105.43622999999999</v>
      </c>
      <c r="I22" s="11">
        <v>139.54917</v>
      </c>
      <c r="J22" s="11">
        <v>99.594340000000017</v>
      </c>
      <c r="K22" s="11">
        <v>94.026970000000006</v>
      </c>
      <c r="L22" s="11">
        <v>103.28076</v>
      </c>
      <c r="M22" s="11">
        <v>105.44878382</v>
      </c>
      <c r="N22" s="43"/>
      <c r="O22" s="56">
        <f t="shared" si="2"/>
        <v>-7.2283547352913757E-3</v>
      </c>
      <c r="P22" s="56">
        <f t="shared" si="3"/>
        <v>-2.5797934114192289E-3</v>
      </c>
      <c r="Q22" s="56">
        <f t="shared" si="4"/>
        <v>9.8416337355122632E-2</v>
      </c>
      <c r="R22" s="56">
        <f t="shared" si="0"/>
        <v>2.099155563921104E-2</v>
      </c>
      <c r="S22" s="11">
        <v>105.44878382</v>
      </c>
      <c r="T22" s="11"/>
      <c r="U22" s="195" t="s">
        <v>50</v>
      </c>
      <c r="Y22" s="166" t="s">
        <v>71</v>
      </c>
    </row>
    <row r="23" spans="1:25">
      <c r="A23" s="84">
        <f t="shared" si="1"/>
        <v>11</v>
      </c>
      <c r="C23" s="7" t="s">
        <v>62</v>
      </c>
      <c r="D23" s="7"/>
      <c r="E23" s="7"/>
      <c r="F23" s="14"/>
      <c r="G23" s="11">
        <v>76.75</v>
      </c>
      <c r="H23" s="11">
        <v>70.436999999999998</v>
      </c>
      <c r="I23" s="11">
        <v>77</v>
      </c>
      <c r="J23" s="11">
        <v>84.888000000000005</v>
      </c>
      <c r="K23" s="11">
        <v>87.444000000000003</v>
      </c>
      <c r="L23" s="11">
        <v>97.953999999999994</v>
      </c>
      <c r="M23" s="11">
        <v>102.646</v>
      </c>
      <c r="N23" s="43"/>
      <c r="O23" s="56">
        <f t="shared" si="2"/>
        <v>4.9998692415672341E-2</v>
      </c>
      <c r="P23" s="56">
        <f t="shared" si="3"/>
        <v>4.9648624480829184E-2</v>
      </c>
      <c r="Q23" s="56">
        <f t="shared" si="4"/>
        <v>0.12019120808746159</v>
      </c>
      <c r="R23" s="56">
        <f t="shared" si="0"/>
        <v>4.790003471017016E-2</v>
      </c>
      <c r="S23" s="11"/>
      <c r="T23" s="11"/>
      <c r="U23" s="195"/>
      <c r="Y23" s="166"/>
    </row>
    <row r="24" spans="1:25">
      <c r="A24" s="84">
        <f t="shared" si="1"/>
        <v>12</v>
      </c>
      <c r="C24" s="7" t="s">
        <v>63</v>
      </c>
      <c r="D24" s="7"/>
      <c r="E24" s="7"/>
      <c r="F24" s="14"/>
      <c r="G24" s="11">
        <v>78.554000000000002</v>
      </c>
      <c r="H24" s="11">
        <v>77.522000000000006</v>
      </c>
      <c r="I24" s="11">
        <v>82.082999999999998</v>
      </c>
      <c r="J24" s="11">
        <v>138.77099999999999</v>
      </c>
      <c r="K24" s="11">
        <v>247.40700000000001</v>
      </c>
      <c r="L24" s="11">
        <f>140-20</f>
        <v>120</v>
      </c>
      <c r="M24" s="11">
        <f>143.06-20.06</f>
        <v>123</v>
      </c>
      <c r="N24" s="43"/>
      <c r="O24" s="56">
        <f t="shared" si="2"/>
        <v>8.8435224843003368E-2</v>
      </c>
      <c r="P24" s="56">
        <f t="shared" si="3"/>
        <v>7.7596406623829273E-2</v>
      </c>
      <c r="Q24" s="56">
        <f t="shared" si="4"/>
        <v>-0.5149692611769271</v>
      </c>
      <c r="R24" s="56">
        <f t="shared" si="0"/>
        <v>2.5000000000000001E-2</v>
      </c>
      <c r="S24" s="11"/>
      <c r="T24" s="11"/>
      <c r="U24" s="195"/>
      <c r="Y24" s="166" t="s">
        <v>72</v>
      </c>
    </row>
    <row r="25" spans="1:25">
      <c r="A25" s="84">
        <f t="shared" si="1"/>
        <v>13</v>
      </c>
      <c r="C25" s="7" t="s">
        <v>64</v>
      </c>
      <c r="D25" s="7"/>
      <c r="E25" s="7"/>
      <c r="F25" s="14"/>
      <c r="G25" s="11">
        <v>632.30200000000002</v>
      </c>
      <c r="H25" s="11">
        <v>429.64400000000001</v>
      </c>
      <c r="I25" s="11">
        <v>277.43799999999999</v>
      </c>
      <c r="J25" s="11">
        <v>266.00900000000001</v>
      </c>
      <c r="K25" s="11">
        <v>274.80799999999999</v>
      </c>
      <c r="L25" s="11">
        <v>496.61599999999999</v>
      </c>
      <c r="M25" s="11">
        <f>610.076-75</f>
        <v>535.07600000000002</v>
      </c>
      <c r="N25" s="43"/>
      <c r="O25" s="56">
        <f t="shared" si="2"/>
        <v>-4.7161645553188469E-2</v>
      </c>
      <c r="P25" s="56">
        <f t="shared" si="3"/>
        <v>-2.7442801426795893E-2</v>
      </c>
      <c r="Q25" s="56">
        <f t="shared" si="4"/>
        <v>0.80713807458298159</v>
      </c>
      <c r="R25" s="56">
        <f t="shared" si="0"/>
        <v>7.744414195273619E-2</v>
      </c>
      <c r="S25" s="11"/>
      <c r="T25" s="11"/>
      <c r="U25" s="195"/>
      <c r="Y25" s="166" t="s">
        <v>77</v>
      </c>
    </row>
    <row r="26" spans="1:25">
      <c r="A26" s="84">
        <f t="shared" si="1"/>
        <v>14</v>
      </c>
      <c r="C26" s="7" t="s">
        <v>65</v>
      </c>
      <c r="D26" s="7"/>
      <c r="E26" s="7"/>
      <c r="F26" s="14"/>
      <c r="G26" s="11">
        <f>2904.95289-G25-G24-G23</f>
        <v>2117.3468899999998</v>
      </c>
      <c r="H26" s="11">
        <f>1928.66238-H25-H24-H23</f>
        <v>1351.0593800000001</v>
      </c>
      <c r="I26" s="11">
        <f>1717.85718-I25-I24-I23</f>
        <v>1281.3361799999998</v>
      </c>
      <c r="J26" s="11">
        <f>2246.08559-J25-J24-J23</f>
        <v>1756.4175900000002</v>
      </c>
      <c r="K26" s="11">
        <f>2622.20426-K25-K24-K23</f>
        <v>2012.5452599999999</v>
      </c>
      <c r="L26" s="11">
        <f>2733.74454-L25-L24-L23</f>
        <v>2019.1745400000002</v>
      </c>
      <c r="M26" s="11">
        <f>926.379-124.6-124.6</f>
        <v>677.17899999999997</v>
      </c>
      <c r="N26" s="43"/>
      <c r="O26" s="56">
        <f t="shared" si="2"/>
        <v>-9.4500754450014268E-3</v>
      </c>
      <c r="P26" s="56">
        <f t="shared" si="3"/>
        <v>-0.17303858877472922</v>
      </c>
      <c r="Q26" s="56">
        <f t="shared" si="4"/>
        <v>3.2939780941872261E-3</v>
      </c>
      <c r="R26" s="56">
        <f t="shared" si="0"/>
        <v>-0.66462582278795979</v>
      </c>
      <c r="S26" s="11">
        <v>1782.1617590999999</v>
      </c>
      <c r="T26" s="11"/>
      <c r="U26" s="195"/>
      <c r="Y26" s="166"/>
    </row>
    <row r="27" spans="1:25">
      <c r="A27" s="84">
        <f t="shared" si="1"/>
        <v>15</v>
      </c>
      <c r="C27" s="7" t="s">
        <v>96</v>
      </c>
      <c r="D27" s="7"/>
      <c r="E27" s="7"/>
      <c r="F27" s="14"/>
      <c r="G27" s="11">
        <v>938.80128000000002</v>
      </c>
      <c r="H27" s="11">
        <v>971.53496999999993</v>
      </c>
      <c r="I27" s="11">
        <v>1111.22335</v>
      </c>
      <c r="J27" s="11">
        <v>1211.8718099999999</v>
      </c>
      <c r="K27" s="11">
        <v>1134.1740400000001</v>
      </c>
      <c r="L27" s="11">
        <v>1359.2803499999998</v>
      </c>
      <c r="M27" s="11">
        <v>1379.5433248999998</v>
      </c>
      <c r="N27" s="43"/>
      <c r="O27" s="56">
        <f t="shared" si="2"/>
        <v>7.682981857837845E-2</v>
      </c>
      <c r="P27" s="56">
        <f t="shared" si="3"/>
        <v>6.6253030471121299E-2</v>
      </c>
      <c r="Q27" s="56">
        <f t="shared" si="4"/>
        <v>0.19847598522004581</v>
      </c>
      <c r="R27" s="56">
        <f t="shared" si="0"/>
        <v>1.4907134425948276E-2</v>
      </c>
      <c r="S27" s="11">
        <v>1379.5433248999998</v>
      </c>
      <c r="T27" s="11"/>
      <c r="U27" s="195"/>
      <c r="Y27" s="166" t="s">
        <v>78</v>
      </c>
    </row>
    <row r="28" spans="1:25">
      <c r="A28" s="84">
        <f t="shared" si="1"/>
        <v>16</v>
      </c>
      <c r="C28" s="7" t="s">
        <v>20</v>
      </c>
      <c r="D28" s="7"/>
      <c r="E28" s="7"/>
      <c r="F28" s="14"/>
      <c r="G28" s="11">
        <v>115.19518999999998</v>
      </c>
      <c r="H28" s="11">
        <v>125.53105000000001</v>
      </c>
      <c r="I28" s="11">
        <v>158.25775000000002</v>
      </c>
      <c r="J28" s="11">
        <v>141.02760000000001</v>
      </c>
      <c r="K28" s="11">
        <v>115.56957000000003</v>
      </c>
      <c r="L28" s="11">
        <v>152.44499999999999</v>
      </c>
      <c r="M28" s="11">
        <v>191.04499999999999</v>
      </c>
      <c r="N28" s="43"/>
      <c r="O28" s="56">
        <f t="shared" si="2"/>
        <v>5.7634886730491885E-2</v>
      </c>
      <c r="P28" s="56">
        <f t="shared" si="3"/>
        <v>8.796992045635732E-2</v>
      </c>
      <c r="Q28" s="56">
        <f t="shared" si="4"/>
        <v>0.31907560095620291</v>
      </c>
      <c r="R28" s="56">
        <f t="shared" si="0"/>
        <v>0.25320607432188658</v>
      </c>
      <c r="S28" s="11">
        <v>191.04499999999999</v>
      </c>
      <c r="T28" s="11"/>
      <c r="Y28" s="166" t="s">
        <v>79</v>
      </c>
    </row>
    <row r="29" spans="1:25">
      <c r="A29" s="84">
        <f t="shared" si="1"/>
        <v>17</v>
      </c>
      <c r="C29" s="7" t="s">
        <v>21</v>
      </c>
      <c r="D29" s="7"/>
      <c r="E29" s="7"/>
      <c r="F29" s="14"/>
      <c r="G29" s="11">
        <v>283.86591999999996</v>
      </c>
      <c r="H29" s="11">
        <v>312.47965000000005</v>
      </c>
      <c r="I29" s="11">
        <v>330.94155999999998</v>
      </c>
      <c r="J29" s="11">
        <v>332.74213000000003</v>
      </c>
      <c r="K29" s="11">
        <v>363.42032</v>
      </c>
      <c r="L29" s="11">
        <v>382.49448000000007</v>
      </c>
      <c r="M29" s="11">
        <v>410.46485999999999</v>
      </c>
      <c r="N29" s="43"/>
      <c r="O29" s="56">
        <f t="shared" si="2"/>
        <v>6.1456945791835693E-2</v>
      </c>
      <c r="P29" s="56">
        <f t="shared" si="3"/>
        <v>6.3392977289109309E-2</v>
      </c>
      <c r="Q29" s="56">
        <f t="shared" si="4"/>
        <v>5.2485122460956678E-2</v>
      </c>
      <c r="R29" s="56">
        <f t="shared" si="0"/>
        <v>7.3126231782481968E-2</v>
      </c>
      <c r="S29" s="11">
        <v>410.46485999999999</v>
      </c>
      <c r="T29" s="11"/>
      <c r="Y29" s="166" t="s">
        <v>80</v>
      </c>
    </row>
    <row r="30" spans="1:25">
      <c r="A30" s="84">
        <f t="shared" si="1"/>
        <v>18</v>
      </c>
      <c r="C30" s="7" t="s">
        <v>22</v>
      </c>
      <c r="D30" s="7"/>
      <c r="E30" s="7"/>
      <c r="F30" s="14"/>
      <c r="G30" s="11">
        <v>399.77252000000004</v>
      </c>
      <c r="H30" s="11">
        <v>303.84764000000007</v>
      </c>
      <c r="I30" s="11">
        <v>516.16938000000005</v>
      </c>
      <c r="J30" s="11">
        <v>545.14287999999999</v>
      </c>
      <c r="K30" s="11">
        <v>600.89410999999996</v>
      </c>
      <c r="L30" s="11">
        <v>597.60774000000004</v>
      </c>
      <c r="M30" s="11">
        <v>627.12303502000009</v>
      </c>
      <c r="N30" s="43"/>
      <c r="O30" s="56">
        <f t="shared" si="2"/>
        <v>8.3728900599066236E-2</v>
      </c>
      <c r="P30" s="56">
        <f t="shared" si="3"/>
        <v>7.7928536220020161E-2</v>
      </c>
      <c r="Q30" s="56">
        <f t="shared" si="4"/>
        <v>-5.4691333220089648E-3</v>
      </c>
      <c r="R30" s="56">
        <f t="shared" si="0"/>
        <v>4.9389077557797444E-2</v>
      </c>
      <c r="S30" s="11">
        <v>627.12303502000009</v>
      </c>
      <c r="T30" s="11"/>
      <c r="Y30" s="166" t="s">
        <v>81</v>
      </c>
    </row>
    <row r="31" spans="1:25">
      <c r="A31" s="84">
        <f t="shared" si="1"/>
        <v>19</v>
      </c>
      <c r="C31" s="7" t="s">
        <v>23</v>
      </c>
      <c r="D31" s="4"/>
      <c r="E31" s="7"/>
      <c r="F31" s="14"/>
      <c r="G31" s="11">
        <v>14.054160000000001</v>
      </c>
      <c r="H31" s="11">
        <v>14.292639999999999</v>
      </c>
      <c r="I31" s="11">
        <v>55.167210000000004</v>
      </c>
      <c r="J31" s="11">
        <v>23.299259999999997</v>
      </c>
      <c r="K31" s="11">
        <v>10.470079999999999</v>
      </c>
      <c r="L31" s="11">
        <v>26.126930000000002</v>
      </c>
      <c r="M31" s="11">
        <v>25.447885159999998</v>
      </c>
      <c r="N31" s="43"/>
      <c r="O31" s="56">
        <f t="shared" si="2"/>
        <v>0.132026771411341</v>
      </c>
      <c r="P31" s="56">
        <f t="shared" si="3"/>
        <v>0.10401371125197123</v>
      </c>
      <c r="Q31" s="56">
        <f t="shared" si="4"/>
        <v>1.4953897200403439</v>
      </c>
      <c r="R31" s="56">
        <f t="shared" si="0"/>
        <v>-2.599022694208631E-2</v>
      </c>
      <c r="S31" s="11">
        <v>25.447885159999998</v>
      </c>
      <c r="T31" s="11"/>
      <c r="Y31" s="166" t="s">
        <v>82</v>
      </c>
    </row>
    <row r="32" spans="1:25">
      <c r="A32" s="84">
        <f t="shared" si="1"/>
        <v>20</v>
      </c>
      <c r="C32" s="7" t="s">
        <v>24</v>
      </c>
      <c r="D32" s="4"/>
      <c r="E32" s="7"/>
      <c r="F32" s="14"/>
      <c r="G32" s="11">
        <v>147.04619</v>
      </c>
      <c r="H32" s="11">
        <v>173.65375</v>
      </c>
      <c r="I32" s="11">
        <v>183.69893000000002</v>
      </c>
      <c r="J32" s="11">
        <v>172.66951999999998</v>
      </c>
      <c r="K32" s="11">
        <v>174.78547</v>
      </c>
      <c r="L32" s="11">
        <v>190.60193999999998</v>
      </c>
      <c r="M32" s="11">
        <v>196.88744299999996</v>
      </c>
      <c r="N32" s="43"/>
      <c r="O32" s="56">
        <f t="shared" si="2"/>
        <v>5.3257858339706532E-2</v>
      </c>
      <c r="P32" s="56">
        <f t="shared" si="3"/>
        <v>4.9850292922798412E-2</v>
      </c>
      <c r="Q32" s="56">
        <f t="shared" si="4"/>
        <v>9.0490759901266288E-2</v>
      </c>
      <c r="R32" s="56">
        <f t="shared" si="0"/>
        <v>3.2977119750197598E-2</v>
      </c>
      <c r="S32" s="11">
        <v>196.88744299999996</v>
      </c>
      <c r="T32" s="11"/>
      <c r="Y32" s="166" t="s">
        <v>83</v>
      </c>
    </row>
    <row r="33" spans="1:26">
      <c r="A33" s="84">
        <f t="shared" si="1"/>
        <v>21</v>
      </c>
      <c r="C33" s="7" t="s">
        <v>25</v>
      </c>
      <c r="D33" s="7"/>
      <c r="E33" s="7"/>
      <c r="F33" s="14"/>
      <c r="G33" s="11">
        <v>8.5684199999999997</v>
      </c>
      <c r="H33" s="11">
        <v>6.2463699999999998</v>
      </c>
      <c r="I33" s="11">
        <v>4.4933500000000004</v>
      </c>
      <c r="J33" s="11">
        <v>5.2540200000000006</v>
      </c>
      <c r="K33" s="11">
        <v>4.5190900000000003</v>
      </c>
      <c r="L33" s="11">
        <v>5.43</v>
      </c>
      <c r="M33" s="11">
        <v>5.5490000000000004</v>
      </c>
      <c r="N33" s="43"/>
      <c r="O33" s="56">
        <f t="shared" si="2"/>
        <v>-8.7191203383367166E-2</v>
      </c>
      <c r="P33" s="56">
        <f t="shared" si="3"/>
        <v>-6.9851414927486921E-2</v>
      </c>
      <c r="Q33" s="56">
        <f t="shared" si="4"/>
        <v>0.20156934250037051</v>
      </c>
      <c r="R33" s="56">
        <f t="shared" si="0"/>
        <v>2.1915285451197176E-2</v>
      </c>
      <c r="S33" s="11">
        <v>5.5490000000000004</v>
      </c>
      <c r="T33" s="11"/>
      <c r="Y33" s="166"/>
      <c r="Z33" s="127"/>
    </row>
    <row r="34" spans="1:26">
      <c r="A34" s="84">
        <f t="shared" si="1"/>
        <v>22</v>
      </c>
      <c r="C34" s="7" t="s">
        <v>26</v>
      </c>
      <c r="D34" s="7"/>
      <c r="E34" s="7"/>
      <c r="F34" s="14"/>
      <c r="G34" s="11">
        <v>532.46541000000002</v>
      </c>
      <c r="H34" s="11">
        <v>621.81415000000004</v>
      </c>
      <c r="I34" s="11">
        <v>638.37870999999996</v>
      </c>
      <c r="J34" s="11">
        <v>644.38495999999998</v>
      </c>
      <c r="K34" s="11">
        <v>654.42237999999998</v>
      </c>
      <c r="L34" s="11">
        <v>674.69167000000004</v>
      </c>
      <c r="M34" s="11">
        <v>724.15200000000004</v>
      </c>
      <c r="N34" s="43"/>
      <c r="O34" s="56">
        <f t="shared" si="2"/>
        <v>4.8486371015119767E-2</v>
      </c>
      <c r="P34" s="56">
        <f t="shared" si="3"/>
        <v>5.2583090774566799E-2</v>
      </c>
      <c r="Q34" s="56">
        <f t="shared" si="4"/>
        <v>3.0972794665121432E-2</v>
      </c>
      <c r="R34" s="56">
        <f t="shared" si="0"/>
        <v>7.3308048993698111E-2</v>
      </c>
      <c r="S34" s="11">
        <v>724.15200000000004</v>
      </c>
      <c r="T34" s="11"/>
      <c r="Y34" s="166" t="s">
        <v>84</v>
      </c>
    </row>
    <row r="35" spans="1:26">
      <c r="A35" s="84">
        <f t="shared" si="1"/>
        <v>23</v>
      </c>
      <c r="C35" s="7" t="s">
        <v>27</v>
      </c>
      <c r="D35" s="7"/>
      <c r="E35" s="19"/>
      <c r="F35" s="20"/>
      <c r="G35" s="11">
        <v>95.927660000000003</v>
      </c>
      <c r="H35" s="11">
        <v>82.215609999999998</v>
      </c>
      <c r="I35" s="11">
        <v>83.311240000000012</v>
      </c>
      <c r="J35" s="11">
        <v>86.003230000000016</v>
      </c>
      <c r="K35" s="11">
        <v>72.292140000000003</v>
      </c>
      <c r="L35" s="11">
        <v>84.649570000000011</v>
      </c>
      <c r="M35" s="11">
        <v>89.948146860000008</v>
      </c>
      <c r="N35" s="43"/>
      <c r="O35" s="56">
        <f t="shared" si="2"/>
        <v>-2.4704588170819997E-2</v>
      </c>
      <c r="P35" s="56">
        <f t="shared" si="3"/>
        <v>-1.066950724860849E-2</v>
      </c>
      <c r="Q35" s="56">
        <f t="shared" si="4"/>
        <v>0.17093739374709349</v>
      </c>
      <c r="R35" s="56">
        <f t="shared" si="0"/>
        <v>6.259425606060369E-2</v>
      </c>
      <c r="S35" s="11">
        <v>89.948146860000008</v>
      </c>
      <c r="T35" s="11"/>
      <c r="Y35" s="166" t="s">
        <v>85</v>
      </c>
    </row>
    <row r="36" spans="1:26">
      <c r="A36" s="84">
        <f t="shared" si="1"/>
        <v>24</v>
      </c>
      <c r="C36" s="7" t="s">
        <v>28</v>
      </c>
      <c r="D36" s="7"/>
      <c r="E36" s="19"/>
      <c r="F36" s="20"/>
      <c r="G36" s="11">
        <v>93.629919999999998</v>
      </c>
      <c r="H36" s="11">
        <v>89.432599999999994</v>
      </c>
      <c r="I36" s="11">
        <v>74.565770000000001</v>
      </c>
      <c r="J36" s="11">
        <v>88.759900000000002</v>
      </c>
      <c r="K36" s="11">
        <v>78.483289999999997</v>
      </c>
      <c r="L36" s="11">
        <v>92.246030000000005</v>
      </c>
      <c r="M36" s="11">
        <v>117.48974222</v>
      </c>
      <c r="N36" s="43"/>
      <c r="O36" s="56">
        <f t="shared" si="2"/>
        <v>-2.9737184659521798E-3</v>
      </c>
      <c r="P36" s="56">
        <f t="shared" si="3"/>
        <v>3.8558305275097293E-2</v>
      </c>
      <c r="Q36" s="56">
        <f t="shared" si="4"/>
        <v>0.17535885664324224</v>
      </c>
      <c r="R36" s="56">
        <f t="shared" si="0"/>
        <v>0.27365635377479108</v>
      </c>
      <c r="S36" s="11">
        <v>117.48974222</v>
      </c>
      <c r="T36" s="11"/>
      <c r="Y36" s="166" t="s">
        <v>86</v>
      </c>
    </row>
    <row r="37" spans="1:26">
      <c r="A37" s="84">
        <f t="shared" si="1"/>
        <v>25</v>
      </c>
      <c r="C37" s="7" t="s">
        <v>29</v>
      </c>
      <c r="D37" s="7"/>
      <c r="E37" s="19"/>
      <c r="F37" s="20"/>
      <c r="G37" s="11">
        <v>29.375900000000001</v>
      </c>
      <c r="H37" s="11">
        <v>29.25591</v>
      </c>
      <c r="I37" s="11">
        <v>24.864060000000002</v>
      </c>
      <c r="J37" s="11">
        <v>23.199300000000001</v>
      </c>
      <c r="K37" s="11">
        <v>10.682259999999999</v>
      </c>
      <c r="L37" s="11">
        <v>4.43</v>
      </c>
      <c r="M37" s="11">
        <v>3.1320000000000001</v>
      </c>
      <c r="N37" s="43"/>
      <c r="O37" s="56">
        <f t="shared" si="2"/>
        <v>-0.31501271658312713</v>
      </c>
      <c r="P37" s="56">
        <f t="shared" si="3"/>
        <v>-0.31139247857599828</v>
      </c>
      <c r="Q37" s="56">
        <f t="shared" si="4"/>
        <v>-0.58529374870111761</v>
      </c>
      <c r="R37" s="56">
        <f>(M37-L37)/L37</f>
        <v>-0.29300225733634305</v>
      </c>
      <c r="S37" s="11">
        <v>3.1320000000000001</v>
      </c>
      <c r="T37" s="11"/>
      <c r="Y37" s="166" t="s">
        <v>87</v>
      </c>
    </row>
    <row r="38" spans="1:26">
      <c r="A38" s="84">
        <f t="shared" si="1"/>
        <v>26</v>
      </c>
      <c r="C38" s="7" t="s">
        <v>30</v>
      </c>
      <c r="D38" s="7"/>
      <c r="E38" s="19"/>
      <c r="F38" s="20"/>
      <c r="G38" s="11">
        <v>92.800399999999996</v>
      </c>
      <c r="H38" s="11">
        <v>156.29213000000001</v>
      </c>
      <c r="I38" s="11">
        <v>200.94401999999999</v>
      </c>
      <c r="J38" s="11">
        <v>300.37466999999998</v>
      </c>
      <c r="K38" s="11">
        <v>260.10851000000002</v>
      </c>
      <c r="L38" s="11">
        <v>281.23575</v>
      </c>
      <c r="M38" s="11">
        <v>258.28800000000001</v>
      </c>
      <c r="N38" s="43"/>
      <c r="O38" s="56">
        <f t="shared" si="2"/>
        <v>0.24825736056443559</v>
      </c>
      <c r="P38" s="56">
        <f t="shared" si="3"/>
        <v>0.18602104928203289</v>
      </c>
      <c r="Q38" s="56">
        <f t="shared" si="4"/>
        <v>8.1224716561561064E-2</v>
      </c>
      <c r="R38" s="56">
        <f t="shared" si="0"/>
        <v>-8.1596134204132961E-2</v>
      </c>
      <c r="S38" s="11">
        <v>258.28800000000001</v>
      </c>
      <c r="T38" s="11"/>
      <c r="Y38" s="166" t="s">
        <v>88</v>
      </c>
    </row>
    <row r="39" spans="1:26">
      <c r="A39" s="84">
        <f t="shared" si="1"/>
        <v>27</v>
      </c>
      <c r="C39" s="7" t="s">
        <v>31</v>
      </c>
      <c r="D39" s="7"/>
      <c r="E39" s="19"/>
      <c r="F39" s="20"/>
      <c r="G39" s="11">
        <v>2.0709999999999999E-2</v>
      </c>
      <c r="H39" s="11">
        <v>1.6539000000000001</v>
      </c>
      <c r="I39" s="11">
        <v>0.46106999999999998</v>
      </c>
      <c r="J39" s="11">
        <v>0.11306999999999999</v>
      </c>
      <c r="K39" s="11">
        <v>0.11393</v>
      </c>
      <c r="L39" s="11">
        <v>0.11393</v>
      </c>
      <c r="M39" s="11">
        <v>0.11427</v>
      </c>
      <c r="N39" s="43"/>
      <c r="O39" s="56">
        <f t="shared" si="2"/>
        <v>0.40634411346307764</v>
      </c>
      <c r="P39" s="56">
        <f t="shared" si="3"/>
        <v>0.32930719295096367</v>
      </c>
      <c r="Q39" s="56">
        <f t="shared" si="4"/>
        <v>0</v>
      </c>
      <c r="R39" s="56">
        <f t="shared" si="0"/>
        <v>2.9842885982620301E-3</v>
      </c>
      <c r="S39" s="11">
        <v>0.11427</v>
      </c>
      <c r="T39" s="11"/>
      <c r="Y39" s="166"/>
    </row>
    <row r="40" spans="1:26">
      <c r="A40" s="84">
        <f t="shared" si="1"/>
        <v>28</v>
      </c>
      <c r="C40" s="7" t="s">
        <v>142</v>
      </c>
      <c r="D40" s="7"/>
      <c r="E40" s="19"/>
      <c r="F40" s="20"/>
      <c r="G40" s="11">
        <v>866.40846000000022</v>
      </c>
      <c r="H40" s="11">
        <v>954.82934000000012</v>
      </c>
      <c r="I40" s="11">
        <v>813.75943999999947</v>
      </c>
      <c r="J40" s="11">
        <v>1174.62104</v>
      </c>
      <c r="K40" s="11">
        <v>1265.2904700000001</v>
      </c>
      <c r="L40" s="11">
        <v>1594.4459791000002</v>
      </c>
      <c r="M40" s="11">
        <v>1655.1898199999998</v>
      </c>
      <c r="N40" s="43"/>
      <c r="O40" s="56">
        <f t="shared" si="2"/>
        <v>0.12973718862280204</v>
      </c>
      <c r="P40" s="56">
        <f t="shared" si="3"/>
        <v>0.1139204756570471</v>
      </c>
      <c r="Q40" s="56">
        <f>(L40-K40)/K40</f>
        <v>0.26014224947098508</v>
      </c>
      <c r="R40" s="56">
        <f t="shared" si="0"/>
        <v>3.8097145777423638E-2</v>
      </c>
      <c r="S40" s="11">
        <v>981.62381999999991</v>
      </c>
      <c r="T40" s="11"/>
      <c r="Y40" s="166" t="s">
        <v>90</v>
      </c>
    </row>
    <row r="41" spans="1:26">
      <c r="A41" s="84">
        <f t="shared" si="1"/>
        <v>29</v>
      </c>
      <c r="C41" s="7" t="s">
        <v>33</v>
      </c>
      <c r="D41" s="7"/>
      <c r="E41" s="14"/>
      <c r="F41" s="14"/>
      <c r="G41" s="11">
        <v>124.95843000000001</v>
      </c>
      <c r="H41" s="11">
        <v>125.45827999999999</v>
      </c>
      <c r="I41" s="11">
        <v>127.77806999999999</v>
      </c>
      <c r="J41" s="11">
        <v>122.03872</v>
      </c>
      <c r="K41" s="11">
        <v>112.19878999999999</v>
      </c>
      <c r="L41" s="11">
        <v>101.91113</v>
      </c>
      <c r="M41" s="11">
        <v>136.62099349999997</v>
      </c>
      <c r="N41" s="43"/>
      <c r="O41" s="56">
        <f t="shared" si="2"/>
        <v>-3.9955837140341011E-2</v>
      </c>
      <c r="P41" s="56">
        <f t="shared" si="3"/>
        <v>1.4982715427652948E-2</v>
      </c>
      <c r="Q41" s="56">
        <f t="shared" si="4"/>
        <v>-9.1691363159976946E-2</v>
      </c>
      <c r="R41" s="56">
        <f t="shared" si="0"/>
        <v>0.34058952638440931</v>
      </c>
      <c r="S41" s="11">
        <v>136.62099349999997</v>
      </c>
      <c r="T41" s="11"/>
      <c r="Y41" s="166" t="s">
        <v>92</v>
      </c>
    </row>
    <row r="42" spans="1:26">
      <c r="A42" s="84">
        <f t="shared" si="1"/>
        <v>30</v>
      </c>
      <c r="C42" s="7" t="s">
        <v>169</v>
      </c>
      <c r="D42" s="7"/>
      <c r="E42" s="7"/>
      <c r="F42" s="20"/>
      <c r="G42" s="11">
        <v>481.04676000000001</v>
      </c>
      <c r="H42" s="11">
        <v>176.34855999999999</v>
      </c>
      <c r="I42" s="11">
        <v>66.579619999999991</v>
      </c>
      <c r="J42" s="11">
        <v>89.240580000000008</v>
      </c>
      <c r="K42" s="11">
        <v>114.04216000000001</v>
      </c>
      <c r="L42" s="11">
        <v>100</v>
      </c>
      <c r="M42" s="11">
        <v>100</v>
      </c>
      <c r="N42" s="43"/>
      <c r="O42" s="56">
        <f t="shared" si="2"/>
        <v>-0.2695970119308484</v>
      </c>
      <c r="P42" s="56">
        <f t="shared" si="3"/>
        <v>-0.23033432668442511</v>
      </c>
      <c r="Q42" s="56">
        <f t="shared" si="4"/>
        <v>-0.12313130512435058</v>
      </c>
      <c r="R42" s="56">
        <f t="shared" si="0"/>
        <v>0</v>
      </c>
      <c r="S42" s="11">
        <v>100</v>
      </c>
      <c r="T42" s="11"/>
      <c r="Y42" s="166" t="s">
        <v>93</v>
      </c>
    </row>
    <row r="43" spans="1:26">
      <c r="A43" s="84">
        <f t="shared" si="1"/>
        <v>31</v>
      </c>
      <c r="C43" s="7" t="s">
        <v>35</v>
      </c>
      <c r="D43" s="7"/>
      <c r="E43" s="7"/>
      <c r="F43" s="20"/>
      <c r="G43" s="11">
        <v>14.724019999999999</v>
      </c>
      <c r="H43" s="11">
        <v>17.689630000000001</v>
      </c>
      <c r="I43" s="11">
        <v>17.24915</v>
      </c>
      <c r="J43" s="11">
        <v>19.25224</v>
      </c>
      <c r="K43" s="11">
        <v>18.983759999999997</v>
      </c>
      <c r="L43" s="11">
        <v>19.5</v>
      </c>
      <c r="M43" s="11">
        <v>20</v>
      </c>
      <c r="N43" s="43"/>
      <c r="O43" s="56">
        <f t="shared" si="2"/>
        <v>5.7795323154670397E-2</v>
      </c>
      <c r="P43" s="56">
        <f t="shared" si="3"/>
        <v>5.2367109261751033E-2</v>
      </c>
      <c r="Q43" s="56">
        <f t="shared" si="4"/>
        <v>2.7193769832741431E-2</v>
      </c>
      <c r="R43" s="56">
        <f t="shared" si="0"/>
        <v>2.564102564102564E-2</v>
      </c>
      <c r="S43" s="11">
        <v>20</v>
      </c>
      <c r="T43" s="11"/>
      <c r="Y43" s="166"/>
    </row>
    <row r="44" spans="1:26" ht="12.75" customHeight="1">
      <c r="A44" s="84"/>
      <c r="C44" s="7"/>
      <c r="D44" s="7"/>
      <c r="E44" s="7"/>
      <c r="F44" s="20"/>
      <c r="G44" s="18"/>
      <c r="H44" s="18"/>
      <c r="I44" s="18"/>
      <c r="J44" s="18"/>
      <c r="K44" s="18"/>
      <c r="L44" s="18"/>
      <c r="M44" s="18"/>
      <c r="N44" s="18"/>
      <c r="O44" s="56"/>
      <c r="P44" s="56"/>
      <c r="Q44" s="56"/>
      <c r="R44" s="56"/>
      <c r="S44" s="18"/>
      <c r="T44" s="18"/>
      <c r="Y44" s="138"/>
    </row>
    <row r="45" spans="1:26">
      <c r="A45" s="84">
        <f>A43+1</f>
        <v>32</v>
      </c>
      <c r="C45" s="15" t="s">
        <v>36</v>
      </c>
      <c r="D45" s="15"/>
      <c r="E45" s="15"/>
      <c r="F45" s="21"/>
      <c r="G45" s="17">
        <f t="shared" ref="G45:S45" si="8">SUM(G17:G43)</f>
        <v>11930.41347</v>
      </c>
      <c r="H45" s="17">
        <f t="shared" si="8"/>
        <v>11503.82806</v>
      </c>
      <c r="I45" s="17">
        <f t="shared" si="8"/>
        <v>12397.04126</v>
      </c>
      <c r="J45" s="17">
        <f t="shared" si="8"/>
        <v>13665.144579999998</v>
      </c>
      <c r="K45" s="17">
        <f t="shared" si="8"/>
        <v>14429.935929999998</v>
      </c>
      <c r="L45" s="17">
        <f t="shared" si="8"/>
        <v>15591.162268799999</v>
      </c>
      <c r="M45" s="17">
        <f>SUM(M17:M43)</f>
        <v>14425.027221265778</v>
      </c>
      <c r="N45" s="18"/>
      <c r="O45" s="57">
        <f t="shared" si="2"/>
        <v>5.4980905587799889E-2</v>
      </c>
      <c r="P45" s="57">
        <f t="shared" si="3"/>
        <v>3.2151681366978879E-2</v>
      </c>
      <c r="Q45" s="57">
        <f t="shared" si="4"/>
        <v>8.0473423058365662E-2</v>
      </c>
      <c r="R45" s="57">
        <f t="shared" si="0"/>
        <v>-7.479461937663319E-2</v>
      </c>
      <c r="S45" s="17">
        <f t="shared" si="8"/>
        <v>14769.28798036578</v>
      </c>
      <c r="T45" s="18"/>
      <c r="Y45" s="138"/>
    </row>
    <row r="46" spans="1:26" ht="12.75" customHeight="1">
      <c r="A46" s="84"/>
      <c r="C46" s="7"/>
      <c r="D46" s="7"/>
      <c r="E46" s="7"/>
      <c r="F46" s="20"/>
      <c r="G46" s="18"/>
      <c r="H46" s="18"/>
      <c r="I46" s="18"/>
      <c r="J46" s="18"/>
      <c r="K46" s="18"/>
      <c r="L46" s="18"/>
      <c r="M46" s="18"/>
      <c r="N46" s="18"/>
      <c r="O46" s="56"/>
      <c r="P46" s="56"/>
      <c r="Q46" s="56"/>
      <c r="R46" s="56"/>
      <c r="S46" s="18"/>
      <c r="T46" s="18"/>
      <c r="Y46" s="138"/>
    </row>
    <row r="47" spans="1:26">
      <c r="A47" s="84">
        <f>A45+1</f>
        <v>33</v>
      </c>
      <c r="C47" s="15" t="s">
        <v>37</v>
      </c>
      <c r="D47" s="15"/>
      <c r="E47" s="15"/>
      <c r="F47" s="21"/>
      <c r="G47" s="17">
        <v>654.13599999999997</v>
      </c>
      <c r="H47" s="17">
        <v>735.21299999999997</v>
      </c>
      <c r="I47" s="17">
        <v>817.64099999999996</v>
      </c>
      <c r="J47" s="17">
        <v>898.76499999999999</v>
      </c>
      <c r="K47" s="17">
        <v>973.9</v>
      </c>
      <c r="L47" s="17">
        <v>1086.9000000000001</v>
      </c>
      <c r="M47" s="17">
        <v>1051.5</v>
      </c>
      <c r="N47" s="18"/>
      <c r="O47" s="57">
        <f t="shared" si="2"/>
        <v>0.10688960152323945</v>
      </c>
      <c r="P47" s="57">
        <f t="shared" si="3"/>
        <v>8.2322958770411736E-2</v>
      </c>
      <c r="Q47" s="57">
        <f t="shared" si="4"/>
        <v>0.11602833966526349</v>
      </c>
      <c r="R47" s="57">
        <f t="shared" si="0"/>
        <v>-3.256969362406853E-2</v>
      </c>
      <c r="S47" s="17">
        <v>1051.5</v>
      </c>
      <c r="T47" s="18"/>
      <c r="Y47" s="166" t="s">
        <v>95</v>
      </c>
    </row>
    <row r="48" spans="1:26" ht="12.75" customHeight="1">
      <c r="A48" s="84"/>
      <c r="C48" s="7"/>
      <c r="D48" s="7"/>
      <c r="E48" s="7"/>
      <c r="F48" s="20"/>
      <c r="G48" s="22"/>
      <c r="H48" s="22"/>
      <c r="I48" s="22"/>
      <c r="J48" s="22"/>
      <c r="K48" s="22"/>
      <c r="L48" s="22"/>
      <c r="M48" s="22"/>
      <c r="N48" s="22"/>
      <c r="O48" s="39"/>
      <c r="P48" s="39"/>
      <c r="Q48" s="39"/>
      <c r="R48" s="39"/>
      <c r="S48" s="22"/>
      <c r="T48" s="22"/>
      <c r="Y48" s="138"/>
    </row>
    <row r="49" spans="1:26" ht="12.75" customHeight="1">
      <c r="A49" s="84"/>
      <c r="C49" s="7"/>
      <c r="D49" s="7"/>
      <c r="E49" s="7"/>
      <c r="F49" s="20"/>
      <c r="G49" s="22"/>
      <c r="H49" s="22"/>
      <c r="I49" s="22"/>
      <c r="J49" s="22"/>
      <c r="K49" s="22"/>
      <c r="L49" s="22"/>
      <c r="M49" s="22"/>
      <c r="N49" s="22"/>
      <c r="O49" s="39"/>
      <c r="P49" s="39"/>
      <c r="Q49" s="39"/>
      <c r="R49" s="39"/>
      <c r="S49" s="22"/>
      <c r="T49" s="22"/>
      <c r="Y49" s="138"/>
    </row>
    <row r="50" spans="1:26" ht="15.75" thickBot="1">
      <c r="A50" s="84">
        <f>A47+1</f>
        <v>34</v>
      </c>
      <c r="C50" s="23" t="s">
        <v>38</v>
      </c>
      <c r="D50" s="24"/>
      <c r="E50" s="24"/>
      <c r="F50" s="24"/>
      <c r="G50" s="25">
        <f>G45-G47</f>
        <v>11276.277469999999</v>
      </c>
      <c r="H50" s="25">
        <f t="shared" ref="H50:S50" si="9">H45-H47</f>
        <v>10768.61506</v>
      </c>
      <c r="I50" s="25">
        <f t="shared" si="9"/>
        <v>11579.40026</v>
      </c>
      <c r="J50" s="25">
        <f t="shared" si="9"/>
        <v>12766.379579999999</v>
      </c>
      <c r="K50" s="25">
        <f t="shared" si="9"/>
        <v>13456.035929999998</v>
      </c>
      <c r="L50" s="25">
        <f t="shared" si="9"/>
        <v>14504.262268799999</v>
      </c>
      <c r="M50" s="25">
        <f>M45-M47</f>
        <v>13373.527221265778</v>
      </c>
      <c r="N50" s="37"/>
      <c r="O50" s="42">
        <f t="shared" si="2"/>
        <v>5.1637291734202728E-2</v>
      </c>
      <c r="P50" s="42">
        <f t="shared" si="3"/>
        <v>2.8837302449607805E-2</v>
      </c>
      <c r="Q50" s="42">
        <f t="shared" si="4"/>
        <v>7.7900084709420156E-2</v>
      </c>
      <c r="R50" s="42">
        <f t="shared" si="0"/>
        <v>-7.7958811456859539E-2</v>
      </c>
      <c r="S50" s="25">
        <f t="shared" si="9"/>
        <v>13717.78798036578</v>
      </c>
      <c r="T50" s="37"/>
      <c r="U50" s="38"/>
      <c r="Y50" s="138"/>
    </row>
    <row r="51" spans="1:26">
      <c r="C51" s="7"/>
      <c r="D51" s="7"/>
      <c r="E51" s="14"/>
      <c r="F51" s="20"/>
      <c r="G51" s="22"/>
      <c r="H51" s="22"/>
      <c r="I51" s="22"/>
      <c r="J51" s="22"/>
      <c r="K51" s="22"/>
      <c r="L51" s="22"/>
      <c r="M51" s="22"/>
      <c r="N51" s="22"/>
      <c r="O51" s="22"/>
      <c r="P51" s="22"/>
      <c r="Q51" s="22"/>
      <c r="R51" s="22"/>
      <c r="S51" s="22"/>
      <c r="T51" s="22"/>
      <c r="Y51" s="138"/>
    </row>
    <row r="52" spans="1:26" ht="18" customHeight="1">
      <c r="C52" s="196" t="s">
        <v>112</v>
      </c>
      <c r="D52" s="196"/>
      <c r="E52" s="196"/>
      <c r="F52" s="196"/>
      <c r="G52" s="196"/>
      <c r="H52" s="196"/>
      <c r="I52" s="196"/>
      <c r="J52" s="196"/>
      <c r="K52" s="196"/>
      <c r="L52" s="196"/>
      <c r="M52" s="196"/>
      <c r="N52" s="196"/>
      <c r="O52" s="196"/>
      <c r="P52" s="196"/>
      <c r="Q52" s="196"/>
      <c r="R52" s="196"/>
      <c r="S52" s="196"/>
      <c r="T52" s="81"/>
      <c r="Y52" s="138"/>
    </row>
    <row r="53" spans="1:26" ht="33" customHeight="1">
      <c r="C53" s="196" t="s">
        <v>261</v>
      </c>
      <c r="D53" s="196"/>
      <c r="E53" s="196"/>
      <c r="F53" s="196"/>
      <c r="G53" s="196"/>
      <c r="H53" s="196"/>
      <c r="I53" s="196"/>
      <c r="J53" s="196"/>
      <c r="K53" s="196"/>
      <c r="L53" s="196"/>
      <c r="M53" s="196"/>
      <c r="N53" s="196"/>
      <c r="O53" s="196"/>
      <c r="P53" s="196"/>
      <c r="Q53" s="196"/>
      <c r="R53" s="196"/>
      <c r="S53" s="81"/>
      <c r="T53" s="81"/>
      <c r="Y53" s="138"/>
    </row>
    <row r="54" spans="1:26" ht="18.75" customHeight="1">
      <c r="C54" s="196" t="s">
        <v>146</v>
      </c>
      <c r="D54" s="196"/>
      <c r="E54" s="196"/>
      <c r="F54" s="196"/>
      <c r="G54" s="196"/>
      <c r="H54" s="196"/>
      <c r="I54" s="196"/>
      <c r="J54" s="196"/>
      <c r="K54" s="196"/>
      <c r="L54" s="196"/>
      <c r="M54" s="196"/>
      <c r="N54" s="196"/>
      <c r="O54" s="196"/>
      <c r="P54" s="196"/>
      <c r="Q54" s="196"/>
      <c r="R54" s="196"/>
      <c r="S54" s="81"/>
      <c r="T54" s="81"/>
      <c r="Y54" s="138"/>
    </row>
    <row r="55" spans="1:26" ht="18.75" customHeight="1">
      <c r="C55" s="81"/>
      <c r="D55" s="7" t="s">
        <v>63</v>
      </c>
      <c r="E55" s="11">
        <v>-20.059999999999999</v>
      </c>
      <c r="F55" s="81"/>
      <c r="G55" s="81"/>
      <c r="H55" s="81"/>
      <c r="I55" s="81"/>
      <c r="J55" s="81"/>
      <c r="K55" s="81"/>
      <c r="L55" s="81"/>
      <c r="M55" s="81"/>
      <c r="N55" s="81"/>
      <c r="O55" s="160"/>
      <c r="P55" s="81"/>
      <c r="Q55" s="81"/>
      <c r="R55" s="81"/>
      <c r="S55" s="81"/>
      <c r="T55" s="81"/>
      <c r="Y55" s="138"/>
    </row>
    <row r="56" spans="1:26" ht="18.75" customHeight="1">
      <c r="C56" s="81"/>
      <c r="D56" s="7" t="s">
        <v>64</v>
      </c>
      <c r="E56" s="11">
        <v>-75</v>
      </c>
      <c r="F56" s="81"/>
      <c r="G56" s="81"/>
      <c r="H56" s="81"/>
      <c r="I56" s="81"/>
      <c r="J56" s="81"/>
      <c r="K56" s="81"/>
      <c r="L56" s="81"/>
      <c r="M56" s="81"/>
      <c r="N56" s="81"/>
      <c r="O56" s="160"/>
      <c r="P56" s="81"/>
      <c r="Q56" s="81"/>
      <c r="R56" s="81"/>
      <c r="S56" s="81"/>
      <c r="T56" s="81"/>
      <c r="Y56" s="138"/>
    </row>
    <row r="57" spans="1:26" ht="18.75" customHeight="1">
      <c r="C57" s="81"/>
      <c r="D57" s="7" t="s">
        <v>65</v>
      </c>
      <c r="E57" s="65">
        <v>-249.2</v>
      </c>
      <c r="F57" s="81"/>
      <c r="G57" s="81"/>
      <c r="H57" s="81"/>
      <c r="I57" s="81"/>
      <c r="J57" s="81"/>
      <c r="K57" s="81"/>
      <c r="L57" s="81"/>
      <c r="M57" s="81"/>
      <c r="N57" s="81"/>
      <c r="O57" s="160"/>
      <c r="P57" s="81"/>
      <c r="Q57" s="81"/>
      <c r="R57" s="81"/>
      <c r="S57" s="81"/>
      <c r="T57" s="81"/>
      <c r="Y57" s="138"/>
    </row>
    <row r="58" spans="1:26">
      <c r="C58" s="7"/>
      <c r="D58" s="7"/>
      <c r="E58" s="65">
        <f>SUM(E55:E57)</f>
        <v>-344.26</v>
      </c>
      <c r="F58" s="26"/>
      <c r="G58" s="27"/>
      <c r="H58" s="27"/>
      <c r="I58" s="27"/>
      <c r="J58" s="27"/>
      <c r="K58" s="27"/>
      <c r="L58" s="27"/>
      <c r="M58" s="27"/>
      <c r="N58" s="27"/>
      <c r="O58" s="27"/>
      <c r="P58" s="27"/>
      <c r="Q58" s="27"/>
      <c r="R58" s="27"/>
      <c r="S58" s="27"/>
      <c r="T58" s="27"/>
      <c r="Y58" s="138"/>
    </row>
    <row r="59" spans="1:26">
      <c r="C59" s="7" t="s">
        <v>143</v>
      </c>
      <c r="D59" s="7"/>
      <c r="E59" s="65"/>
      <c r="F59" s="26"/>
      <c r="G59" s="27"/>
      <c r="H59" s="27"/>
      <c r="I59" s="27"/>
      <c r="J59" s="27"/>
      <c r="K59" s="27"/>
      <c r="L59" s="27"/>
      <c r="M59" s="27"/>
      <c r="N59" s="27"/>
      <c r="O59" s="27"/>
      <c r="P59" s="27"/>
      <c r="Q59" s="27"/>
      <c r="R59" s="27"/>
      <c r="S59" s="27"/>
      <c r="T59" s="27"/>
      <c r="Y59" s="138"/>
    </row>
    <row r="60" spans="1:26" ht="33.75" customHeight="1">
      <c r="C60" s="173" t="s">
        <v>145</v>
      </c>
      <c r="D60" s="173"/>
      <c r="E60" s="173"/>
      <c r="F60" s="173"/>
      <c r="G60" s="173"/>
      <c r="H60" s="173"/>
      <c r="I60" s="173"/>
      <c r="J60" s="173"/>
      <c r="K60" s="173"/>
      <c r="L60" s="173"/>
      <c r="M60" s="173"/>
      <c r="N60" s="173"/>
      <c r="O60" s="173"/>
      <c r="P60" s="173"/>
      <c r="Q60" s="173"/>
      <c r="R60" s="173"/>
      <c r="S60" s="173"/>
      <c r="T60" s="173"/>
      <c r="U60" s="173"/>
      <c r="V60" s="173"/>
      <c r="W60" s="173"/>
      <c r="X60" s="173"/>
      <c r="Y60" s="173"/>
    </row>
    <row r="61" spans="1:26" ht="51.75" customHeight="1">
      <c r="C61" s="173" t="s">
        <v>144</v>
      </c>
      <c r="D61" s="173"/>
      <c r="E61" s="173"/>
      <c r="F61" s="173"/>
      <c r="G61" s="173"/>
      <c r="H61" s="173"/>
      <c r="I61" s="173"/>
      <c r="J61" s="173"/>
      <c r="K61" s="173"/>
      <c r="L61" s="173"/>
      <c r="M61" s="173"/>
      <c r="N61" s="173"/>
      <c r="O61" s="173"/>
      <c r="P61" s="173"/>
      <c r="Q61" s="173"/>
      <c r="R61" s="173"/>
      <c r="S61" s="173"/>
      <c r="T61" s="173"/>
      <c r="U61" s="173"/>
      <c r="V61" s="173"/>
      <c r="W61" s="173"/>
      <c r="X61" s="173"/>
      <c r="Y61" s="173"/>
    </row>
    <row r="62" spans="1:26" ht="8.25" customHeight="1">
      <c r="C62" s="7"/>
      <c r="D62" s="7"/>
      <c r="E62" s="65"/>
      <c r="F62" s="26"/>
      <c r="G62" s="27"/>
      <c r="H62" s="27"/>
      <c r="I62" s="27"/>
      <c r="J62" s="27"/>
      <c r="K62" s="27"/>
      <c r="L62" s="27"/>
      <c r="M62" s="27"/>
      <c r="N62" s="27"/>
      <c r="O62" s="27"/>
      <c r="P62" s="27"/>
      <c r="Q62" s="27"/>
      <c r="R62" s="27"/>
      <c r="S62" s="27"/>
      <c r="T62" s="27"/>
      <c r="Y62" s="138"/>
    </row>
    <row r="63" spans="1:26">
      <c r="C63" s="7"/>
      <c r="D63" s="7"/>
      <c r="E63" s="7"/>
      <c r="F63" s="28"/>
      <c r="G63" s="29"/>
      <c r="H63" s="29"/>
      <c r="I63" s="29"/>
      <c r="J63" s="29"/>
      <c r="K63" s="29"/>
      <c r="L63" s="29"/>
      <c r="N63" s="29"/>
      <c r="O63" s="29"/>
      <c r="P63" s="29"/>
      <c r="Q63" s="29"/>
      <c r="R63" s="29"/>
      <c r="S63" s="29"/>
      <c r="T63" s="29"/>
      <c r="Y63" s="138"/>
      <c r="Z63" s="29" t="s">
        <v>42</v>
      </c>
    </row>
    <row r="64" spans="1:26">
      <c r="C64" s="7"/>
      <c r="D64" s="7"/>
      <c r="E64" s="7"/>
      <c r="F64" s="28"/>
      <c r="G64" s="29"/>
      <c r="H64" s="29"/>
      <c r="I64" s="29"/>
      <c r="J64" s="29"/>
      <c r="K64" s="29"/>
      <c r="L64" s="29"/>
      <c r="N64" s="29"/>
      <c r="O64" s="29"/>
      <c r="P64" s="29"/>
      <c r="Q64" s="29"/>
      <c r="R64" s="29"/>
      <c r="S64" s="29"/>
      <c r="T64" s="29"/>
      <c r="Y64" s="138"/>
      <c r="Z64" s="29" t="s">
        <v>46</v>
      </c>
    </row>
    <row r="65" spans="3:26">
      <c r="C65" s="139" t="s">
        <v>44</v>
      </c>
      <c r="D65" s="7"/>
      <c r="E65" s="7"/>
      <c r="F65" s="28"/>
      <c r="G65" s="29"/>
      <c r="H65" s="29"/>
      <c r="I65" s="29"/>
      <c r="J65" s="29"/>
      <c r="K65" s="29"/>
      <c r="L65" s="29"/>
      <c r="N65" s="29"/>
      <c r="O65" s="29"/>
      <c r="P65" s="29"/>
      <c r="Q65" s="29"/>
      <c r="R65" s="29"/>
      <c r="S65" s="29"/>
      <c r="T65" s="29"/>
      <c r="Z65" s="29" t="s">
        <v>43</v>
      </c>
    </row>
    <row r="66" spans="3:26">
      <c r="C66" s="7" t="s">
        <v>238</v>
      </c>
      <c r="D66" s="7"/>
      <c r="E66" s="7"/>
      <c r="F66" s="28"/>
      <c r="G66" s="29"/>
      <c r="H66" s="29"/>
      <c r="I66" s="29"/>
      <c r="J66" s="29"/>
      <c r="K66" s="29"/>
      <c r="L66" s="29"/>
      <c r="N66" s="29"/>
      <c r="O66" s="29"/>
      <c r="P66" s="29"/>
      <c r="Q66" s="29"/>
      <c r="R66" s="29"/>
      <c r="S66" s="29"/>
      <c r="T66" s="29"/>
      <c r="Z66" s="29" t="s">
        <v>45</v>
      </c>
    </row>
    <row r="67" spans="3:26">
      <c r="C67" s="7"/>
      <c r="D67" s="7"/>
      <c r="E67" s="7"/>
      <c r="F67" s="28"/>
      <c r="G67" s="29"/>
      <c r="H67" s="29"/>
      <c r="I67" s="29"/>
      <c r="J67" s="29"/>
      <c r="K67" s="29"/>
      <c r="L67" s="29"/>
      <c r="M67" s="29"/>
      <c r="N67" s="29"/>
      <c r="O67" s="29"/>
      <c r="P67" s="29"/>
      <c r="Q67" s="29"/>
      <c r="R67" s="29"/>
      <c r="S67" s="29"/>
      <c r="T67" s="29"/>
    </row>
    <row r="68" spans="3:26">
      <c r="C68" s="7"/>
      <c r="D68" s="7"/>
      <c r="E68" s="7"/>
      <c r="F68" s="28"/>
      <c r="G68" s="29"/>
      <c r="H68" s="29"/>
      <c r="I68" s="29"/>
      <c r="J68" s="29"/>
      <c r="K68" s="29"/>
      <c r="L68" s="29"/>
      <c r="M68" s="29"/>
      <c r="N68" s="29"/>
      <c r="O68" s="29"/>
      <c r="P68" s="29"/>
      <c r="Q68" s="29"/>
      <c r="R68" s="29"/>
      <c r="S68" s="29"/>
      <c r="T68" s="29"/>
    </row>
    <row r="69" spans="3:26">
      <c r="C69" s="7"/>
      <c r="D69" s="7"/>
      <c r="E69" s="7"/>
      <c r="F69" s="28"/>
      <c r="G69" s="29"/>
      <c r="H69" s="29"/>
      <c r="I69" s="29"/>
      <c r="J69" s="29"/>
      <c r="K69" s="29"/>
      <c r="L69" s="29"/>
      <c r="M69" s="29"/>
      <c r="N69" s="29"/>
      <c r="O69" s="29"/>
      <c r="P69" s="29"/>
      <c r="Q69" s="29"/>
      <c r="R69" s="29"/>
      <c r="S69" s="29"/>
      <c r="T69" s="29"/>
      <c r="U69" s="9"/>
    </row>
    <row r="70" spans="3:26">
      <c r="C70" s="7"/>
      <c r="D70" s="7"/>
      <c r="E70" s="7"/>
      <c r="F70" s="28"/>
      <c r="G70" s="29"/>
      <c r="H70" s="29"/>
      <c r="I70" s="29"/>
      <c r="J70" s="29"/>
      <c r="K70" s="29"/>
      <c r="L70" s="29"/>
      <c r="M70" s="29"/>
      <c r="N70" s="29"/>
      <c r="O70" s="29"/>
      <c r="P70" s="29"/>
      <c r="Q70" s="29"/>
      <c r="R70" s="29"/>
      <c r="S70" s="29"/>
      <c r="T70" s="29"/>
      <c r="U70" s="9"/>
    </row>
    <row r="71" spans="3:26">
      <c r="C71" s="7"/>
      <c r="D71" s="7"/>
      <c r="E71" s="7"/>
      <c r="F71" s="28"/>
      <c r="G71" s="29"/>
      <c r="H71" s="29"/>
      <c r="I71" s="29"/>
      <c r="J71" s="29"/>
      <c r="K71" s="29"/>
      <c r="L71" s="29"/>
      <c r="M71" s="29"/>
      <c r="N71" s="29"/>
      <c r="O71" s="29"/>
      <c r="P71" s="29"/>
      <c r="Q71" s="29"/>
      <c r="R71" s="29"/>
      <c r="S71" s="29"/>
      <c r="T71" s="29"/>
      <c r="U71" s="9"/>
    </row>
    <row r="72" spans="3:26" s="13" customFormat="1" ht="24" customHeight="1">
      <c r="C72" s="7"/>
      <c r="D72" s="7"/>
      <c r="E72" s="7"/>
      <c r="F72" s="26"/>
      <c r="G72" s="30"/>
      <c r="H72" s="30"/>
      <c r="I72" s="30"/>
      <c r="J72" s="30"/>
      <c r="K72" s="30"/>
      <c r="L72" s="30"/>
      <c r="M72" s="30"/>
      <c r="N72" s="30"/>
      <c r="O72" s="30"/>
      <c r="P72" s="30"/>
      <c r="Q72" s="30"/>
      <c r="R72" s="30"/>
      <c r="S72" s="30"/>
      <c r="T72" s="30"/>
      <c r="U72" s="12"/>
    </row>
    <row r="73" spans="3:26">
      <c r="C73" s="7"/>
      <c r="D73" s="7"/>
      <c r="E73" s="7"/>
      <c r="F73" s="28"/>
      <c r="G73" s="29"/>
      <c r="H73" s="29"/>
      <c r="I73" s="29"/>
      <c r="J73" s="29"/>
      <c r="K73" s="29"/>
      <c r="L73" s="29"/>
      <c r="M73" s="29"/>
      <c r="N73" s="29"/>
      <c r="O73" s="29"/>
      <c r="P73" s="29"/>
      <c r="Q73" s="29"/>
      <c r="R73" s="29"/>
      <c r="S73" s="29"/>
      <c r="T73" s="29"/>
      <c r="U73" s="9"/>
    </row>
    <row r="74" spans="3:26">
      <c r="C74" s="7"/>
      <c r="D74" s="7"/>
      <c r="E74" s="7"/>
      <c r="F74" s="28"/>
      <c r="G74" s="29"/>
      <c r="H74" s="29"/>
      <c r="I74" s="29"/>
      <c r="J74" s="29"/>
      <c r="K74" s="29"/>
      <c r="L74" s="29"/>
      <c r="M74" s="29"/>
      <c r="N74" s="29"/>
      <c r="O74" s="29"/>
      <c r="P74" s="29"/>
      <c r="Q74" s="29"/>
      <c r="R74" s="29"/>
      <c r="S74" s="29"/>
      <c r="T74" s="29"/>
      <c r="U74" s="9"/>
    </row>
    <row r="75" spans="3:26">
      <c r="C75" s="7"/>
      <c r="D75" s="7"/>
      <c r="E75" s="7"/>
      <c r="F75" s="28"/>
      <c r="G75" s="29"/>
      <c r="H75" s="29"/>
      <c r="I75" s="29"/>
      <c r="J75" s="29"/>
      <c r="K75" s="29"/>
      <c r="L75" s="29"/>
      <c r="M75" s="29"/>
      <c r="N75" s="29"/>
      <c r="O75" s="29"/>
      <c r="P75" s="29"/>
      <c r="Q75" s="29"/>
      <c r="R75" s="29"/>
      <c r="S75" s="29"/>
      <c r="T75" s="29"/>
    </row>
    <row r="76" spans="3:26">
      <c r="C76" s="7"/>
      <c r="D76" s="7"/>
      <c r="E76" s="7"/>
      <c r="F76" s="28"/>
      <c r="G76" s="29"/>
      <c r="H76" s="29"/>
      <c r="I76" s="29"/>
      <c r="J76" s="29"/>
      <c r="K76" s="29"/>
      <c r="L76" s="29"/>
      <c r="M76" s="29"/>
      <c r="N76" s="29"/>
      <c r="O76" s="29"/>
      <c r="P76" s="29"/>
      <c r="Q76" s="29"/>
      <c r="R76" s="29"/>
      <c r="S76" s="29"/>
      <c r="T76" s="29"/>
    </row>
    <row r="77" spans="3:26">
      <c r="C77" s="7"/>
      <c r="D77" s="7"/>
      <c r="E77" s="7"/>
      <c r="F77" s="28"/>
      <c r="G77" s="29"/>
      <c r="H77" s="29"/>
      <c r="I77" s="29"/>
      <c r="J77" s="29"/>
      <c r="K77" s="29"/>
      <c r="L77" s="29"/>
      <c r="M77" s="29"/>
      <c r="N77" s="29"/>
      <c r="O77" s="29"/>
      <c r="P77" s="29"/>
      <c r="Q77" s="29"/>
      <c r="R77" s="29"/>
      <c r="S77" s="29"/>
      <c r="T77" s="29"/>
    </row>
    <row r="78" spans="3:26">
      <c r="C78" s="7"/>
      <c r="D78" s="7"/>
      <c r="E78" s="7"/>
      <c r="F78" s="28"/>
      <c r="G78" s="29"/>
      <c r="H78" s="29"/>
      <c r="I78" s="29"/>
      <c r="J78" s="29"/>
      <c r="K78" s="29"/>
      <c r="L78" s="29"/>
      <c r="M78" s="29"/>
      <c r="N78" s="29"/>
      <c r="O78" s="29"/>
      <c r="P78" s="29"/>
      <c r="Q78" s="29"/>
      <c r="R78" s="29"/>
      <c r="S78" s="29"/>
      <c r="T78" s="29"/>
    </row>
    <row r="79" spans="3:26">
      <c r="C79" s="7"/>
      <c r="D79" s="7"/>
      <c r="E79" s="7"/>
      <c r="F79" s="28"/>
      <c r="G79" s="29"/>
      <c r="H79" s="29"/>
      <c r="I79" s="29"/>
      <c r="J79" s="29"/>
      <c r="K79" s="29"/>
      <c r="L79" s="29"/>
      <c r="M79" s="29"/>
      <c r="N79" s="29"/>
      <c r="O79" s="29"/>
      <c r="P79" s="29"/>
      <c r="Q79" s="29"/>
      <c r="R79" s="29"/>
      <c r="S79" s="29"/>
      <c r="T79" s="29"/>
    </row>
    <row r="80" spans="3:26">
      <c r="C80" s="7"/>
      <c r="D80" s="7"/>
      <c r="E80" s="7"/>
      <c r="F80" s="28"/>
      <c r="G80" s="29"/>
      <c r="H80" s="29"/>
      <c r="I80" s="29"/>
      <c r="J80" s="29"/>
      <c r="K80" s="29"/>
      <c r="L80" s="29"/>
      <c r="M80" s="29"/>
      <c r="N80" s="29"/>
      <c r="O80" s="29"/>
      <c r="P80" s="29"/>
      <c r="Q80" s="29"/>
      <c r="R80" s="29"/>
      <c r="S80" s="29"/>
      <c r="T80" s="29"/>
    </row>
    <row r="81" spans="2:20">
      <c r="C81" s="7"/>
      <c r="D81" s="7"/>
      <c r="E81" s="7"/>
      <c r="F81" s="28"/>
      <c r="G81" s="29"/>
      <c r="H81" s="29"/>
      <c r="I81" s="29"/>
      <c r="J81" s="29"/>
      <c r="K81" s="29"/>
      <c r="L81" s="29"/>
      <c r="M81" s="29"/>
      <c r="N81" s="29"/>
      <c r="O81" s="29"/>
      <c r="P81" s="29"/>
      <c r="Q81" s="29"/>
      <c r="R81" s="29"/>
      <c r="S81" s="29"/>
      <c r="T81" s="29"/>
    </row>
    <row r="82" spans="2:20">
      <c r="C82" s="7"/>
      <c r="D82" s="7"/>
      <c r="E82" s="7"/>
      <c r="F82" s="28"/>
      <c r="G82" s="29"/>
      <c r="H82" s="29"/>
      <c r="I82" s="29"/>
      <c r="J82" s="29"/>
      <c r="K82" s="29"/>
      <c r="L82" s="29"/>
      <c r="M82" s="29"/>
      <c r="N82" s="29"/>
      <c r="O82" s="29"/>
      <c r="P82" s="29"/>
      <c r="Q82" s="29"/>
      <c r="R82" s="29"/>
      <c r="S82" s="29"/>
      <c r="T82" s="29"/>
    </row>
    <row r="83" spans="2:20">
      <c r="C83" s="7"/>
      <c r="D83" s="7"/>
      <c r="E83" s="7"/>
      <c r="F83" s="28"/>
      <c r="G83" s="29"/>
      <c r="H83" s="29"/>
      <c r="I83" s="29"/>
      <c r="J83" s="29"/>
      <c r="K83" s="29"/>
      <c r="L83" s="29"/>
      <c r="M83" s="29"/>
      <c r="N83" s="29"/>
      <c r="O83" s="29"/>
      <c r="P83" s="29"/>
      <c r="Q83" s="29"/>
      <c r="R83" s="29"/>
      <c r="S83" s="29"/>
      <c r="T83" s="29"/>
    </row>
    <row r="84" spans="2:20">
      <c r="C84" s="7"/>
      <c r="D84" s="7"/>
      <c r="E84" s="7"/>
      <c r="F84" s="28"/>
      <c r="G84" s="29"/>
      <c r="H84" s="29"/>
      <c r="I84" s="29"/>
      <c r="J84" s="29"/>
      <c r="K84" s="29"/>
      <c r="L84" s="29"/>
      <c r="M84" s="29"/>
      <c r="N84" s="29"/>
      <c r="O84" s="29"/>
      <c r="P84" s="29"/>
      <c r="Q84" s="29"/>
      <c r="R84" s="29"/>
      <c r="S84" s="29"/>
      <c r="T84" s="29"/>
    </row>
    <row r="85" spans="2:20">
      <c r="C85" s="7"/>
      <c r="D85" s="7"/>
      <c r="E85" s="7"/>
      <c r="F85" s="28"/>
      <c r="G85" s="29"/>
      <c r="H85" s="29"/>
      <c r="I85" s="29"/>
      <c r="J85" s="29"/>
      <c r="K85" s="29"/>
      <c r="L85" s="29"/>
      <c r="M85" s="29"/>
      <c r="N85" s="29"/>
      <c r="O85" s="29"/>
      <c r="P85" s="29"/>
      <c r="Q85" s="29"/>
      <c r="R85" s="29"/>
      <c r="S85" s="29"/>
      <c r="T85" s="29"/>
    </row>
    <row r="86" spans="2:20">
      <c r="C86" s="7"/>
      <c r="D86" s="7"/>
      <c r="E86" s="7"/>
      <c r="F86" s="28"/>
      <c r="G86" s="29"/>
      <c r="H86" s="29"/>
      <c r="I86" s="29"/>
      <c r="J86" s="29"/>
      <c r="K86" s="29"/>
      <c r="L86" s="29"/>
      <c r="M86" s="29"/>
      <c r="N86" s="29"/>
      <c r="O86" s="29"/>
      <c r="P86" s="29"/>
      <c r="Q86" s="29"/>
      <c r="R86" s="29"/>
      <c r="S86" s="29"/>
      <c r="T86" s="29"/>
    </row>
    <row r="87" spans="2:20">
      <c r="C87" s="7"/>
      <c r="D87" s="7"/>
      <c r="E87" s="7"/>
      <c r="F87" s="28"/>
      <c r="G87" s="29"/>
      <c r="H87" s="29"/>
      <c r="I87" s="29"/>
      <c r="J87" s="29"/>
      <c r="K87" s="29"/>
      <c r="L87" s="29"/>
      <c r="M87" s="29"/>
      <c r="N87" s="29"/>
      <c r="O87" s="29"/>
      <c r="P87" s="29"/>
      <c r="Q87" s="29"/>
      <c r="R87" s="29"/>
      <c r="S87" s="29"/>
      <c r="T87" s="29"/>
    </row>
    <row r="88" spans="2:20">
      <c r="C88" s="7"/>
      <c r="D88" s="7"/>
      <c r="E88" s="7"/>
      <c r="F88" s="28"/>
      <c r="G88" s="29"/>
      <c r="H88" s="29"/>
      <c r="I88" s="29"/>
      <c r="J88" s="29"/>
      <c r="K88" s="29"/>
      <c r="L88" s="29"/>
      <c r="M88" s="29"/>
      <c r="N88" s="29"/>
      <c r="O88" s="29"/>
      <c r="P88" s="29"/>
      <c r="Q88" s="29"/>
      <c r="R88" s="29"/>
      <c r="S88" s="29"/>
      <c r="T88" s="29"/>
    </row>
    <row r="89" spans="2:20">
      <c r="C89" s="7"/>
      <c r="D89" s="7"/>
      <c r="E89" s="7"/>
      <c r="F89" s="28"/>
      <c r="G89" s="29"/>
      <c r="H89" s="29"/>
      <c r="I89" s="29"/>
      <c r="J89" s="29"/>
      <c r="K89" s="29"/>
      <c r="L89" s="29"/>
      <c r="M89" s="29"/>
      <c r="N89" s="29"/>
      <c r="O89" s="29"/>
      <c r="P89" s="29"/>
      <c r="Q89" s="29"/>
      <c r="R89" s="29"/>
      <c r="S89" s="29"/>
      <c r="T89" s="29"/>
    </row>
    <row r="90" spans="2:20">
      <c r="C90" s="7"/>
      <c r="D90" s="7"/>
      <c r="E90" s="7"/>
      <c r="F90" s="28"/>
      <c r="G90" s="29"/>
      <c r="H90" s="29"/>
      <c r="I90" s="29"/>
      <c r="J90" s="29"/>
      <c r="K90" s="29"/>
      <c r="L90" s="29"/>
      <c r="M90" s="29"/>
      <c r="N90" s="29"/>
      <c r="O90" s="29"/>
      <c r="P90" s="29"/>
      <c r="Q90" s="29"/>
      <c r="R90" s="29"/>
      <c r="S90" s="29"/>
      <c r="T90" s="29"/>
    </row>
    <row r="91" spans="2:20">
      <c r="C91" s="7"/>
      <c r="D91" s="7"/>
      <c r="E91" s="28"/>
      <c r="F91" s="28"/>
      <c r="G91" s="29"/>
      <c r="H91" s="29"/>
      <c r="I91" s="29"/>
      <c r="J91" s="29"/>
      <c r="K91" s="29"/>
      <c r="L91" s="29"/>
      <c r="M91" s="29"/>
      <c r="N91" s="29"/>
      <c r="O91" s="29"/>
      <c r="P91" s="29"/>
      <c r="Q91" s="29"/>
      <c r="R91" s="29"/>
      <c r="S91" s="29"/>
      <c r="T91" s="29"/>
    </row>
    <row r="92" spans="2:20">
      <c r="C92" s="7"/>
      <c r="D92" s="7"/>
      <c r="E92" s="7"/>
      <c r="F92" s="28"/>
      <c r="G92" s="29"/>
      <c r="H92" s="29"/>
      <c r="I92" s="29"/>
      <c r="J92" s="29"/>
      <c r="K92" s="29"/>
      <c r="L92" s="29"/>
      <c r="M92" s="29"/>
      <c r="N92" s="29"/>
      <c r="O92" s="29"/>
      <c r="P92" s="29"/>
      <c r="Q92" s="29"/>
      <c r="R92" s="29"/>
      <c r="S92" s="29"/>
      <c r="T92" s="29"/>
    </row>
    <row r="93" spans="2:20">
      <c r="C93" s="7"/>
      <c r="D93" s="7"/>
      <c r="E93" s="7"/>
      <c r="F93" s="28"/>
      <c r="G93" s="29"/>
      <c r="H93" s="29"/>
      <c r="I93" s="29"/>
      <c r="J93" s="29"/>
      <c r="K93" s="29"/>
      <c r="L93" s="29"/>
      <c r="M93" s="29"/>
      <c r="N93" s="29"/>
      <c r="O93" s="29"/>
      <c r="P93" s="29"/>
      <c r="Q93" s="29"/>
      <c r="R93" s="29"/>
      <c r="S93" s="29"/>
      <c r="T93" s="29"/>
    </row>
    <row r="94" spans="2:20">
      <c r="C94" s="7"/>
      <c r="D94" s="7"/>
      <c r="E94" s="7"/>
      <c r="F94" s="28"/>
      <c r="G94" s="29"/>
      <c r="H94" s="29"/>
      <c r="I94" s="29"/>
      <c r="J94" s="29"/>
      <c r="K94" s="29"/>
      <c r="L94" s="29"/>
      <c r="M94" s="29"/>
      <c r="N94" s="29"/>
      <c r="O94" s="29"/>
      <c r="P94" s="29"/>
      <c r="Q94" s="29"/>
      <c r="R94" s="29"/>
      <c r="S94" s="29"/>
      <c r="T94" s="29"/>
    </row>
    <row r="95" spans="2:20" s="32" customFormat="1">
      <c r="B95" s="12"/>
      <c r="C95" s="19"/>
      <c r="D95" s="19"/>
      <c r="E95" s="19"/>
      <c r="F95" s="26"/>
      <c r="G95" s="31"/>
      <c r="H95" s="31"/>
      <c r="I95" s="31"/>
      <c r="J95" s="31"/>
      <c r="K95" s="31"/>
      <c r="L95" s="31"/>
      <c r="M95" s="31"/>
      <c r="N95" s="31"/>
      <c r="O95" s="31"/>
      <c r="P95" s="31"/>
      <c r="Q95" s="31"/>
      <c r="R95" s="31"/>
      <c r="S95" s="31"/>
      <c r="T95" s="31"/>
    </row>
    <row r="96" spans="2:20">
      <c r="C96" s="7"/>
      <c r="D96" s="7"/>
      <c r="E96" s="7"/>
      <c r="F96" s="28"/>
      <c r="G96" s="29"/>
      <c r="H96" s="29"/>
      <c r="I96" s="29"/>
      <c r="J96" s="29"/>
      <c r="K96" s="29"/>
      <c r="L96" s="29"/>
      <c r="M96" s="29"/>
      <c r="N96" s="29"/>
      <c r="O96" s="29"/>
      <c r="P96" s="29"/>
      <c r="Q96" s="29"/>
      <c r="R96" s="29"/>
      <c r="S96" s="29"/>
      <c r="T96" s="29"/>
    </row>
    <row r="97" spans="3:20">
      <c r="C97" s="7"/>
      <c r="D97" s="7"/>
      <c r="E97" s="7"/>
      <c r="F97" s="28"/>
      <c r="G97" s="29"/>
      <c r="H97" s="29"/>
      <c r="I97" s="29"/>
      <c r="J97" s="29"/>
      <c r="K97" s="29"/>
      <c r="L97" s="29"/>
      <c r="M97" s="29"/>
      <c r="N97" s="29"/>
      <c r="O97" s="29"/>
      <c r="P97" s="29"/>
      <c r="Q97" s="29"/>
      <c r="R97" s="29"/>
      <c r="S97" s="29"/>
      <c r="T97" s="29"/>
    </row>
    <row r="98" spans="3:20">
      <c r="C98" s="7"/>
      <c r="D98" s="7"/>
      <c r="E98" s="7"/>
      <c r="F98" s="28"/>
      <c r="G98" s="29"/>
      <c r="H98" s="29"/>
      <c r="I98" s="29"/>
      <c r="J98" s="29"/>
      <c r="K98" s="29"/>
      <c r="L98" s="29"/>
      <c r="M98" s="29"/>
      <c r="N98" s="29"/>
      <c r="O98" s="29"/>
      <c r="P98" s="29"/>
      <c r="Q98" s="29"/>
      <c r="R98" s="29"/>
      <c r="S98" s="29"/>
      <c r="T98" s="29"/>
    </row>
    <row r="99" spans="3:20">
      <c r="C99" s="7"/>
      <c r="D99" s="7"/>
      <c r="E99" s="7"/>
      <c r="F99" s="28"/>
      <c r="G99" s="29"/>
      <c r="H99" s="29"/>
      <c r="I99" s="29"/>
      <c r="J99" s="29"/>
      <c r="K99" s="29"/>
      <c r="L99" s="29"/>
      <c r="M99" s="29"/>
      <c r="N99" s="29"/>
      <c r="O99" s="29"/>
      <c r="P99" s="29"/>
      <c r="Q99" s="29"/>
      <c r="R99" s="29"/>
      <c r="S99" s="29"/>
      <c r="T99" s="29"/>
    </row>
    <row r="100" spans="3:20">
      <c r="C100" s="7"/>
      <c r="D100" s="7"/>
      <c r="E100" s="7"/>
      <c r="F100" s="28"/>
      <c r="G100" s="29"/>
      <c r="H100" s="29"/>
      <c r="I100" s="29"/>
      <c r="J100" s="29"/>
      <c r="K100" s="29"/>
      <c r="L100" s="29"/>
      <c r="M100" s="29"/>
      <c r="N100" s="29"/>
      <c r="O100" s="29"/>
      <c r="P100" s="29"/>
      <c r="Q100" s="29"/>
      <c r="R100" s="29"/>
      <c r="S100" s="29"/>
      <c r="T100" s="29"/>
    </row>
    <row r="101" spans="3:20">
      <c r="C101" s="7"/>
      <c r="D101" s="7"/>
      <c r="E101" s="7"/>
      <c r="F101" s="28"/>
      <c r="G101" s="29"/>
      <c r="H101" s="29"/>
      <c r="I101" s="29"/>
      <c r="J101" s="29"/>
      <c r="K101" s="29"/>
      <c r="L101" s="29"/>
      <c r="M101" s="29"/>
      <c r="N101" s="29"/>
      <c r="O101" s="29"/>
      <c r="P101" s="29"/>
      <c r="Q101" s="29"/>
      <c r="R101" s="29"/>
      <c r="S101" s="29"/>
      <c r="T101" s="29"/>
    </row>
    <row r="102" spans="3:20">
      <c r="C102" s="28"/>
      <c r="D102" s="28"/>
      <c r="E102" s="28"/>
      <c r="F102" s="28"/>
      <c r="G102" s="28"/>
      <c r="H102" s="28"/>
      <c r="I102" s="28"/>
      <c r="J102" s="28"/>
      <c r="K102" s="28"/>
      <c r="L102" s="28"/>
      <c r="M102" s="28"/>
      <c r="N102" s="28"/>
      <c r="O102" s="28"/>
      <c r="P102" s="28"/>
      <c r="Q102" s="28"/>
      <c r="R102" s="28"/>
      <c r="S102" s="28"/>
      <c r="T102" s="28"/>
    </row>
    <row r="103" spans="3:20">
      <c r="C103" s="28"/>
      <c r="D103" s="28"/>
      <c r="E103" s="28"/>
      <c r="F103" s="28"/>
      <c r="G103" s="28"/>
      <c r="H103" s="28"/>
      <c r="I103" s="28"/>
      <c r="J103" s="28"/>
      <c r="K103" s="28"/>
      <c r="L103" s="28"/>
      <c r="M103" s="28"/>
      <c r="N103" s="28"/>
      <c r="O103" s="28"/>
      <c r="P103" s="28"/>
      <c r="Q103" s="28"/>
      <c r="R103" s="28"/>
      <c r="S103" s="28"/>
      <c r="T103" s="28"/>
    </row>
    <row r="104" spans="3:20">
      <c r="C104" s="28"/>
      <c r="D104" s="28"/>
      <c r="E104" s="28"/>
      <c r="F104" s="28"/>
      <c r="G104" s="28"/>
      <c r="H104" s="28"/>
      <c r="I104" s="28"/>
      <c r="J104" s="28"/>
      <c r="K104" s="28"/>
      <c r="L104" s="28"/>
      <c r="M104" s="28"/>
      <c r="N104" s="28"/>
      <c r="O104" s="28"/>
      <c r="P104" s="28"/>
      <c r="Q104" s="28"/>
      <c r="R104" s="28"/>
      <c r="S104" s="28"/>
      <c r="T104" s="28"/>
    </row>
    <row r="105" spans="3:20">
      <c r="C105" s="28"/>
      <c r="D105" s="28"/>
      <c r="E105" s="28"/>
      <c r="F105" s="28"/>
      <c r="G105" s="28"/>
      <c r="H105" s="28"/>
      <c r="I105" s="28"/>
      <c r="J105" s="28"/>
      <c r="K105" s="28"/>
      <c r="L105" s="28"/>
      <c r="M105" s="28"/>
      <c r="N105" s="28"/>
      <c r="O105" s="28"/>
      <c r="P105" s="28"/>
      <c r="Q105" s="28"/>
      <c r="R105" s="28"/>
      <c r="S105" s="28"/>
      <c r="T105" s="28"/>
    </row>
    <row r="106" spans="3:20">
      <c r="C106" s="28"/>
      <c r="D106" s="28"/>
      <c r="E106" s="28"/>
      <c r="F106" s="28"/>
      <c r="G106" s="28"/>
      <c r="H106" s="28"/>
      <c r="I106" s="28"/>
      <c r="J106" s="28"/>
      <c r="K106" s="28"/>
      <c r="L106" s="28"/>
      <c r="M106" s="28"/>
      <c r="N106" s="28"/>
      <c r="O106" s="28"/>
      <c r="P106" s="28"/>
      <c r="Q106" s="28"/>
      <c r="R106" s="28"/>
      <c r="S106" s="28"/>
      <c r="T106" s="28"/>
    </row>
    <row r="107" spans="3:20">
      <c r="C107" s="28"/>
      <c r="D107" s="28"/>
      <c r="E107" s="28"/>
      <c r="F107" s="28"/>
      <c r="G107" s="28"/>
      <c r="H107" s="28"/>
      <c r="I107" s="28"/>
      <c r="J107" s="28"/>
      <c r="K107" s="28"/>
      <c r="L107" s="28"/>
      <c r="M107" s="28"/>
      <c r="N107" s="28"/>
      <c r="O107" s="28"/>
      <c r="P107" s="28"/>
      <c r="Q107" s="28"/>
      <c r="R107" s="28"/>
      <c r="S107" s="28"/>
      <c r="T107" s="28"/>
    </row>
    <row r="108" spans="3:20">
      <c r="C108" s="28"/>
      <c r="D108" s="28"/>
      <c r="E108" s="28"/>
      <c r="F108" s="28"/>
      <c r="G108" s="28"/>
      <c r="H108" s="28"/>
      <c r="I108" s="28"/>
      <c r="J108" s="28"/>
      <c r="K108" s="28"/>
      <c r="L108" s="28"/>
      <c r="M108" s="28"/>
      <c r="N108" s="28"/>
      <c r="O108" s="28"/>
      <c r="P108" s="28"/>
      <c r="Q108" s="28"/>
      <c r="R108" s="28"/>
      <c r="S108" s="28"/>
      <c r="T108" s="28"/>
    </row>
    <row r="109" spans="3:20">
      <c r="C109" s="28"/>
      <c r="D109" s="28"/>
      <c r="E109" s="28"/>
      <c r="F109" s="28"/>
      <c r="G109" s="28"/>
      <c r="H109" s="28"/>
      <c r="I109" s="28"/>
      <c r="J109" s="28"/>
      <c r="K109" s="28"/>
      <c r="L109" s="28"/>
      <c r="M109" s="28"/>
      <c r="N109" s="28"/>
      <c r="O109" s="28"/>
      <c r="P109" s="28"/>
      <c r="Q109" s="28"/>
      <c r="R109" s="28"/>
      <c r="S109" s="28"/>
      <c r="T109" s="28"/>
    </row>
    <row r="110" spans="3:20">
      <c r="C110" s="28"/>
      <c r="D110" s="28"/>
      <c r="E110" s="28"/>
      <c r="F110" s="28"/>
      <c r="G110" s="28"/>
      <c r="H110" s="28"/>
      <c r="I110" s="28"/>
      <c r="J110" s="28"/>
      <c r="K110" s="28"/>
      <c r="L110" s="28"/>
      <c r="M110" s="28"/>
      <c r="N110" s="28"/>
      <c r="O110" s="28"/>
      <c r="P110" s="28"/>
      <c r="Q110" s="28"/>
      <c r="R110" s="28"/>
      <c r="S110" s="28"/>
      <c r="T110" s="28"/>
    </row>
    <row r="111" spans="3:20">
      <c r="C111" s="28"/>
      <c r="D111" s="28"/>
      <c r="E111" s="28"/>
      <c r="F111" s="28"/>
      <c r="G111" s="28"/>
      <c r="H111" s="28"/>
      <c r="I111" s="28"/>
      <c r="J111" s="28"/>
      <c r="K111" s="28"/>
      <c r="L111" s="28"/>
      <c r="M111" s="28"/>
      <c r="N111" s="28"/>
      <c r="O111" s="28"/>
      <c r="P111" s="28"/>
      <c r="Q111" s="28"/>
      <c r="R111" s="28"/>
      <c r="S111" s="28"/>
      <c r="T111" s="28"/>
    </row>
    <row r="112" spans="3:20">
      <c r="C112" s="28"/>
      <c r="D112" s="28"/>
      <c r="E112" s="28"/>
      <c r="F112" s="28"/>
      <c r="G112" s="28"/>
      <c r="H112" s="28"/>
      <c r="I112" s="28"/>
      <c r="J112" s="28"/>
      <c r="K112" s="28"/>
      <c r="L112" s="28"/>
      <c r="M112" s="28"/>
      <c r="N112" s="28"/>
      <c r="O112" s="28"/>
      <c r="P112" s="28"/>
      <c r="Q112" s="28"/>
      <c r="R112" s="28"/>
      <c r="S112" s="28"/>
      <c r="T112" s="28"/>
    </row>
    <row r="113" spans="3:20">
      <c r="C113" s="28"/>
      <c r="D113" s="28"/>
      <c r="E113" s="28"/>
      <c r="F113" s="28"/>
      <c r="G113" s="28"/>
      <c r="H113" s="28"/>
      <c r="I113" s="28"/>
      <c r="J113" s="28"/>
      <c r="K113" s="28"/>
      <c r="L113" s="28"/>
      <c r="M113" s="28"/>
      <c r="N113" s="28"/>
      <c r="O113" s="28"/>
      <c r="P113" s="28"/>
      <c r="Q113" s="28"/>
      <c r="R113" s="28"/>
      <c r="S113" s="28"/>
      <c r="T113" s="28"/>
    </row>
    <row r="114" spans="3:20">
      <c r="C114" s="28"/>
      <c r="D114" s="28"/>
      <c r="E114" s="28"/>
      <c r="F114" s="28"/>
      <c r="G114" s="28"/>
      <c r="H114" s="28"/>
      <c r="I114" s="28"/>
      <c r="J114" s="28"/>
      <c r="K114" s="28"/>
      <c r="L114" s="28"/>
      <c r="M114" s="28"/>
      <c r="N114" s="28"/>
      <c r="O114" s="28"/>
      <c r="P114" s="28"/>
      <c r="Q114" s="28"/>
      <c r="R114" s="28"/>
      <c r="S114" s="28"/>
      <c r="T114" s="28"/>
    </row>
    <row r="115" spans="3:20">
      <c r="C115" s="28"/>
      <c r="D115" s="28"/>
      <c r="E115" s="28"/>
      <c r="F115" s="28"/>
      <c r="G115" s="28"/>
      <c r="H115" s="28"/>
      <c r="I115" s="28"/>
      <c r="J115" s="28"/>
      <c r="K115" s="28"/>
      <c r="L115" s="28"/>
      <c r="M115" s="28"/>
      <c r="N115" s="28"/>
      <c r="O115" s="28"/>
      <c r="P115" s="28"/>
      <c r="Q115" s="28"/>
      <c r="R115" s="28"/>
      <c r="S115" s="28"/>
      <c r="T115" s="28"/>
    </row>
    <row r="116" spans="3:20">
      <c r="C116" s="28"/>
      <c r="D116" s="28"/>
      <c r="E116" s="28"/>
      <c r="F116" s="28"/>
      <c r="G116" s="28"/>
      <c r="H116" s="28"/>
      <c r="I116" s="28"/>
      <c r="J116" s="28"/>
      <c r="K116" s="28"/>
      <c r="L116" s="28"/>
      <c r="M116" s="28"/>
      <c r="N116" s="28"/>
      <c r="O116" s="28"/>
      <c r="P116" s="28"/>
      <c r="Q116" s="28"/>
      <c r="R116" s="28"/>
      <c r="S116" s="28"/>
      <c r="T116" s="28"/>
    </row>
    <row r="117" spans="3:20">
      <c r="C117" s="28"/>
      <c r="D117" s="28"/>
      <c r="E117" s="28"/>
      <c r="F117" s="28"/>
      <c r="G117" s="28"/>
      <c r="H117" s="28"/>
      <c r="I117" s="28"/>
      <c r="J117" s="28"/>
      <c r="K117" s="28"/>
      <c r="L117" s="28"/>
      <c r="M117" s="28"/>
      <c r="N117" s="28"/>
      <c r="O117" s="28"/>
      <c r="P117" s="28"/>
      <c r="Q117" s="28"/>
      <c r="R117" s="28"/>
      <c r="S117" s="28"/>
      <c r="T117" s="28"/>
    </row>
    <row r="118" spans="3:20">
      <c r="C118" s="28"/>
      <c r="D118" s="28"/>
      <c r="E118" s="28"/>
      <c r="F118" s="28"/>
      <c r="G118" s="28"/>
      <c r="H118" s="28"/>
      <c r="I118" s="28"/>
      <c r="J118" s="28"/>
      <c r="K118" s="28"/>
      <c r="L118" s="28"/>
      <c r="M118" s="28"/>
      <c r="N118" s="28"/>
      <c r="O118" s="28"/>
      <c r="P118" s="28"/>
      <c r="Q118" s="28"/>
      <c r="R118" s="28"/>
      <c r="S118" s="28"/>
      <c r="T118" s="28"/>
    </row>
    <row r="119" spans="3:20">
      <c r="C119" s="28"/>
      <c r="D119" s="28"/>
      <c r="E119" s="28"/>
      <c r="F119" s="28"/>
      <c r="G119" s="28"/>
      <c r="H119" s="28"/>
      <c r="I119" s="28"/>
      <c r="J119" s="28"/>
      <c r="K119" s="28"/>
      <c r="L119" s="28"/>
      <c r="M119" s="28"/>
      <c r="N119" s="28"/>
      <c r="O119" s="28"/>
      <c r="P119" s="28"/>
      <c r="Q119" s="28"/>
      <c r="R119" s="28"/>
      <c r="S119" s="28"/>
      <c r="T119" s="28"/>
    </row>
    <row r="120" spans="3:20">
      <c r="C120" s="28"/>
      <c r="D120" s="28"/>
      <c r="E120" s="28"/>
      <c r="F120" s="28"/>
      <c r="G120" s="28"/>
      <c r="H120" s="28"/>
      <c r="I120" s="28"/>
      <c r="J120" s="28"/>
      <c r="K120" s="28"/>
      <c r="L120" s="28"/>
      <c r="M120" s="28"/>
      <c r="N120" s="28"/>
      <c r="O120" s="28"/>
      <c r="P120" s="28"/>
      <c r="Q120" s="28"/>
      <c r="R120" s="28"/>
      <c r="S120" s="28"/>
      <c r="T120" s="28"/>
    </row>
    <row r="121" spans="3:20">
      <c r="C121" s="28"/>
      <c r="D121" s="28"/>
      <c r="E121" s="28"/>
      <c r="F121" s="28"/>
      <c r="G121" s="28"/>
      <c r="H121" s="28"/>
      <c r="I121" s="28"/>
      <c r="J121" s="28"/>
      <c r="K121" s="28"/>
      <c r="L121" s="28"/>
      <c r="M121" s="28"/>
      <c r="N121" s="28"/>
      <c r="O121" s="28"/>
      <c r="P121" s="28"/>
      <c r="Q121" s="28"/>
      <c r="R121" s="28"/>
      <c r="S121" s="28"/>
      <c r="T121" s="28"/>
    </row>
    <row r="122" spans="3:20">
      <c r="C122" s="28"/>
      <c r="D122" s="28"/>
      <c r="E122" s="28"/>
      <c r="F122" s="28"/>
      <c r="G122" s="28"/>
      <c r="H122" s="28"/>
      <c r="I122" s="28"/>
      <c r="J122" s="28"/>
      <c r="K122" s="28"/>
      <c r="L122" s="28"/>
      <c r="M122" s="28"/>
      <c r="N122" s="28"/>
      <c r="O122" s="28"/>
      <c r="P122" s="28"/>
      <c r="Q122" s="28"/>
      <c r="R122" s="28"/>
      <c r="S122" s="28"/>
      <c r="T122" s="28"/>
    </row>
    <row r="123" spans="3:20">
      <c r="C123" s="28"/>
      <c r="D123" s="28"/>
      <c r="E123" s="28"/>
      <c r="F123" s="28"/>
      <c r="G123" s="28"/>
      <c r="H123" s="28"/>
      <c r="I123" s="28"/>
      <c r="J123" s="28"/>
      <c r="K123" s="28"/>
      <c r="L123" s="28"/>
      <c r="M123" s="28"/>
      <c r="N123" s="28"/>
      <c r="O123" s="28"/>
      <c r="P123" s="28"/>
      <c r="Q123" s="28"/>
      <c r="R123" s="28"/>
      <c r="S123" s="28"/>
      <c r="T123" s="28"/>
    </row>
    <row r="124" spans="3:20">
      <c r="C124" s="28"/>
      <c r="D124" s="28"/>
      <c r="E124" s="28"/>
      <c r="F124" s="28"/>
      <c r="G124" s="28"/>
      <c r="H124" s="28"/>
      <c r="I124" s="28"/>
      <c r="J124" s="28"/>
      <c r="K124" s="28"/>
      <c r="L124" s="28"/>
      <c r="M124" s="28"/>
      <c r="N124" s="28"/>
      <c r="O124" s="28"/>
      <c r="P124" s="28"/>
      <c r="Q124" s="28"/>
      <c r="R124" s="28"/>
      <c r="S124" s="28"/>
      <c r="T124" s="28"/>
    </row>
    <row r="125" spans="3:20">
      <c r="C125" s="28"/>
      <c r="D125" s="28"/>
      <c r="E125" s="28"/>
      <c r="F125" s="28"/>
      <c r="G125" s="28"/>
      <c r="H125" s="28"/>
      <c r="I125" s="28"/>
      <c r="J125" s="28"/>
      <c r="K125" s="28"/>
      <c r="L125" s="28"/>
      <c r="M125" s="28"/>
      <c r="N125" s="28"/>
      <c r="O125" s="28"/>
      <c r="P125" s="28"/>
      <c r="Q125" s="28"/>
      <c r="R125" s="28"/>
      <c r="S125" s="28"/>
      <c r="T125" s="28"/>
    </row>
    <row r="126" spans="3:20">
      <c r="C126" s="28"/>
      <c r="D126" s="28"/>
      <c r="E126" s="28"/>
      <c r="F126" s="28"/>
      <c r="G126" s="28"/>
      <c r="H126" s="28"/>
      <c r="I126" s="28"/>
      <c r="J126" s="28"/>
      <c r="K126" s="28"/>
      <c r="L126" s="28"/>
      <c r="M126" s="28"/>
      <c r="N126" s="28"/>
      <c r="O126" s="28"/>
      <c r="P126" s="28"/>
      <c r="Q126" s="28"/>
      <c r="R126" s="28"/>
      <c r="S126" s="28"/>
      <c r="T126" s="28"/>
    </row>
    <row r="127" spans="3:20">
      <c r="C127" s="28"/>
      <c r="D127" s="28"/>
      <c r="E127" s="28"/>
      <c r="F127" s="28"/>
      <c r="G127" s="28"/>
      <c r="H127" s="28"/>
      <c r="I127" s="28"/>
      <c r="J127" s="28"/>
      <c r="K127" s="28"/>
      <c r="L127" s="28"/>
      <c r="M127" s="28"/>
      <c r="N127" s="28"/>
      <c r="O127" s="28"/>
      <c r="P127" s="28"/>
      <c r="Q127" s="28"/>
      <c r="R127" s="28"/>
      <c r="S127" s="28"/>
      <c r="T127" s="28"/>
    </row>
    <row r="128" spans="3:20">
      <c r="C128" s="28"/>
      <c r="D128" s="28"/>
      <c r="E128" s="28"/>
      <c r="F128" s="28"/>
      <c r="G128" s="28"/>
      <c r="H128" s="28"/>
      <c r="I128" s="28"/>
      <c r="J128" s="28"/>
      <c r="K128" s="28"/>
      <c r="L128" s="28"/>
      <c r="M128" s="28"/>
      <c r="N128" s="28"/>
      <c r="O128" s="28"/>
      <c r="P128" s="28"/>
      <c r="Q128" s="28"/>
      <c r="R128" s="28"/>
      <c r="S128" s="28"/>
      <c r="T128" s="28"/>
    </row>
    <row r="129" spans="3:20">
      <c r="C129" s="28"/>
      <c r="D129" s="28"/>
      <c r="E129" s="28"/>
      <c r="F129" s="28"/>
      <c r="G129" s="28"/>
      <c r="H129" s="28"/>
      <c r="I129" s="28"/>
      <c r="J129" s="28"/>
      <c r="K129" s="28"/>
      <c r="L129" s="28"/>
      <c r="M129" s="28"/>
      <c r="N129" s="28"/>
      <c r="O129" s="28"/>
      <c r="P129" s="28"/>
      <c r="Q129" s="28"/>
      <c r="R129" s="28"/>
      <c r="S129" s="28"/>
      <c r="T129" s="28"/>
    </row>
    <row r="130" spans="3:20">
      <c r="C130" s="28"/>
      <c r="D130" s="28"/>
      <c r="E130" s="28"/>
      <c r="F130" s="28"/>
      <c r="G130" s="28"/>
      <c r="H130" s="28"/>
      <c r="I130" s="28"/>
      <c r="J130" s="28"/>
      <c r="K130" s="28"/>
      <c r="L130" s="28"/>
      <c r="M130" s="28"/>
      <c r="N130" s="28"/>
      <c r="O130" s="28"/>
      <c r="P130" s="28"/>
      <c r="Q130" s="28"/>
      <c r="R130" s="28"/>
      <c r="S130" s="28"/>
      <c r="T130" s="28"/>
    </row>
    <row r="131" spans="3:20">
      <c r="C131" s="28"/>
      <c r="D131" s="28"/>
      <c r="E131" s="28"/>
      <c r="F131" s="28"/>
      <c r="G131" s="28"/>
      <c r="H131" s="28"/>
      <c r="I131" s="28"/>
      <c r="J131" s="28"/>
      <c r="K131" s="28"/>
      <c r="L131" s="28"/>
      <c r="M131" s="28"/>
      <c r="N131" s="28"/>
      <c r="O131" s="28"/>
      <c r="P131" s="28"/>
      <c r="Q131" s="28"/>
      <c r="R131" s="28"/>
      <c r="S131" s="28"/>
      <c r="T131" s="28"/>
    </row>
    <row r="132" spans="3:20">
      <c r="C132" s="28"/>
      <c r="D132" s="28"/>
      <c r="E132" s="28"/>
      <c r="F132" s="28"/>
      <c r="G132" s="28"/>
      <c r="H132" s="28"/>
      <c r="I132" s="28"/>
      <c r="J132" s="28"/>
      <c r="K132" s="28"/>
      <c r="L132" s="28"/>
      <c r="M132" s="28"/>
      <c r="N132" s="28"/>
      <c r="O132" s="28"/>
      <c r="P132" s="28"/>
      <c r="Q132" s="28"/>
      <c r="R132" s="28"/>
      <c r="S132" s="28"/>
      <c r="T132" s="28"/>
    </row>
    <row r="133" spans="3:20">
      <c r="C133" s="28"/>
      <c r="D133" s="28"/>
      <c r="E133" s="28"/>
      <c r="F133" s="28"/>
      <c r="G133" s="28"/>
      <c r="H133" s="28"/>
      <c r="I133" s="28"/>
      <c r="J133" s="28"/>
      <c r="K133" s="28"/>
      <c r="L133" s="28"/>
      <c r="M133" s="28"/>
      <c r="N133" s="28"/>
      <c r="O133" s="28"/>
      <c r="P133" s="28"/>
      <c r="Q133" s="28"/>
      <c r="R133" s="28"/>
      <c r="S133" s="28"/>
      <c r="T133" s="28"/>
    </row>
    <row r="134" spans="3:20">
      <c r="C134" s="28"/>
      <c r="D134" s="28"/>
      <c r="E134" s="28"/>
      <c r="F134" s="28"/>
      <c r="G134" s="28"/>
      <c r="H134" s="28"/>
      <c r="I134" s="28"/>
      <c r="J134" s="28"/>
      <c r="K134" s="28"/>
      <c r="L134" s="28"/>
      <c r="M134" s="28"/>
      <c r="N134" s="28"/>
      <c r="O134" s="28"/>
      <c r="P134" s="28"/>
      <c r="Q134" s="28"/>
      <c r="R134" s="28"/>
      <c r="S134" s="28"/>
      <c r="T134" s="28"/>
    </row>
    <row r="135" spans="3:20">
      <c r="C135" s="28"/>
      <c r="D135" s="28"/>
      <c r="E135" s="28"/>
      <c r="F135" s="28"/>
      <c r="G135" s="28"/>
      <c r="H135" s="28"/>
      <c r="I135" s="28"/>
      <c r="J135" s="28"/>
      <c r="K135" s="28"/>
      <c r="L135" s="28"/>
      <c r="M135" s="28"/>
      <c r="N135" s="28"/>
      <c r="O135" s="28"/>
      <c r="P135" s="28"/>
      <c r="Q135" s="28"/>
      <c r="R135" s="28"/>
      <c r="S135" s="28"/>
      <c r="T135" s="28"/>
    </row>
    <row r="136" spans="3:20">
      <c r="C136" s="28"/>
      <c r="D136" s="28"/>
      <c r="E136" s="28"/>
      <c r="F136" s="28"/>
      <c r="G136" s="28"/>
      <c r="H136" s="28"/>
      <c r="I136" s="28"/>
      <c r="J136" s="28"/>
      <c r="K136" s="28"/>
      <c r="L136" s="28"/>
      <c r="M136" s="28"/>
      <c r="N136" s="28"/>
      <c r="O136" s="28"/>
      <c r="P136" s="28"/>
      <c r="Q136" s="28"/>
      <c r="R136" s="28"/>
      <c r="S136" s="28"/>
      <c r="T136" s="28"/>
    </row>
    <row r="137" spans="3:20">
      <c r="C137" s="28"/>
      <c r="D137" s="28"/>
      <c r="E137" s="28"/>
      <c r="F137" s="28"/>
      <c r="G137" s="28"/>
      <c r="H137" s="28"/>
      <c r="I137" s="28"/>
      <c r="J137" s="28"/>
      <c r="K137" s="28"/>
      <c r="L137" s="28"/>
      <c r="M137" s="28"/>
      <c r="N137" s="28"/>
      <c r="O137" s="28"/>
      <c r="P137" s="28"/>
      <c r="Q137" s="28"/>
      <c r="R137" s="28"/>
      <c r="S137" s="28"/>
      <c r="T137" s="28"/>
    </row>
    <row r="138" spans="3:20">
      <c r="C138" s="28"/>
      <c r="D138" s="28"/>
      <c r="E138" s="28"/>
      <c r="F138" s="28"/>
      <c r="G138" s="28"/>
      <c r="H138" s="28"/>
      <c r="I138" s="28"/>
      <c r="J138" s="28"/>
      <c r="K138" s="28"/>
      <c r="L138" s="28"/>
      <c r="M138" s="28"/>
      <c r="N138" s="28"/>
      <c r="O138" s="28"/>
      <c r="P138" s="28"/>
      <c r="Q138" s="28"/>
      <c r="R138" s="28"/>
      <c r="S138" s="28"/>
      <c r="T138" s="28"/>
    </row>
    <row r="139" spans="3:20">
      <c r="C139" s="28"/>
      <c r="D139" s="28"/>
      <c r="E139" s="28"/>
      <c r="F139" s="28"/>
      <c r="G139" s="28"/>
      <c r="H139" s="28"/>
      <c r="I139" s="28"/>
      <c r="J139" s="28"/>
      <c r="K139" s="28"/>
      <c r="L139" s="28"/>
      <c r="M139" s="28"/>
      <c r="N139" s="28"/>
      <c r="O139" s="28"/>
      <c r="P139" s="28"/>
      <c r="Q139" s="28"/>
      <c r="R139" s="28"/>
      <c r="S139" s="28"/>
      <c r="T139" s="28"/>
    </row>
    <row r="140" spans="3:20">
      <c r="C140" s="28"/>
      <c r="D140" s="28"/>
      <c r="E140" s="28"/>
      <c r="F140" s="28"/>
      <c r="G140" s="28"/>
      <c r="H140" s="28"/>
      <c r="I140" s="28"/>
      <c r="J140" s="28"/>
      <c r="K140" s="28"/>
      <c r="L140" s="28"/>
      <c r="M140" s="28"/>
      <c r="N140" s="28"/>
      <c r="O140" s="28"/>
      <c r="P140" s="28"/>
      <c r="Q140" s="28"/>
      <c r="R140" s="28"/>
      <c r="S140" s="28"/>
      <c r="T140" s="28"/>
    </row>
    <row r="141" spans="3:20">
      <c r="C141" s="28"/>
      <c r="D141" s="28"/>
      <c r="E141" s="28"/>
      <c r="F141" s="28"/>
      <c r="G141" s="28"/>
      <c r="H141" s="28"/>
      <c r="I141" s="28"/>
      <c r="J141" s="28"/>
      <c r="K141" s="28"/>
      <c r="L141" s="28"/>
      <c r="M141" s="28"/>
      <c r="N141" s="28"/>
      <c r="O141" s="28"/>
      <c r="P141" s="28"/>
      <c r="Q141" s="28"/>
      <c r="R141" s="28"/>
      <c r="S141" s="28"/>
      <c r="T141" s="28"/>
    </row>
    <row r="142" spans="3:20">
      <c r="C142" s="28"/>
      <c r="D142" s="28"/>
      <c r="E142" s="28"/>
      <c r="F142" s="28"/>
      <c r="G142" s="28"/>
      <c r="H142" s="28"/>
      <c r="I142" s="28"/>
      <c r="J142" s="28"/>
      <c r="K142" s="28"/>
      <c r="L142" s="28"/>
      <c r="M142" s="28"/>
      <c r="N142" s="28"/>
      <c r="O142" s="28"/>
      <c r="P142" s="28"/>
      <c r="Q142" s="28"/>
      <c r="R142" s="28"/>
      <c r="S142" s="28"/>
      <c r="T142" s="28"/>
    </row>
    <row r="143" spans="3:20">
      <c r="C143" s="28"/>
      <c r="D143" s="28"/>
      <c r="E143" s="28"/>
      <c r="F143" s="28"/>
      <c r="G143" s="28"/>
      <c r="H143" s="28"/>
      <c r="I143" s="28"/>
      <c r="J143" s="28"/>
      <c r="K143" s="28"/>
      <c r="L143" s="28"/>
      <c r="M143" s="28"/>
      <c r="N143" s="28"/>
      <c r="O143" s="28"/>
      <c r="P143" s="28"/>
      <c r="Q143" s="28"/>
      <c r="R143" s="28"/>
      <c r="S143" s="28"/>
      <c r="T143" s="28"/>
    </row>
    <row r="144" spans="3:20">
      <c r="C144" s="28"/>
      <c r="D144" s="28"/>
      <c r="E144" s="28"/>
      <c r="F144" s="28"/>
      <c r="G144" s="28"/>
      <c r="H144" s="28"/>
      <c r="I144" s="28"/>
      <c r="J144" s="28"/>
      <c r="K144" s="28"/>
      <c r="L144" s="28"/>
      <c r="M144" s="28"/>
      <c r="N144" s="28"/>
      <c r="O144" s="28"/>
      <c r="P144" s="28"/>
      <c r="Q144" s="28"/>
      <c r="R144" s="28"/>
      <c r="S144" s="28"/>
      <c r="T144" s="28"/>
    </row>
    <row r="145" spans="3:20">
      <c r="C145" s="28"/>
      <c r="D145" s="28"/>
      <c r="E145" s="28"/>
      <c r="F145" s="28"/>
      <c r="G145" s="28"/>
      <c r="H145" s="28"/>
      <c r="I145" s="28"/>
      <c r="J145" s="28"/>
      <c r="K145" s="28"/>
      <c r="L145" s="28"/>
      <c r="M145" s="28"/>
      <c r="N145" s="28"/>
      <c r="O145" s="28"/>
      <c r="P145" s="28"/>
      <c r="Q145" s="28"/>
      <c r="R145" s="28"/>
      <c r="S145" s="28"/>
      <c r="T145" s="28"/>
    </row>
    <row r="146" spans="3:20">
      <c r="C146" s="28"/>
      <c r="D146" s="28"/>
      <c r="E146" s="28"/>
      <c r="F146" s="28"/>
      <c r="G146" s="28"/>
      <c r="H146" s="28"/>
      <c r="I146" s="28"/>
      <c r="J146" s="28"/>
      <c r="K146" s="28"/>
      <c r="L146" s="28"/>
      <c r="M146" s="28"/>
      <c r="N146" s="28"/>
      <c r="O146" s="28"/>
      <c r="P146" s="28"/>
      <c r="Q146" s="28"/>
      <c r="R146" s="28"/>
      <c r="S146" s="28"/>
      <c r="T146" s="28"/>
    </row>
    <row r="147" spans="3:20">
      <c r="C147" s="28"/>
      <c r="D147" s="28"/>
      <c r="E147" s="28"/>
      <c r="F147" s="28"/>
      <c r="G147" s="28"/>
      <c r="H147" s="28"/>
      <c r="I147" s="28"/>
      <c r="J147" s="28"/>
      <c r="K147" s="28"/>
      <c r="L147" s="28"/>
      <c r="M147" s="28"/>
      <c r="N147" s="28"/>
      <c r="O147" s="28"/>
      <c r="P147" s="28"/>
      <c r="Q147" s="28"/>
      <c r="R147" s="28"/>
      <c r="S147" s="28"/>
      <c r="T147" s="28"/>
    </row>
    <row r="148" spans="3:20">
      <c r="C148" s="28"/>
      <c r="D148" s="28"/>
      <c r="E148" s="28"/>
      <c r="F148" s="28"/>
      <c r="G148" s="28"/>
      <c r="H148" s="28"/>
      <c r="I148" s="28"/>
      <c r="J148" s="28"/>
      <c r="K148" s="28"/>
      <c r="L148" s="28"/>
      <c r="M148" s="28"/>
      <c r="N148" s="28"/>
      <c r="O148" s="28"/>
      <c r="P148" s="28"/>
      <c r="Q148" s="28"/>
      <c r="R148" s="28"/>
      <c r="S148" s="28"/>
      <c r="T148" s="28"/>
    </row>
    <row r="149" spans="3:20">
      <c r="C149" s="28"/>
      <c r="D149" s="28"/>
      <c r="E149" s="28"/>
      <c r="F149" s="28"/>
      <c r="G149" s="28"/>
      <c r="H149" s="28"/>
      <c r="I149" s="28"/>
      <c r="J149" s="28"/>
      <c r="K149" s="28"/>
      <c r="L149" s="28"/>
      <c r="M149" s="28"/>
      <c r="N149" s="28"/>
      <c r="O149" s="28"/>
      <c r="P149" s="28"/>
      <c r="Q149" s="28"/>
      <c r="R149" s="28"/>
      <c r="S149" s="28"/>
      <c r="T149" s="28"/>
    </row>
    <row r="150" spans="3:20">
      <c r="C150" s="28"/>
      <c r="D150" s="28"/>
      <c r="E150" s="28"/>
      <c r="F150" s="28"/>
      <c r="G150" s="28"/>
      <c r="H150" s="28"/>
      <c r="I150" s="28"/>
      <c r="J150" s="28"/>
      <c r="K150" s="28"/>
      <c r="L150" s="28"/>
      <c r="M150" s="28"/>
      <c r="N150" s="28"/>
      <c r="O150" s="28"/>
      <c r="P150" s="28"/>
      <c r="Q150" s="28"/>
      <c r="R150" s="28"/>
      <c r="S150" s="28"/>
      <c r="T150" s="28"/>
    </row>
    <row r="151" spans="3:20">
      <c r="C151" s="28"/>
      <c r="D151" s="28"/>
      <c r="E151" s="28"/>
      <c r="F151" s="28"/>
      <c r="G151" s="28"/>
      <c r="H151" s="28"/>
      <c r="I151" s="28"/>
      <c r="J151" s="28"/>
      <c r="K151" s="28"/>
      <c r="L151" s="28"/>
      <c r="M151" s="28"/>
      <c r="N151" s="28"/>
      <c r="O151" s="28"/>
      <c r="P151" s="28"/>
      <c r="Q151" s="28"/>
      <c r="R151" s="28"/>
      <c r="S151" s="28"/>
      <c r="T151" s="28"/>
    </row>
    <row r="152" spans="3:20">
      <c r="C152" s="28"/>
      <c r="D152" s="28"/>
      <c r="E152" s="28"/>
      <c r="F152" s="28"/>
      <c r="G152" s="28"/>
      <c r="H152" s="28"/>
      <c r="I152" s="28"/>
      <c r="J152" s="28"/>
      <c r="K152" s="28"/>
      <c r="L152" s="28"/>
      <c r="M152" s="28"/>
      <c r="N152" s="28"/>
      <c r="O152" s="28"/>
      <c r="P152" s="28"/>
      <c r="Q152" s="28"/>
      <c r="R152" s="28"/>
      <c r="S152" s="28"/>
      <c r="T152" s="28"/>
    </row>
    <row r="153" spans="3:20">
      <c r="C153" s="28"/>
      <c r="D153" s="28"/>
      <c r="E153" s="28"/>
      <c r="F153" s="28"/>
      <c r="G153" s="28"/>
      <c r="H153" s="28"/>
      <c r="I153" s="28"/>
      <c r="J153" s="28"/>
      <c r="K153" s="28"/>
      <c r="L153" s="28"/>
      <c r="M153" s="28"/>
      <c r="N153" s="28"/>
      <c r="O153" s="28"/>
      <c r="P153" s="28"/>
      <c r="Q153" s="28"/>
      <c r="R153" s="28"/>
      <c r="S153" s="28"/>
      <c r="T153" s="28"/>
    </row>
    <row r="154" spans="3:20">
      <c r="C154" s="28"/>
      <c r="D154" s="28"/>
      <c r="E154" s="28"/>
      <c r="F154" s="28"/>
      <c r="G154" s="28"/>
      <c r="H154" s="28"/>
      <c r="I154" s="28"/>
      <c r="J154" s="28"/>
      <c r="K154" s="28"/>
      <c r="L154" s="28"/>
      <c r="M154" s="28"/>
      <c r="N154" s="28"/>
      <c r="O154" s="28"/>
      <c r="P154" s="28"/>
      <c r="Q154" s="28"/>
      <c r="R154" s="28"/>
      <c r="S154" s="28"/>
      <c r="T154" s="28"/>
    </row>
    <row r="155" spans="3:20">
      <c r="C155" s="28"/>
      <c r="D155" s="28"/>
      <c r="E155" s="28"/>
      <c r="F155" s="28"/>
      <c r="G155" s="28"/>
      <c r="H155" s="28"/>
      <c r="I155" s="28"/>
      <c r="J155" s="28"/>
      <c r="K155" s="28"/>
      <c r="L155" s="28"/>
      <c r="M155" s="28"/>
      <c r="N155" s="28"/>
      <c r="O155" s="28"/>
      <c r="P155" s="28"/>
      <c r="Q155" s="28"/>
      <c r="R155" s="28"/>
      <c r="S155" s="28"/>
      <c r="T155" s="28"/>
    </row>
    <row r="156" spans="3:20">
      <c r="C156" s="28"/>
      <c r="D156" s="28"/>
      <c r="E156" s="28"/>
      <c r="F156" s="28"/>
      <c r="G156" s="28"/>
      <c r="H156" s="28"/>
      <c r="I156" s="28"/>
      <c r="J156" s="28"/>
      <c r="K156" s="28"/>
      <c r="L156" s="28"/>
      <c r="M156" s="28"/>
      <c r="N156" s="28"/>
      <c r="O156" s="28"/>
      <c r="P156" s="28"/>
      <c r="Q156" s="28"/>
      <c r="R156" s="28"/>
      <c r="S156" s="28"/>
      <c r="T156" s="28"/>
    </row>
    <row r="157" spans="3:20">
      <c r="C157" s="28"/>
      <c r="D157" s="28"/>
      <c r="E157" s="28"/>
      <c r="F157" s="28"/>
      <c r="G157" s="28"/>
      <c r="H157" s="28"/>
      <c r="I157" s="28"/>
      <c r="J157" s="28"/>
      <c r="K157" s="28"/>
      <c r="L157" s="28"/>
      <c r="M157" s="28"/>
      <c r="N157" s="28"/>
      <c r="O157" s="28"/>
      <c r="P157" s="28"/>
      <c r="Q157" s="28"/>
      <c r="R157" s="28"/>
      <c r="S157" s="28"/>
      <c r="T157" s="28"/>
    </row>
    <row r="158" spans="3:20">
      <c r="C158" s="28"/>
      <c r="D158" s="28"/>
      <c r="E158" s="28"/>
      <c r="F158" s="28"/>
      <c r="G158" s="28"/>
      <c r="H158" s="28"/>
      <c r="I158" s="28"/>
      <c r="J158" s="28"/>
      <c r="K158" s="28"/>
      <c r="L158" s="28"/>
      <c r="M158" s="28"/>
      <c r="N158" s="28"/>
      <c r="O158" s="28"/>
      <c r="P158" s="28"/>
      <c r="Q158" s="28"/>
      <c r="R158" s="28"/>
      <c r="S158" s="28"/>
      <c r="T158" s="28"/>
    </row>
    <row r="159" spans="3:20">
      <c r="C159" s="28"/>
      <c r="D159" s="28"/>
      <c r="E159" s="28"/>
      <c r="F159" s="28"/>
      <c r="G159" s="28"/>
      <c r="H159" s="28"/>
      <c r="I159" s="28"/>
      <c r="J159" s="28"/>
      <c r="K159" s="28"/>
      <c r="L159" s="28"/>
      <c r="M159" s="28"/>
      <c r="N159" s="28"/>
      <c r="O159" s="28"/>
      <c r="P159" s="28"/>
      <c r="Q159" s="28"/>
      <c r="R159" s="28"/>
      <c r="S159" s="28"/>
      <c r="T159" s="28"/>
    </row>
    <row r="160" spans="3:20">
      <c r="C160" s="28"/>
      <c r="D160" s="28"/>
      <c r="E160" s="28"/>
      <c r="F160" s="28"/>
      <c r="G160" s="28"/>
      <c r="H160" s="28"/>
      <c r="I160" s="28"/>
      <c r="J160" s="28"/>
      <c r="K160" s="28"/>
      <c r="L160" s="28"/>
      <c r="M160" s="28"/>
      <c r="N160" s="28"/>
      <c r="O160" s="28"/>
      <c r="P160" s="28"/>
      <c r="Q160" s="28"/>
      <c r="R160" s="28"/>
      <c r="S160" s="28"/>
      <c r="T160" s="28"/>
    </row>
    <row r="161" spans="3:20">
      <c r="C161" s="28"/>
      <c r="D161" s="28"/>
      <c r="E161" s="28"/>
      <c r="F161" s="28"/>
      <c r="G161" s="28"/>
      <c r="H161" s="28"/>
      <c r="I161" s="28"/>
      <c r="J161" s="28"/>
      <c r="K161" s="28"/>
      <c r="L161" s="28"/>
      <c r="M161" s="28"/>
      <c r="N161" s="28"/>
      <c r="O161" s="28"/>
      <c r="P161" s="28"/>
      <c r="Q161" s="28"/>
      <c r="R161" s="28"/>
      <c r="S161" s="28"/>
      <c r="T161" s="28"/>
    </row>
    <row r="162" spans="3:20">
      <c r="C162" s="28"/>
      <c r="D162" s="28"/>
      <c r="E162" s="28"/>
      <c r="F162" s="28"/>
      <c r="G162" s="28"/>
      <c r="H162" s="28"/>
      <c r="I162" s="28"/>
      <c r="J162" s="28"/>
      <c r="K162" s="28"/>
      <c r="L162" s="28"/>
      <c r="M162" s="28"/>
      <c r="N162" s="28"/>
      <c r="O162" s="28"/>
      <c r="P162" s="28"/>
      <c r="Q162" s="28"/>
      <c r="R162" s="28"/>
      <c r="S162" s="28"/>
      <c r="T162" s="28"/>
    </row>
    <row r="163" spans="3:20">
      <c r="C163" s="28"/>
      <c r="D163" s="28"/>
      <c r="E163" s="28"/>
      <c r="F163" s="28"/>
      <c r="G163" s="28"/>
      <c r="H163" s="28"/>
      <c r="I163" s="28"/>
      <c r="J163" s="28"/>
      <c r="K163" s="28"/>
      <c r="L163" s="28"/>
      <c r="M163" s="28"/>
      <c r="N163" s="28"/>
      <c r="O163" s="28"/>
      <c r="P163" s="28"/>
      <c r="Q163" s="28"/>
      <c r="R163" s="28"/>
      <c r="S163" s="28"/>
      <c r="T163" s="28"/>
    </row>
    <row r="164" spans="3:20">
      <c r="C164" s="28"/>
      <c r="D164" s="28"/>
      <c r="E164" s="28"/>
      <c r="F164" s="28"/>
      <c r="G164" s="28"/>
      <c r="H164" s="28"/>
      <c r="I164" s="28"/>
      <c r="J164" s="28"/>
      <c r="K164" s="28"/>
      <c r="L164" s="28"/>
      <c r="M164" s="28"/>
      <c r="N164" s="28"/>
      <c r="O164" s="28"/>
      <c r="P164" s="28"/>
      <c r="Q164" s="28"/>
      <c r="R164" s="28"/>
      <c r="S164" s="28"/>
      <c r="T164" s="28"/>
    </row>
    <row r="165" spans="3:20">
      <c r="C165" s="28"/>
      <c r="D165" s="28"/>
      <c r="E165" s="28"/>
      <c r="F165" s="28"/>
      <c r="G165" s="28"/>
      <c r="H165" s="28"/>
      <c r="I165" s="28"/>
      <c r="J165" s="28"/>
      <c r="K165" s="28"/>
      <c r="L165" s="28"/>
      <c r="M165" s="28"/>
      <c r="N165" s="28"/>
      <c r="O165" s="28"/>
      <c r="P165" s="28"/>
      <c r="Q165" s="28"/>
      <c r="R165" s="28"/>
      <c r="S165" s="28"/>
      <c r="T165" s="28"/>
    </row>
    <row r="166" spans="3:20">
      <c r="C166" s="28"/>
      <c r="D166" s="28"/>
      <c r="E166" s="28"/>
      <c r="F166" s="28"/>
      <c r="G166" s="28"/>
      <c r="H166" s="28"/>
      <c r="I166" s="28"/>
      <c r="J166" s="28"/>
      <c r="K166" s="28"/>
      <c r="L166" s="28"/>
      <c r="M166" s="28"/>
      <c r="N166" s="28"/>
      <c r="O166" s="28"/>
      <c r="P166" s="28"/>
      <c r="Q166" s="28"/>
      <c r="R166" s="28"/>
      <c r="S166" s="28"/>
      <c r="T166" s="28"/>
    </row>
    <row r="167" spans="3:20">
      <c r="C167" s="28"/>
      <c r="D167" s="28"/>
      <c r="E167" s="28"/>
      <c r="F167" s="28"/>
      <c r="G167" s="28"/>
      <c r="H167" s="28"/>
      <c r="I167" s="28"/>
      <c r="J167" s="28"/>
      <c r="K167" s="28"/>
      <c r="L167" s="28"/>
      <c r="M167" s="28"/>
      <c r="N167" s="28"/>
      <c r="O167" s="28"/>
      <c r="P167" s="28"/>
      <c r="Q167" s="28"/>
      <c r="R167" s="28"/>
      <c r="S167" s="28"/>
      <c r="T167" s="28"/>
    </row>
    <row r="168" spans="3:20">
      <c r="C168" s="28"/>
      <c r="D168" s="28"/>
      <c r="E168" s="28"/>
      <c r="F168" s="28"/>
      <c r="G168" s="28"/>
      <c r="H168" s="28"/>
      <c r="I168" s="28"/>
      <c r="J168" s="28"/>
      <c r="K168" s="28"/>
      <c r="L168" s="28"/>
      <c r="M168" s="28"/>
      <c r="N168" s="28"/>
      <c r="O168" s="28"/>
      <c r="P168" s="28"/>
      <c r="Q168" s="28"/>
      <c r="R168" s="28"/>
      <c r="S168" s="28"/>
      <c r="T168" s="28"/>
    </row>
    <row r="169" spans="3:20">
      <c r="C169" s="28"/>
      <c r="D169" s="28"/>
      <c r="E169" s="28"/>
      <c r="F169" s="28"/>
      <c r="G169" s="28"/>
      <c r="H169" s="28"/>
      <c r="I169" s="28"/>
      <c r="J169" s="28"/>
      <c r="K169" s="28"/>
      <c r="L169" s="28"/>
      <c r="M169" s="28"/>
      <c r="N169" s="28"/>
      <c r="O169" s="28"/>
      <c r="P169" s="28"/>
      <c r="Q169" s="28"/>
      <c r="R169" s="28"/>
      <c r="S169" s="28"/>
      <c r="T169" s="28"/>
    </row>
    <row r="170" spans="3:20">
      <c r="C170" s="28"/>
      <c r="D170" s="28"/>
      <c r="E170" s="28"/>
      <c r="F170" s="28"/>
      <c r="G170" s="28"/>
      <c r="H170" s="28"/>
      <c r="I170" s="28"/>
      <c r="J170" s="28"/>
      <c r="K170" s="28"/>
      <c r="L170" s="28"/>
      <c r="M170" s="28"/>
      <c r="N170" s="28"/>
      <c r="O170" s="28"/>
      <c r="P170" s="28"/>
      <c r="Q170" s="28"/>
      <c r="R170" s="28"/>
      <c r="S170" s="28"/>
      <c r="T170" s="28"/>
    </row>
    <row r="171" spans="3:20">
      <c r="C171" s="28"/>
      <c r="D171" s="28"/>
      <c r="E171" s="28"/>
      <c r="F171" s="28"/>
      <c r="G171" s="28"/>
      <c r="H171" s="28"/>
      <c r="I171" s="28"/>
      <c r="J171" s="28"/>
      <c r="K171" s="28"/>
      <c r="L171" s="28"/>
      <c r="M171" s="28"/>
      <c r="N171" s="28"/>
      <c r="O171" s="28"/>
      <c r="P171" s="28"/>
      <c r="Q171" s="28"/>
      <c r="R171" s="28"/>
      <c r="S171" s="28"/>
      <c r="T171" s="28"/>
    </row>
    <row r="172" spans="3:20">
      <c r="C172" s="28"/>
      <c r="D172" s="28"/>
      <c r="E172" s="28"/>
      <c r="F172" s="28"/>
      <c r="G172" s="28"/>
      <c r="H172" s="28"/>
      <c r="I172" s="28"/>
      <c r="J172" s="28"/>
      <c r="K172" s="28"/>
      <c r="L172" s="28"/>
      <c r="M172" s="28"/>
      <c r="N172" s="28"/>
      <c r="O172" s="28"/>
      <c r="P172" s="28"/>
      <c r="Q172" s="28"/>
      <c r="R172" s="28"/>
      <c r="S172" s="28"/>
      <c r="T172" s="28"/>
    </row>
    <row r="173" spans="3:20">
      <c r="C173" s="28"/>
      <c r="D173" s="28"/>
      <c r="E173" s="28"/>
      <c r="F173" s="28"/>
      <c r="G173" s="28"/>
      <c r="H173" s="28"/>
      <c r="I173" s="28"/>
      <c r="J173" s="28"/>
      <c r="K173" s="28"/>
      <c r="L173" s="28"/>
      <c r="M173" s="28"/>
      <c r="N173" s="28"/>
      <c r="O173" s="28"/>
      <c r="P173" s="28"/>
      <c r="Q173" s="28"/>
      <c r="R173" s="28"/>
      <c r="S173" s="28"/>
      <c r="T173" s="28"/>
    </row>
    <row r="174" spans="3:20">
      <c r="C174" s="28"/>
      <c r="D174" s="28"/>
      <c r="E174" s="28"/>
      <c r="F174" s="28"/>
      <c r="G174" s="28"/>
      <c r="H174" s="28"/>
      <c r="I174" s="28"/>
      <c r="J174" s="28"/>
      <c r="K174" s="28"/>
      <c r="L174" s="28"/>
      <c r="M174" s="28"/>
      <c r="N174" s="28"/>
      <c r="O174" s="28"/>
      <c r="P174" s="28"/>
      <c r="Q174" s="28"/>
      <c r="R174" s="28"/>
      <c r="S174" s="28"/>
      <c r="T174" s="28"/>
    </row>
    <row r="175" spans="3:20">
      <c r="C175" s="28"/>
      <c r="D175" s="28"/>
      <c r="E175" s="28"/>
      <c r="F175" s="28"/>
      <c r="G175" s="28"/>
      <c r="H175" s="28"/>
      <c r="I175" s="28"/>
      <c r="J175" s="28"/>
      <c r="K175" s="28"/>
      <c r="L175" s="28"/>
      <c r="M175" s="28"/>
      <c r="N175" s="28"/>
      <c r="O175" s="28"/>
      <c r="P175" s="28"/>
      <c r="Q175" s="28"/>
      <c r="R175" s="28"/>
      <c r="S175" s="28"/>
      <c r="T175" s="28"/>
    </row>
    <row r="176" spans="3:20">
      <c r="C176" s="28"/>
      <c r="D176" s="28"/>
      <c r="E176" s="28"/>
      <c r="F176" s="28"/>
      <c r="G176" s="28"/>
      <c r="H176" s="28"/>
      <c r="I176" s="28"/>
      <c r="J176" s="28"/>
      <c r="K176" s="28"/>
      <c r="L176" s="28"/>
      <c r="M176" s="28"/>
      <c r="N176" s="28"/>
      <c r="O176" s="28"/>
      <c r="P176" s="28"/>
      <c r="Q176" s="28"/>
      <c r="R176" s="28"/>
      <c r="S176" s="28"/>
      <c r="T176" s="28"/>
    </row>
    <row r="177" spans="3:20">
      <c r="C177" s="28"/>
      <c r="D177" s="28"/>
      <c r="E177" s="28"/>
      <c r="F177" s="28"/>
      <c r="G177" s="28"/>
      <c r="H177" s="28"/>
      <c r="I177" s="28"/>
      <c r="J177" s="28"/>
      <c r="K177" s="28"/>
      <c r="L177" s="28"/>
      <c r="M177" s="28"/>
      <c r="N177" s="28"/>
      <c r="O177" s="28"/>
      <c r="P177" s="28"/>
      <c r="Q177" s="28"/>
      <c r="R177" s="28"/>
      <c r="S177" s="28"/>
      <c r="T177" s="28"/>
    </row>
    <row r="178" spans="3:20">
      <c r="C178" s="28"/>
      <c r="D178" s="28"/>
      <c r="E178" s="28"/>
      <c r="F178" s="28"/>
      <c r="G178" s="28"/>
      <c r="H178" s="28"/>
      <c r="I178" s="28"/>
      <c r="J178" s="28"/>
      <c r="K178" s="28"/>
      <c r="L178" s="28"/>
      <c r="M178" s="28"/>
      <c r="N178" s="28"/>
      <c r="O178" s="28"/>
      <c r="P178" s="28"/>
      <c r="Q178" s="28"/>
      <c r="R178" s="28"/>
      <c r="S178" s="28"/>
      <c r="T178" s="28"/>
    </row>
    <row r="179" spans="3:20">
      <c r="C179" s="28"/>
      <c r="D179" s="28"/>
      <c r="E179" s="28"/>
      <c r="F179" s="28"/>
      <c r="G179" s="28"/>
      <c r="H179" s="28"/>
      <c r="I179" s="28"/>
      <c r="J179" s="28"/>
      <c r="K179" s="28"/>
      <c r="L179" s="28"/>
      <c r="M179" s="28"/>
      <c r="N179" s="28"/>
      <c r="O179" s="28"/>
      <c r="P179" s="28"/>
      <c r="Q179" s="28"/>
      <c r="R179" s="28"/>
      <c r="S179" s="28"/>
      <c r="T179" s="28"/>
    </row>
    <row r="180" spans="3:20">
      <c r="C180" s="28"/>
      <c r="D180" s="28"/>
      <c r="E180" s="28"/>
      <c r="F180" s="28"/>
      <c r="G180" s="28"/>
      <c r="H180" s="28"/>
      <c r="I180" s="28"/>
      <c r="J180" s="28"/>
      <c r="K180" s="28"/>
      <c r="L180" s="28"/>
      <c r="M180" s="28"/>
      <c r="N180" s="28"/>
      <c r="O180" s="28"/>
      <c r="P180" s="28"/>
      <c r="Q180" s="28"/>
      <c r="R180" s="28"/>
      <c r="S180" s="28"/>
      <c r="T180" s="28"/>
    </row>
    <row r="181" spans="3:20">
      <c r="C181" s="28"/>
      <c r="D181" s="28"/>
      <c r="E181" s="28"/>
      <c r="F181" s="28"/>
      <c r="G181" s="28"/>
      <c r="H181" s="28"/>
      <c r="I181" s="28"/>
      <c r="J181" s="28"/>
      <c r="K181" s="28"/>
      <c r="L181" s="28"/>
      <c r="M181" s="28"/>
      <c r="N181" s="28"/>
      <c r="O181" s="28"/>
      <c r="P181" s="28"/>
      <c r="Q181" s="28"/>
      <c r="R181" s="28"/>
      <c r="S181" s="28"/>
      <c r="T181" s="28"/>
    </row>
    <row r="182" spans="3:20">
      <c r="C182" s="28"/>
      <c r="D182" s="28"/>
      <c r="E182" s="28"/>
      <c r="F182" s="28"/>
      <c r="G182" s="28"/>
      <c r="H182" s="28"/>
      <c r="I182" s="28"/>
      <c r="J182" s="28"/>
      <c r="K182" s="28"/>
      <c r="L182" s="28"/>
      <c r="M182" s="28"/>
      <c r="N182" s="28"/>
      <c r="O182" s="28"/>
      <c r="P182" s="28"/>
      <c r="Q182" s="28"/>
      <c r="R182" s="28"/>
      <c r="S182" s="28"/>
      <c r="T182" s="28"/>
    </row>
    <row r="183" spans="3:20">
      <c r="C183" s="28"/>
      <c r="D183" s="28"/>
      <c r="E183" s="28"/>
      <c r="F183" s="28"/>
      <c r="G183" s="28"/>
      <c r="H183" s="28"/>
      <c r="I183" s="28"/>
      <c r="J183" s="28"/>
      <c r="K183" s="28"/>
      <c r="L183" s="28"/>
      <c r="M183" s="28"/>
      <c r="N183" s="28"/>
      <c r="O183" s="28"/>
      <c r="P183" s="28"/>
      <c r="Q183" s="28"/>
      <c r="R183" s="28"/>
      <c r="S183" s="28"/>
      <c r="T183" s="28"/>
    </row>
    <row r="184" spans="3:20">
      <c r="C184" s="28"/>
      <c r="D184" s="28"/>
      <c r="E184" s="28"/>
      <c r="F184" s="28"/>
      <c r="G184" s="28"/>
      <c r="H184" s="28"/>
      <c r="I184" s="28"/>
      <c r="J184" s="28"/>
      <c r="K184" s="28"/>
      <c r="L184" s="28"/>
      <c r="M184" s="28"/>
      <c r="N184" s="28"/>
      <c r="O184" s="28"/>
      <c r="P184" s="28"/>
      <c r="Q184" s="28"/>
      <c r="R184" s="28"/>
      <c r="S184" s="28"/>
      <c r="T184" s="28"/>
    </row>
    <row r="185" spans="3:20">
      <c r="C185" s="28"/>
      <c r="D185" s="28"/>
      <c r="E185" s="28"/>
      <c r="F185" s="28"/>
      <c r="G185" s="28"/>
      <c r="H185" s="28"/>
      <c r="I185" s="28"/>
      <c r="J185" s="28"/>
      <c r="K185" s="28"/>
      <c r="L185" s="28"/>
      <c r="M185" s="28"/>
      <c r="N185" s="28"/>
      <c r="O185" s="28"/>
      <c r="P185" s="28"/>
      <c r="Q185" s="28"/>
      <c r="R185" s="28"/>
      <c r="S185" s="28"/>
      <c r="T185" s="28"/>
    </row>
    <row r="186" spans="3:20">
      <c r="C186" s="28"/>
      <c r="D186" s="28"/>
      <c r="E186" s="28"/>
      <c r="F186" s="28"/>
      <c r="G186" s="28"/>
      <c r="H186" s="28"/>
      <c r="I186" s="28"/>
      <c r="J186" s="28"/>
      <c r="K186" s="28"/>
      <c r="L186" s="28"/>
      <c r="M186" s="28"/>
      <c r="N186" s="28"/>
      <c r="O186" s="28"/>
      <c r="P186" s="28"/>
      <c r="Q186" s="28"/>
      <c r="R186" s="28"/>
      <c r="S186" s="28"/>
      <c r="T186" s="28"/>
    </row>
    <row r="187" spans="3:20">
      <c r="C187" s="28"/>
      <c r="D187" s="28"/>
      <c r="E187" s="28"/>
      <c r="F187" s="28"/>
      <c r="G187" s="28"/>
      <c r="H187" s="28"/>
      <c r="I187" s="28"/>
      <c r="J187" s="28"/>
      <c r="K187" s="28"/>
      <c r="L187" s="28"/>
      <c r="M187" s="28"/>
      <c r="N187" s="28"/>
      <c r="O187" s="28"/>
      <c r="P187" s="28"/>
      <c r="Q187" s="28"/>
      <c r="R187" s="28"/>
      <c r="S187" s="28"/>
      <c r="T187" s="28"/>
    </row>
    <row r="188" spans="3:20">
      <c r="C188" s="28"/>
      <c r="D188" s="28"/>
      <c r="E188" s="28"/>
      <c r="F188" s="28"/>
      <c r="G188" s="28"/>
      <c r="H188" s="28"/>
      <c r="I188" s="28"/>
      <c r="J188" s="28"/>
      <c r="K188" s="28"/>
      <c r="L188" s="28"/>
      <c r="M188" s="28"/>
      <c r="N188" s="28"/>
      <c r="O188" s="28"/>
      <c r="P188" s="28"/>
      <c r="Q188" s="28"/>
      <c r="R188" s="28"/>
      <c r="S188" s="28"/>
      <c r="T188" s="28"/>
    </row>
    <row r="189" spans="3:20">
      <c r="C189" s="28"/>
      <c r="D189" s="28"/>
      <c r="E189" s="28"/>
      <c r="F189" s="28"/>
      <c r="G189" s="28"/>
      <c r="H189" s="28"/>
      <c r="I189" s="28"/>
      <c r="J189" s="28"/>
      <c r="K189" s="28"/>
      <c r="L189" s="28"/>
      <c r="M189" s="28"/>
      <c r="N189" s="28"/>
      <c r="O189" s="28"/>
      <c r="P189" s="28"/>
      <c r="Q189" s="28"/>
      <c r="R189" s="28"/>
      <c r="S189" s="28"/>
      <c r="T189" s="28"/>
    </row>
    <row r="190" spans="3:20">
      <c r="C190" s="28"/>
      <c r="D190" s="28"/>
      <c r="E190" s="28"/>
      <c r="F190" s="28"/>
      <c r="G190" s="28"/>
      <c r="H190" s="28"/>
      <c r="I190" s="28"/>
      <c r="J190" s="28"/>
      <c r="K190" s="28"/>
      <c r="L190" s="28"/>
      <c r="M190" s="28"/>
      <c r="N190" s="28"/>
      <c r="O190" s="28"/>
      <c r="P190" s="28"/>
      <c r="Q190" s="28"/>
      <c r="R190" s="28"/>
      <c r="S190" s="28"/>
      <c r="T190" s="28"/>
    </row>
    <row r="191" spans="3:20">
      <c r="C191" s="28"/>
      <c r="D191" s="28"/>
      <c r="E191" s="28"/>
      <c r="F191" s="28"/>
      <c r="G191" s="28"/>
      <c r="H191" s="28"/>
      <c r="I191" s="28"/>
      <c r="J191" s="28"/>
      <c r="K191" s="28"/>
      <c r="L191" s="28"/>
      <c r="M191" s="28"/>
      <c r="N191" s="28"/>
      <c r="O191" s="28"/>
      <c r="P191" s="28"/>
      <c r="Q191" s="28"/>
      <c r="R191" s="28"/>
      <c r="S191" s="28"/>
      <c r="T191" s="28"/>
    </row>
    <row r="192" spans="3:20">
      <c r="C192" s="28"/>
      <c r="D192" s="28"/>
      <c r="E192" s="28"/>
      <c r="F192" s="28"/>
      <c r="G192" s="28"/>
      <c r="H192" s="28"/>
      <c r="I192" s="28"/>
      <c r="J192" s="28"/>
      <c r="K192" s="28"/>
      <c r="L192" s="28"/>
      <c r="M192" s="28"/>
      <c r="N192" s="28"/>
      <c r="O192" s="28"/>
      <c r="P192" s="28"/>
      <c r="Q192" s="28"/>
      <c r="R192" s="28"/>
      <c r="S192" s="28"/>
      <c r="T192" s="28"/>
    </row>
    <row r="193" spans="3:20">
      <c r="C193" s="28"/>
      <c r="D193" s="28"/>
      <c r="E193" s="28"/>
      <c r="F193" s="28"/>
      <c r="G193" s="28"/>
      <c r="H193" s="28"/>
      <c r="I193" s="28"/>
      <c r="J193" s="28"/>
      <c r="K193" s="28"/>
      <c r="L193" s="28"/>
      <c r="M193" s="28"/>
      <c r="N193" s="28"/>
      <c r="O193" s="28"/>
      <c r="P193" s="28"/>
      <c r="Q193" s="28"/>
      <c r="R193" s="28"/>
      <c r="S193" s="28"/>
      <c r="T193" s="28"/>
    </row>
    <row r="194" spans="3:20">
      <c r="C194" s="28"/>
      <c r="D194" s="28"/>
      <c r="E194" s="28"/>
      <c r="F194" s="28"/>
      <c r="G194" s="28"/>
      <c r="H194" s="28"/>
      <c r="I194" s="28"/>
      <c r="J194" s="28"/>
      <c r="K194" s="28"/>
      <c r="L194" s="28"/>
      <c r="M194" s="28"/>
      <c r="N194" s="28"/>
      <c r="O194" s="28"/>
      <c r="P194" s="28"/>
      <c r="Q194" s="28"/>
      <c r="R194" s="28"/>
      <c r="S194" s="28"/>
      <c r="T194" s="28"/>
    </row>
    <row r="195" spans="3:20">
      <c r="C195" s="28"/>
      <c r="D195" s="28"/>
      <c r="E195" s="28"/>
      <c r="F195" s="28"/>
      <c r="G195" s="28"/>
      <c r="H195" s="28"/>
      <c r="I195" s="28"/>
      <c r="J195" s="28"/>
      <c r="K195" s="28"/>
      <c r="L195" s="28"/>
      <c r="M195" s="28"/>
      <c r="N195" s="28"/>
      <c r="O195" s="28"/>
      <c r="P195" s="28"/>
      <c r="Q195" s="28"/>
      <c r="R195" s="28"/>
      <c r="S195" s="28"/>
      <c r="T195" s="28"/>
    </row>
    <row r="196" spans="3:20">
      <c r="C196" s="28"/>
      <c r="D196" s="28"/>
      <c r="E196" s="28"/>
      <c r="F196" s="28"/>
      <c r="G196" s="28"/>
      <c r="H196" s="28"/>
      <c r="I196" s="28"/>
      <c r="J196" s="28"/>
      <c r="K196" s="28"/>
      <c r="L196" s="28"/>
      <c r="M196" s="28"/>
      <c r="N196" s="28"/>
      <c r="O196" s="28"/>
      <c r="P196" s="28"/>
      <c r="Q196" s="28"/>
      <c r="R196" s="28"/>
      <c r="S196" s="28"/>
      <c r="T196" s="28"/>
    </row>
    <row r="197" spans="3:20">
      <c r="C197" s="28"/>
      <c r="D197" s="28"/>
      <c r="E197" s="28"/>
      <c r="F197" s="28"/>
      <c r="G197" s="28"/>
      <c r="H197" s="28"/>
      <c r="I197" s="28"/>
      <c r="J197" s="28"/>
      <c r="K197" s="28"/>
      <c r="L197" s="28"/>
      <c r="M197" s="28"/>
      <c r="N197" s="28"/>
      <c r="O197" s="28"/>
      <c r="P197" s="28"/>
      <c r="Q197" s="28"/>
      <c r="R197" s="28"/>
      <c r="S197" s="28"/>
      <c r="T197" s="28"/>
    </row>
    <row r="198" spans="3:20">
      <c r="C198" s="28"/>
      <c r="D198" s="28"/>
      <c r="E198" s="28"/>
      <c r="F198" s="28"/>
      <c r="G198" s="28"/>
      <c r="H198" s="28"/>
      <c r="I198" s="28"/>
      <c r="J198" s="28"/>
      <c r="K198" s="28"/>
      <c r="L198" s="28"/>
      <c r="M198" s="28"/>
      <c r="N198" s="28"/>
      <c r="O198" s="28"/>
      <c r="P198" s="28"/>
      <c r="Q198" s="28"/>
      <c r="R198" s="28"/>
      <c r="S198" s="28"/>
      <c r="T198" s="28"/>
    </row>
    <row r="199" spans="3:20">
      <c r="C199" s="28"/>
      <c r="D199" s="28"/>
      <c r="E199" s="28"/>
      <c r="F199" s="28"/>
      <c r="G199" s="28"/>
      <c r="H199" s="28"/>
      <c r="I199" s="28"/>
      <c r="J199" s="28"/>
      <c r="K199" s="28"/>
      <c r="L199" s="28"/>
      <c r="M199" s="28"/>
      <c r="N199" s="28"/>
      <c r="O199" s="28"/>
      <c r="P199" s="28"/>
      <c r="Q199" s="28"/>
      <c r="R199" s="28"/>
      <c r="S199" s="28"/>
      <c r="T199" s="28"/>
    </row>
    <row r="200" spans="3:20">
      <c r="C200" s="28"/>
      <c r="D200" s="28"/>
      <c r="E200" s="28"/>
      <c r="F200" s="28"/>
      <c r="G200" s="28"/>
      <c r="H200" s="28"/>
      <c r="I200" s="28"/>
      <c r="J200" s="28"/>
      <c r="K200" s="28"/>
      <c r="L200" s="28"/>
      <c r="M200" s="28"/>
      <c r="N200" s="28"/>
      <c r="O200" s="28"/>
      <c r="P200" s="28"/>
      <c r="Q200" s="28"/>
      <c r="R200" s="28"/>
      <c r="S200" s="28"/>
      <c r="T200" s="28"/>
    </row>
    <row r="201" spans="3:20">
      <c r="C201" s="28"/>
      <c r="D201" s="28"/>
      <c r="E201" s="28"/>
      <c r="F201" s="28"/>
      <c r="G201" s="28"/>
      <c r="H201" s="28"/>
      <c r="I201" s="28"/>
      <c r="J201" s="28"/>
      <c r="K201" s="28"/>
      <c r="L201" s="28"/>
      <c r="M201" s="28"/>
      <c r="N201" s="28"/>
      <c r="O201" s="28"/>
      <c r="P201" s="28"/>
      <c r="Q201" s="28"/>
      <c r="R201" s="28"/>
      <c r="S201" s="28"/>
      <c r="T201" s="28"/>
    </row>
    <row r="202" spans="3:20">
      <c r="C202" s="28"/>
      <c r="D202" s="28"/>
      <c r="E202" s="28"/>
      <c r="F202" s="28"/>
      <c r="G202" s="28"/>
      <c r="H202" s="28"/>
      <c r="I202" s="28"/>
      <c r="J202" s="28"/>
      <c r="K202" s="28"/>
      <c r="L202" s="28"/>
      <c r="M202" s="28"/>
      <c r="N202" s="28"/>
      <c r="O202" s="28"/>
      <c r="P202" s="28"/>
      <c r="Q202" s="28"/>
      <c r="R202" s="28"/>
      <c r="S202" s="28"/>
      <c r="T202" s="28"/>
    </row>
    <row r="203" spans="3:20">
      <c r="C203" s="28"/>
      <c r="D203" s="28"/>
      <c r="E203" s="28"/>
      <c r="F203" s="28"/>
      <c r="G203" s="28"/>
      <c r="H203" s="28"/>
      <c r="I203" s="28"/>
      <c r="J203" s="28"/>
      <c r="K203" s="28"/>
      <c r="L203" s="28"/>
      <c r="M203" s="28"/>
      <c r="N203" s="28"/>
      <c r="O203" s="28"/>
      <c r="P203" s="28"/>
      <c r="Q203" s="28"/>
      <c r="R203" s="28"/>
      <c r="S203" s="28"/>
      <c r="T203" s="28"/>
    </row>
    <row r="204" spans="3:20">
      <c r="C204" s="28"/>
      <c r="D204" s="28"/>
      <c r="E204" s="28"/>
      <c r="F204" s="28"/>
      <c r="G204" s="28"/>
      <c r="H204" s="28"/>
      <c r="I204" s="28"/>
      <c r="J204" s="28"/>
      <c r="K204" s="28"/>
      <c r="L204" s="28"/>
      <c r="M204" s="28"/>
      <c r="N204" s="28"/>
      <c r="O204" s="28"/>
      <c r="P204" s="28"/>
      <c r="Q204" s="28"/>
      <c r="R204" s="28"/>
      <c r="S204" s="28"/>
      <c r="T204" s="28"/>
    </row>
  </sheetData>
  <mergeCells count="11">
    <mergeCell ref="X5:Z8"/>
    <mergeCell ref="C60:Y60"/>
    <mergeCell ref="C61:Y61"/>
    <mergeCell ref="U22:U27"/>
    <mergeCell ref="C2:S2"/>
    <mergeCell ref="C3:S3"/>
    <mergeCell ref="C4:S4"/>
    <mergeCell ref="O7:R7"/>
    <mergeCell ref="C52:S52"/>
    <mergeCell ref="C53:R53"/>
    <mergeCell ref="C54:R54"/>
  </mergeCells>
  <conditionalFormatting sqref="P48:P49">
    <cfRule type="cellIs" dxfId="11" priority="10" operator="lessThan">
      <formula>0</formula>
    </cfRule>
    <cfRule type="cellIs" dxfId="10" priority="11" operator="greaterThan">
      <formula>0.051</formula>
    </cfRule>
    <cfRule type="cellIs" dxfId="9" priority="12" operator="greaterThan">
      <formula>5.1</formula>
    </cfRule>
  </conditionalFormatting>
  <conditionalFormatting sqref="Q48:Q49">
    <cfRule type="cellIs" dxfId="8" priority="6" operator="lessThan">
      <formula>0</formula>
    </cfRule>
    <cfRule type="cellIs" dxfId="7" priority="7" operator="greaterThan">
      <formula>0.019</formula>
    </cfRule>
    <cfRule type="cellIs" dxfId="6" priority="8" operator="greaterThan">
      <formula>0.019</formula>
    </cfRule>
    <cfRule type="cellIs" dxfId="5" priority="9" operator="greaterThan">
      <formula>0.02</formula>
    </cfRule>
  </conditionalFormatting>
  <conditionalFormatting sqref="R48:R49">
    <cfRule type="cellIs" dxfId="4" priority="4" operator="lessThan">
      <formula>0</formula>
    </cfRule>
    <cfRule type="cellIs" dxfId="3" priority="5" operator="greaterThan">
      <formula>0.02</formula>
    </cfRule>
  </conditionalFormatting>
  <conditionalFormatting sqref="O48:O49">
    <cfRule type="cellIs" dxfId="2" priority="1" operator="lessThan">
      <formula>0</formula>
    </cfRule>
    <cfRule type="cellIs" dxfId="1" priority="2" operator="greaterThan">
      <formula>0.051</formula>
    </cfRule>
    <cfRule type="cellIs" dxfId="0" priority="3" operator="greaterThan">
      <formula>5.1</formula>
    </cfRule>
  </conditionalFormatting>
  <pageMargins left="0.25" right="0.25" top="0.5" bottom="0.25" header="0.05" footer="0"/>
  <pageSetup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hase xmlns="a091097b-8ae3-4832-a2b2-51f9a78aeacd">3</Phase>
    <Sujet xmlns="a091097b-8ae3-4832-a2b2-51f9a78aeacd">GI-39 Document 3.1 et 3.1.1 - Fichiers Excel</Sujet>
    <Confidentiel xmlns="a091097b-8ae3-4832-a2b2-51f9a78aeacd">3</Confidentiel>
    <Projet xmlns="a091097b-8ae3-4832-a2b2-51f9a78aeacd">752</Projet>
    <Provenance xmlns="a091097b-8ae3-4832-a2b2-51f9a78aeacd">1</Provenance>
    <Hidden_UploadedAt xmlns="a091097b-8ae3-4832-a2b2-51f9a78aeacd">2023-02-08T00:25:29+00:00</Hidden_UploadedAt>
    <Accés_x0020_restreint xmlns="a091097b-8ae3-4832-a2b2-51f9a78aeacd">false</Accés_x0020_restreint>
    <Précision_x0020_de_x0020_document xmlns="a091097b-8ae3-4832-a2b2-51f9a78aeacd" xsi:nil="true"/>
    <Déposant xmlns="a091097b-8ae3-4832-a2b2-51f9a78aeacd">69</Déposant>
    <Sous-catégorie xmlns="a091097b-8ae3-4832-a2b2-51f9a78aeacd" xsi:nil="true"/>
    <Copie_x0020_papier_x0020_reçue xmlns="a091097b-8ae3-4832-a2b2-51f9a78aeacd">false</Copie_x0020_papier_x0020_reçue>
    <Cote_x0020_de_x0020_déposant xmlns="a091097b-8ae3-4832-a2b2-51f9a78aeacd">GI-39 Document 3.1 et 3.1.1</Cote_x0020_de_x0020_déposant>
    <Inscrit_x0020_au_x0020_plumitif xmlns="a091097b-8ae3-4832-a2b2-51f9a78aeacd">false</Inscrit_x0020_au_x0020_plumitif>
    <Numéro_x0020_plumitif xmlns="a091097b-8ae3-4832-a2b2-51f9a78aeacd" xsi:nil="true"/>
    <Hidden_UploadedBy xmlns="a091097b-8ae3-4832-a2b2-51f9a78aeacd" xsi:nil="true"/>
    <Hidden_ApprovedBy xmlns="a091097b-8ae3-4832-a2b2-51f9a78aeacd" xsi:nil="true"/>
    <Statut xmlns="a091097b-8ae3-4832-a2b2-51f9a78aeacd" xsi:nil="true"/>
    <Catégorie_x0020_de_x0020_document xmlns="a091097b-8ae3-4832-a2b2-51f9a78aeacd">15</Catégorie_x0020_de_x0020_document>
    <Date_x0020_de_x0020_confidentialité_x0020_relevée xmlns="a091097b-8ae3-4832-a2b2-51f9a78aeacd" xsi:nil="true"/>
    <Hidden_ApprovedAt xmlns="a091097b-8ae3-4832-a2b2-51f9a78aeacd">2023-02-08T00:25:29+00:00</Hidden_ApprovedAt>
    <Cote_x0020_de_x0020_piéce xmlns="a091097b-8ae3-4832-a2b2-51f9a78aeacd">B-0385</Cote_x0020_de_x0020_piéce>
    <Diffusable_x0020_sur_x0020_le_x0020_Web xmlns="a091097b-8ae3-4832-a2b2-51f9a78aeacd">true</Diffusable_x0020_sur_x0020_le_x0020_Web>
    <Date_x0020_de_x0020_réception_x0020_copie_x0020_papier xmlns="a091097b-8ae3-4832-a2b2-51f9a78aeacd" xsi:nil="true"/>
    <Ne_x0020_pas_x0020_envoyer_x0020_d_x0027_alerte xmlns="a091097b-8ae3-4832-a2b2-51f9a78aeacd">true</Ne_x0020_pas_x0020_envoyer_x0020_d_x0027_alerte>
    <_dlc_DocId xmlns="a84ed267-86d5-4fa1-a3cb-2fed497fe84f">W2HFWTQUJJY6-1651953253-563</_dlc_DocId>
    <_dlc_DocIdUrl xmlns="a84ed267-86d5-4fa1-a3cb-2fed497fe84f">
      <Url>http://s10mtlweb:8081/752/_layouts/15/DocIdRedir.aspx?ID=W2HFWTQUJJY6-1651953253-563</Url>
      <Description>W2HFWTQUJJY6-1651953253-563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E5F468B1997F134CB6C6EAAC69D2DBE7" ma:contentTypeVersion="0" ma:contentTypeDescription="" ma:contentTypeScope="" ma:versionID="0d3127273217b02da6f3df09a01cd2f7">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b7e9dbe386427f7c04dd1b10a57eb55d"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072513-FFA4-4D6F-92C2-5B3C6D3E088F}"/>
</file>

<file path=customXml/itemProps2.xml><?xml version="1.0" encoding="utf-8"?>
<ds:datastoreItem xmlns:ds="http://schemas.openxmlformats.org/officeDocument/2006/customXml" ds:itemID="{AC5A7C5E-8360-45C4-AA62-11FA7104299D}"/>
</file>

<file path=customXml/itemProps3.xml><?xml version="1.0" encoding="utf-8"?>
<ds:datastoreItem xmlns:ds="http://schemas.openxmlformats.org/officeDocument/2006/customXml" ds:itemID="{B058A32E-3DF8-43CC-BBCC-9D9EC0BFC641}"/>
</file>

<file path=customXml/itemProps4.xml><?xml version="1.0" encoding="utf-8"?>
<ds:datastoreItem xmlns:ds="http://schemas.openxmlformats.org/officeDocument/2006/customXml" ds:itemID="{F41F60FB-774F-4E68-839D-841487F5F7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12</vt:i4>
      </vt:variant>
    </vt:vector>
  </HeadingPairs>
  <TitlesOfParts>
    <vt:vector size="17" baseType="lpstr">
      <vt:lpstr>GI-39 doc 3.1.1</vt:lpstr>
      <vt:lpstr>GI-39 doc 3.1_après coupures</vt:lpstr>
      <vt:lpstr>GI-39 doc 3.1_après coup_v1</vt:lpstr>
      <vt:lpstr>GI-39 doc 3.1_après coupureV1</vt:lpstr>
      <vt:lpstr>GI-39 doc 3.1_REVISE</vt:lpstr>
      <vt:lpstr>'GI-39 doc 3.1.1'!Impression_des_titres</vt:lpstr>
      <vt:lpstr>'GI-39 doc 3.1.1'!Print_Area</vt:lpstr>
      <vt:lpstr>'GI-39 doc 3.1_après coup_v1'!Print_Area</vt:lpstr>
      <vt:lpstr>'GI-39 doc 3.1_après coupures'!Print_Area</vt:lpstr>
      <vt:lpstr>'GI-39 doc 3.1_après coupureV1'!Print_Area</vt:lpstr>
      <vt:lpstr>'GI-39 doc 3.1_REVISE'!Print_Area</vt:lpstr>
      <vt:lpstr>'GI-39 doc 3.1.1'!Print_Titles</vt:lpstr>
      <vt:lpstr>'GI-39 doc 3.1_après coup_v1'!Print_Titles</vt:lpstr>
      <vt:lpstr>'GI-39 doc 3.1_après coupures'!Print_Titles</vt:lpstr>
      <vt:lpstr>'GI-39 doc 3.1_après coupureV1'!Print_Titles</vt:lpstr>
      <vt:lpstr>'GI-39 doc 3.1_REVISE'!Print_Titles</vt:lpstr>
      <vt:lpstr>'GI-39 doc 3.1.1'!Zone_d_impression</vt:lpstr>
    </vt:vector>
  </TitlesOfParts>
  <Company>Enbridge Gas Distribution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GI-39 Document 3.1 et 3.1.1 - Fichiers Excel</dc:subject>
  <dc:creator>Mireille Boucher-Martin</dc:creator>
  <cp:lastModifiedBy>Mariane Bilodeau</cp:lastModifiedBy>
  <cp:lastPrinted>2015-11-12T20:24:44Z</cp:lastPrinted>
  <dcterms:created xsi:type="dcterms:W3CDTF">2015-10-09T12:39:08Z</dcterms:created>
  <dcterms:modified xsi:type="dcterms:W3CDTF">2015-11-12T20:26:17Z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0x010100F6681E3BDF397F418586AC591ADC81BB00E5F468B1997F134CB6C6EAAC69D2DBE7</vt:lpwstr>
  </property>
  <property fmtid="{D5CDD505-2E9C-101B-9397-08002B2CF9AE}" pid="5" name="Order">
    <vt:r8>1742700</vt:r8>
  </property>
  <property fmtid="{D5CDD505-2E9C-101B-9397-08002B2CF9AE}" pid="6" name="_dlc_DocIdItemGuid">
    <vt:lpwstr>a2806470-7219-4bce-a902-a40366d510fa</vt:lpwstr>
  </property>
</Properties>
</file>