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4.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13.xml" ContentType="application/vnd.openxmlformats-officedocument.drawing+xml"/>
  <Override PartName="/xl/drawings/drawing12.xml" ContentType="application/vnd.openxmlformats-officedocument.drawing+xml"/>
  <Override PartName="/xl/drawings/drawing16.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vbaProject.bin" ContentType="application/vnd.ms-office.vbaProject"/>
  <Override PartName="/xl/drawings/drawing17.xml" ContentType="application/vnd.openxmlformats-officedocument.drawing+xml"/>
  <Override PartName="/xl/drawings/drawing11.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drawings/drawing7.xml" ContentType="application/vnd.openxmlformats-officedocument.drawing+xml"/>
  <Override PartName="/xl/drawings/drawing10.xml" ContentType="application/vnd.openxmlformats-officedocument.drawing+xml"/>
  <Override PartName="/xl/drawings/drawing9.xml" ContentType="application/vnd.openxmlformats-officedocument.drawing+xml"/>
  <Override PartName="/xl/drawings/drawing8.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7.xml" ContentType="application/vnd.openxmlformats-officedocument.spreadsheetml.worksheet+xml"/>
  <Override PartName="/xl/worksheets/sheet15.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14.xml" ContentType="application/vnd.openxmlformats-officedocument.spreadsheetml.worksheet+xml"/>
  <Override PartName="/xl/worksheets/sheet16.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13.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ctrlProps/ctrlProp114.xml" ContentType="application/vnd.ms-excel.controlproperties+xml"/>
  <Override PartName="/xl/ctrlProps/ctrlProp46.xml" ContentType="application/vnd.ms-excel.controlproperties+xml"/>
  <Override PartName="/xl/comments13.xml" ContentType="application/vnd.openxmlformats-officedocument.spreadsheetml.comments+xml"/>
  <Override PartName="/xl/ctrlProps/ctrlProp21.xml" ContentType="application/vnd.ms-excel.controlproperties+xml"/>
  <Override PartName="/xl/ctrlProps/ctrlProp117.xml" ContentType="application/vnd.ms-excel.controlproperties+xml"/>
  <Override PartName="/xl/ctrlProps/ctrlProp20.xml" ContentType="application/vnd.ms-excel.controlproperties+xml"/>
  <Override PartName="/xl/ctrlProps/ctrlProp116.xml" ContentType="application/vnd.ms-excel.controlproperties+xml"/>
  <Override PartName="/xl/ctrlProps/ctrlProp113.xml" ContentType="application/vnd.ms-excel.controlproperties+xml"/>
  <Override PartName="/xl/ctrlProps/ctrlProp115.xml" ContentType="application/vnd.ms-excel.controlproperties+xml"/>
  <Override PartName="/xl/ctrlProps/ctrlProp18.xml" ContentType="application/vnd.ms-excel.controlproperties+xml"/>
  <Override PartName="/xl/ctrlProps/ctrlProp16.xml" ContentType="application/vnd.ms-excel.controlproperties+xml"/>
  <Override PartName="/xl/comments14.xml" ContentType="application/vnd.openxmlformats-officedocument.spreadsheetml.comments+xml"/>
  <Override PartName="/xl/ctrlProps/ctrlProp17.xml" ContentType="application/vnd.ms-excel.controlproperties+xml"/>
  <Override PartName="/xl/ctrlProps/ctrlProp19.xml" ContentType="application/vnd.ms-excel.controlproperties+xml"/>
  <Override PartName="/xl/comments11.xml" ContentType="application/vnd.openxmlformats-officedocument.spreadsheetml.comments+xml"/>
  <Override PartName="/xl/ctrlProps/ctrlProp112.xml" ContentType="application/vnd.ms-excel.controlproperties+xml"/>
  <Override PartName="/xl/ctrlProps/ctrlProp106.xml" ContentType="application/vnd.ms-excel.controlproperties+xml"/>
  <Override PartName="/xl/ctrlProps/ctrlProp105.xml" ContentType="application/vnd.ms-excel.controlproperties+xml"/>
  <Override PartName="/xl/ctrlProps/ctrlProp104.xml" ContentType="application/vnd.ms-excel.controlproperties+xml"/>
  <Override PartName="/xl/ctrlProps/ctrlProp10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107.xml" ContentType="application/vnd.ms-excel.controlproperties+xml"/>
  <Override PartName="/xl/comments15.xml" ContentType="application/vnd.openxmlformats-officedocument.spreadsheetml.comments+xml"/>
  <Override PartName="/xl/ctrlProps/ctrlProp111.xml" ContentType="application/vnd.ms-excel.controlproperties+xml"/>
  <Override PartName="/xl/ctrlProps/ctrlProp110.xml" ContentType="application/vnd.ms-excel.controlproperties+xml"/>
  <Override PartName="/xl/ctrlProps/ctrlProp109.xml" ContentType="application/vnd.ms-excel.controlproperties+xml"/>
  <Override PartName="/xl/ctrlProps/ctrlProp108.xml" ContentType="application/vnd.ms-excel.controlproperties+xml"/>
  <Override PartName="/xl/ctrlProps/ctrlProp22.xml" ContentType="application/vnd.ms-excel.controlproperties+xml"/>
  <Override PartName="/xl/ctrlProps/ctrlProp23.xml" ContentType="application/vnd.ms-excel.controlproperties+xml"/>
  <Override PartName="/xl/comments12.xml" ContentType="application/vnd.openxmlformats-officedocument.spreadsheetml.comments+xml"/>
  <Override PartName="/xl/ctrlProps/ctrlProp13.xml" ContentType="application/vnd.ms-excel.controlproperties+xml"/>
  <Override PartName="/xl/ctrlProps/ctrlProp15.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1.xml" ContentType="application/vnd.ms-excel.controlproperties+xml"/>
  <Override PartName="/xl/tables/table1.xml" ContentType="application/vnd.openxmlformats-officedocument.spreadsheetml.table+xml"/>
  <Override PartName="/xl/externalLinks/externalLink1.xml" ContentType="application/vnd.openxmlformats-officedocument.spreadsheetml.externalLink+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customXml/itemProps1.xml" ContentType="application/vnd.openxmlformats-officedocument.customXmlProperties+xml"/>
  <Override PartName="/xl/calcChain.xml" ContentType="application/vnd.openxmlformats-officedocument.spreadsheetml.calcChain+xml"/>
  <Override PartName="/xl/ctrlProps/ctrlProp14.xml" ContentType="application/vnd.ms-excel.controlproperties+xml"/>
  <Override PartName="/xl/comments16.xml" ContentType="application/vnd.openxmlformats-officedocument.spreadsheetml.comments+xml"/>
  <Override PartName="/customXml/itemProps2.xml" ContentType="application/vnd.openxmlformats-officedocument.customXmlProperties+xml"/>
  <Override PartName="/customXml/itemProps3.xml" ContentType="application/vnd.openxmlformats-officedocument.customXmlProperties+xml"/>
  <Override PartName="/xl/ctrlProps/ctrlProp11.xml" ContentType="application/vnd.ms-excel.controlproperties+xml"/>
  <Override PartName="/xl/ctrlProps/ctrlProp12.xml" ContentType="application/vnd.ms-excel.controlpropertie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trlProps/ctrlProp26.xml" ContentType="application/vnd.ms-excel.controlproperties+xml"/>
  <Override PartName="/xl/comments10.xml" ContentType="application/vnd.openxmlformats-officedocument.spreadsheetml.comments+xml"/>
  <Override PartName="/xl/ctrlProps/ctrlProp79.xml" ContentType="application/vnd.ms-excel.controlproperties+xml"/>
  <Override PartName="/xl/ctrlProps/ctrlProp78.xml" ContentType="application/vnd.ms-excel.controlproperties+xml"/>
  <Override PartName="/xl/ctrlProps/ctrlProp77.xml" ContentType="application/vnd.ms-excel.controlproperties+xml"/>
  <Override PartName="/xl/ctrlProps/ctrlProp76.xml" ContentType="application/vnd.ms-excel.controlproperties+xml"/>
  <Override PartName="/xl/ctrlProps/ctrlProp75.xml" ContentType="application/vnd.ms-excel.controlproperties+xml"/>
  <Override PartName="/xl/ctrlProps/ctrlProp74.xml" ContentType="application/vnd.ms-excel.controlproperties+xml"/>
  <Override PartName="/xl/ctrlProps/ctrlProp73.xml" ContentType="application/vnd.ms-excel.controlproperties+xml"/>
  <Override PartName="/xl/ctrlProps/ctrlProp72.xml" ContentType="application/vnd.ms-excel.controlproperties+xml"/>
  <Override PartName="/xl/ctrlProps/ctrlProp71.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omments3.xml" ContentType="application/vnd.openxmlformats-officedocument.spreadsheetml.comments+xml"/>
  <Override PartName="/xl/ctrlProps/ctrlProp41.xml" ContentType="application/vnd.ms-excel.controlproperties+xml"/>
  <Override PartName="/xl/ctrlProps/ctrlProp42.xml" ContentType="application/vnd.ms-excel.controlproperties+xml"/>
  <Override PartName="/xl/comments2.xml" ContentType="application/vnd.openxmlformats-officedocument.spreadsheetml.comment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ctrlProps/ctrlProp70.xml" ContentType="application/vnd.ms-excel.controlproperties+xml"/>
  <Override PartName="/xl/ctrlProps/ctrlProp69.xml" ContentType="application/vnd.ms-excel.controlproperties+xml"/>
  <Override PartName="/xl/ctrlProps/ctrlProp68.xml" ContentType="application/vnd.ms-excel.controlproperties+xml"/>
  <Override PartName="/xl/ctrlProps/ctrlProp55.xml" ContentType="application/vnd.ms-excel.controlproperties+xml"/>
  <Override PartName="/xl/ctrlProps/ctrlProp54.xml" ContentType="application/vnd.ms-excel.controlproperties+xml"/>
  <Override PartName="/xl/ctrlProps/ctrlProp53.xml" ContentType="application/vnd.ms-excel.controlproperties+xml"/>
  <Override PartName="/xl/ctrlProps/ctrlProp52.xml" ContentType="application/vnd.ms-excel.controlproperties+xml"/>
  <Override PartName="/xl/ctrlProps/ctrlProp51.xml" ContentType="application/vnd.ms-excel.controlproperties+xml"/>
  <Override PartName="/xl/ctrlProps/ctrlProp50.xml" ContentType="application/vnd.ms-excel.controlproperties+xml"/>
  <Override PartName="/xl/ctrlProps/ctrlProp49.xml" ContentType="application/vnd.ms-excel.controlproperties+xml"/>
  <Override PartName="/xl/ctrlProps/ctrlProp48.xml" ContentType="application/vnd.ms-excel.controlproperties+xml"/>
  <Override PartName="/xl/ctrlProps/ctrlProp47.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67.xml" ContentType="application/vnd.ms-excel.controlproperties+xml"/>
  <Override PartName="/xl/ctrlProps/ctrlProp66.xml" ContentType="application/vnd.ms-excel.controlproperties+xml"/>
  <Override PartName="/xl/ctrlProps/ctrlProp65.xml" ContentType="application/vnd.ms-excel.controlproperties+xml"/>
  <Override PartName="/xl/ctrlProps/ctrlProp64.xml" ContentType="application/vnd.ms-excel.controlproperties+xml"/>
  <Override PartName="/xl/ctrlProps/ctrlProp63.xml" ContentType="application/vnd.ms-excel.controlproperties+xml"/>
  <Override PartName="/xl/ctrlProps/ctrlProp62.xml" ContentType="application/vnd.ms-excel.controlproperties+xml"/>
  <Override PartName="/xl/ctrlProps/ctrlProp61.xml" ContentType="application/vnd.ms-excel.controlproperties+xml"/>
  <Override PartName="/xl/ctrlProps/ctrlProp60.xml" ContentType="application/vnd.ms-excel.controlproperties+xml"/>
  <Override PartName="/xl/ctrlProps/ctrlProp59.xml" ContentType="application/vnd.ms-excel.controlproperties+xml"/>
  <Override PartName="/xl/ctrlProps/ctrlProp40.xml" ContentType="application/vnd.ms-excel.controlproperties+xml"/>
  <Override PartName="/xl/ctrlProps/ctrlProp39.xml" ContentType="application/vnd.ms-excel.controlproperties+xml"/>
  <Override PartName="/xl/ctrlProps/ctrlProp94.xml" ContentType="application/vnd.ms-excel.controlproperties+xml"/>
  <Override PartName="/xl/ctrlProps/ctrlProp93.xml" ContentType="application/vnd.ms-excel.controlproperties+xml"/>
  <Override PartName="/xl/ctrlProps/ctrlProp29.xml" ContentType="application/vnd.ms-excel.controlproperties+xml"/>
  <Override PartName="/xl/ctrlProps/ctrlProp30.xml" ContentType="application/vnd.ms-excel.controlproperties+xml"/>
  <Override PartName="/xl/comments8.xml" ContentType="application/vnd.openxmlformats-officedocument.spreadsheetml.comments+xml"/>
  <Override PartName="/xl/ctrlProps/ctrlProp92.xml" ContentType="application/vnd.ms-excel.controlproperties+xml"/>
  <Override PartName="/xl/ctrlProps/ctrlProp91.xml" ContentType="application/vnd.ms-excel.controlproperties+xml"/>
  <Override PartName="/xl/ctrlProps/ctrlProp90.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102.xml" ContentType="application/vnd.ms-excel.controlproperties+xml"/>
  <Override PartName="/xl/ctrlProps/ctrlProp101.xml" ContentType="application/vnd.ms-excel.controlproperties+xml"/>
  <Override PartName="/xl/ctrlProps/ctrlProp100.xml" ContentType="application/vnd.ms-excel.controlproperties+xml"/>
  <Override PartName="/xl/ctrlProps/ctrlProp99.xml" ContentType="application/vnd.ms-excel.controlproperties+xml"/>
  <Override PartName="/xl/ctrlProps/ctrlProp98.xml" ContentType="application/vnd.ms-excel.controlproperties+xml"/>
  <Override PartName="/xl/ctrlProps/ctrlProp27.xml" ContentType="application/vnd.ms-excel.controlproperties+xml"/>
  <Override PartName="/xl/ctrlProps/ctrlProp28.xml" ContentType="application/vnd.ms-excel.controlproperties+xml"/>
  <Override PartName="/xl/comments9.xml" ContentType="application/vnd.openxmlformats-officedocument.spreadsheetml.comments+xml"/>
  <Override PartName="/xl/ctrlProps/ctrlProp89.xml" ContentType="application/vnd.ms-excel.controlproperties+xml"/>
  <Override PartName="/xl/ctrlProps/ctrlProp88.xml" ContentType="application/vnd.ms-excel.controlproperties+xml"/>
  <Override PartName="/xl/ctrlProps/ctrlProp31.xml" ContentType="application/vnd.ms-excel.controlproperties+xml"/>
  <Override PartName="/xl/comments6.xml" ContentType="application/vnd.openxmlformats-officedocument.spreadsheetml.comments+xml"/>
  <Override PartName="/xl/ctrlProps/ctrlProp35.xml" ContentType="application/vnd.ms-excel.controlproperties+xml"/>
  <Override PartName="/xl/ctrlProps/ctrlProp36.xml" ContentType="application/vnd.ms-excel.controlproperties+xml"/>
  <Override PartName="/xl/comments5.xml" ContentType="application/vnd.openxmlformats-officedocument.spreadsheetml.comments+xml"/>
  <Override PartName="/xl/ctrlProps/ctrlProp37.xml" ContentType="application/vnd.ms-excel.controlproperties+xml"/>
  <Override PartName="/xl/ctrlProps/ctrlProp38.xml" ContentType="application/vnd.ms-excel.controlproperties+xml"/>
  <Override PartName="/xl/comments4.xml" ContentType="application/vnd.openxmlformats-officedocument.spreadsheetml.comments+xml"/>
  <Override PartName="/xl/ctrlProps/ctrlProp34.xml" ContentType="application/vnd.ms-excel.controlproperties+xml"/>
  <Override PartName="/xl/ctrlProps/ctrlProp33.xml" ContentType="application/vnd.ms-excel.controlproperties+xml"/>
  <Override PartName="/xl/ctrlProps/ctrlProp32.xml" ContentType="application/vnd.ms-excel.controlproperties+xml"/>
  <Override PartName="/xl/comments7.xml" ContentType="application/vnd.openxmlformats-officedocument.spreadsheetml.comments+xml"/>
  <Override PartName="/xl/ctrlProps/ctrlProp87.xml" ContentType="application/vnd.ms-excel.controlproperties+xml"/>
  <Override PartName="/xl/ctrlProps/ctrlProp86.xml" ContentType="application/vnd.ms-excel.controlproperties+xml"/>
  <Override PartName="/xl/ctrlProps/ctrlProp85.xml" ContentType="application/vnd.ms-excel.controlproperties+xml"/>
  <Override PartName="/xl/ctrlProps/ctrlProp84.xml" ContentType="application/vnd.ms-excel.controlproperties+xml"/>
  <Override PartName="/xl/ctrlProps/ctrlProp83.xml" ContentType="application/vnd.ms-excel.controlproperties+xml"/>
  <Override PartName="/xl/ctrlProps/ctrlProp45.xml" ContentType="application/vnd.ms-excel.contro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http://collab.gazmet.com/sites/AffairesReglementaires/Beauharnois/Preuve et pices/"/>
    </mc:Choice>
  </mc:AlternateContent>
  <bookViews>
    <workbookView xWindow="-12" yWindow="4176" windowWidth="15312" windowHeight="4032" tabRatio="940"/>
  </bookViews>
  <sheets>
    <sheet name="PROCESSUS TYPIQUE" sheetId="27" r:id="rId1"/>
    <sheet name="1. IDENTITÉ" sheetId="1" r:id="rId2"/>
    <sheet name="2009-2010" sheetId="10" r:id="rId3"/>
    <sheet name="2010-2011" sheetId="11" r:id="rId4"/>
    <sheet name="2011-2012" sheetId="12" r:id="rId5"/>
    <sheet name="2012-2013" sheetId="16" r:id="rId6"/>
    <sheet name="2013-2014" sheetId="17" r:id="rId7"/>
    <sheet name="2014-2015" sheetId="29" r:id="rId8"/>
    <sheet name="2015-2016" sheetId="28" r:id="rId9"/>
    <sheet name="2016-2017" sheetId="20" r:id="rId10"/>
    <sheet name="2017-2018" sheetId="21" r:id="rId11"/>
    <sheet name="2018-2019" sheetId="22" state="hidden" r:id="rId12"/>
    <sheet name="2019-2020" sheetId="24" state="hidden" r:id="rId13"/>
    <sheet name="2020-2021" sheetId="23" state="hidden" r:id="rId14"/>
    <sheet name="DJ 18 MTL" sheetId="14" state="hidden" r:id="rId15"/>
    <sheet name="RÉSUMÉ" sheetId="13" r:id="rId16"/>
    <sheet name="Conversion" sheetId="4" r:id="rId17"/>
    <sheet name="ListeMO" sheetId="26" state="hidden" r:id="rId18"/>
    <sheet name="Transition" sheetId="25" state="hidden" r:id="rId19"/>
    <sheet name="Validation" sheetId="30" state="hidden" r:id="rId20"/>
  </sheets>
  <externalReferences>
    <externalReference r:id="rId21"/>
  </externalReferences>
  <definedNames>
    <definedName name="_xlnm._FilterDatabase" localSheetId="17" hidden="1">ListeMO!$B$2:$C$540</definedName>
    <definedName name="_GES23">IF(ISERROR(#REF!),0,(#REF!))</definedName>
    <definedName name="ANNÉE">'1. IDENTITÉ'!$G$43:$G$65</definedName>
    <definedName name="ANNEE_EE">'1. IDENTITÉ'!$G$42:$G$65</definedName>
    <definedName name="ANNEE_EE_BAT">'1. IDENTITÉ'!$G$42:$G$65</definedName>
    <definedName name="ANNEE_EE_BATIMENT">'1. IDENTITÉ'!$G$42:$G$64</definedName>
    <definedName name="Annee_financiere">'1. IDENTITÉ'!$B$21</definedName>
    <definedName name="Annee_valid">Validation!$A$3:$A$14</definedName>
    <definedName name="autre_type">'1. IDENTITÉ'!$B$27</definedName>
    <definedName name="BAT_ANNEE_EE">'1. IDENTITÉ'!$A$55:$A$87</definedName>
    <definedName name="Bois20_1000kg_02_03">#REF!</definedName>
    <definedName name="Bois20_1000kg_03_04">#REF!</definedName>
    <definedName name="Bois20_1000kg_04_05">#REF!</definedName>
    <definedName name="Bois20_1000kg_05_06">#REF!</definedName>
    <definedName name="Bois20_1000kg_06_07">#REF!</definedName>
    <definedName name="Bois20_1000kg_07_08">#REF!</definedName>
    <definedName name="Bois20_1000kg_08_09">#REF!</definedName>
    <definedName name="Bois20_1000kg_09_10">'2009-2010'!$O$21</definedName>
    <definedName name="Bois20_1000kg_10_11">'2010-2011'!$O$21</definedName>
    <definedName name="Bois20_1000kg_11_12">'2011-2012'!$O$21</definedName>
    <definedName name="Bois20_1000kg_12_13">'2012-2013'!$O$21</definedName>
    <definedName name="Bois20_1000kg_13_14">'2013-2014'!$O$21</definedName>
    <definedName name="Bois20_1000kg_14_15">'2014-2015'!$O$21</definedName>
    <definedName name="Bois20_1000kg_15_16">'2015-2016'!$O$21</definedName>
    <definedName name="Bois20_1000kg_16_17" localSheetId="7">'2014-2015'!$O$21</definedName>
    <definedName name="Bois20_1000kg_16_17" localSheetId="8">'2015-2016'!$O$21</definedName>
    <definedName name="Bois20_1000kg_16_17">'2016-2017'!$O$21</definedName>
    <definedName name="Bois20_1000kg_17_18">'2017-2018'!$O$21</definedName>
    <definedName name="Bois20_1000kg_18_19">'2018-2019'!$O$21</definedName>
    <definedName name="Bois20_1000kg_19_20">'2019-2020'!$O$21</definedName>
    <definedName name="Bois20_1000kg_20_21">'2020-2021'!$O$21</definedName>
    <definedName name="Bois20_CAD_02_03">#REF!</definedName>
    <definedName name="Bois20_CAD_03_04">#REF!</definedName>
    <definedName name="Bois20_CAD_04_05">#REF!</definedName>
    <definedName name="Bois20_CAD_05_06">#REF!</definedName>
    <definedName name="Bois20_CAD_06_07">#REF!</definedName>
    <definedName name="Bois20_CAD_07_08">#REF!</definedName>
    <definedName name="Bois20_CAD_08_09">#REF!</definedName>
    <definedName name="Bois20_CAD_09_10">'2009-2010'!$P$21</definedName>
    <definedName name="Bois20_CAD_10_11">'2010-2011'!$P$21</definedName>
    <definedName name="Bois20_CAD_11_12">'2011-2012'!$P$21</definedName>
    <definedName name="Bois20_CAD_12_13">'2012-2013'!$P$21</definedName>
    <definedName name="Bois20_CAD_13_14">'2013-2014'!$P$21</definedName>
    <definedName name="Bois20_CAD_14_15">'2014-2015'!$P$21</definedName>
    <definedName name="Bois20_CAD_15_16">'2015-2016'!$P$21</definedName>
    <definedName name="Bois20_CAD_16_17" localSheetId="7">'2014-2015'!$P$21</definedName>
    <definedName name="Bois20_CAD_16_17" localSheetId="8">'2015-2016'!$P$21</definedName>
    <definedName name="Bois20_CAD_16_17">'2016-2017'!$P$21</definedName>
    <definedName name="Bois20_CAD_17_18">'2017-2018'!$P$21</definedName>
    <definedName name="Bois20_CAD_18_19">'2018-2019'!$P$21</definedName>
    <definedName name="Bois20_CAD_19_20">'2019-2020'!$P$21</definedName>
    <definedName name="Bois20_CAD_20_21">'2020-2021'!$P$21</definedName>
    <definedName name="Bois45_1000kg_02_03">#REF!</definedName>
    <definedName name="Bois45_1000kg_03_04">#REF!</definedName>
    <definedName name="Bois45_1000kg_04_05">#REF!</definedName>
    <definedName name="Bois45_1000kg_05_06">#REF!</definedName>
    <definedName name="Bois45_1000kg_06_07">#REF!</definedName>
    <definedName name="Bois45_1000kg_07_08">#REF!</definedName>
    <definedName name="Bois45_1000kg_08_09">#REF!</definedName>
    <definedName name="Bois45_1000kg_09_10">'2009-2010'!$Q$21</definedName>
    <definedName name="Bois45_1000kg_10_11">'2010-2011'!$Q$21</definedName>
    <definedName name="Bois45_1000kg_11_12">'2011-2012'!$Q$21</definedName>
    <definedName name="Bois45_1000kg_12_13">'2012-2013'!$Q$21</definedName>
    <definedName name="Bois45_1000kg_13_14">'2013-2014'!$Q$21</definedName>
    <definedName name="Bois45_1000kg_14_15">'2014-2015'!$Q$21</definedName>
    <definedName name="Bois45_1000kg_15_16">'2015-2016'!$Q$21</definedName>
    <definedName name="Bois45_1000kg_16_17" localSheetId="7">'2014-2015'!$Q$21</definedName>
    <definedName name="Bois45_1000kg_16_17" localSheetId="8">'2015-2016'!$Q$21</definedName>
    <definedName name="Bois45_1000kg_16_17">'2016-2017'!$Q$21</definedName>
    <definedName name="Bois45_1000kg_17_18">'2017-2018'!$Q$21</definedName>
    <definedName name="Bois45_1000kg_18_19">'2018-2019'!$Q$21</definedName>
    <definedName name="Bois45_1000kg_19_20">'2019-2020'!$Q$21</definedName>
    <definedName name="Bois45_1000kg_20_21">'2020-2021'!$Q$21</definedName>
    <definedName name="Bois45_CAD_02_03">#REF!</definedName>
    <definedName name="Bois45_CAD_03_04">#REF!</definedName>
    <definedName name="Bois45_CAD_04_05">#REF!</definedName>
    <definedName name="Bois45_CAD_05_06">#REF!</definedName>
    <definedName name="Bois45_CAD_06_07">#REF!</definedName>
    <definedName name="Bois45_CAD_07_08">#REF!</definedName>
    <definedName name="Bois45_CAD_08_09">#REF!</definedName>
    <definedName name="Bois45_CAD_09_10">'2009-2010'!$R$21</definedName>
    <definedName name="Bois45_CAD_10_11">'2010-2011'!$R$21</definedName>
    <definedName name="Bois45_CAD_11_12">'2011-2012'!$R$21</definedName>
    <definedName name="Bois45_CAD_12_13">'2012-2013'!$R$21</definedName>
    <definedName name="Bois45_CAD_13_14">'2013-2014'!$R$21</definedName>
    <definedName name="Bois45_CAD_14_15">'2014-2015'!$R$21</definedName>
    <definedName name="Bois45_CAD_15_16">'2015-2016'!$R$21</definedName>
    <definedName name="Bois45_CAD_16_17" localSheetId="7">'2014-2015'!$R$21</definedName>
    <definedName name="Bois45_CAD_16_17" localSheetId="8">'2015-2016'!$R$21</definedName>
    <definedName name="Bois45_CAD_16_17">'2016-2017'!$R$21</definedName>
    <definedName name="Bois45_CAD_17_18">'2017-2018'!$R$21</definedName>
    <definedName name="Bois45_CAD_18_19">'2018-2019'!$R$21</definedName>
    <definedName name="Bois45_CAD_19_20">'2019-2020'!$R$21</definedName>
    <definedName name="Bois45_CAD_20_21">'2020-2021'!$R$21</definedName>
    <definedName name="CAD_m²_02_03">#REF!</definedName>
    <definedName name="CAD_m²_03_04">#REF!</definedName>
    <definedName name="CAD_m²_04_05">#REF!</definedName>
    <definedName name="CAD_m²_05_06">#REF!</definedName>
    <definedName name="CAD_m²_06_07">#REF!</definedName>
    <definedName name="CAD_m²_07_08">#REF!</definedName>
    <definedName name="CAD_m²_08_09">#REF!</definedName>
    <definedName name="CAD_m²_09_10">'2009-2010'!$AB$21</definedName>
    <definedName name="CAD_m²_10_11">'2010-2011'!$AB$21</definedName>
    <definedName name="CAD_m²_11_12">'2011-2012'!$AB$21</definedName>
    <definedName name="CAD_m²_12_13">'2012-2013'!$AB$21</definedName>
    <definedName name="CAD_m²_13_14">'2013-2014'!$AB$21</definedName>
    <definedName name="CAD_m²_14_15">'2014-2015'!$AB$21</definedName>
    <definedName name="CAD_m²_15_16">'2015-2016'!$AB$21</definedName>
    <definedName name="CAD_m²_16_17" localSheetId="7">'2014-2015'!$AB$21</definedName>
    <definedName name="CAD_m²_16_17" localSheetId="8">'2015-2016'!$AB$21</definedName>
    <definedName name="CAD_m²_16_17">'2016-2017'!$AB$21</definedName>
    <definedName name="CAD_m²_17_18">'2017-2018'!$AB$21</definedName>
    <definedName name="CAD_m²_18_19">'2018-2019'!$AB$21</definedName>
    <definedName name="CAD_m²_19_20">'2019-2020'!$AB$21</definedName>
    <definedName name="CAD_m²_20_21">'2020-2021'!$AB$21</definedName>
    <definedName name="CAD_Tot_02_03">#REF!</definedName>
    <definedName name="CAD_Tot_03_04">#REF!</definedName>
    <definedName name="CAD_Tot_04_05">#REF!</definedName>
    <definedName name="CAD_Tot_05_06">#REF!</definedName>
    <definedName name="CAD_Tot_06_07">#REF!</definedName>
    <definedName name="CAD_Tot_07_08">#REF!</definedName>
    <definedName name="CAD_Tot_08_09">#REF!</definedName>
    <definedName name="CAD_Tot_09_10">'2009-2010'!$Z$21</definedName>
    <definedName name="CAD_Tot_10_11">'2010-2011'!$Z$21</definedName>
    <definedName name="CAD_Tot_11_12">'2011-2012'!$Z$21</definedName>
    <definedName name="CAD_Tot_12_13">'2012-2013'!$Z$21</definedName>
    <definedName name="CAD_Tot_13_14">'2013-2014'!$Z$21</definedName>
    <definedName name="CAD_Tot_14_15">'2014-2015'!$Z$21</definedName>
    <definedName name="CAD_Tot_15_16">'2015-2016'!$Z$21</definedName>
    <definedName name="CAD_Tot_16_17" localSheetId="7">'2014-2015'!$Z$21</definedName>
    <definedName name="CAD_Tot_16_17" localSheetId="8">'2015-2016'!$Z$21</definedName>
    <definedName name="CAD_Tot_16_17">'2016-2017'!$Z$21</definedName>
    <definedName name="CAD_Tot_17_18">'2017-2018'!$Z$21</definedName>
    <definedName name="CAD_Tot_18_19">'2018-2019'!$Z$21</definedName>
    <definedName name="CAD_Tot_19_20">'2019-2020'!$Z$21</definedName>
    <definedName name="CAD_Tot_20_21">'2020-2021'!$Z$21</definedName>
    <definedName name="Dies_09_10">'2009-2010'!$K$21</definedName>
    <definedName name="Dies_10_11">'2010-2011'!$K$21</definedName>
    <definedName name="Dies_11_12">'2011-2012'!$K$21</definedName>
    <definedName name="Dies_12_13">'2012-2013'!$K$21</definedName>
    <definedName name="Dies_13_14">'2013-2014'!$K$21</definedName>
    <definedName name="Dies_14_15">'2014-2015'!$K$21</definedName>
    <definedName name="Dies_15_16">'2015-2016'!$K$21</definedName>
    <definedName name="Dies_16_17" localSheetId="7">'2014-2015'!$K$21</definedName>
    <definedName name="Dies_16_17" localSheetId="8">'2015-2016'!$K$21</definedName>
    <definedName name="Dies_16_17">'2016-2017'!$K$21</definedName>
    <definedName name="Dies_17_18">'2017-2018'!$K$21</definedName>
    <definedName name="Dies_18_19">'2018-2019'!$K$21</definedName>
    <definedName name="Dies_19_20">'2019-2020'!$K$21</definedName>
    <definedName name="Dies_20_21">'2020-2021'!$K$21</definedName>
    <definedName name="Dies_CAD_09_10">'2009-2010'!$L$21</definedName>
    <definedName name="Dies_CAD_10_11">'2010-2011'!$L$21</definedName>
    <definedName name="Dies_CAD_11_12">'2011-2012'!$L$21</definedName>
    <definedName name="Dies_CAD_12_13">'2012-2013'!$L$21</definedName>
    <definedName name="Dies_CAD_13_14">'2013-2014'!$L$21</definedName>
    <definedName name="Dies_CAD_14_15">'2014-2015'!$L$21</definedName>
    <definedName name="Dies_CAD_15_16">'2015-2016'!$L$21</definedName>
    <definedName name="Dies_CAD_16_17" localSheetId="7">'2014-2015'!$L$21</definedName>
    <definedName name="Dies_CAD_16_17" localSheetId="8">'2015-2016'!$L$21</definedName>
    <definedName name="Dies_CAD_16_17">'2016-2017'!$L$21</definedName>
    <definedName name="Dies_CAD_17_18">'2017-2018'!$L$21</definedName>
    <definedName name="Dies_CAD_18_19">'2018-2019'!$L$21</definedName>
    <definedName name="Dies_CAD_19_20">'2019-2020'!$L$21</definedName>
    <definedName name="Dies_CAD_20_21">'2020-2021'!$L$21</definedName>
    <definedName name="djc">[1]DJC!$B$8:$H$18</definedName>
    <definedName name="DJC_tot_02_03">#REF!</definedName>
    <definedName name="DJC_tot_03_04">#REF!</definedName>
    <definedName name="DJC_tot_04_05">#REF!</definedName>
    <definedName name="DJC_tot_05_06">#REF!</definedName>
    <definedName name="DJC_tot_06_07">#REF!</definedName>
    <definedName name="DJC_tot_07_08">#REF!</definedName>
    <definedName name="DJC_tot_08_09">#REF!</definedName>
    <definedName name="DJC_tot_09_10">'2009-2010'!$AE$21</definedName>
    <definedName name="DJC_tot_10_11">'2010-2011'!$AE$21</definedName>
    <definedName name="DJC_tot_11_12">'2011-2012'!$AE$21</definedName>
    <definedName name="DJC_tot_12_13">'2012-2013'!$AE$21</definedName>
    <definedName name="DJC_tot_13_14">'2013-2014'!$AE$21</definedName>
    <definedName name="DJC_tot_14_15">'2014-2015'!$AE$21</definedName>
    <definedName name="DJC_tot_15_16">'2015-2016'!$AE$21</definedName>
    <definedName name="DJC_tot_16_17" localSheetId="7">'2014-2015'!$AE$21</definedName>
    <definedName name="DJC_tot_16_17" localSheetId="8">'2015-2016'!$AE$21</definedName>
    <definedName name="DJC_tot_16_17">'2016-2017'!$AE$21</definedName>
    <definedName name="DJC_tot_17_18">'2017-2018'!$AE$21</definedName>
    <definedName name="DJC_tot_18_19">'2018-2019'!$AE$21</definedName>
    <definedName name="DJC_tot_19_20">'2019-2020'!$AE$21</definedName>
    <definedName name="DJC_tot_20_21">'2020-2021'!$AE$21</definedName>
    <definedName name="DJR_tot_02_03" localSheetId="7">#REF!</definedName>
    <definedName name="DJR_tot_02_03" localSheetId="8">#REF!</definedName>
    <definedName name="DJR_tot_02_03">#REF!</definedName>
    <definedName name="DJR_tot_03_04" localSheetId="7">#REF!</definedName>
    <definedName name="DJR_tot_03_04" localSheetId="8">#REF!</definedName>
    <definedName name="DJR_tot_03_04">#REF!</definedName>
    <definedName name="EauChaude_CAD_09_10">'2009-2010'!$X$21</definedName>
    <definedName name="EauChaude_CAD_10_11">'2010-2011'!$X$21</definedName>
    <definedName name="EauChaude_CAD_11_12">'2011-2012'!$X$21</definedName>
    <definedName name="EauChaude_CAD_12_13">'2012-2013'!$X$21</definedName>
    <definedName name="EauChaude_CAD_13_14">'2013-2014'!$X$21</definedName>
    <definedName name="EauChaude_CAD_14_15">'2014-2015'!$X$21</definedName>
    <definedName name="EauChaude_CAD_15_16">'2015-2016'!$X$21</definedName>
    <definedName name="EauChaude_CAD_16_17" localSheetId="7">'2014-2015'!$X$21</definedName>
    <definedName name="EauChaude_CAD_16_17" localSheetId="8">'2015-2016'!$X$21</definedName>
    <definedName name="EauChaude_CAD_16_17">'2016-2017'!$X$21</definedName>
    <definedName name="EauChaude_CAD_17_18">'2017-2018'!$X$21</definedName>
    <definedName name="EauChaude_CAD_18_19">'2018-2019'!$X$21</definedName>
    <definedName name="EauChaude_CAD_19_20">'2019-2020'!$X$21</definedName>
    <definedName name="EauChaude_CAD_20_21">'2020-2021'!$X$21</definedName>
    <definedName name="EauChaude_MBTU_09_10">'2009-2010'!$W$21</definedName>
    <definedName name="EauChaude_MBTU_10_11">'2010-2011'!$W$21</definedName>
    <definedName name="EauChaude_MBTU_11_12">'2011-2012'!$W$21</definedName>
    <definedName name="EauChaude_MBTU_12_13">'2012-2013'!$W$21</definedName>
    <definedName name="EauChaude_MBTU_13_14">'2013-2014'!$W$21</definedName>
    <definedName name="EauChaude_MBTU_14_15">'2014-2015'!$W$21</definedName>
    <definedName name="EauChaude_MBTU_15_16">'2015-2016'!$W$21</definedName>
    <definedName name="EauChaude_MBTU_16_17" localSheetId="7">'2014-2015'!$W$21</definedName>
    <definedName name="EauChaude_MBTU_16_17" localSheetId="8">'2015-2016'!$W$21</definedName>
    <definedName name="EauChaude_MBTU_16_17">'2016-2017'!$W$21</definedName>
    <definedName name="EauChaude_MBTU_17_18">'2017-2018'!$W$21</definedName>
    <definedName name="EauChaude_MBTU_18_19">'2018-2019'!$W$21</definedName>
    <definedName name="EauChaude_MBTU_19_20">'2019-2020'!$W$21</definedName>
    <definedName name="EauChaude_MBTU_20_21">'2020-2021'!$W$21</definedName>
    <definedName name="EauRefroidie_CAD_09_10">'2009-2010'!$V$21</definedName>
    <definedName name="EauRefroidie_CAD_10_11">'2010-2011'!$V$21</definedName>
    <definedName name="EauRefroidie_CAD_11_12">'2011-2012'!$V$21</definedName>
    <definedName name="EauRefroidie_CAD_12_13">'2012-2013'!$V$21</definedName>
    <definedName name="EauRefroidie_CAD_13_14">'2013-2014'!$V$21</definedName>
    <definedName name="EauRefroidie_CAD_14_15">'2014-2015'!$V$21</definedName>
    <definedName name="EauRefroidie_CAD_15_16">'2015-2016'!$V$21</definedName>
    <definedName name="EauRefroidie_CAD_16_17" localSheetId="7">'2014-2015'!$V$21</definedName>
    <definedName name="EauRefroidie_CAD_16_17" localSheetId="8">'2015-2016'!$V$21</definedName>
    <definedName name="EauRefroidie_CAD_16_17">'2016-2017'!$V$21</definedName>
    <definedName name="EauRefroidie_CAD_17_18">'2017-2018'!$V$21</definedName>
    <definedName name="EauRefroidie_CAD_18_19">'2018-2019'!$V$21</definedName>
    <definedName name="EauRefroidie_CAD_19_20">'2019-2020'!$V$21</definedName>
    <definedName name="EauRefroidie_CAD_20_21">'2020-2021'!$V$21</definedName>
    <definedName name="EauRefroidie_MBTU_09_10">'2009-2010'!$U$21</definedName>
    <definedName name="EauRefroidie_MBTU_10_11">'2010-2011'!$U$21</definedName>
    <definedName name="EauRefroidie_MBTU_11_12">'2011-2012'!$U$21</definedName>
    <definedName name="EauRefroidie_MBTU_12_13">'2012-2013'!$U$21</definedName>
    <definedName name="EauRefroidie_MBTU_13_14">'2013-2014'!$U$21</definedName>
    <definedName name="EauRefroidie_MBTU_14_15">'2014-2015'!$U$21</definedName>
    <definedName name="EauRefroidie_MBTU_15_16">'2015-2016'!$U$21</definedName>
    <definedName name="EauRefroidie_MBTU_16_17" localSheetId="7">'2014-2015'!$U$21</definedName>
    <definedName name="EauRefroidie_MBTU_16_17" localSheetId="8">'2015-2016'!$U$21</definedName>
    <definedName name="EauRefroidie_MBTU_16_17">'2016-2017'!$U$21</definedName>
    <definedName name="EauRefroidie_MBTU_17_18">'2017-2018'!$U$21</definedName>
    <definedName name="EauRefroidie_MBTU_18_19">'2018-2019'!$S$21</definedName>
    <definedName name="EauRefroidie_MBTU_19_20">'2019-2020'!$U$21</definedName>
    <definedName name="EauRefroidie_MBTU_20_21">'2020-2021'!$U$21</definedName>
    <definedName name="Elec_CAD_02_03">#REF!</definedName>
    <definedName name="Elec_CAD_03_04">#REF!</definedName>
    <definedName name="Elec_CAD_04_05">#REF!</definedName>
    <definedName name="Elec_CAD_05_06">#REF!</definedName>
    <definedName name="Elec_CAD_06_07">#REF!</definedName>
    <definedName name="Elec_CAD_07_08">#REF!</definedName>
    <definedName name="Elec_CAD_08_09">#REF!</definedName>
    <definedName name="Elec_CAD_09_10">'2009-2010'!$D$21</definedName>
    <definedName name="Elec_CAD_10_11">'2010-2011'!$D$21</definedName>
    <definedName name="Elec_CAD_11_12">'2011-2012'!$D$21</definedName>
    <definedName name="Elec_CAD_12_13">'2012-2013'!$D$21</definedName>
    <definedName name="Elec_CAD_13_14">'2013-2014'!$D$21</definedName>
    <definedName name="Elec_CAD_14_15">'2014-2015'!$D$21</definedName>
    <definedName name="Elec_CAD_15_16">'2015-2016'!$D$21</definedName>
    <definedName name="Elec_CAD_16_17" localSheetId="7">'2014-2015'!$D$21</definedName>
    <definedName name="Elec_CAD_16_17" localSheetId="8">'2015-2016'!$D$21</definedName>
    <definedName name="Elec_CAD_16_17">'2016-2017'!$D$21</definedName>
    <definedName name="Elec_CAD_17_18">'2017-2018'!$D$21</definedName>
    <definedName name="Elec_CAD_18_19">'2018-2019'!$D$21</definedName>
    <definedName name="Elec_CAD_19_20">'2019-2020'!$D$21</definedName>
    <definedName name="Elec_CAD_20_21">'2020-2021'!$D$21</definedName>
    <definedName name="Elec_kWh_02_03">#REF!</definedName>
    <definedName name="Elec_kWh_03_04">#REF!</definedName>
    <definedName name="Elec_kWh_04_05">#REF!</definedName>
    <definedName name="Elec_kWh_05_06">#REF!</definedName>
    <definedName name="Elec_kWh_06_07">#REF!</definedName>
    <definedName name="Elec_kWh_07_08">#REF!</definedName>
    <definedName name="Elec_kWh_08_09">#REF!</definedName>
    <definedName name="Elec_kWh_09_10">'2009-2010'!$C$21</definedName>
    <definedName name="Elec_kWh_10_11">'2010-2011'!$C$21</definedName>
    <definedName name="Elec_kWh_11_12">'2011-2012'!$C$21</definedName>
    <definedName name="Elec_kWh_12_13">'2012-2013'!$C$21</definedName>
    <definedName name="Elec_kWh_13_14">'2013-2014'!$C$21</definedName>
    <definedName name="Elec_kWh_14_15">'2014-2015'!$C$21</definedName>
    <definedName name="Elec_kWh_15_16">'2015-2016'!$C$21</definedName>
    <definedName name="Elec_kWh_16_17" localSheetId="7">'2014-2015'!$C$21</definedName>
    <definedName name="Elec_kWh_16_17" localSheetId="8">'2015-2016'!$C$21</definedName>
    <definedName name="Elec_kWh_16_17">'2016-2017'!$C$21</definedName>
    <definedName name="Elec_kWh_17_18">'2017-2018'!$C$21</definedName>
    <definedName name="Elec_kWh_18_19">'2018-2019'!$C$21</definedName>
    <definedName name="Elec_kWh_19_20">'2019-2020'!$C$21</definedName>
    <definedName name="Elec_kWh_20_21">'2020-2021'!$C$21</definedName>
    <definedName name="Facteur_variable">'1. IDENTITÉ'!$B$23</definedName>
    <definedName name="GES_ton_02_03">#REF!</definedName>
    <definedName name="GES_ton_03_04">#REF!</definedName>
    <definedName name="GES_ton_04_05">#REF!</definedName>
    <definedName name="GES_ton_05_06">#REF!</definedName>
    <definedName name="GES_ton_06_07">#REF!</definedName>
    <definedName name="GES_ton_07_08">#REF!</definedName>
    <definedName name="GES_ton_08_09">#REF!</definedName>
    <definedName name="GES_ton_09_10">'2009-2010'!$AC$21</definedName>
    <definedName name="GES_ton_10_11">'2010-2011'!$AC$21</definedName>
    <definedName name="GES_ton_11_12">'2011-2012'!$AC$21</definedName>
    <definedName name="GES_ton_12_13">'2012-2013'!$AC$21</definedName>
    <definedName name="GES_ton_13_14">'2013-2014'!$AC$21</definedName>
    <definedName name="GES_ton_14_15">'2014-2015'!$AC$21</definedName>
    <definedName name="GES_ton_15_16">'2015-2016'!$AC$21</definedName>
    <definedName name="GES_ton_16_17" localSheetId="7">'2014-2015'!$AC$21</definedName>
    <definedName name="GES_ton_16_17" localSheetId="8">'2015-2016'!$AC$21</definedName>
    <definedName name="GES_ton_16_17">'2016-2017'!$AC$21</definedName>
    <definedName name="GES_ton_17_18">'2017-2018'!$AC$21</definedName>
    <definedName name="GES_ton_18_19">'2018-2019'!$AC$21</definedName>
    <definedName name="GES_ton_19_20">'2019-2020'!$AC$21</definedName>
    <definedName name="GES_ton_20_21">'2020-2021'!$AC$21</definedName>
    <definedName name="GES_ton_m²_02_03">#REF!</definedName>
    <definedName name="GES_ton_m²_03_04">#REF!</definedName>
    <definedName name="GES_ton_m²_04_05">#REF!</definedName>
    <definedName name="GES_ton_m²_05_06">#REF!</definedName>
    <definedName name="GES_ton_m²_06_07">#REF!</definedName>
    <definedName name="GES_ton_m²_07_08">#REF!</definedName>
    <definedName name="GES_ton_m²_08_09">#REF!</definedName>
    <definedName name="GES_ton_m²_09_10">'2009-2010'!$AD$21</definedName>
    <definedName name="GES_ton_m²_10_11">'2010-2011'!$AD$21</definedName>
    <definedName name="GES_ton_m²_11_12">'2011-2012'!$AD$21</definedName>
    <definedName name="GES_ton_m²_12_13">'2012-2013'!$AD$21</definedName>
    <definedName name="GES_ton_m²_13_14">'2013-2014'!$AD$21</definedName>
    <definedName name="GES_ton_m²_14_15">'2014-2015'!$AD$21</definedName>
    <definedName name="GES_ton_m²_15_16">'2015-2016'!$AD$21</definedName>
    <definedName name="GES_ton_m²_16_17" localSheetId="7">'2014-2015'!$AD$21</definedName>
    <definedName name="GES_ton_m²_16_17" localSheetId="8">'2015-2016'!$AD$21</definedName>
    <definedName name="GES_ton_m²_16_17">'2016-2017'!$AD$21</definedName>
    <definedName name="GES_ton_m²_17_18">'2017-2018'!$AD$21</definedName>
    <definedName name="GES_ton_m²_18_19">'2018-2019'!$AD$21</definedName>
    <definedName name="GES_ton_m²_19_20">'2019-2020'!$AD$21</definedName>
    <definedName name="GES_ton_m²_20_21">'2020-2021'!$AD$21</definedName>
    <definedName name="GESTM0203">IF(ISERROR(#REF!),0,(#REF!))</definedName>
    <definedName name="GJ_Ajust_NP_annuel_10_11">'2010-2011'!$Y$35</definedName>
    <definedName name="GJ_Ajust_NP_annuel_11_12">'2011-2012'!$Y$35</definedName>
    <definedName name="GJ_Ajust_NP_annuel_12_13">'2012-2013'!$Y$35</definedName>
    <definedName name="GJ_Ajust_NP_annuel_13_14">'2013-2014'!$Y$35</definedName>
    <definedName name="GJ_Ajust_NP_annuel_14_15">#REF!</definedName>
    <definedName name="GJ_Ajust_NP_annuel_15_16">#REF!</definedName>
    <definedName name="GJ_Ajust_NP_annuel_16_17" localSheetId="7">'2014-2015'!$AA$43</definedName>
    <definedName name="GJ_Ajust_NP_annuel_16_17" localSheetId="8">'2015-2016'!$AA$43</definedName>
    <definedName name="GJ_Ajust_NP_annuel_16_17">'2016-2017'!$AA$43</definedName>
    <definedName name="GJ_Ajust_NP_annuel_17_18">'2017-2018'!$Y$43</definedName>
    <definedName name="GJ_Ajust_NP_annuel_18_19">'2018-2019'!$Y$43</definedName>
    <definedName name="GJ_Ajust_NP_annuel_19_20">'2019-2020'!$Y$43</definedName>
    <definedName name="GJ_Ajust_NP_annuel_20_21">'2020-2021'!$Y$43</definedName>
    <definedName name="GJ_Ajust_NP_Cour_04_05" localSheetId="7">#REF!</definedName>
    <definedName name="GJ_Ajust_NP_Cour_04_05" localSheetId="8">#REF!</definedName>
    <definedName name="GJ_Ajust_NP_Cour_04_05">#REF!</definedName>
    <definedName name="GJ_Ajust_NP_Cour_10_11">'2010-2011'!$Y$34</definedName>
    <definedName name="GJ_Ajust_NP_Cour_11_12">'2011-2012'!$Y$34</definedName>
    <definedName name="GJ_Ajust_NP_Cour_12_13">'2012-2013'!$Y$34</definedName>
    <definedName name="GJ_Ajust_NP_Cour_13_14">'2013-2014'!$Y$34</definedName>
    <definedName name="GJ_Ajust_NP_Cour_14_15">'2014-2015'!$AA$42</definedName>
    <definedName name="GJ_Ajust_NP_Cour_15_16">'2015-2016'!$AA$42</definedName>
    <definedName name="GJ_Ajust_NP_Cour_16_17" localSheetId="7">'2014-2015'!$AA$42</definedName>
    <definedName name="GJ_Ajust_NP_Cour_16_17" localSheetId="8">'2015-2016'!$AA$42</definedName>
    <definedName name="GJ_Ajust_NP_Cour_16_17">'2016-2017'!$AA$42</definedName>
    <definedName name="GJ_Ajust_NP_Cour_17_18">'2017-2018'!$Y$42</definedName>
    <definedName name="GJ_Ajust_NP_Cour_18_19">'2018-2019'!$Y$42</definedName>
    <definedName name="GJ_Ajust_NP_Cour_19_20">'2019-2020'!$Y$42</definedName>
    <definedName name="GJ_Ajust_NP_Cour_20_21">'2020-2021'!$Y$42</definedName>
    <definedName name="GJ_m²_04_05">#REF!</definedName>
    <definedName name="GJ_Tot_02_03">#REF!</definedName>
    <definedName name="GJ_Tot_03_04">#REF!</definedName>
    <definedName name="GJ_Tot_04_05">#REF!</definedName>
    <definedName name="GJ_Tot_05_06">#REF!</definedName>
    <definedName name="GJ_Tot_06_07">#REF!</definedName>
    <definedName name="GJ_Tot_07_08">#REF!</definedName>
    <definedName name="GJ_Tot_08_09">#REF!</definedName>
    <definedName name="GJ_Tot_09_10">'2009-2010'!$Y$21</definedName>
    <definedName name="GJ_Tot_10_11">'2010-2011'!$Y$21</definedName>
    <definedName name="GJ_Tot_11_12">'2011-2012'!$Y$21</definedName>
    <definedName name="GJ_Tot_12_13">'2012-2013'!$Y$21</definedName>
    <definedName name="GJ_Tot_13_14">'2013-2014'!$Y$21</definedName>
    <definedName name="GJ_Tot_14_15">'2014-2015'!$Y$21</definedName>
    <definedName name="GJ_Tot_15_16">'2015-2016'!$Y$21</definedName>
    <definedName name="GJ_Tot_16_17" localSheetId="7">'2014-2015'!$Y$21</definedName>
    <definedName name="GJ_Tot_16_17" localSheetId="8">'2015-2016'!$Y$21</definedName>
    <definedName name="GJ_Tot_16_17">'2016-2017'!$Y$21</definedName>
    <definedName name="GJ_Tot_17_18">'2017-2018'!$Y$21</definedName>
    <definedName name="GJ_Tot_18_19">'2018-2019'!$Y$21</definedName>
    <definedName name="GJ_Tot_19_20">'2019-2020'!$Y$21</definedName>
    <definedName name="GJ_Tot_20_21">'2020-2021'!$Y$21</definedName>
    <definedName name="GJm²_02_03">#REF!</definedName>
    <definedName name="GJm²_03_04">#REF!</definedName>
    <definedName name="GJm²_04_05">#REF!</definedName>
    <definedName name="GJm²_05_06">#REF!</definedName>
    <definedName name="GJm²_06_07">#REF!</definedName>
    <definedName name="GJm²_07_08">#REF!</definedName>
    <definedName name="GJm²_08_09">#REF!</definedName>
    <definedName name="GJm²_09_10">'2009-2010'!$AA$21</definedName>
    <definedName name="GJm²_10_11">'2010-2011'!$AA$21</definedName>
    <definedName name="GJm²_11_12">'2011-2012'!$AA$21</definedName>
    <definedName name="GJm²_12_13">'2012-2013'!$AA$21</definedName>
    <definedName name="GJm²_13_14">'2013-2014'!$AA$21</definedName>
    <definedName name="GJm²_14_15">'2014-2015'!$AA$21</definedName>
    <definedName name="GJm²_15_16">'2015-2016'!$AA$21</definedName>
    <definedName name="GJm²_16_17" localSheetId="7">'2014-2015'!$AA$21</definedName>
    <definedName name="GJm²_16_17" localSheetId="8">'2015-2016'!$AA$21</definedName>
    <definedName name="GJm²_16_17">'2016-2017'!$AA$21</definedName>
    <definedName name="GJm²_17_18">'2017-2018'!$AA$21</definedName>
    <definedName name="GJm²_18_19">'2018-2019'!$AA$21</definedName>
    <definedName name="GJm²_19_20">'2019-2020'!$AA$21</definedName>
    <definedName name="GJm²_20_21">'2020-2021'!$AA$21</definedName>
    <definedName name="GJTotRef_Ajust_03_04" localSheetId="7">#REF!</definedName>
    <definedName name="GJTotRef_Ajust_03_04" localSheetId="8">#REF!</definedName>
    <definedName name="GJTotRef_Ajust_03_04">#REF!</definedName>
    <definedName name="GJTotRef_Ajust_04_05" localSheetId="7">#REF!</definedName>
    <definedName name="GJTotRef_Ajust_04_05" localSheetId="8">#REF!</definedName>
    <definedName name="GJTotRef_Ajust_04_05">#REF!</definedName>
    <definedName name="GJTotRef_Ajust_10_11">'2010-2011'!$Y$29</definedName>
    <definedName name="GJTotRef_Ajust_11_12">'2011-2012'!$Y$29</definedName>
    <definedName name="GJTotRef_Ajust_12_13">'2012-2013'!$Y$29</definedName>
    <definedName name="GJTotRef_Ajust_13_14">'2013-2014'!$Y$29</definedName>
    <definedName name="GJTotRef_Ajust_14_15">'2014-2015'!$AA$37</definedName>
    <definedName name="GJTotRef_Ajust_15_16">'2015-2016'!$AA$37</definedName>
    <definedName name="GJTotRef_Ajust_16_17" localSheetId="7">'2014-2015'!$AA$37</definedName>
    <definedName name="GJTotRef_Ajust_16_17" localSheetId="8">'2015-2016'!$AA$37</definedName>
    <definedName name="GJTotRef_Ajust_16_17">'2016-2017'!$AA$37</definedName>
    <definedName name="GJTotRef_Ajust_17_18">'2017-2018'!$Y$37</definedName>
    <definedName name="GJTotRef_Ajust_18_19">'2018-2019'!$Y$37</definedName>
    <definedName name="GJTotRef_Ajust_19_20">'2019-2020'!$Y$37</definedName>
    <definedName name="GJTotRef_Ajust_20_21">'2020-2021'!$Y$37</definedName>
    <definedName name="GJTotRef_Ajust_m²_03_04" localSheetId="7">#REF!</definedName>
    <definedName name="GJTotRef_Ajust_m²_03_04" localSheetId="8">#REF!</definedName>
    <definedName name="GJTotRef_Ajust_m²_03_04">#REF!</definedName>
    <definedName name="GJTotRef_Ajust_m²_04_05" localSheetId="7">#REF!</definedName>
    <definedName name="GJTotRef_Ajust_m²_04_05" localSheetId="8">#REF!</definedName>
    <definedName name="GJTotRef_Ajust_m²_04_05">#REF!</definedName>
    <definedName name="GJTotRef_Ajust_m²_11_12">'2011-2012'!$Y$33</definedName>
    <definedName name="GJTotRef_Ajust_m²_12_13">'2012-2013'!$Y$33</definedName>
    <definedName name="GJTotRef_Ajust_m²_13_14">'2013-2014'!$Y$33</definedName>
    <definedName name="GJTotRef_Ajust_m²_14_15">'2014-2015'!$AA$41</definedName>
    <definedName name="GJTotRef_Ajust_m²_15_16">'2015-2016'!$AA$41</definedName>
    <definedName name="GJTotRef_Ajust_m²_16_17" localSheetId="7">'2014-2015'!$AA$41</definedName>
    <definedName name="GJTotRef_Ajust_m²_16_17" localSheetId="8">'2015-2016'!$AA$41</definedName>
    <definedName name="GJTotRef_Ajust_m²_16_17">'2016-2017'!$AA$41</definedName>
    <definedName name="GJTotRef_Ajust_m²_17_18">'2017-2018'!$Y$41</definedName>
    <definedName name="GJTotRef_Ajust_m²_18_19">'2018-2019'!$Y$41</definedName>
    <definedName name="GJTotRef_Ajust_m²_19_20">'2019-2020'!$Y$41</definedName>
    <definedName name="GJTotRef_Ajust_m²_20_21">'2020-2021'!$Y$41</definedName>
    <definedName name="GN_CAD_02_03">#REF!</definedName>
    <definedName name="GN_CAD_03_04">#REF!</definedName>
    <definedName name="GN_CAD_04_05">#REF!</definedName>
    <definedName name="GN_CAD_05_06">#REF!</definedName>
    <definedName name="GN_CAD_06_07">#REF!</definedName>
    <definedName name="GN_CAD_07_08">#REF!</definedName>
    <definedName name="GN_CAD_08_09">#REF!</definedName>
    <definedName name="GN_CAD_09_10">'2009-2010'!$F$21</definedName>
    <definedName name="GN_CAD_10_11">'2010-2011'!$F$21</definedName>
    <definedName name="GN_CAD_11_12">'2011-2012'!$F$21</definedName>
    <definedName name="GN_CAD_12_13">'2012-2013'!$F$21</definedName>
    <definedName name="GN_CAD_13_14">'2013-2014'!$F$21</definedName>
    <definedName name="GN_CAD_14_15">'2014-2015'!$F$21</definedName>
    <definedName name="GN_CAD_15_16">'2015-2016'!$F$21</definedName>
    <definedName name="GN_CAD_16_17" localSheetId="7">'2014-2015'!$F$21</definedName>
    <definedName name="GN_CAD_16_17" localSheetId="8">'2015-2016'!$F$21</definedName>
    <definedName name="GN_CAD_16_17">'2016-2017'!$F$21</definedName>
    <definedName name="GN_CAD_17_18">'2017-2018'!$F$21</definedName>
    <definedName name="GN_CAD_18_19">'2018-2019'!$F$21</definedName>
    <definedName name="GN_CAD_19_20">'2019-2020'!$F$21</definedName>
    <definedName name="GN_CAD_20_21">'2020-2021'!$F$21</definedName>
    <definedName name="GN_m³_02_03">#REF!</definedName>
    <definedName name="GN_m³_03_04">#REF!</definedName>
    <definedName name="GN_m³_04_05">#REF!</definedName>
    <definedName name="GN_m³_05_06">#REF!</definedName>
    <definedName name="GN_m³_06_07">#REF!</definedName>
    <definedName name="GN_m³_07_08">#REF!</definedName>
    <definedName name="GN_m³_08_09">#REF!</definedName>
    <definedName name="GN_m³_09_10">'2009-2010'!$E$21</definedName>
    <definedName name="GN_m³_10_11">'2010-2011'!$E$21</definedName>
    <definedName name="GN_m³_11_12">'2011-2012'!$E$21</definedName>
    <definedName name="GN_m³_12_13">'2012-2013'!$E$21</definedName>
    <definedName name="GN_m³_13_14">'2013-2014'!$E$21</definedName>
    <definedName name="GN_m³_14_15">'2014-2015'!$E$21</definedName>
    <definedName name="GN_m³_15_16">'2015-2016'!$E$21</definedName>
    <definedName name="GN_m³_16_17" localSheetId="7">'2014-2015'!$E$21</definedName>
    <definedName name="GN_m³_16_17" localSheetId="8">'2015-2016'!$E$21</definedName>
    <definedName name="GN_m³_16_17">'2016-2017'!$E$21</definedName>
    <definedName name="GN_m³_17_18">'2017-2018'!$E$21</definedName>
    <definedName name="GN_m³_18_19">'2018-2019'!$E$21</definedName>
    <definedName name="GN_m³_19_20">'2019-2020'!$E$21</definedName>
    <definedName name="GN_m³_20_21">'2020-2021'!$E$21</definedName>
    <definedName name="_xlnm.Print_Titles" localSheetId="15">RÉSUMÉ!$A:$A</definedName>
    <definedName name="kg_Bois35_to_GJ">Conversion!$G$36</definedName>
    <definedName name="kg_Bois35_to_kgGES">Conversion!$H$36</definedName>
    <definedName name="kg_Bois8_to_GJ">Conversion!$G$34</definedName>
    <definedName name="kg_Bois8_to_kgGES">Conversion!$H$34</definedName>
    <definedName name="kWh_Élect_to_GJ">Conversion!$G$25</definedName>
    <definedName name="kWh_Élect_to_kgGES">Conversion!$H$25</definedName>
    <definedName name="L_Mazout2_to_GJ">Conversion!$G$28</definedName>
    <definedName name="L_Mazout2_to_kgGES">Conversion!$H$28</definedName>
    <definedName name="L_Mazout6_to_GJ">Conversion!$G$30</definedName>
    <definedName name="L_Mazout6_to_kgGES">Conversion!$H$30</definedName>
    <definedName name="L_Propane_to_GJ">Conversion!$G$32</definedName>
    <definedName name="L_Propane_to_kgGES">Conversion!$H$32</definedName>
    <definedName name="lbs_vapeur_to_GJ">Conversion!$G$40</definedName>
    <definedName name="lbs_vapeur_to_kgGES">Conversion!$H$40</definedName>
    <definedName name="Lim_bas">'1. IDENTITÉ'!$B$24</definedName>
    <definedName name="Lim_haut">'1. IDENTITÉ'!$B$25</definedName>
    <definedName name="m3_GazNat_to_GJ">Conversion!$G$26</definedName>
    <definedName name="m3_GazNat_to_kgGES">Conversion!$H$26</definedName>
    <definedName name="Ma2_CAD_02_03">#REF!</definedName>
    <definedName name="Ma2_CAD_03_04">#REF!</definedName>
    <definedName name="Ma2_CAD_04_05">#REF!</definedName>
    <definedName name="Ma2_CAD_05_06">#REF!</definedName>
    <definedName name="Ma2_CAD_06_07">#REF!</definedName>
    <definedName name="Ma2_CAD_07_08">#REF!</definedName>
    <definedName name="Ma2_CAD_08_09">#REF!</definedName>
    <definedName name="Ma2_CAD_09_10">'2009-2010'!$H$21</definedName>
    <definedName name="Ma2_CAD_10_11">'2010-2011'!$H$21</definedName>
    <definedName name="Ma2_CAD_11_12">'2011-2012'!$H$21</definedName>
    <definedName name="Ma2_CAD_12_13">'2012-2013'!$H$21</definedName>
    <definedName name="Ma2_CAD_13_14">'2013-2014'!$H$21</definedName>
    <definedName name="Ma2_CAD_14_15">'2014-2015'!$H$21</definedName>
    <definedName name="Ma2_CAD_15_16">'2015-2016'!$H$21</definedName>
    <definedName name="Ma2_CAD_16_17" localSheetId="7">'2014-2015'!$H$21</definedName>
    <definedName name="Ma2_CAD_16_17" localSheetId="8">'2015-2016'!$H$21</definedName>
    <definedName name="Ma2_CAD_16_17">'2016-2017'!$H$21</definedName>
    <definedName name="Ma2_CAD_17_18">'2017-2018'!$H$21</definedName>
    <definedName name="Ma2_CAD_18_19">'2018-2019'!$H$21</definedName>
    <definedName name="Ma2_CAD_19_20">'2019-2020'!$H$21</definedName>
    <definedName name="Ma2_CAD_20_21">'2020-2021'!$H$21</definedName>
    <definedName name="Ma2_l_02_03">#REF!</definedName>
    <definedName name="Ma2_l_03_04">#REF!</definedName>
    <definedName name="Ma2_l_04_05">#REF!</definedName>
    <definedName name="Ma2_l_05_06">#REF!</definedName>
    <definedName name="Ma2_l_06_07">#REF!</definedName>
    <definedName name="Ma2_l_07_08">#REF!</definedName>
    <definedName name="Ma2_l_08_09">#REF!</definedName>
    <definedName name="Ma2_l_09_10">'2009-2010'!$G$21</definedName>
    <definedName name="Ma2_l_10_11">'2010-2011'!$G$21</definedName>
    <definedName name="Ma2_l_11_12">'2011-2012'!$G$21</definedName>
    <definedName name="Ma2_l_12_13">'2012-2013'!$G$21</definedName>
    <definedName name="Ma2_l_13_14">'2013-2014'!$G$21</definedName>
    <definedName name="Ma2_l_14_15">'2014-2015'!$G$21</definedName>
    <definedName name="Ma2_l_15_16">'2015-2016'!$G$21</definedName>
    <definedName name="Ma2_l_16_17" localSheetId="7">'2014-2015'!$G$21</definedName>
    <definedName name="Ma2_l_16_17" localSheetId="8">'2015-2016'!$G$21</definedName>
    <definedName name="Ma2_l_16_17">'2016-2017'!$G$21</definedName>
    <definedName name="Ma2_l_17_18">'2017-2018'!$G$21</definedName>
    <definedName name="Ma2_l_18_19">'2018-2019'!$G$21</definedName>
    <definedName name="Ma2_l_19_20">'2019-2020'!$G$21</definedName>
    <definedName name="Ma2_l_20_21">'2020-2021'!$G$21</definedName>
    <definedName name="Ma6_CAD_02_03">#REF!</definedName>
    <definedName name="Ma6_CAD_03_04">#REF!</definedName>
    <definedName name="Ma6_CAD_04_05">#REF!</definedName>
    <definedName name="Ma6_CAD_05_06">#REF!</definedName>
    <definedName name="Ma6_CAD_06_07">#REF!</definedName>
    <definedName name="Ma6_CAD_07_08">#REF!</definedName>
    <definedName name="Ma6_CAD_08_09">#REF!</definedName>
    <definedName name="Ma6_CAD_09_10">'2009-2010'!$J$21</definedName>
    <definedName name="Ma6_CAD_10_11">'2010-2011'!$J$21</definedName>
    <definedName name="Ma6_CAD_11_12">'2011-2012'!$J$21</definedName>
    <definedName name="Ma6_CAD_12_13">'2012-2013'!$J$21</definedName>
    <definedName name="Ma6_CAD_13_14">'2013-2014'!$J$21</definedName>
    <definedName name="Ma6_CAD_14_15">'2014-2015'!$J$21</definedName>
    <definedName name="Ma6_CAD_15_16">'2015-2016'!$J$21</definedName>
    <definedName name="Ma6_CAD_16_17" localSheetId="7">'2014-2015'!$J$21</definedName>
    <definedName name="Ma6_CAD_16_17" localSheetId="8">'2015-2016'!$J$21</definedName>
    <definedName name="Ma6_CAD_16_17">'2016-2017'!$J$21</definedName>
    <definedName name="Ma6_CAD_17_18">'2017-2018'!$J$21</definedName>
    <definedName name="Ma6_CAD_18_19">'2018-2019'!$J$21</definedName>
    <definedName name="Ma6_CAD_19_20">'2019-2020'!$J$21</definedName>
    <definedName name="Ma6_CAD_20_21">'2020-2021'!$J$21</definedName>
    <definedName name="Ma6_l_02_03">#REF!</definedName>
    <definedName name="Ma6_l_03_04">#REF!</definedName>
    <definedName name="Ma6_l_04_05">#REF!</definedName>
    <definedName name="Ma6_l_05_06">#REF!</definedName>
    <definedName name="Ma6_l_06_07">#REF!</definedName>
    <definedName name="Ma6_l_07_08">#REF!</definedName>
    <definedName name="Ma6_l_08_09">#REF!</definedName>
    <definedName name="Ma6_l_09_10">'2009-2010'!$I$21</definedName>
    <definedName name="Ma6_l_10_11">'2010-2011'!$I$21</definedName>
    <definedName name="Ma6_l_11_12">'2011-2012'!$I$21</definedName>
    <definedName name="Ma6_l_12_13">'2012-2013'!$I$21</definedName>
    <definedName name="Ma6_l_13_14">'2013-2014'!$I$21</definedName>
    <definedName name="Ma6_l_14_15">'2014-2015'!$I$21</definedName>
    <definedName name="Ma6_l_15_16">'2015-2016'!$I$21</definedName>
    <definedName name="Ma6_l_16_17" localSheetId="7">'2014-2015'!$I$21</definedName>
    <definedName name="Ma6_l_16_17" localSheetId="8">'2015-2016'!$I$21</definedName>
    <definedName name="Ma6_l_16_17">'2016-2017'!$I$21</definedName>
    <definedName name="Ma6_l_17_18">'2017-2018'!$I$21</definedName>
    <definedName name="Ma6_l_18_19">'2018-2019'!$I$21</definedName>
    <definedName name="Ma6_l_19_20">'2019-2020'!$I$21</definedName>
    <definedName name="Ma6_l_20_21">'2020-2021'!$I$21</definedName>
    <definedName name="MBTU_eauchaude_to_GJ">Conversion!$G$39</definedName>
    <definedName name="MBTU_eauchaude_to_kgGES">Conversion!$H$39</definedName>
    <definedName name="MBTU_eaurefroidie_to_GJ">Conversion!$G$38</definedName>
    <definedName name="MBTU_eaurefroidie_to_kgGES">Conversion!$H$38</definedName>
    <definedName name="nb_bât_09_10">'2009-2010'!$H$23</definedName>
    <definedName name="nb_bât_10_11">'2010-2011'!$H$23</definedName>
    <definedName name="nb_bât_11_12">'2011-2012'!$H$23</definedName>
    <definedName name="nb_bât_12_13">'2012-2013'!$H$23</definedName>
    <definedName name="nb_bât_13_14">'2013-2014'!$H$23</definedName>
    <definedName name="nb_bât_14_15">'2014-2015'!$H$23</definedName>
    <definedName name="nb_bât_15_16">'2015-2016'!$H$23</definedName>
    <definedName name="nb_bât_16_17" localSheetId="7">'2014-2015'!$H$23</definedName>
    <definedName name="nb_bât_16_17" localSheetId="8">'2015-2016'!$H$23</definedName>
    <definedName name="nb_bât_16_17">'2016-2017'!$H$23</definedName>
    <definedName name="nb_bât_17_18">'2017-2018'!$H$23</definedName>
    <definedName name="nb_bât_18_19">'2018-2019'!$H$23</definedName>
    <definedName name="nb_bât_19_20">'2019-2020'!$H$23</definedName>
    <definedName name="nb_bât_20_21">'2020-2021'!$H$23</definedName>
    <definedName name="plage_date">'DJ 18 MTL'!$A$5:$A$244</definedName>
    <definedName name="plage_DJ">'DJ 18 MTL'!$A$5:$D$244</definedName>
    <definedName name="Prop_CAD_02_03">#REF!</definedName>
    <definedName name="Prop_CAD_03_04">#REF!</definedName>
    <definedName name="Prop_CAD_04_05">#REF!</definedName>
    <definedName name="Prop_CAD_05_06">#REF!</definedName>
    <definedName name="Prop_CAD_06_07">#REF!</definedName>
    <definedName name="Prop_CAD_07_08">#REF!</definedName>
    <definedName name="Prop_CAD_08_09">#REF!</definedName>
    <definedName name="Prop_CAD_09_10">'2009-2010'!$N$21</definedName>
    <definedName name="Prop_CAD_10_11">'2010-2011'!$N$21</definedName>
    <definedName name="Prop_CAD_11_12">'2011-2012'!$N$21</definedName>
    <definedName name="Prop_CAD_12_13">'2012-2013'!$N$21</definedName>
    <definedName name="Prop_CAD_13_14">'2013-2014'!$N$21</definedName>
    <definedName name="Prop_CAD_14_15">'2014-2015'!$N$21</definedName>
    <definedName name="Prop_CAD_15_16">'2015-2016'!$N$21</definedName>
    <definedName name="Prop_CAD_16_17" localSheetId="7">'2014-2015'!$N$21</definedName>
    <definedName name="Prop_CAD_16_17" localSheetId="8">'2015-2016'!$N$21</definedName>
    <definedName name="Prop_CAD_16_17">'2016-2017'!$N$21</definedName>
    <definedName name="Prop_CAD_17_18">'2017-2018'!$N$21</definedName>
    <definedName name="Prop_CAD_18_19">'2018-2019'!$N$21</definedName>
    <definedName name="Prop_CAD_19_20">'2019-2020'!$N$21</definedName>
    <definedName name="Prop_CAD_20_21">'2020-2021'!$N$21</definedName>
    <definedName name="Prop_l_02_03">#REF!</definedName>
    <definedName name="Prop_l_03_04">#REF!</definedName>
    <definedName name="Prop_l_04_05">#REF!</definedName>
    <definedName name="Prop_l_05_06">#REF!</definedName>
    <definedName name="Prop_l_06_07">#REF!</definedName>
    <definedName name="Prop_l_07_08">#REF!</definedName>
    <definedName name="Prop_l_08_09">#REF!</definedName>
    <definedName name="Prop_l_09_10">'2009-2010'!$M$21</definedName>
    <definedName name="Prop_l_10_11">'2010-2011'!$M$21</definedName>
    <definedName name="Prop_l_11_12">'2011-2012'!$M$21</definedName>
    <definedName name="Prop_l_12_13">'2012-2013'!$M$21</definedName>
    <definedName name="Prop_l_13_14">'2013-2014'!$M$21</definedName>
    <definedName name="Prop_l_14_15">'2014-2015'!$M$21</definedName>
    <definedName name="Prop_l_15_16">'2015-2016'!$M$21</definedName>
    <definedName name="Prop_l_16_17" localSheetId="7">'2014-2015'!$M$21</definedName>
    <definedName name="Prop_l_16_17" localSheetId="8">'2015-2016'!$M$21</definedName>
    <definedName name="Prop_l_16_17">'2016-2017'!$M$21</definedName>
    <definedName name="Prop_l_17_18">'2017-2018'!$M$21</definedName>
    <definedName name="Prop_l_18_19">'2018-2019'!$M$21</definedName>
    <definedName name="Prop_l_19_20">'2019-2020'!$M$21</definedName>
    <definedName name="Prop_l_20_21">'2020-2021'!$M$21</definedName>
    <definedName name="R_Ajust" localSheetId="7">#REF!</definedName>
    <definedName name="R_Ajust" localSheetId="8">#REF!</definedName>
    <definedName name="R_Ajust">#REF!</definedName>
    <definedName name="R_ConsoVar" localSheetId="7">#REF!</definedName>
    <definedName name="R_ConsoVar" localSheetId="8">#REF!</definedName>
    <definedName name="R_ConsoVar">#REF!</definedName>
    <definedName name="rng_Années_résumé">RÉSUMÉ!$A$3:$A$30</definedName>
    <definedName name="rng_MEE">'1. IDENTITÉ'!$Q$44:$AB$53</definedName>
    <definedName name="Sup_02_03">#REF!</definedName>
    <definedName name="Sup_03_04">#REF!</definedName>
    <definedName name="Sup_04_05">#REF!</definedName>
    <definedName name="Sup_05_06">#REF!</definedName>
    <definedName name="Sup_06_07">#REF!</definedName>
    <definedName name="Sup_07_08">#REF!</definedName>
    <definedName name="Sup_08_09">#REF!</definedName>
    <definedName name="Sup_09_10">'2009-2010'!$B$21</definedName>
    <definedName name="Sup_10_11">'2010-2011'!$B$21</definedName>
    <definedName name="Sup_11_12">'2011-2012'!$B$21</definedName>
    <definedName name="Sup_12_13">'2012-2013'!$B$21</definedName>
    <definedName name="Sup_13_14">'2013-2014'!$B$21</definedName>
    <definedName name="Sup_14_15">'2014-2015'!$B$21</definedName>
    <definedName name="Sup_15_16">'2015-2016'!$B$21</definedName>
    <definedName name="Sup_16_17" localSheetId="7">'2014-2015'!$B$21</definedName>
    <definedName name="Sup_16_17" localSheetId="8">'2015-2016'!$B$21</definedName>
    <definedName name="Sup_16_17">'2016-2017'!$B$21</definedName>
    <definedName name="Sup_17_18">'2017-2018'!$B$21</definedName>
    <definedName name="Sup_18_19">'2018-2019'!$B$21</definedName>
    <definedName name="Sup_19_20">'2019-2020'!$B$21</definedName>
    <definedName name="Sup_20_21">'2020-2021'!$B$21</definedName>
    <definedName name="Tag_bois_kg" localSheetId="7">#REF!</definedName>
    <definedName name="Tag_bois_kg" localSheetId="8">#REF!</definedName>
    <definedName name="Tag_bois_kg">#REF!</definedName>
    <definedName name="U_Bois20" localSheetId="2">'2009-2010'!$O$8</definedName>
    <definedName name="U_Bois20" localSheetId="3">'2010-2011'!$O$8</definedName>
    <definedName name="U_Bois20" localSheetId="4">'2011-2012'!$O$8</definedName>
    <definedName name="U_Bois20" localSheetId="5">'2012-2013'!$O$8</definedName>
    <definedName name="U_Bois20" localSheetId="6">'2013-2014'!$O$8</definedName>
    <definedName name="U_Bois20" localSheetId="7">'2014-2015'!$O$8</definedName>
    <definedName name="U_Bois20" localSheetId="8">'2015-2016'!$O$8</definedName>
    <definedName name="U_Bois20" localSheetId="9">'2016-2017'!$O$8</definedName>
    <definedName name="U_Bois20" localSheetId="10">'2017-2018'!$O$8</definedName>
    <definedName name="U_Bois20" localSheetId="11">'2018-2019'!$O$8</definedName>
    <definedName name="U_Bois20" localSheetId="12">'2019-2020'!$O$8</definedName>
    <definedName name="U_Bois20" localSheetId="13">'2020-2021'!$O$8</definedName>
    <definedName name="U_Bois45" localSheetId="2">'2009-2010'!$Q$8</definedName>
    <definedName name="U_Bois45" localSheetId="3">'2010-2011'!$Q$8</definedName>
    <definedName name="U_Bois45" localSheetId="4">'2011-2012'!$Q$8</definedName>
    <definedName name="U_Bois45" localSheetId="5">'2012-2013'!$Q$8</definedName>
    <definedName name="U_Bois45" localSheetId="6">'2013-2014'!$Q$8</definedName>
    <definedName name="U_Bois45" localSheetId="7">'2014-2015'!$Q$8</definedName>
    <definedName name="U_Bois45" localSheetId="8">'2015-2016'!$Q$8</definedName>
    <definedName name="U_Bois45" localSheetId="9">'2016-2017'!$Q$8</definedName>
    <definedName name="U_Bois45" localSheetId="10">'2017-2018'!$Q$8</definedName>
    <definedName name="U_Bois45" localSheetId="11">'2018-2019'!$Q$8</definedName>
    <definedName name="U_Bois45" localSheetId="12">'2019-2020'!$Q$8</definedName>
    <definedName name="U_Bois45" localSheetId="13">'2020-2021'!$Q$8</definedName>
    <definedName name="U_Dies" localSheetId="7">'2014-2015'!$K$8</definedName>
    <definedName name="U_Dies" localSheetId="8">'2015-2016'!$K$8</definedName>
    <definedName name="U_Dies">'2016-2017'!$K$8</definedName>
    <definedName name="U_GNat" localSheetId="2">'2009-2010'!$E$8</definedName>
    <definedName name="U_GNat" localSheetId="3">'2010-2011'!$E$8</definedName>
    <definedName name="U_GNat" localSheetId="4">'2011-2012'!$E$8</definedName>
    <definedName name="U_GNat" localSheetId="5">'2012-2013'!$E$8</definedName>
    <definedName name="U_GNat" localSheetId="6">'2013-2014'!$E$8</definedName>
    <definedName name="U_GNat" localSheetId="7">'2014-2015'!$E$8</definedName>
    <definedName name="U_GNat" localSheetId="8">'2015-2016'!$E$8</definedName>
    <definedName name="U_GNat" localSheetId="9">'2016-2017'!$E$8</definedName>
    <definedName name="U_GNat" localSheetId="10">'2017-2018'!$E$8</definedName>
    <definedName name="U_GNat" localSheetId="11">'2018-2019'!$E$8</definedName>
    <definedName name="U_GNat" localSheetId="12">'2019-2020'!$E$8</definedName>
    <definedName name="U_GNat" localSheetId="13">'2020-2021'!$E$8</definedName>
    <definedName name="U_Ma2" localSheetId="7">'2014-2015'!$G$8</definedName>
    <definedName name="U_Ma2" localSheetId="8">'2015-2016'!$G$8</definedName>
    <definedName name="U_Ma2" localSheetId="9">'2016-2017'!$G$8</definedName>
    <definedName name="U_Ma2">'2013-2014'!$G$8</definedName>
    <definedName name="U_Ma6" localSheetId="2">'2009-2010'!$I$8</definedName>
    <definedName name="U_Ma6" localSheetId="3">'2010-2011'!$I$8</definedName>
    <definedName name="U_Ma6" localSheetId="4">'2011-2012'!$I$8</definedName>
    <definedName name="U_Ma6" localSheetId="5">'2012-2013'!$I$8</definedName>
    <definedName name="U_Ma6" localSheetId="6">'2013-2014'!$I$8</definedName>
    <definedName name="U_Ma6" localSheetId="7">'2014-2015'!$I$8</definedName>
    <definedName name="U_Ma6" localSheetId="8">'2015-2016'!$I$8</definedName>
    <definedName name="U_Ma6" localSheetId="9">'2016-2017'!$I$8</definedName>
    <definedName name="U_Ma6" localSheetId="10">'2017-2018'!$I$8</definedName>
    <definedName name="U_Ma6" localSheetId="11">'2018-2019'!$I$8</definedName>
    <definedName name="U_Ma6" localSheetId="12">'2019-2020'!$I$8</definedName>
    <definedName name="U_Ma6" localSheetId="13">'2020-2021'!$I$8</definedName>
    <definedName name="U_Prop" localSheetId="2">'2009-2010'!$M$8</definedName>
    <definedName name="U_Prop" localSheetId="3">'2010-2011'!$M$8</definedName>
    <definedName name="U_Prop" localSheetId="4">'2011-2012'!$M$8</definedName>
    <definedName name="U_Prop" localSheetId="5">'2012-2013'!$M$8</definedName>
    <definedName name="U_Prop" localSheetId="6">'2013-2014'!$M$8</definedName>
    <definedName name="U_Prop" localSheetId="7">'2014-2015'!$M$8</definedName>
    <definedName name="U_Prop" localSheetId="8">'2015-2016'!$M$8</definedName>
    <definedName name="U_Prop" localSheetId="9">'2016-2017'!$M$8</definedName>
    <definedName name="U_Prop" localSheetId="10">'2017-2018'!$M$8</definedName>
    <definedName name="U_Prop" localSheetId="11">'2018-2019'!$M$8</definedName>
    <definedName name="U_Prop" localSheetId="12">'2019-2020'!$M$8</definedName>
    <definedName name="U_Prop" localSheetId="13">'2020-2021'!$M$8</definedName>
    <definedName name="Vapeur_CAD_09_10">'2009-2010'!$T$21</definedName>
    <definedName name="Vapeur_CAD_10_11">'2010-2011'!$T$21</definedName>
    <definedName name="Vapeur_CAD_11_12">'2011-2012'!$T$21</definedName>
    <definedName name="Vapeur_CAD_12_13">'2012-2013'!$T$21</definedName>
    <definedName name="Vapeur_CAD_13_14">'2013-2014'!$T$21</definedName>
    <definedName name="Vapeur_CAD_14_15">'2014-2015'!$T$21</definedName>
    <definedName name="Vapeur_CAD_15_16">'2015-2016'!$T$21</definedName>
    <definedName name="Vapeur_CAD_16_17" localSheetId="7">'2014-2015'!$T$21</definedName>
    <definedName name="Vapeur_CAD_16_17" localSheetId="8">'2015-2016'!$T$21</definedName>
    <definedName name="Vapeur_CAD_16_17">'2016-2017'!$T$21</definedName>
    <definedName name="Vapeur_CAD_17_18">'2017-2018'!$T$21</definedName>
    <definedName name="Vapeur_CAD_18_19">'2018-2019'!$T$21</definedName>
    <definedName name="Vapeur_CAD_19_20">'2019-2020'!$T$21</definedName>
    <definedName name="Vapeur_CAD_20_21">'2020-2021'!$T$21</definedName>
    <definedName name="Vapeur_Lbs_09_10">'2009-2010'!$S$21</definedName>
    <definedName name="Vapeur_Lbs_10_11">'2010-2011'!$S$21</definedName>
    <definedName name="Vapeur_Lbs_11_12">'2011-2012'!$S$21</definedName>
    <definedName name="Vapeur_Lbs_12_13">'2012-2013'!$S$21</definedName>
    <definedName name="Vapeur_Lbs_13_14">'2013-2014'!$S$21</definedName>
    <definedName name="Vapeur_Lbs_14_15">'2014-2015'!$S$21</definedName>
    <definedName name="Vapeur_Lbs_15_16">'2015-2016'!$S$21</definedName>
    <definedName name="Vapeur_Lbs_16_17" localSheetId="7">'2014-2015'!$S$21</definedName>
    <definedName name="Vapeur_Lbs_16_17" localSheetId="8">'2015-2016'!$S$21</definedName>
    <definedName name="Vapeur_Lbs_16_17">'2016-2017'!$S$21</definedName>
    <definedName name="Vapeur_Lbs_17_18">'2017-2018'!$S$21</definedName>
    <definedName name="Vapeur_Lbs_18_19">'2018-2019'!$S$21</definedName>
    <definedName name="Vapeur_Lbs_19_20">'2019-2020'!$S$21</definedName>
    <definedName name="Vapeur_Lbs_20_21">'2020-2021'!$S$21</definedName>
    <definedName name="_xlnm.Print_Area" localSheetId="1">'1. IDENTITÉ'!$A$1:$F$53</definedName>
    <definedName name="_xlnm.Print_Area" localSheetId="2">'2009-2010'!$A$1:$N$21</definedName>
    <definedName name="_xlnm.Print_Area" localSheetId="3">'2010-2011'!$A$1:$AC$37</definedName>
    <definedName name="_xlnm.Print_Area" localSheetId="4">'2011-2012'!$A$1:$AC$38</definedName>
    <definedName name="_xlnm.Print_Area" localSheetId="5">'2012-2013'!$A$1:$AC$38</definedName>
    <definedName name="_xlnm.Print_Area" localSheetId="6">'2013-2014'!$A$1:$AE$38</definedName>
    <definedName name="_xlnm.Print_Area" localSheetId="7">'2014-2015'!$A$1:$AE$46</definedName>
    <definedName name="_xlnm.Print_Area" localSheetId="8">'2015-2016'!$A$1:$AE$46</definedName>
    <definedName name="_xlnm.Print_Area" localSheetId="9">'2016-2017'!$A$1:$AE$46</definedName>
    <definedName name="_xlnm.Print_Area" localSheetId="10">'2017-2018'!$A$7:$AC$46</definedName>
    <definedName name="_xlnm.Print_Area" localSheetId="11">'2018-2019'!$A$7:$AC$46</definedName>
    <definedName name="_xlnm.Print_Area" localSheetId="12">'2019-2020'!$A$7:$AC$46</definedName>
    <definedName name="_xlnm.Print_Area" localSheetId="13">'2020-2021'!$A$7:$AC$46</definedName>
    <definedName name="_xlnm.Print_Area" localSheetId="16">Conversion!$A$1:$G$22</definedName>
    <definedName name="_xlnm.Print_Area" localSheetId="14">'DJ 18 MTL'!$A$1:$D$244</definedName>
    <definedName name="_xlnm.Print_Area" localSheetId="0">'PROCESSUS TYPIQUE'!$A$2:$D$23</definedName>
    <definedName name="_xlnm.Print_Area" localSheetId="15">RÉSUMÉ!$A$1:$AR$22</definedName>
  </definedNames>
  <calcPr calcId="152511"/>
</workbook>
</file>

<file path=xl/calcChain.xml><?xml version="1.0" encoding="utf-8"?>
<calcChain xmlns="http://schemas.openxmlformats.org/spreadsheetml/2006/main">
  <c r="AC21" i="21" l="1"/>
  <c r="AC20" i="21"/>
  <c r="AC19" i="21"/>
  <c r="AC18" i="21"/>
  <c r="AC17" i="21"/>
  <c r="AC16" i="21"/>
  <c r="AC15" i="21"/>
  <c r="AC14" i="21"/>
  <c r="AC13" i="21"/>
  <c r="AC12" i="21"/>
  <c r="AC11" i="21"/>
  <c r="AC10" i="21"/>
  <c r="AC9" i="21"/>
  <c r="Y21" i="21"/>
  <c r="Y20" i="21"/>
  <c r="Y19" i="21"/>
  <c r="Y18" i="21"/>
  <c r="Y17" i="21"/>
  <c r="Y16" i="21"/>
  <c r="Y15" i="21"/>
  <c r="Y14" i="21"/>
  <c r="Y13" i="21"/>
  <c r="Y12" i="21"/>
  <c r="Y11" i="21"/>
  <c r="Y10" i="21"/>
  <c r="Y9" i="21"/>
  <c r="Y9" i="20"/>
  <c r="H21" i="21"/>
  <c r="F21" i="20" l="1"/>
  <c r="B24" i="1" l="1"/>
  <c r="B11" i="1" l="1"/>
  <c r="AC14" i="28" l="1"/>
  <c r="B21" i="20" l="1"/>
  <c r="B21" i="12" l="1"/>
  <c r="E14" i="4" l="1"/>
  <c r="E13" i="4"/>
  <c r="E12" i="4"/>
  <c r="E11" i="4"/>
  <c r="E9" i="4"/>
  <c r="E8" i="4"/>
  <c r="E10" i="4" s="1"/>
  <c r="E7" i="4"/>
  <c r="E6" i="4"/>
  <c r="E16" i="4"/>
  <c r="D16" i="4"/>
  <c r="D15" i="4"/>
  <c r="D14" i="4"/>
  <c r="D13" i="4"/>
  <c r="D12" i="4"/>
  <c r="D11" i="4"/>
  <c r="D9" i="4"/>
  <c r="D8" i="4"/>
  <c r="D10" i="4" s="1"/>
  <c r="D7" i="4"/>
  <c r="D6" i="4"/>
  <c r="G16" i="4"/>
  <c r="F16" i="4"/>
  <c r="G15" i="4"/>
  <c r="F15" i="4"/>
  <c r="E15" i="4"/>
  <c r="G14" i="4"/>
  <c r="F14" i="4"/>
  <c r="G13" i="4"/>
  <c r="F13" i="4"/>
  <c r="G12" i="4"/>
  <c r="F12" i="4"/>
  <c r="G11" i="4"/>
  <c r="F11" i="4"/>
  <c r="AC17" i="10"/>
  <c r="AD17" i="10" s="1"/>
  <c r="Z21" i="10"/>
  <c r="AC20" i="10"/>
  <c r="AD20" i="10" s="1"/>
  <c r="AB20" i="10"/>
  <c r="Z20" i="10"/>
  <c r="Y20" i="10"/>
  <c r="AA20" i="10" s="1"/>
  <c r="AC19" i="10"/>
  <c r="AD19" i="10" s="1"/>
  <c r="Z19" i="10"/>
  <c r="AB19" i="10" s="1"/>
  <c r="Y19" i="10"/>
  <c r="AA19" i="10" s="1"/>
  <c r="AC18" i="10"/>
  <c r="AD18" i="10" s="1"/>
  <c r="AB18" i="10"/>
  <c r="Z18" i="10"/>
  <c r="Y18" i="10"/>
  <c r="AA18" i="10" s="1"/>
  <c r="Z17" i="10"/>
  <c r="AB17" i="10" s="1"/>
  <c r="Y17" i="10"/>
  <c r="AA17" i="10" s="1"/>
  <c r="AC16" i="10"/>
  <c r="AD16" i="10" s="1"/>
  <c r="AB16" i="10"/>
  <c r="Z16" i="10"/>
  <c r="Y16" i="10"/>
  <c r="AA16" i="10" s="1"/>
  <c r="AC15" i="10"/>
  <c r="AD15" i="10" s="1"/>
  <c r="Z15" i="10"/>
  <c r="AB15" i="10" s="1"/>
  <c r="Y15" i="10"/>
  <c r="AA15" i="10" s="1"/>
  <c r="AC14" i="10"/>
  <c r="AD14" i="10" s="1"/>
  <c r="AB14" i="10"/>
  <c r="Z14" i="10"/>
  <c r="Y14" i="10"/>
  <c r="AA14" i="10" s="1"/>
  <c r="AC13" i="10"/>
  <c r="AD13" i="10" s="1"/>
  <c r="Z13" i="10"/>
  <c r="AB13" i="10" s="1"/>
  <c r="Y13" i="10"/>
  <c r="AA13" i="10" s="1"/>
  <c r="AC12" i="10"/>
  <c r="AD12" i="10" s="1"/>
  <c r="AB12" i="10"/>
  <c r="Z12" i="10"/>
  <c r="Y12" i="10"/>
  <c r="AA12" i="10" s="1"/>
  <c r="AC11" i="10"/>
  <c r="AD11" i="10" s="1"/>
  <c r="Z11" i="10"/>
  <c r="AB11" i="10" s="1"/>
  <c r="Y11" i="10"/>
  <c r="AA11" i="10" s="1"/>
  <c r="AC10" i="10"/>
  <c r="AD10" i="10" s="1"/>
  <c r="AB10" i="10"/>
  <c r="Z10" i="10"/>
  <c r="Y10" i="10"/>
  <c r="AA10" i="10" s="1"/>
  <c r="AC9" i="10"/>
  <c r="AD9" i="10" s="1"/>
  <c r="Z9" i="10"/>
  <c r="AB9" i="10" s="1"/>
  <c r="Y9" i="10"/>
  <c r="AA9" i="10" s="1"/>
  <c r="AC21" i="11"/>
  <c r="AD21" i="11" s="1"/>
  <c r="Z21" i="11"/>
  <c r="AB21" i="11" s="1"/>
  <c r="Y21" i="11"/>
  <c r="AA21" i="11" s="1"/>
  <c r="AC20" i="11"/>
  <c r="AD20" i="11" s="1"/>
  <c r="AB20" i="11"/>
  <c r="Z20" i="11"/>
  <c r="Y20" i="11"/>
  <c r="AA20" i="11" s="1"/>
  <c r="AC19" i="11"/>
  <c r="AD19" i="11" s="1"/>
  <c r="Z19" i="11"/>
  <c r="AB19" i="11" s="1"/>
  <c r="Y19" i="11"/>
  <c r="AA19" i="11" s="1"/>
  <c r="AC18" i="11"/>
  <c r="AD18" i="11" s="1"/>
  <c r="AB18" i="11"/>
  <c r="Z18" i="11"/>
  <c r="Y18" i="11"/>
  <c r="AA18" i="11" s="1"/>
  <c r="AC17" i="11"/>
  <c r="AD17" i="11" s="1"/>
  <c r="Z17" i="11"/>
  <c r="AB17" i="11" s="1"/>
  <c r="Y17" i="11"/>
  <c r="AA17" i="11" s="1"/>
  <c r="AC16" i="11"/>
  <c r="AD16" i="11" s="1"/>
  <c r="AB16" i="11"/>
  <c r="Z16" i="11"/>
  <c r="Y16" i="11"/>
  <c r="AA16" i="11" s="1"/>
  <c r="AC15" i="11"/>
  <c r="AD15" i="11" s="1"/>
  <c r="Z15" i="11"/>
  <c r="AB15" i="11" s="1"/>
  <c r="Y15" i="11"/>
  <c r="AA15" i="11" s="1"/>
  <c r="AC14" i="11"/>
  <c r="AD14" i="11" s="1"/>
  <c r="AB14" i="11"/>
  <c r="Z14" i="11"/>
  <c r="Y14" i="11"/>
  <c r="AA14" i="11" s="1"/>
  <c r="AC13" i="11"/>
  <c r="AD13" i="11" s="1"/>
  <c r="Z13" i="11"/>
  <c r="AB13" i="11" s="1"/>
  <c r="Y13" i="11"/>
  <c r="AA13" i="11" s="1"/>
  <c r="AC12" i="11"/>
  <c r="AD12" i="11" s="1"/>
  <c r="AB12" i="11"/>
  <c r="Z12" i="11"/>
  <c r="Y12" i="11"/>
  <c r="AA12" i="11" s="1"/>
  <c r="AC11" i="11"/>
  <c r="AD11" i="11" s="1"/>
  <c r="Z11" i="11"/>
  <c r="AB11" i="11" s="1"/>
  <c r="Y11" i="11"/>
  <c r="AA11" i="11" s="1"/>
  <c r="AC10" i="11"/>
  <c r="AD10" i="11" s="1"/>
  <c r="AB10" i="11"/>
  <c r="Z10" i="11"/>
  <c r="Y10" i="11"/>
  <c r="AA10" i="11" s="1"/>
  <c r="AC9" i="11"/>
  <c r="AD9" i="11" s="1"/>
  <c r="Z9" i="11"/>
  <c r="AB9" i="11" s="1"/>
  <c r="Y9" i="11"/>
  <c r="AA9" i="11" s="1"/>
  <c r="AC21" i="12"/>
  <c r="AD21" i="12" s="1"/>
  <c r="Z21" i="12"/>
  <c r="AB21" i="12" s="1"/>
  <c r="Y21" i="12"/>
  <c r="AA21" i="12" s="1"/>
  <c r="AC20" i="12"/>
  <c r="AD20" i="12" s="1"/>
  <c r="Z20" i="12"/>
  <c r="AB20" i="12" s="1"/>
  <c r="Y20" i="12"/>
  <c r="AA20" i="12" s="1"/>
  <c r="AC19" i="12"/>
  <c r="AD19" i="12" s="1"/>
  <c r="AB19" i="12"/>
  <c r="Z19" i="12"/>
  <c r="Y19" i="12"/>
  <c r="AA19" i="12" s="1"/>
  <c r="AC18" i="12"/>
  <c r="AD18" i="12" s="1"/>
  <c r="Z18" i="12"/>
  <c r="AB18" i="12" s="1"/>
  <c r="Y18" i="12"/>
  <c r="AA18" i="12" s="1"/>
  <c r="AC17" i="12"/>
  <c r="AD17" i="12" s="1"/>
  <c r="AB17" i="12"/>
  <c r="Z17" i="12"/>
  <c r="Y17" i="12"/>
  <c r="AA17" i="12" s="1"/>
  <c r="AC16" i="12"/>
  <c r="AD16" i="12" s="1"/>
  <c r="Z16" i="12"/>
  <c r="AB16" i="12" s="1"/>
  <c r="Y16" i="12"/>
  <c r="AA16" i="12" s="1"/>
  <c r="AC15" i="12"/>
  <c r="AD15" i="12" s="1"/>
  <c r="AB15" i="12"/>
  <c r="Z15" i="12"/>
  <c r="Y15" i="12"/>
  <c r="AA15" i="12" s="1"/>
  <c r="AC14" i="12"/>
  <c r="AD14" i="12" s="1"/>
  <c r="Z14" i="12"/>
  <c r="AB14" i="12" s="1"/>
  <c r="Y14" i="12"/>
  <c r="AA14" i="12" s="1"/>
  <c r="AC13" i="12"/>
  <c r="AD13" i="12" s="1"/>
  <c r="AB13" i="12"/>
  <c r="Z13" i="12"/>
  <c r="Y13" i="12"/>
  <c r="AA13" i="12" s="1"/>
  <c r="AC12" i="12"/>
  <c r="AD12" i="12" s="1"/>
  <c r="Z12" i="12"/>
  <c r="AB12" i="12" s="1"/>
  <c r="Y12" i="12"/>
  <c r="AA12" i="12" s="1"/>
  <c r="AC11" i="12"/>
  <c r="AD11" i="12" s="1"/>
  <c r="AB11" i="12"/>
  <c r="Z11" i="12"/>
  <c r="Y11" i="12"/>
  <c r="AA11" i="12" s="1"/>
  <c r="AC10" i="12"/>
  <c r="AD10" i="12" s="1"/>
  <c r="Z10" i="12"/>
  <c r="AB10" i="12" s="1"/>
  <c r="Y10" i="12"/>
  <c r="AA10" i="12" s="1"/>
  <c r="AC9" i="12"/>
  <c r="AD9" i="12" s="1"/>
  <c r="AB9" i="12"/>
  <c r="Z9" i="12"/>
  <c r="Y9" i="12"/>
  <c r="AA9" i="12" s="1"/>
  <c r="AC21" i="16"/>
  <c r="AD21" i="16" s="1"/>
  <c r="Z21" i="16"/>
  <c r="AB21" i="16" s="1"/>
  <c r="Y21" i="16"/>
  <c r="AA21" i="16" s="1"/>
  <c r="AC20" i="16"/>
  <c r="AD20" i="16" s="1"/>
  <c r="AB20" i="16"/>
  <c r="Z20" i="16"/>
  <c r="Y20" i="16"/>
  <c r="AA20" i="16" s="1"/>
  <c r="AC19" i="16"/>
  <c r="AD19" i="16" s="1"/>
  <c r="Z19" i="16"/>
  <c r="AB19" i="16" s="1"/>
  <c r="Y19" i="16"/>
  <c r="AA19" i="16" s="1"/>
  <c r="AC18" i="16"/>
  <c r="AD18" i="16" s="1"/>
  <c r="AB18" i="16"/>
  <c r="Z18" i="16"/>
  <c r="Y18" i="16"/>
  <c r="AA18" i="16" s="1"/>
  <c r="AC17" i="16"/>
  <c r="AD17" i="16" s="1"/>
  <c r="Z17" i="16"/>
  <c r="AB17" i="16" s="1"/>
  <c r="Y17" i="16"/>
  <c r="AA17" i="16" s="1"/>
  <c r="AC16" i="16"/>
  <c r="AD16" i="16" s="1"/>
  <c r="AB16" i="16"/>
  <c r="Z16" i="16"/>
  <c r="Y16" i="16"/>
  <c r="AA16" i="16" s="1"/>
  <c r="AC15" i="16"/>
  <c r="AD15" i="16" s="1"/>
  <c r="Z15" i="16"/>
  <c r="AB15" i="16" s="1"/>
  <c r="Y15" i="16"/>
  <c r="AA15" i="16" s="1"/>
  <c r="AC14" i="16"/>
  <c r="AD14" i="16" s="1"/>
  <c r="AB14" i="16"/>
  <c r="Z14" i="16"/>
  <c r="Y14" i="16"/>
  <c r="AA14" i="16" s="1"/>
  <c r="AC13" i="16"/>
  <c r="AD13" i="16" s="1"/>
  <c r="Z13" i="16"/>
  <c r="AB13" i="16" s="1"/>
  <c r="Y13" i="16"/>
  <c r="AA13" i="16" s="1"/>
  <c r="AC12" i="16"/>
  <c r="AD12" i="16" s="1"/>
  <c r="AB12" i="16"/>
  <c r="Z12" i="16"/>
  <c r="Y12" i="16"/>
  <c r="AA12" i="16" s="1"/>
  <c r="AC11" i="16"/>
  <c r="AD11" i="16" s="1"/>
  <c r="Z11" i="16"/>
  <c r="AB11" i="16" s="1"/>
  <c r="Y11" i="16"/>
  <c r="AA11" i="16" s="1"/>
  <c r="AC10" i="16"/>
  <c r="AD10" i="16" s="1"/>
  <c r="AB10" i="16"/>
  <c r="Z10" i="16"/>
  <c r="Y10" i="16"/>
  <c r="AA10" i="16" s="1"/>
  <c r="AC9" i="16"/>
  <c r="AD9" i="16" s="1"/>
  <c r="Z9" i="16"/>
  <c r="AB9" i="16" s="1"/>
  <c r="Y9" i="16"/>
  <c r="AA9" i="16" s="1"/>
  <c r="AC21" i="17"/>
  <c r="AD21" i="17" s="1"/>
  <c r="Z21" i="17"/>
  <c r="AB21" i="17" s="1"/>
  <c r="Y21" i="17"/>
  <c r="AA21" i="17" s="1"/>
  <c r="AC20" i="17"/>
  <c r="AD20" i="17" s="1"/>
  <c r="AB20" i="17"/>
  <c r="Z20" i="17"/>
  <c r="Y20" i="17"/>
  <c r="AA20" i="17" s="1"/>
  <c r="AC19" i="17"/>
  <c r="AD19" i="17" s="1"/>
  <c r="Z19" i="17"/>
  <c r="AB19" i="17" s="1"/>
  <c r="Y19" i="17"/>
  <c r="AA19" i="17" s="1"/>
  <c r="AC18" i="17"/>
  <c r="AD18" i="17" s="1"/>
  <c r="AB18" i="17"/>
  <c r="Z18" i="17"/>
  <c r="Y18" i="17"/>
  <c r="AA18" i="17" s="1"/>
  <c r="AC17" i="17"/>
  <c r="AD17" i="17" s="1"/>
  <c r="Z17" i="17"/>
  <c r="AB17" i="17" s="1"/>
  <c r="Y17" i="17"/>
  <c r="AA17" i="17" s="1"/>
  <c r="AC16" i="17"/>
  <c r="AD16" i="17" s="1"/>
  <c r="AB16" i="17"/>
  <c r="Z16" i="17"/>
  <c r="Y16" i="17"/>
  <c r="AA16" i="17" s="1"/>
  <c r="AC15" i="17"/>
  <c r="AD15" i="17" s="1"/>
  <c r="Z15" i="17"/>
  <c r="AB15" i="17" s="1"/>
  <c r="Y15" i="17"/>
  <c r="AA15" i="17" s="1"/>
  <c r="AC14" i="17"/>
  <c r="AD14" i="17" s="1"/>
  <c r="AB14" i="17"/>
  <c r="Z14" i="17"/>
  <c r="Y14" i="17"/>
  <c r="AA14" i="17" s="1"/>
  <c r="AC13" i="17"/>
  <c r="AD13" i="17" s="1"/>
  <c r="Z13" i="17"/>
  <c r="AB13" i="17" s="1"/>
  <c r="Y13" i="17"/>
  <c r="AA13" i="17" s="1"/>
  <c r="AC12" i="17"/>
  <c r="AD12" i="17" s="1"/>
  <c r="AB12" i="17"/>
  <c r="Z12" i="17"/>
  <c r="Y12" i="17"/>
  <c r="AA12" i="17" s="1"/>
  <c r="AC11" i="17"/>
  <c r="AD11" i="17" s="1"/>
  <c r="Z11" i="17"/>
  <c r="AB11" i="17" s="1"/>
  <c r="Y11" i="17"/>
  <c r="AA11" i="17" s="1"/>
  <c r="AC10" i="17"/>
  <c r="AD10" i="17" s="1"/>
  <c r="AB10" i="17"/>
  <c r="Z10" i="17"/>
  <c r="Y10" i="17"/>
  <c r="AA10" i="17" s="1"/>
  <c r="AC9" i="17"/>
  <c r="AD9" i="17" s="1"/>
  <c r="Z9" i="17"/>
  <c r="AB9" i="17" s="1"/>
  <c r="Y9" i="17"/>
  <c r="AA9" i="17" s="1"/>
  <c r="AC21" i="29"/>
  <c r="AD21" i="29" s="1"/>
  <c r="Z21" i="29"/>
  <c r="AB21" i="29" s="1"/>
  <c r="Y21" i="29"/>
  <c r="AA21" i="29" s="1"/>
  <c r="AC20" i="29"/>
  <c r="AD20" i="29" s="1"/>
  <c r="AB20" i="29"/>
  <c r="Z20" i="29"/>
  <c r="Y20" i="29"/>
  <c r="AA20" i="29" s="1"/>
  <c r="AC19" i="29"/>
  <c r="AD19" i="29" s="1"/>
  <c r="Z19" i="29"/>
  <c r="AB19" i="29" s="1"/>
  <c r="Y19" i="29"/>
  <c r="AA19" i="29" s="1"/>
  <c r="AC18" i="29"/>
  <c r="AD18" i="29" s="1"/>
  <c r="AB18" i="29"/>
  <c r="Z18" i="29"/>
  <c r="Y18" i="29"/>
  <c r="AA18" i="29" s="1"/>
  <c r="AC17" i="29"/>
  <c r="AD17" i="29" s="1"/>
  <c r="Z17" i="29"/>
  <c r="AB17" i="29" s="1"/>
  <c r="Y17" i="29"/>
  <c r="AA17" i="29" s="1"/>
  <c r="AC16" i="29"/>
  <c r="AD16" i="29" s="1"/>
  <c r="AB16" i="29"/>
  <c r="Z16" i="29"/>
  <c r="Y16" i="29"/>
  <c r="AA16" i="29" s="1"/>
  <c r="AC15" i="29"/>
  <c r="AD15" i="29" s="1"/>
  <c r="Z15" i="29"/>
  <c r="AB15" i="29" s="1"/>
  <c r="Y15" i="29"/>
  <c r="AA15" i="29" s="1"/>
  <c r="AC14" i="29"/>
  <c r="AD14" i="29" s="1"/>
  <c r="AB14" i="29"/>
  <c r="Z14" i="29"/>
  <c r="Y14" i="29"/>
  <c r="AA14" i="29" s="1"/>
  <c r="AC13" i="29"/>
  <c r="AD13" i="29" s="1"/>
  <c r="Z13" i="29"/>
  <c r="AB13" i="29" s="1"/>
  <c r="Y13" i="29"/>
  <c r="AA13" i="29" s="1"/>
  <c r="AC12" i="29"/>
  <c r="AD12" i="29" s="1"/>
  <c r="AB12" i="29"/>
  <c r="Z12" i="29"/>
  <c r="Y12" i="29"/>
  <c r="AA12" i="29" s="1"/>
  <c r="AC11" i="29"/>
  <c r="AD11" i="29" s="1"/>
  <c r="Z11" i="29"/>
  <c r="AB11" i="29" s="1"/>
  <c r="Y11" i="29"/>
  <c r="AA11" i="29" s="1"/>
  <c r="AC10" i="29"/>
  <c r="AD10" i="29" s="1"/>
  <c r="AB10" i="29"/>
  <c r="Z10" i="29"/>
  <c r="Y10" i="29"/>
  <c r="AA10" i="29" s="1"/>
  <c r="AC9" i="29"/>
  <c r="AD9" i="29" s="1"/>
  <c r="Z9" i="29"/>
  <c r="AB9" i="29" s="1"/>
  <c r="Y9" i="29"/>
  <c r="AA9" i="29" s="1"/>
  <c r="Y17" i="28"/>
  <c r="Y19" i="28"/>
  <c r="Y21" i="28"/>
  <c r="Y20" i="28"/>
  <c r="Y18" i="28"/>
  <c r="Y16" i="28"/>
  <c r="Y15" i="28"/>
  <c r="Y14" i="28"/>
  <c r="Y13" i="28"/>
  <c r="Y12" i="28"/>
  <c r="Y11" i="28"/>
  <c r="Y10" i="28"/>
  <c r="Y9" i="28"/>
  <c r="AC21" i="28"/>
  <c r="AC20" i="28"/>
  <c r="AC19" i="28"/>
  <c r="AC18" i="28"/>
  <c r="AC17" i="28"/>
  <c r="AC16" i="28"/>
  <c r="AC15" i="28"/>
  <c r="AC13" i="28"/>
  <c r="AC12" i="28"/>
  <c r="AC11" i="28"/>
  <c r="AC10" i="28"/>
  <c r="AC9" i="28"/>
  <c r="AC20" i="20"/>
  <c r="AC19" i="20"/>
  <c r="AC18" i="20"/>
  <c r="AC17" i="20"/>
  <c r="AC16" i="20"/>
  <c r="AC15" i="20"/>
  <c r="AC14" i="20"/>
  <c r="AC13" i="20"/>
  <c r="AC12" i="20"/>
  <c r="AC11" i="20"/>
  <c r="AC10" i="20"/>
  <c r="AC9" i="20"/>
  <c r="Y20" i="20" l="1"/>
  <c r="Y19" i="20"/>
  <c r="Y18" i="20"/>
  <c r="Y17" i="20"/>
  <c r="Y16" i="20"/>
  <c r="Y15" i="20"/>
  <c r="Y14" i="20"/>
  <c r="Y13" i="20"/>
  <c r="Y12" i="20"/>
  <c r="Y11" i="20"/>
  <c r="Y10" i="20"/>
  <c r="B21" i="28" l="1"/>
  <c r="B21" i="29"/>
  <c r="B21" i="17"/>
  <c r="B21" i="16"/>
  <c r="B21" i="11"/>
  <c r="B21" i="10"/>
  <c r="AB21" i="10" l="1"/>
  <c r="I30" i="30"/>
  <c r="H35" i="30" l="1"/>
  <c r="F38" i="30"/>
  <c r="Q26" i="30"/>
  <c r="C36" i="30"/>
  <c r="C31" i="30"/>
  <c r="D38" i="30"/>
  <c r="A26" i="30"/>
  <c r="C3" i="30"/>
  <c r="F3" i="30"/>
  <c r="J3" i="30"/>
  <c r="K3" i="30"/>
  <c r="L3" i="30"/>
  <c r="M3" i="30"/>
  <c r="N3" i="30"/>
  <c r="B26" i="30"/>
  <c r="C26" i="30"/>
  <c r="D26" i="30"/>
  <c r="E26" i="30"/>
  <c r="F26" i="30"/>
  <c r="G26" i="30"/>
  <c r="H26" i="30"/>
  <c r="I26" i="30"/>
  <c r="J26" i="30"/>
  <c r="K26" i="30"/>
  <c r="L26" i="30"/>
  <c r="M26" i="30"/>
  <c r="N26" i="30"/>
  <c r="O26" i="30"/>
  <c r="F40" i="30" s="1"/>
  <c r="P26" i="30"/>
  <c r="F41" i="30" s="1"/>
  <c r="R26" i="30"/>
  <c r="S26" i="30"/>
  <c r="T26" i="30"/>
  <c r="U26" i="30"/>
  <c r="V26" i="30"/>
  <c r="W26" i="30"/>
  <c r="X26" i="30"/>
  <c r="Y26" i="30"/>
  <c r="Z26" i="30"/>
  <c r="AA26" i="30"/>
  <c r="AB26" i="30"/>
  <c r="AC26" i="30"/>
  <c r="AD26" i="30"/>
  <c r="AE26" i="30"/>
  <c r="AF26" i="30"/>
  <c r="AG26" i="30"/>
  <c r="AH26" i="30"/>
  <c r="AI26" i="30"/>
  <c r="AJ26" i="30"/>
  <c r="AK26" i="30"/>
  <c r="AL26" i="30"/>
  <c r="AM26" i="30"/>
  <c r="AC10" i="23"/>
  <c r="AD10" i="23" s="1"/>
  <c r="AC11" i="23"/>
  <c r="AC12" i="23"/>
  <c r="AD12" i="23" s="1"/>
  <c r="AC13" i="23"/>
  <c r="AD13" i="23" s="1"/>
  <c r="AC14" i="23"/>
  <c r="AD14" i="23" s="1"/>
  <c r="AC15" i="23"/>
  <c r="AD15" i="23" s="1"/>
  <c r="AC16" i="23"/>
  <c r="AD16" i="23" s="1"/>
  <c r="AC17" i="23"/>
  <c r="AD17" i="23" s="1"/>
  <c r="AC18" i="23"/>
  <c r="AD18" i="23" s="1"/>
  <c r="AC19" i="23"/>
  <c r="AD19" i="23" s="1"/>
  <c r="AC20" i="23"/>
  <c r="AD20" i="23" s="1"/>
  <c r="AC10" i="24"/>
  <c r="AD10" i="24" s="1"/>
  <c r="AC11" i="24"/>
  <c r="AD11" i="24" s="1"/>
  <c r="AC12" i="24"/>
  <c r="AD12" i="24" s="1"/>
  <c r="AC13" i="24"/>
  <c r="AD13" i="24" s="1"/>
  <c r="AC14" i="24"/>
  <c r="AD14" i="24" s="1"/>
  <c r="AC15" i="24"/>
  <c r="AD15" i="24" s="1"/>
  <c r="AC16" i="24"/>
  <c r="AD16" i="24" s="1"/>
  <c r="AC17" i="24"/>
  <c r="AD17" i="24" s="1"/>
  <c r="AC18" i="24"/>
  <c r="AD18" i="24" s="1"/>
  <c r="AC19" i="24"/>
  <c r="AD19" i="24" s="1"/>
  <c r="AC20" i="24"/>
  <c r="AD20" i="24" s="1"/>
  <c r="AC9" i="23"/>
  <c r="AD9" i="23" s="1"/>
  <c r="AC9" i="24"/>
  <c r="AD9" i="24" s="1"/>
  <c r="Z10" i="23"/>
  <c r="Z11" i="23"/>
  <c r="Z12" i="23"/>
  <c r="Z13" i="23"/>
  <c r="Z14" i="23"/>
  <c r="Z15" i="23"/>
  <c r="Z16" i="23"/>
  <c r="Z17" i="23"/>
  <c r="Z18" i="23"/>
  <c r="Z19" i="23"/>
  <c r="Z20" i="23"/>
  <c r="Z9" i="23"/>
  <c r="Y10" i="23"/>
  <c r="AA10" i="23" s="1"/>
  <c r="Y11" i="23"/>
  <c r="Y12" i="23"/>
  <c r="Y13" i="23"/>
  <c r="AA13" i="23" s="1"/>
  <c r="Y14" i="23"/>
  <c r="AA14" i="23" s="1"/>
  <c r="Y15" i="23"/>
  <c r="AA15" i="23" s="1"/>
  <c r="Y16" i="23"/>
  <c r="AA16" i="23" s="1"/>
  <c r="Y17" i="23"/>
  <c r="AA17" i="23" s="1"/>
  <c r="Y18" i="23"/>
  <c r="AA18" i="23" s="1"/>
  <c r="Y19" i="23"/>
  <c r="AA19" i="23" s="1"/>
  <c r="Y20" i="23"/>
  <c r="AA20" i="23" s="1"/>
  <c r="Y9" i="23"/>
  <c r="AA9" i="23" s="1"/>
  <c r="Z10" i="24"/>
  <c r="Z11" i="24"/>
  <c r="Z12" i="24"/>
  <c r="Z13" i="24"/>
  <c r="Z14" i="24"/>
  <c r="Z15" i="24"/>
  <c r="Z16" i="24"/>
  <c r="Z17" i="24"/>
  <c r="Z18" i="24"/>
  <c r="Z19" i="24"/>
  <c r="Z20" i="24"/>
  <c r="Z9" i="24"/>
  <c r="Y10" i="24"/>
  <c r="AA10" i="24" s="1"/>
  <c r="Y11" i="24"/>
  <c r="Y12" i="24"/>
  <c r="AA12" i="24" s="1"/>
  <c r="Y13" i="24"/>
  <c r="AA13" i="24" s="1"/>
  <c r="Y14" i="24"/>
  <c r="AA14" i="24" s="1"/>
  <c r="Y15" i="24"/>
  <c r="AA15" i="24" s="1"/>
  <c r="Y16" i="24"/>
  <c r="AA16" i="24" s="1"/>
  <c r="Y17" i="24"/>
  <c r="AA17" i="24" s="1"/>
  <c r="Y18" i="24"/>
  <c r="AA18" i="24" s="1"/>
  <c r="Y19" i="24"/>
  <c r="AA19" i="24" s="1"/>
  <c r="Y20" i="24"/>
  <c r="AA20" i="24" s="1"/>
  <c r="Y9" i="24"/>
  <c r="AA9" i="24" s="1"/>
  <c r="AC10" i="22"/>
  <c r="AD10" i="22" s="1"/>
  <c r="AC11" i="22"/>
  <c r="AD11" i="22" s="1"/>
  <c r="AC12" i="22"/>
  <c r="AD12" i="22" s="1"/>
  <c r="AC13" i="22"/>
  <c r="AD13" i="22" s="1"/>
  <c r="AC14" i="22"/>
  <c r="AD14" i="22" s="1"/>
  <c r="AC15" i="22"/>
  <c r="AD15" i="22" s="1"/>
  <c r="AC16" i="22"/>
  <c r="AD16" i="22" s="1"/>
  <c r="AC17" i="22"/>
  <c r="AD17" i="22" s="1"/>
  <c r="AC18" i="22"/>
  <c r="AD18" i="22" s="1"/>
  <c r="AC19" i="22"/>
  <c r="AD19" i="22" s="1"/>
  <c r="AC20" i="22"/>
  <c r="AD20" i="22" s="1"/>
  <c r="AC9" i="22"/>
  <c r="AD9" i="22" s="1"/>
  <c r="Z10" i="22"/>
  <c r="Z11" i="22"/>
  <c r="Z12" i="22"/>
  <c r="Z13" i="22"/>
  <c r="Z14" i="22"/>
  <c r="Z15" i="22"/>
  <c r="Z16" i="22"/>
  <c r="Z17" i="22"/>
  <c r="Z18" i="22"/>
  <c r="Z19" i="22"/>
  <c r="Z20" i="22"/>
  <c r="Z9" i="22"/>
  <c r="Y10" i="22"/>
  <c r="AA10" i="22" s="1"/>
  <c r="Y11" i="22"/>
  <c r="AA11" i="22" s="1"/>
  <c r="Y12" i="22"/>
  <c r="AA12" i="22" s="1"/>
  <c r="Y13" i="22"/>
  <c r="AA13" i="22" s="1"/>
  <c r="Y14" i="22"/>
  <c r="AA14" i="22" s="1"/>
  <c r="Y15" i="22"/>
  <c r="Y16" i="22"/>
  <c r="AA16" i="22" s="1"/>
  <c r="Y17" i="22"/>
  <c r="AA17" i="22" s="1"/>
  <c r="Y18" i="22"/>
  <c r="AA18" i="22" s="1"/>
  <c r="Y19" i="22"/>
  <c r="AA19" i="22" s="1"/>
  <c r="Y20" i="22"/>
  <c r="AA20" i="22" s="1"/>
  <c r="Y9" i="22"/>
  <c r="AA9" i="22" s="1"/>
  <c r="AD10" i="21"/>
  <c r="AD11" i="21"/>
  <c r="AD12" i="21"/>
  <c r="AD13" i="21"/>
  <c r="AD14" i="21"/>
  <c r="AD15" i="21"/>
  <c r="AD16" i="21"/>
  <c r="AD17" i="21"/>
  <c r="AD18" i="21"/>
  <c r="AD19" i="21"/>
  <c r="AD20" i="21"/>
  <c r="AD9" i="21"/>
  <c r="Z10" i="21"/>
  <c r="Z11" i="21"/>
  <c r="Z12" i="21"/>
  <c r="Z13" i="21"/>
  <c r="AB13" i="21" s="1"/>
  <c r="Z14" i="21"/>
  <c r="Z15" i="21"/>
  <c r="Z16" i="21"/>
  <c r="Z17" i="21"/>
  <c r="Z18" i="21"/>
  <c r="Z19" i="21"/>
  <c r="Z20" i="21"/>
  <c r="Z9" i="21"/>
  <c r="AA10" i="21"/>
  <c r="AA11" i="21"/>
  <c r="AA12" i="21"/>
  <c r="AA13" i="21"/>
  <c r="AA14" i="21"/>
  <c r="AA15" i="21"/>
  <c r="AA16" i="21"/>
  <c r="AA17" i="21"/>
  <c r="AA18" i="21"/>
  <c r="AA19" i="21"/>
  <c r="AA20" i="21"/>
  <c r="AA9" i="21"/>
  <c r="L21" i="23"/>
  <c r="Z21" i="13" s="1"/>
  <c r="Z14" i="30" s="1"/>
  <c r="K21" i="23"/>
  <c r="Y21" i="13" s="1"/>
  <c r="Y14" i="30" s="1"/>
  <c r="L21" i="24"/>
  <c r="Z20" i="13" s="1"/>
  <c r="K21" i="24"/>
  <c r="Y20" i="13" s="1"/>
  <c r="Y13" i="30" s="1"/>
  <c r="L21" i="22"/>
  <c r="Z19" i="13" s="1"/>
  <c r="Z12" i="30" s="1"/>
  <c r="K21" i="22"/>
  <c r="Y19" i="13" s="1"/>
  <c r="L21" i="21"/>
  <c r="Z18" i="13" s="1"/>
  <c r="K21" i="21"/>
  <c r="Y18" i="13" s="1"/>
  <c r="D21" i="28"/>
  <c r="J44" i="29"/>
  <c r="I44" i="29"/>
  <c r="F44" i="29"/>
  <c r="J43" i="29"/>
  <c r="I43" i="29"/>
  <c r="F43" i="29"/>
  <c r="J42" i="29"/>
  <c r="I42" i="29"/>
  <c r="F42" i="29"/>
  <c r="J41" i="29"/>
  <c r="I41" i="29"/>
  <c r="F41" i="29"/>
  <c r="J40" i="29"/>
  <c r="I40" i="29"/>
  <c r="F40" i="29"/>
  <c r="J39" i="29"/>
  <c r="I39" i="29"/>
  <c r="F39" i="29"/>
  <c r="J38" i="29"/>
  <c r="I38" i="29"/>
  <c r="F38" i="29"/>
  <c r="X21" i="29"/>
  <c r="W21" i="29"/>
  <c r="V21" i="29"/>
  <c r="U21" i="29"/>
  <c r="T21" i="29"/>
  <c r="S21" i="29"/>
  <c r="R21" i="29"/>
  <c r="Q21" i="29"/>
  <c r="P21" i="29"/>
  <c r="O21" i="29"/>
  <c r="N21" i="29"/>
  <c r="M21" i="29"/>
  <c r="L21" i="29"/>
  <c r="Z15" i="13" s="1"/>
  <c r="Z8" i="30" s="1"/>
  <c r="K21" i="29"/>
  <c r="Y15" i="13" s="1"/>
  <c r="J21" i="29"/>
  <c r="I21" i="29"/>
  <c r="H21" i="29"/>
  <c r="G21" i="29"/>
  <c r="F21" i="29"/>
  <c r="E21" i="29"/>
  <c r="D21" i="29"/>
  <c r="C21" i="29"/>
  <c r="A9" i="29"/>
  <c r="J44" i="28"/>
  <c r="I44" i="28"/>
  <c r="F44" i="28"/>
  <c r="J43" i="28"/>
  <c r="I43" i="28"/>
  <c r="F43" i="28"/>
  <c r="J42" i="28"/>
  <c r="I42" i="28"/>
  <c r="F42" i="28"/>
  <c r="J41" i="28"/>
  <c r="I41" i="28"/>
  <c r="F41" i="28"/>
  <c r="J40" i="28"/>
  <c r="I40" i="28"/>
  <c r="F40" i="28"/>
  <c r="J39" i="28"/>
  <c r="I39" i="28"/>
  <c r="F39" i="28"/>
  <c r="J38" i="28"/>
  <c r="I38" i="28"/>
  <c r="F38" i="28"/>
  <c r="X21" i="28"/>
  <c r="W21" i="28"/>
  <c r="V21" i="28"/>
  <c r="U21" i="28"/>
  <c r="T21" i="28"/>
  <c r="S21" i="28"/>
  <c r="R21" i="28"/>
  <c r="Q21" i="28"/>
  <c r="P21" i="28"/>
  <c r="O21" i="28"/>
  <c r="N21" i="28"/>
  <c r="M21" i="28"/>
  <c r="AA16" i="13" s="1"/>
  <c r="L21" i="28"/>
  <c r="Z16" i="13" s="1"/>
  <c r="Z9" i="30" s="1"/>
  <c r="K21" i="28"/>
  <c r="Y16" i="13" s="1"/>
  <c r="Y9" i="30" s="1"/>
  <c r="J21" i="28"/>
  <c r="I21" i="28"/>
  <c r="H21" i="28"/>
  <c r="G21" i="28"/>
  <c r="F21" i="28"/>
  <c r="E21" i="28"/>
  <c r="AA38" i="29" s="1"/>
  <c r="Z21" i="28"/>
  <c r="C21" i="28"/>
  <c r="AA40" i="29"/>
  <c r="AD20" i="28"/>
  <c r="Z20" i="28"/>
  <c r="AB20" i="28"/>
  <c r="AA20" i="28"/>
  <c r="AD19" i="28"/>
  <c r="Z19" i="28"/>
  <c r="AB19" i="28"/>
  <c r="AA19" i="28"/>
  <c r="AD18" i="28"/>
  <c r="Z18" i="28"/>
  <c r="AB18" i="28"/>
  <c r="AA18" i="28"/>
  <c r="AD17" i="28"/>
  <c r="Z17" i="28"/>
  <c r="AB17" i="28"/>
  <c r="AA17" i="28"/>
  <c r="AD16" i="28"/>
  <c r="Z16" i="28"/>
  <c r="AB16" i="28"/>
  <c r="AA16" i="28"/>
  <c r="AD15" i="28"/>
  <c r="Z15" i="28"/>
  <c r="AB15" i="28"/>
  <c r="AA15" i="28"/>
  <c r="AD14" i="28"/>
  <c r="Z14" i="28"/>
  <c r="AB14" i="28"/>
  <c r="AA14" i="28"/>
  <c r="AD13" i="28"/>
  <c r="Z13" i="28"/>
  <c r="AB13" i="28"/>
  <c r="AA13" i="28"/>
  <c r="AD12" i="28"/>
  <c r="Z12" i="28"/>
  <c r="AB12" i="28" s="1"/>
  <c r="AA12" i="28"/>
  <c r="AD11" i="28"/>
  <c r="Z11" i="28"/>
  <c r="AB11" i="28"/>
  <c r="AA11" i="28"/>
  <c r="AD10" i="28"/>
  <c r="Z10" i="28"/>
  <c r="AB10" i="28" s="1"/>
  <c r="AA10" i="28"/>
  <c r="AD9" i="28"/>
  <c r="Z9" i="28"/>
  <c r="AB9" i="28"/>
  <c r="AA9" i="28"/>
  <c r="A9" i="28"/>
  <c r="A10" i="28" s="1"/>
  <c r="A11" i="28" s="1"/>
  <c r="AD9" i="20"/>
  <c r="AD10" i="20"/>
  <c r="AD11" i="20"/>
  <c r="AD12" i="20"/>
  <c r="AD13" i="20"/>
  <c r="AD14" i="20"/>
  <c r="AD15" i="20"/>
  <c r="AD16" i="20"/>
  <c r="AD17" i="20"/>
  <c r="AD18" i="20"/>
  <c r="AD19" i="20"/>
  <c r="AD20" i="20"/>
  <c r="Z10" i="20"/>
  <c r="Z11" i="20"/>
  <c r="AB11" i="20" s="1"/>
  <c r="Z12" i="20"/>
  <c r="AB12" i="20"/>
  <c r="Z13" i="20"/>
  <c r="Z14" i="20"/>
  <c r="Z15" i="20"/>
  <c r="Z16" i="20"/>
  <c r="AB16" i="20" s="1"/>
  <c r="Z17" i="20"/>
  <c r="Z18" i="20"/>
  <c r="Z19" i="20"/>
  <c r="Z20" i="20"/>
  <c r="AB20" i="20"/>
  <c r="Z9" i="20"/>
  <c r="AA10" i="20"/>
  <c r="AA11" i="20"/>
  <c r="AA12" i="20"/>
  <c r="AA13" i="20"/>
  <c r="AA14" i="20"/>
  <c r="AA15" i="20"/>
  <c r="AA16" i="20"/>
  <c r="AA17" i="20"/>
  <c r="AA18" i="20"/>
  <c r="AA19" i="20"/>
  <c r="AA20" i="20"/>
  <c r="AA11" i="23"/>
  <c r="AA12" i="23"/>
  <c r="P22" i="13"/>
  <c r="L21" i="10"/>
  <c r="Z10" i="13" s="1"/>
  <c r="K21" i="10"/>
  <c r="Y10" i="13" s="1"/>
  <c r="L21" i="11"/>
  <c r="Z11" i="13" s="1"/>
  <c r="Z4" i="30" s="1"/>
  <c r="K21" i="11"/>
  <c r="Y11" i="13" s="1"/>
  <c r="L21" i="12"/>
  <c r="Z12" i="13" s="1"/>
  <c r="K21" i="12"/>
  <c r="Y12" i="13" s="1"/>
  <c r="Y5" i="30" s="1"/>
  <c r="L21" i="16"/>
  <c r="Z13" i="13" s="1"/>
  <c r="Z6" i="30" s="1"/>
  <c r="K21" i="16"/>
  <c r="Y13" i="13" s="1"/>
  <c r="Y6" i="30" s="1"/>
  <c r="L21" i="17"/>
  <c r="Z14" i="13" s="1"/>
  <c r="Z7" i="30" s="1"/>
  <c r="K21" i="17"/>
  <c r="Y14" i="13" s="1"/>
  <c r="AB16" i="13"/>
  <c r="AB9" i="30" s="1"/>
  <c r="A9" i="23"/>
  <c r="A10" i="23" s="1"/>
  <c r="A9" i="24"/>
  <c r="A10" i="24" s="1"/>
  <c r="A11" i="24" s="1"/>
  <c r="A9" i="22"/>
  <c r="AE9" i="22"/>
  <c r="AF10" i="22" s="1"/>
  <c r="A9" i="21"/>
  <c r="A10" i="21" s="1"/>
  <c r="AE10" i="21" s="1"/>
  <c r="A9" i="20"/>
  <c r="A10" i="20" s="1"/>
  <c r="AE10" i="20" s="1"/>
  <c r="A9" i="17"/>
  <c r="A9" i="16"/>
  <c r="A10" i="16" s="1"/>
  <c r="A11" i="16" s="1"/>
  <c r="A9" i="12"/>
  <c r="AE9" i="12" s="1"/>
  <c r="A9" i="11"/>
  <c r="A10" i="11" s="1"/>
  <c r="A9" i="10"/>
  <c r="A10" i="10" s="1"/>
  <c r="A11" i="10"/>
  <c r="AE11" i="10" s="1"/>
  <c r="DH32" i="25"/>
  <c r="J7" i="25"/>
  <c r="DH33" i="25"/>
  <c r="CJ33" i="25"/>
  <c r="CI33" i="25"/>
  <c r="AL9" i="13"/>
  <c r="CJ40" i="25" s="1"/>
  <c r="AK9" i="13"/>
  <c r="CI40" i="25" s="1"/>
  <c r="AL8" i="13"/>
  <c r="CJ39" i="25" s="1"/>
  <c r="AK8" i="13"/>
  <c r="CI39" i="25" s="1"/>
  <c r="AL7" i="13"/>
  <c r="CJ38" i="25" s="1"/>
  <c r="AK7" i="13"/>
  <c r="CI38" i="25" s="1"/>
  <c r="AL6" i="13"/>
  <c r="CJ37" i="25" s="1"/>
  <c r="AK6" i="13"/>
  <c r="CI37" i="25" s="1"/>
  <c r="AL5" i="13"/>
  <c r="CJ36" i="25" s="1"/>
  <c r="AK5" i="13"/>
  <c r="CI36" i="25" s="1"/>
  <c r="AL4" i="13"/>
  <c r="CJ35" i="25" s="1"/>
  <c r="AK4" i="13"/>
  <c r="CI35" i="25" s="1"/>
  <c r="AL3" i="13"/>
  <c r="CJ34" i="25" s="1"/>
  <c r="AK3" i="13"/>
  <c r="CI34" i="25" s="1"/>
  <c r="L21" i="20"/>
  <c r="Z17" i="13" s="1"/>
  <c r="Z10" i="30" s="1"/>
  <c r="K21" i="20"/>
  <c r="A22" i="13"/>
  <c r="B53" i="25" s="1"/>
  <c r="C20" i="25" s="1"/>
  <c r="A23" i="13"/>
  <c r="A24" i="13"/>
  <c r="B55" i="25" s="1"/>
  <c r="C22" i="25" s="1"/>
  <c r="A25" i="13"/>
  <c r="A26" i="13"/>
  <c r="A27" i="13"/>
  <c r="B58" i="25" s="1"/>
  <c r="C25" i="25" s="1"/>
  <c r="A28" i="13"/>
  <c r="B59" i="25" s="1"/>
  <c r="C26" i="25" s="1"/>
  <c r="A29" i="13"/>
  <c r="B60" i="25" s="1"/>
  <c r="C27" i="25" s="1"/>
  <c r="A30" i="13"/>
  <c r="A21" i="13"/>
  <c r="B52" i="25" s="1"/>
  <c r="C19" i="25" s="1"/>
  <c r="AS39" i="25"/>
  <c r="AT39" i="25"/>
  <c r="AS40" i="25"/>
  <c r="AT40" i="25"/>
  <c r="AT42" i="25"/>
  <c r="AS44" i="25"/>
  <c r="AT45" i="25"/>
  <c r="AS47" i="25"/>
  <c r="AT47" i="25"/>
  <c r="AT48" i="25"/>
  <c r="AT50" i="25"/>
  <c r="AS51" i="25"/>
  <c r="AS52" i="25"/>
  <c r="AT52" i="25"/>
  <c r="AS53" i="25"/>
  <c r="AT53" i="25"/>
  <c r="AS54" i="25"/>
  <c r="AT54" i="25"/>
  <c r="AS55" i="25"/>
  <c r="AT55" i="25"/>
  <c r="AS56" i="25"/>
  <c r="AT56" i="25"/>
  <c r="AS57" i="25"/>
  <c r="AT57" i="25"/>
  <c r="AS58" i="25"/>
  <c r="AT58" i="25"/>
  <c r="AS59" i="25"/>
  <c r="AT59" i="25"/>
  <c r="AS60" i="25"/>
  <c r="AT60" i="25"/>
  <c r="AS61" i="25"/>
  <c r="AT61" i="25"/>
  <c r="AS36" i="25"/>
  <c r="AT36" i="25"/>
  <c r="AS37" i="25"/>
  <c r="AT37" i="25"/>
  <c r="AS38" i="25"/>
  <c r="AT38" i="25"/>
  <c r="AT35" i="25"/>
  <c r="AS35" i="25"/>
  <c r="AT34" i="25"/>
  <c r="AS34" i="25"/>
  <c r="DI53" i="25"/>
  <c r="K20" i="25" s="1"/>
  <c r="P23" i="13"/>
  <c r="DI54" i="25" s="1"/>
  <c r="K21" i="25" s="1"/>
  <c r="P24" i="13"/>
  <c r="DI55" i="25" s="1"/>
  <c r="K22" i="25" s="1"/>
  <c r="P25" i="13"/>
  <c r="DI56" i="25" s="1"/>
  <c r="K23" i="25" s="1"/>
  <c r="P26" i="13"/>
  <c r="DI57" i="25"/>
  <c r="K24" i="25" s="1"/>
  <c r="P27" i="13"/>
  <c r="P28" i="13"/>
  <c r="DI59" i="25"/>
  <c r="K26" i="25" s="1"/>
  <c r="P29" i="13"/>
  <c r="DI60" i="25" s="1"/>
  <c r="K27" i="25" s="1"/>
  <c r="P30" i="13"/>
  <c r="DI61" i="25"/>
  <c r="K28" i="25" s="1"/>
  <c r="CQ53" i="25"/>
  <c r="CR53" i="25"/>
  <c r="CS53" i="25"/>
  <c r="CT53" i="25"/>
  <c r="CU53" i="25"/>
  <c r="B54" i="25"/>
  <c r="C21" i="25" s="1"/>
  <c r="CQ54" i="25"/>
  <c r="CR54" i="25"/>
  <c r="CS54" i="25"/>
  <c r="CT54" i="25"/>
  <c r="CU54" i="25"/>
  <c r="CQ55" i="25"/>
  <c r="CR55" i="25"/>
  <c r="CS55" i="25"/>
  <c r="CT55" i="25"/>
  <c r="CU55" i="25"/>
  <c r="B56" i="25"/>
  <c r="C23" i="25" s="1"/>
  <c r="CQ56" i="25"/>
  <c r="CR56" i="25"/>
  <c r="CS56" i="25"/>
  <c r="CT56" i="25"/>
  <c r="CU56" i="25"/>
  <c r="B57" i="25"/>
  <c r="C24" i="25" s="1"/>
  <c r="CQ57" i="25"/>
  <c r="CR57" i="25"/>
  <c r="CS57" i="25"/>
  <c r="CT57" i="25"/>
  <c r="CU57" i="25"/>
  <c r="DI58" i="25"/>
  <c r="K25" i="25" s="1"/>
  <c r="CQ58" i="25"/>
  <c r="CR58" i="25"/>
  <c r="CS58" i="25"/>
  <c r="CT58" i="25"/>
  <c r="CU58" i="25"/>
  <c r="CQ59" i="25"/>
  <c r="CR59" i="25"/>
  <c r="CS59" i="25"/>
  <c r="CT59" i="25"/>
  <c r="CU59" i="25"/>
  <c r="CQ60" i="25"/>
  <c r="CR60" i="25"/>
  <c r="CS60" i="25"/>
  <c r="CT60" i="25"/>
  <c r="CU60" i="25"/>
  <c r="B61" i="25"/>
  <c r="C28" i="25" s="1"/>
  <c r="CQ61" i="25"/>
  <c r="CR61" i="25"/>
  <c r="CS61" i="25"/>
  <c r="CT61" i="25"/>
  <c r="CU61" i="25"/>
  <c r="D20" i="25"/>
  <c r="D21" i="25"/>
  <c r="D22" i="25"/>
  <c r="D23" i="25"/>
  <c r="D24" i="25"/>
  <c r="D25" i="25"/>
  <c r="D26" i="25"/>
  <c r="D27" i="25"/>
  <c r="D28" i="25"/>
  <c r="E20" i="25"/>
  <c r="M20" i="25"/>
  <c r="AS20" i="25"/>
  <c r="AT20" i="25"/>
  <c r="AU20" i="25"/>
  <c r="AV20" i="25"/>
  <c r="AW20" i="25"/>
  <c r="AX20" i="25"/>
  <c r="AY20" i="25"/>
  <c r="AZ20" i="25"/>
  <c r="BA20" i="25"/>
  <c r="E21" i="25"/>
  <c r="M21" i="25"/>
  <c r="AS21" i="25"/>
  <c r="AT21" i="25"/>
  <c r="AU21" i="25"/>
  <c r="AV21" i="25"/>
  <c r="AW21" i="25"/>
  <c r="AX21" i="25"/>
  <c r="AY21" i="25"/>
  <c r="AZ21" i="25"/>
  <c r="BA21" i="25"/>
  <c r="E22" i="25"/>
  <c r="M22" i="25"/>
  <c r="AS22" i="25"/>
  <c r="AT22" i="25"/>
  <c r="AU22" i="25"/>
  <c r="AV22" i="25"/>
  <c r="AW22" i="25"/>
  <c r="AX22" i="25"/>
  <c r="AY22" i="25"/>
  <c r="AZ22" i="25"/>
  <c r="BA22" i="25"/>
  <c r="E23" i="25"/>
  <c r="M23" i="25"/>
  <c r="AS23" i="25"/>
  <c r="AT23" i="25"/>
  <c r="AU23" i="25"/>
  <c r="AV23" i="25"/>
  <c r="AW23" i="25"/>
  <c r="AX23" i="25"/>
  <c r="AY23" i="25"/>
  <c r="AZ23" i="25"/>
  <c r="BA23" i="25"/>
  <c r="E24" i="25"/>
  <c r="M24" i="25"/>
  <c r="AS24" i="25"/>
  <c r="AT24" i="25"/>
  <c r="AU24" i="25"/>
  <c r="AV24" i="25"/>
  <c r="AW24" i="25"/>
  <c r="AX24" i="25"/>
  <c r="AY24" i="25"/>
  <c r="AZ24" i="25"/>
  <c r="BA24" i="25"/>
  <c r="E25" i="25"/>
  <c r="M25" i="25"/>
  <c r="AS25" i="25"/>
  <c r="AT25" i="25"/>
  <c r="AU25" i="25"/>
  <c r="AV25" i="25"/>
  <c r="AW25" i="25"/>
  <c r="AX25" i="25"/>
  <c r="AY25" i="25"/>
  <c r="AZ25" i="25"/>
  <c r="BA25" i="25"/>
  <c r="E26" i="25"/>
  <c r="M26" i="25"/>
  <c r="AS26" i="25"/>
  <c r="AT26" i="25"/>
  <c r="AU26" i="25"/>
  <c r="AV26" i="25"/>
  <c r="AW26" i="25"/>
  <c r="AX26" i="25"/>
  <c r="AY26" i="25"/>
  <c r="AZ26" i="25"/>
  <c r="BA26" i="25"/>
  <c r="E27" i="25"/>
  <c r="M27" i="25"/>
  <c r="AS27" i="25"/>
  <c r="AT27" i="25"/>
  <c r="AU27" i="25"/>
  <c r="AV27" i="25"/>
  <c r="AW27" i="25"/>
  <c r="AX27" i="25"/>
  <c r="AY27" i="25"/>
  <c r="AZ27" i="25"/>
  <c r="BA27" i="25"/>
  <c r="E28" i="25"/>
  <c r="M28" i="25"/>
  <c r="AS28" i="25"/>
  <c r="AT28" i="25"/>
  <c r="AU28" i="25"/>
  <c r="AV28" i="25"/>
  <c r="AW28" i="25"/>
  <c r="AX28" i="25"/>
  <c r="AY28" i="25"/>
  <c r="AZ28" i="25"/>
  <c r="BA28" i="25"/>
  <c r="G35" i="30"/>
  <c r="E21" i="20"/>
  <c r="E21" i="10"/>
  <c r="S10" i="13"/>
  <c r="S3" i="30" s="1"/>
  <c r="O16" i="13"/>
  <c r="O9" i="30" s="1"/>
  <c r="F6" i="4"/>
  <c r="G8" i="4"/>
  <c r="G10" i="4" s="1"/>
  <c r="T44" i="1"/>
  <c r="U44" i="1"/>
  <c r="V44" i="1"/>
  <c r="W44" i="1"/>
  <c r="X44" i="1"/>
  <c r="Y44" i="1"/>
  <c r="Z44" i="1"/>
  <c r="AA44" i="1"/>
  <c r="AB44" i="1"/>
  <c r="T45" i="1"/>
  <c r="U45" i="1"/>
  <c r="V45" i="1"/>
  <c r="W45" i="1"/>
  <c r="X45" i="1"/>
  <c r="Y45" i="1"/>
  <c r="Z45" i="1"/>
  <c r="AA45" i="1"/>
  <c r="AB45" i="1"/>
  <c r="T46" i="1"/>
  <c r="U46" i="1"/>
  <c r="V46" i="1"/>
  <c r="W46" i="1"/>
  <c r="X46" i="1"/>
  <c r="Y46" i="1"/>
  <c r="Z46" i="1"/>
  <c r="AA46" i="1"/>
  <c r="AB46" i="1"/>
  <c r="T47" i="1"/>
  <c r="U47" i="1"/>
  <c r="V47" i="1"/>
  <c r="W47" i="1"/>
  <c r="X47" i="1"/>
  <c r="Y47" i="1"/>
  <c r="Z47" i="1"/>
  <c r="AA47" i="1"/>
  <c r="AB47" i="1"/>
  <c r="T48" i="1"/>
  <c r="U48" i="1"/>
  <c r="V48" i="1"/>
  <c r="W48" i="1"/>
  <c r="X48" i="1"/>
  <c r="Y48" i="1"/>
  <c r="Z48" i="1"/>
  <c r="AA48" i="1"/>
  <c r="AB48" i="1"/>
  <c r="T49" i="1"/>
  <c r="U49" i="1"/>
  <c r="V49" i="1"/>
  <c r="W49" i="1"/>
  <c r="X49" i="1"/>
  <c r="Y49" i="1"/>
  <c r="Z49" i="1"/>
  <c r="AA49" i="1"/>
  <c r="AB49" i="1"/>
  <c r="T50" i="1"/>
  <c r="U50" i="1"/>
  <c r="V50" i="1"/>
  <c r="W50" i="1"/>
  <c r="X50" i="1"/>
  <c r="Y50" i="1"/>
  <c r="Z50" i="1"/>
  <c r="AA50" i="1"/>
  <c r="AB50" i="1"/>
  <c r="T51" i="1"/>
  <c r="U51" i="1"/>
  <c r="V51" i="1"/>
  <c r="W51" i="1"/>
  <c r="X51" i="1"/>
  <c r="Y51" i="1"/>
  <c r="Z51" i="1"/>
  <c r="AA51" i="1"/>
  <c r="AB51" i="1"/>
  <c r="T52" i="1"/>
  <c r="U52" i="1"/>
  <c r="V52" i="1"/>
  <c r="W52" i="1"/>
  <c r="X52" i="1"/>
  <c r="Y52" i="1"/>
  <c r="Z52" i="1"/>
  <c r="AA52" i="1"/>
  <c r="AB52" i="1"/>
  <c r="T53" i="1"/>
  <c r="U53" i="1"/>
  <c r="V53" i="1"/>
  <c r="W53" i="1"/>
  <c r="X53" i="1"/>
  <c r="Y53" i="1"/>
  <c r="Z53" i="1"/>
  <c r="AA53" i="1"/>
  <c r="AB53" i="1"/>
  <c r="O15" i="13"/>
  <c r="O53" i="13"/>
  <c r="Q53" i="13"/>
  <c r="AB17" i="23"/>
  <c r="AB14" i="23"/>
  <c r="AB13" i="23"/>
  <c r="AB9" i="23"/>
  <c r="AB20" i="22"/>
  <c r="AB16" i="22"/>
  <c r="AB12" i="22"/>
  <c r="AB20" i="21"/>
  <c r="AB19" i="21"/>
  <c r="AB16" i="21"/>
  <c r="AB15" i="21"/>
  <c r="AB12" i="21"/>
  <c r="AB11" i="21"/>
  <c r="R45" i="1"/>
  <c r="R46" i="1"/>
  <c r="R47" i="1"/>
  <c r="R48" i="1"/>
  <c r="R49" i="1"/>
  <c r="R50" i="1"/>
  <c r="R51" i="1"/>
  <c r="R52" i="1"/>
  <c r="R53" i="1"/>
  <c r="R44" i="1"/>
  <c r="S48" i="1"/>
  <c r="S45" i="1"/>
  <c r="S46" i="1"/>
  <c r="S47" i="1"/>
  <c r="S49" i="1"/>
  <c r="S50" i="1"/>
  <c r="S51" i="1"/>
  <c r="S52" i="1"/>
  <c r="S53" i="1"/>
  <c r="S44" i="1"/>
  <c r="CR46" i="25"/>
  <c r="CS46" i="25"/>
  <c r="CT46" i="25"/>
  <c r="CU46" i="25"/>
  <c r="CR47" i="25"/>
  <c r="CS47" i="25"/>
  <c r="CT47" i="25"/>
  <c r="CU47" i="25"/>
  <c r="CR48" i="25"/>
  <c r="CS48" i="25"/>
  <c r="CT48" i="25"/>
  <c r="CU48" i="25"/>
  <c r="CR49" i="25"/>
  <c r="CS49" i="25"/>
  <c r="CT49" i="25"/>
  <c r="CU49" i="25"/>
  <c r="CR50" i="25"/>
  <c r="CS50" i="25"/>
  <c r="CT50" i="25"/>
  <c r="CU50" i="25"/>
  <c r="CR51" i="25"/>
  <c r="CS51" i="25"/>
  <c r="CT51" i="25"/>
  <c r="CU51" i="25"/>
  <c r="CR52" i="25"/>
  <c r="CS52" i="25"/>
  <c r="CT52" i="25"/>
  <c r="CU52" i="25"/>
  <c r="CQ47" i="25"/>
  <c r="CQ48" i="25"/>
  <c r="CQ49" i="25"/>
  <c r="CQ50" i="25"/>
  <c r="CQ51" i="25"/>
  <c r="CQ52" i="25"/>
  <c r="CQ46" i="25"/>
  <c r="CU32" i="25"/>
  <c r="CU33" i="25"/>
  <c r="CU34" i="25"/>
  <c r="CU35" i="25"/>
  <c r="CU36" i="25"/>
  <c r="CU37" i="25"/>
  <c r="CU38" i="25"/>
  <c r="CU39" i="25"/>
  <c r="CU40" i="25"/>
  <c r="CU41" i="25"/>
  <c r="CU42" i="25"/>
  <c r="CU43" i="25"/>
  <c r="CU44" i="25"/>
  <c r="CU45" i="25"/>
  <c r="CR32" i="25"/>
  <c r="CS32" i="25"/>
  <c r="CT32" i="25"/>
  <c r="CR33" i="25"/>
  <c r="CS33" i="25"/>
  <c r="CT33" i="25"/>
  <c r="CR34" i="25"/>
  <c r="CS34" i="25"/>
  <c r="CT34" i="25"/>
  <c r="CR35" i="25"/>
  <c r="CS35" i="25"/>
  <c r="CT35" i="25"/>
  <c r="CR36" i="25"/>
  <c r="CS36" i="25"/>
  <c r="CT36" i="25"/>
  <c r="CR37" i="25"/>
  <c r="CS37" i="25"/>
  <c r="CT37" i="25"/>
  <c r="CR38" i="25"/>
  <c r="CS38" i="25"/>
  <c r="CT38" i="25"/>
  <c r="CR39" i="25"/>
  <c r="CS39" i="25"/>
  <c r="CT39" i="25"/>
  <c r="CR40" i="25"/>
  <c r="CS40" i="25"/>
  <c r="CT40" i="25"/>
  <c r="CR41" i="25"/>
  <c r="CS41" i="25"/>
  <c r="CT41" i="25"/>
  <c r="CR42" i="25"/>
  <c r="CS42" i="25"/>
  <c r="CT42" i="25"/>
  <c r="CR43" i="25"/>
  <c r="CS43" i="25"/>
  <c r="CT43" i="25"/>
  <c r="CR44" i="25"/>
  <c r="CS44" i="25"/>
  <c r="CT44" i="25"/>
  <c r="CR45" i="25"/>
  <c r="CS45" i="25"/>
  <c r="CT45" i="25"/>
  <c r="CQ32" i="25"/>
  <c r="CQ33" i="25"/>
  <c r="CQ34" i="25"/>
  <c r="CQ35" i="25"/>
  <c r="CQ36" i="25"/>
  <c r="CQ37" i="25"/>
  <c r="CQ38" i="25"/>
  <c r="CQ39" i="25"/>
  <c r="CQ40" i="25"/>
  <c r="CQ41" i="25"/>
  <c r="CQ42" i="25"/>
  <c r="CQ43" i="25"/>
  <c r="CQ44" i="25"/>
  <c r="CQ45" i="25"/>
  <c r="F9" i="4"/>
  <c r="G7" i="4"/>
  <c r="G6" i="4"/>
  <c r="V21" i="12"/>
  <c r="AJ12" i="13" s="1"/>
  <c r="AJ5" i="30" s="1"/>
  <c r="T21" i="12"/>
  <c r="AH12" i="13"/>
  <c r="AB10" i="23"/>
  <c r="AB11" i="23"/>
  <c r="AB12" i="23"/>
  <c r="AB15" i="23"/>
  <c r="AB16" i="23"/>
  <c r="AB18" i="23"/>
  <c r="AB19" i="23"/>
  <c r="AB20" i="23"/>
  <c r="AB10" i="24"/>
  <c r="AB11" i="24"/>
  <c r="AB12" i="24"/>
  <c r="AB13" i="24"/>
  <c r="AB14" i="24"/>
  <c r="AB15" i="24"/>
  <c r="AB16" i="24"/>
  <c r="AB17" i="24"/>
  <c r="AB18" i="24"/>
  <c r="AB19" i="24"/>
  <c r="AB20" i="24"/>
  <c r="AB9" i="24"/>
  <c r="AB10" i="22"/>
  <c r="AB11" i="22"/>
  <c r="AB13" i="22"/>
  <c r="AB14" i="22"/>
  <c r="AB15" i="22"/>
  <c r="AB17" i="22"/>
  <c r="AB18" i="22"/>
  <c r="AB19" i="22"/>
  <c r="AB9" i="22"/>
  <c r="AB10" i="21"/>
  <c r="AB14" i="21"/>
  <c r="AB17" i="21"/>
  <c r="AB18" i="21"/>
  <c r="AB9" i="21"/>
  <c r="AB10" i="20"/>
  <c r="AB13" i="20"/>
  <c r="AB14" i="20"/>
  <c r="AB15" i="20"/>
  <c r="AB17" i="20"/>
  <c r="AB18" i="20"/>
  <c r="AB19" i="20"/>
  <c r="AB9" i="20"/>
  <c r="B21" i="23"/>
  <c r="O26" i="13"/>
  <c r="B21" i="24"/>
  <c r="O20" i="13" s="1"/>
  <c r="B21" i="22"/>
  <c r="B21" i="21"/>
  <c r="C21" i="17"/>
  <c r="Q52" i="13" s="1"/>
  <c r="U21" i="17"/>
  <c r="AI14" i="13"/>
  <c r="AI7" i="30" s="1"/>
  <c r="CB45" i="25"/>
  <c r="V21" i="17"/>
  <c r="AJ14" i="13" s="1"/>
  <c r="AJ7" i="30" s="1"/>
  <c r="E21" i="16"/>
  <c r="S13" i="13"/>
  <c r="F21" i="16"/>
  <c r="T13" i="13"/>
  <c r="AF53" i="13"/>
  <c r="AB53" i="13"/>
  <c r="X15" i="13"/>
  <c r="V15" i="13"/>
  <c r="V8" i="30" s="1"/>
  <c r="AF46" i="25"/>
  <c r="AI16" i="13"/>
  <c r="AJ16" i="13"/>
  <c r="AJ9" i="30" s="1"/>
  <c r="AK16" i="13"/>
  <c r="X21" i="23"/>
  <c r="AL30" i="13" s="1"/>
  <c r="CJ61" i="25" s="1"/>
  <c r="AL22" i="13"/>
  <c r="CJ53" i="25"/>
  <c r="W21" i="23"/>
  <c r="AK27" i="13" s="1"/>
  <c r="CI58" i="25"/>
  <c r="V21" i="23"/>
  <c r="U21" i="23"/>
  <c r="T21" i="23"/>
  <c r="AH21" i="13" s="1"/>
  <c r="S21" i="23"/>
  <c r="R21" i="23"/>
  <c r="AF22" i="13" s="1"/>
  <c r="BO53" i="25" s="1"/>
  <c r="AF23" i="13"/>
  <c r="BO54" i="25" s="1"/>
  <c r="AF21" i="13"/>
  <c r="Q21" i="23"/>
  <c r="P21" i="23"/>
  <c r="O21" i="23"/>
  <c r="AC30" i="13" s="1"/>
  <c r="BG61" i="25" s="1"/>
  <c r="N21" i="23"/>
  <c r="AB27" i="13"/>
  <c r="BA58" i="25" s="1"/>
  <c r="M21" i="23"/>
  <c r="J21" i="23"/>
  <c r="X22" i="13" s="1"/>
  <c r="AM53" i="25" s="1"/>
  <c r="X59" i="13"/>
  <c r="I21" i="23"/>
  <c r="W22" i="13"/>
  <c r="AL53" i="25" s="1"/>
  <c r="H21" i="23"/>
  <c r="V22" i="13"/>
  <c r="AF53" i="25" s="1"/>
  <c r="G21" i="23"/>
  <c r="U23" i="13" s="1"/>
  <c r="AE54" i="25" s="1"/>
  <c r="U25" i="13"/>
  <c r="AE56" i="25"/>
  <c r="F21" i="23"/>
  <c r="T29" i="13" s="1"/>
  <c r="Y60" i="25"/>
  <c r="E21" i="23"/>
  <c r="S22" i="13"/>
  <c r="X53" i="25" s="1"/>
  <c r="D21" i="23"/>
  <c r="R29" i="13"/>
  <c r="R60" i="25" s="1"/>
  <c r="C21" i="23"/>
  <c r="Q28" i="13"/>
  <c r="Q59" i="25" s="1"/>
  <c r="X21" i="24"/>
  <c r="AL20" i="13"/>
  <c r="W21" i="24"/>
  <c r="AK20" i="13" s="1"/>
  <c r="AK13" i="30" s="1"/>
  <c r="V21" i="24"/>
  <c r="AJ20" i="13" s="1"/>
  <c r="U21" i="24"/>
  <c r="AI20" i="13" s="1"/>
  <c r="T21" i="24"/>
  <c r="AH20" i="13" s="1"/>
  <c r="AH13" i="30" s="1"/>
  <c r="BV51" i="25"/>
  <c r="S21" i="24"/>
  <c r="AG20" i="13"/>
  <c r="R21" i="24"/>
  <c r="AF58" i="13"/>
  <c r="Q21" i="24"/>
  <c r="AE20" i="13" s="1"/>
  <c r="AE13" i="30" s="1"/>
  <c r="BN51" i="25"/>
  <c r="P21" i="24"/>
  <c r="AD20" i="13"/>
  <c r="O21" i="24"/>
  <c r="N21" i="24"/>
  <c r="AB20" i="13" s="1"/>
  <c r="M21" i="24"/>
  <c r="AA58" i="13" s="1"/>
  <c r="J21" i="24"/>
  <c r="I21" i="24"/>
  <c r="H21" i="24"/>
  <c r="G21" i="24"/>
  <c r="U20" i="13"/>
  <c r="F21" i="24"/>
  <c r="T20" i="13"/>
  <c r="T13" i="30" s="1"/>
  <c r="E21" i="24"/>
  <c r="S20" i="13"/>
  <c r="S13" i="30" s="1"/>
  <c r="X51" i="25"/>
  <c r="D21" i="24"/>
  <c r="C21" i="24"/>
  <c r="X21" i="22"/>
  <c r="AL19" i="13"/>
  <c r="AL12" i="30" s="1"/>
  <c r="CJ50" i="25"/>
  <c r="W21" i="22"/>
  <c r="AK19" i="13" s="1"/>
  <c r="AK12" i="30" s="1"/>
  <c r="CI50" i="25"/>
  <c r="V21" i="22"/>
  <c r="AJ19" i="13" s="1"/>
  <c r="AJ12" i="30" s="1"/>
  <c r="CC50" i="25"/>
  <c r="U21" i="22"/>
  <c r="T21" i="22"/>
  <c r="AH19" i="13" s="1"/>
  <c r="S21" i="22"/>
  <c r="AI19" i="13"/>
  <c r="R21" i="22"/>
  <c r="AF19" i="13" s="1"/>
  <c r="AF12" i="30" s="1"/>
  <c r="Q21" i="22"/>
  <c r="P21" i="22"/>
  <c r="O21" i="22"/>
  <c r="N21" i="22"/>
  <c r="AB19" i="13"/>
  <c r="M21" i="22"/>
  <c r="J21" i="22"/>
  <c r="I21" i="22"/>
  <c r="W19" i="13" s="1"/>
  <c r="H21" i="22"/>
  <c r="V57" i="13" s="1"/>
  <c r="G21" i="22"/>
  <c r="F21" i="22"/>
  <c r="T57" i="13" s="1"/>
  <c r="E21" i="22"/>
  <c r="D21" i="22"/>
  <c r="C21" i="22"/>
  <c r="X21" i="21"/>
  <c r="AL18" i="13" s="1"/>
  <c r="AL11" i="30" s="1"/>
  <c r="CJ49" i="25"/>
  <c r="W21" i="21"/>
  <c r="AK18" i="13" s="1"/>
  <c r="V21" i="21"/>
  <c r="AJ18" i="13" s="1"/>
  <c r="U21" i="21"/>
  <c r="AI18" i="13"/>
  <c r="T21" i="21"/>
  <c r="AH18" i="13"/>
  <c r="AH11" i="30" s="1"/>
  <c r="S21" i="21"/>
  <c r="AG18" i="13" s="1"/>
  <c r="AG11" i="30" s="1"/>
  <c r="BU49" i="25"/>
  <c r="R21" i="21"/>
  <c r="Q21" i="21"/>
  <c r="P21" i="21"/>
  <c r="AD56" i="13"/>
  <c r="O21" i="21"/>
  <c r="N21" i="21"/>
  <c r="M21" i="21"/>
  <c r="AA56" i="13"/>
  <c r="J21" i="21"/>
  <c r="X18" i="13"/>
  <c r="I21" i="21"/>
  <c r="G21" i="21"/>
  <c r="F21" i="21"/>
  <c r="T18" i="13"/>
  <c r="T11" i="30" s="1"/>
  <c r="Y49" i="25"/>
  <c r="E21" i="21"/>
  <c r="S56" i="13" s="1"/>
  <c r="D21" i="21"/>
  <c r="C21" i="21"/>
  <c r="Q18" i="13"/>
  <c r="O18" i="13"/>
  <c r="O11" i="30" s="1"/>
  <c r="DH49" i="25"/>
  <c r="J16" i="25" s="1"/>
  <c r="X21" i="20"/>
  <c r="AL17" i="13"/>
  <c r="AL10" i="30" s="1"/>
  <c r="W21" i="20"/>
  <c r="AK17" i="13" s="1"/>
  <c r="AK10" i="30" s="1"/>
  <c r="V21" i="20"/>
  <c r="AJ17" i="13"/>
  <c r="U21" i="20"/>
  <c r="AI17" i="13"/>
  <c r="AI10" i="30" s="1"/>
  <c r="T21" i="20"/>
  <c r="AH17" i="13"/>
  <c r="AH10" i="30" s="1"/>
  <c r="S21" i="20"/>
  <c r="R21" i="20"/>
  <c r="Q21" i="20"/>
  <c r="AE55" i="13"/>
  <c r="P21" i="20"/>
  <c r="AD55" i="13" s="1"/>
  <c r="O21" i="20"/>
  <c r="N21" i="20"/>
  <c r="AB55" i="13"/>
  <c r="M21" i="20"/>
  <c r="AA55" i="13"/>
  <c r="J21" i="20"/>
  <c r="X55" i="13"/>
  <c r="I21" i="20"/>
  <c r="W17" i="13" s="1"/>
  <c r="H21" i="20"/>
  <c r="V17" i="13" s="1"/>
  <c r="G21" i="20"/>
  <c r="U55" i="13"/>
  <c r="D21" i="20"/>
  <c r="C21" i="20"/>
  <c r="Q17" i="13"/>
  <c r="Q10" i="30" s="1"/>
  <c r="AL16" i="13"/>
  <c r="AH16" i="13"/>
  <c r="AH9" i="30" s="1"/>
  <c r="AG16" i="13"/>
  <c r="AF16" i="13"/>
  <c r="AF9" i="30" s="1"/>
  <c r="AE54" i="13"/>
  <c r="AD54" i="13"/>
  <c r="AC16" i="13"/>
  <c r="AC9" i="30" s="1"/>
  <c r="X16" i="13"/>
  <c r="W54" i="13"/>
  <c r="V16" i="13"/>
  <c r="V9" i="30" s="1"/>
  <c r="U54" i="13"/>
  <c r="T16" i="13"/>
  <c r="S54" i="13"/>
  <c r="R54" i="13"/>
  <c r="Q54" i="13"/>
  <c r="R15" i="13"/>
  <c r="R8" i="30" s="1"/>
  <c r="S53" i="13"/>
  <c r="AJ9" i="13"/>
  <c r="CC40" i="25" s="1"/>
  <c r="AJ8" i="13"/>
  <c r="CC39" i="25"/>
  <c r="AJ7" i="13"/>
  <c r="CC38" i="25"/>
  <c r="AJ6" i="13"/>
  <c r="CC37" i="25"/>
  <c r="AJ5" i="13"/>
  <c r="CC36" i="25"/>
  <c r="AJ4" i="13"/>
  <c r="CC35" i="25"/>
  <c r="AJ3" i="13"/>
  <c r="CC34" i="25"/>
  <c r="AI9" i="13"/>
  <c r="AI8" i="13"/>
  <c r="CB39" i="25" s="1"/>
  <c r="AI7" i="13"/>
  <c r="CB38" i="25"/>
  <c r="AI6" i="13"/>
  <c r="CB37" i="25" s="1"/>
  <c r="AI5" i="13"/>
  <c r="CB36" i="25" s="1"/>
  <c r="AI4" i="13"/>
  <c r="CB35" i="25"/>
  <c r="AH9" i="13"/>
  <c r="BV40" i="25"/>
  <c r="AH8" i="13"/>
  <c r="BV39" i="25"/>
  <c r="AH7" i="13"/>
  <c r="BV38" i="25"/>
  <c r="AH6" i="13"/>
  <c r="BV37" i="25"/>
  <c r="AH5" i="13"/>
  <c r="AH4" i="13"/>
  <c r="BV35" i="25" s="1"/>
  <c r="AH3" i="13"/>
  <c r="BV34" i="25" s="1"/>
  <c r="AG9" i="13"/>
  <c r="AG8" i="13"/>
  <c r="BU39" i="25" s="1"/>
  <c r="AG7" i="13"/>
  <c r="AG6" i="13"/>
  <c r="BU37" i="25"/>
  <c r="AG5" i="13"/>
  <c r="BU36" i="25" s="1"/>
  <c r="AG4" i="13"/>
  <c r="BU35" i="25" s="1"/>
  <c r="BU38" i="25"/>
  <c r="AG3" i="13"/>
  <c r="BU34" i="25" s="1"/>
  <c r="AI3" i="13"/>
  <c r="CB34" i="25"/>
  <c r="AG17" i="13"/>
  <c r="AG10" i="30" s="1"/>
  <c r="AL15" i="13"/>
  <c r="AL8" i="30" s="1"/>
  <c r="AK15" i="13"/>
  <c r="AK8" i="30" s="1"/>
  <c r="AJ15" i="13"/>
  <c r="AJ8" i="30" s="1"/>
  <c r="AI15" i="13"/>
  <c r="AI8" i="30" s="1"/>
  <c r="AH15" i="13"/>
  <c r="AH8" i="30" s="1"/>
  <c r="AG15" i="13"/>
  <c r="AG8" i="30" s="1"/>
  <c r="X21" i="17"/>
  <c r="AL14" i="13"/>
  <c r="AL7" i="30" s="1"/>
  <c r="W21" i="17"/>
  <c r="AK14" i="13" s="1"/>
  <c r="T21" i="17"/>
  <c r="AH14" i="13"/>
  <c r="S21" i="17"/>
  <c r="AG14" i="13" s="1"/>
  <c r="X21" i="16"/>
  <c r="AL13" i="13"/>
  <c r="AL6" i="30" s="1"/>
  <c r="W21" i="16"/>
  <c r="AK13" i="13" s="1"/>
  <c r="V21" i="16"/>
  <c r="AJ13" i="13"/>
  <c r="U21" i="16"/>
  <c r="AI13" i="13" s="1"/>
  <c r="AI6" i="30" s="1"/>
  <c r="T21" i="16"/>
  <c r="AH13" i="13"/>
  <c r="AH6" i="30" s="1"/>
  <c r="S21" i="16"/>
  <c r="AG13" i="13" s="1"/>
  <c r="X21" i="12"/>
  <c r="AL12" i="13" s="1"/>
  <c r="W21" i="12"/>
  <c r="AK12" i="13" s="1"/>
  <c r="U21" i="12"/>
  <c r="AI12" i="13"/>
  <c r="S21" i="12"/>
  <c r="AG12" i="13" s="1"/>
  <c r="X21" i="11"/>
  <c r="AL11" i="13"/>
  <c r="AL4" i="30" s="1"/>
  <c r="W21" i="11"/>
  <c r="AK11" i="13" s="1"/>
  <c r="V21" i="11"/>
  <c r="AJ11" i="13"/>
  <c r="U21" i="11"/>
  <c r="AI11" i="13" s="1"/>
  <c r="AI4" i="30" s="1"/>
  <c r="T21" i="11"/>
  <c r="AH11" i="13"/>
  <c r="AH4" i="30" s="1"/>
  <c r="S21" i="11"/>
  <c r="AG11" i="13" s="1"/>
  <c r="D8" i="25"/>
  <c r="AV10" i="25"/>
  <c r="AW10" i="25"/>
  <c r="AX10" i="25"/>
  <c r="AY10" i="25"/>
  <c r="AZ10" i="25"/>
  <c r="BA10" i="25"/>
  <c r="AV11" i="25"/>
  <c r="AW11" i="25"/>
  <c r="AX11" i="25"/>
  <c r="AY11" i="25"/>
  <c r="AZ11" i="25"/>
  <c r="BA11" i="25"/>
  <c r="AV12" i="25"/>
  <c r="AW12" i="25"/>
  <c r="AX12" i="25"/>
  <c r="AY12" i="25"/>
  <c r="AZ12" i="25"/>
  <c r="BA12" i="25"/>
  <c r="AV13" i="25"/>
  <c r="AW13" i="25"/>
  <c r="AX13" i="25"/>
  <c r="AY13" i="25"/>
  <c r="AZ13" i="25"/>
  <c r="BA13" i="25"/>
  <c r="AV14" i="25"/>
  <c r="AW14" i="25"/>
  <c r="AX14" i="25"/>
  <c r="AY14" i="25"/>
  <c r="AZ14" i="25"/>
  <c r="BA14" i="25"/>
  <c r="AV15" i="25"/>
  <c r="AW15" i="25"/>
  <c r="AX15" i="25"/>
  <c r="AY15" i="25"/>
  <c r="AZ15" i="25"/>
  <c r="BA15" i="25"/>
  <c r="AV16" i="25"/>
  <c r="AW16" i="25"/>
  <c r="AX16" i="25"/>
  <c r="AY16" i="25"/>
  <c r="AZ16" i="25"/>
  <c r="BA16" i="25"/>
  <c r="E10" i="25"/>
  <c r="M10" i="25"/>
  <c r="AS10" i="25"/>
  <c r="AT10" i="25"/>
  <c r="AU10" i="25"/>
  <c r="E11" i="25"/>
  <c r="M11" i="25"/>
  <c r="AS11" i="25"/>
  <c r="AT11" i="25"/>
  <c r="AU11" i="25"/>
  <c r="E12" i="25"/>
  <c r="M12" i="25"/>
  <c r="AS12" i="25"/>
  <c r="AT12" i="25"/>
  <c r="AU12" i="25"/>
  <c r="E13" i="25"/>
  <c r="M13" i="25"/>
  <c r="AS13" i="25"/>
  <c r="AT13" i="25"/>
  <c r="AU13" i="25"/>
  <c r="E14" i="25"/>
  <c r="M14" i="25"/>
  <c r="AS14" i="25"/>
  <c r="AT14" i="25"/>
  <c r="AU14" i="25"/>
  <c r="E15" i="25"/>
  <c r="B15" i="25" s="1"/>
  <c r="M15" i="25"/>
  <c r="AS15" i="25"/>
  <c r="AT15" i="25"/>
  <c r="AU15" i="25"/>
  <c r="E16" i="25"/>
  <c r="M16" i="25"/>
  <c r="AS16" i="25"/>
  <c r="AT16" i="25"/>
  <c r="AU16" i="25"/>
  <c r="D10" i="25"/>
  <c r="D11" i="25"/>
  <c r="D12" i="25"/>
  <c r="D13" i="25"/>
  <c r="D14" i="25"/>
  <c r="D15" i="25"/>
  <c r="D16" i="25"/>
  <c r="D17" i="25"/>
  <c r="D18" i="25"/>
  <c r="D19" i="25"/>
  <c r="CB40" i="25"/>
  <c r="BU40" i="25"/>
  <c r="BV36" i="25"/>
  <c r="CC33" i="25"/>
  <c r="CB33" i="25"/>
  <c r="BV33" i="25"/>
  <c r="BU33" i="25"/>
  <c r="W21" i="10"/>
  <c r="AK10" i="13" s="1"/>
  <c r="U21" i="10"/>
  <c r="AI10" i="13"/>
  <c r="AI3" i="30" s="1"/>
  <c r="S21" i="10"/>
  <c r="AG10" i="13" s="1"/>
  <c r="X21" i="10"/>
  <c r="AL10" i="13"/>
  <c r="V21" i="10"/>
  <c r="AJ10" i="13" s="1"/>
  <c r="AJ3" i="30" s="1"/>
  <c r="T21" i="10"/>
  <c r="AH10" i="13"/>
  <c r="AH3" i="30" s="1"/>
  <c r="E17" i="25"/>
  <c r="E18" i="25"/>
  <c r="E19" i="25"/>
  <c r="E9" i="25"/>
  <c r="B23" i="1"/>
  <c r="BB15" i="25" s="1"/>
  <c r="U21" i="13"/>
  <c r="AE21" i="13"/>
  <c r="AE14" i="30" s="1"/>
  <c r="AC58" i="13"/>
  <c r="S19" i="13"/>
  <c r="S12" i="30" s="1"/>
  <c r="X50" i="25"/>
  <c r="AC19" i="13"/>
  <c r="AC12" i="30" s="1"/>
  <c r="BG50" i="25"/>
  <c r="AA18" i="13"/>
  <c r="AA11" i="30" s="1"/>
  <c r="AZ49" i="25"/>
  <c r="U15" i="13"/>
  <c r="U8" i="30" s="1"/>
  <c r="W53" i="13"/>
  <c r="W15" i="13"/>
  <c r="W8" i="30" s="1"/>
  <c r="AA53" i="13"/>
  <c r="AC15" i="13"/>
  <c r="AE53" i="13"/>
  <c r="E21" i="17"/>
  <c r="S52" i="13"/>
  <c r="G21" i="17"/>
  <c r="U14" i="13"/>
  <c r="U7" i="30" s="1"/>
  <c r="I21" i="17"/>
  <c r="W14" i="13" s="1"/>
  <c r="M21" i="17"/>
  <c r="O21" i="17"/>
  <c r="Q21" i="17"/>
  <c r="AE14" i="13" s="1"/>
  <c r="O14" i="13"/>
  <c r="C21" i="16"/>
  <c r="G21" i="16"/>
  <c r="U13" i="13" s="1"/>
  <c r="I21" i="16"/>
  <c r="W13" i="13"/>
  <c r="M21" i="16"/>
  <c r="AA13" i="13" s="1"/>
  <c r="O21" i="16"/>
  <c r="AC51" i="13"/>
  <c r="Q21" i="16"/>
  <c r="AE51" i="13"/>
  <c r="Y32" i="16"/>
  <c r="C21" i="12"/>
  <c r="E21" i="12"/>
  <c r="G21" i="12"/>
  <c r="U50" i="13"/>
  <c r="I21" i="12"/>
  <c r="M21" i="12"/>
  <c r="AA12" i="13" s="1"/>
  <c r="O21" i="12"/>
  <c r="Q21" i="12"/>
  <c r="AE50" i="13" s="1"/>
  <c r="C21" i="11"/>
  <c r="E21" i="11"/>
  <c r="G21" i="11"/>
  <c r="U49" i="13" s="1"/>
  <c r="I21" i="11"/>
  <c r="M21" i="11"/>
  <c r="AA11" i="13"/>
  <c r="AA4" i="30" s="1"/>
  <c r="O21" i="11"/>
  <c r="AC11" i="13" s="1"/>
  <c r="Q21" i="11"/>
  <c r="AE49" i="13"/>
  <c r="O11" i="13"/>
  <c r="O4" i="30" s="1"/>
  <c r="O10" i="13"/>
  <c r="O3" i="30" s="1"/>
  <c r="O3" i="13"/>
  <c r="G3" i="13" s="1"/>
  <c r="H34" i="25" s="1"/>
  <c r="O19" i="13"/>
  <c r="O12" i="30" s="1"/>
  <c r="DH50" i="25"/>
  <c r="J17" i="25" s="1"/>
  <c r="O17" i="13"/>
  <c r="O10" i="30" s="1"/>
  <c r="O9" i="13"/>
  <c r="I9" i="13" s="1"/>
  <c r="J40" i="25" s="1"/>
  <c r="O8" i="13"/>
  <c r="DH39" i="25" s="1"/>
  <c r="O7" i="13"/>
  <c r="G7" i="13" s="1"/>
  <c r="H38" i="25" s="1"/>
  <c r="O6" i="13"/>
  <c r="DH37" i="25" s="1"/>
  <c r="O5" i="13"/>
  <c r="G5" i="13" s="1"/>
  <c r="H36" i="25"/>
  <c r="O4" i="13"/>
  <c r="DH35" i="25" s="1"/>
  <c r="B45" i="25"/>
  <c r="C12" i="25" s="1"/>
  <c r="B42" i="25"/>
  <c r="C9" i="25" s="1"/>
  <c r="B43" i="25"/>
  <c r="C10" i="25" s="1"/>
  <c r="B51" i="25"/>
  <c r="C18" i="25" s="1"/>
  <c r="B50" i="25"/>
  <c r="C17" i="25" s="1"/>
  <c r="B49" i="25"/>
  <c r="C16" i="25" s="1"/>
  <c r="B48" i="25"/>
  <c r="C15" i="25" s="1"/>
  <c r="B47" i="25"/>
  <c r="C14" i="25" s="1"/>
  <c r="B46" i="25"/>
  <c r="C13" i="25" s="1"/>
  <c r="B44" i="25"/>
  <c r="C11" i="25" s="1"/>
  <c r="E8" i="25"/>
  <c r="E7" i="25"/>
  <c r="V21" i="13"/>
  <c r="AD58" i="13"/>
  <c r="AF57" i="13"/>
  <c r="T53" i="13"/>
  <c r="AB15" i="13"/>
  <c r="AB8" i="30" s="1"/>
  <c r="AD15" i="13"/>
  <c r="AD8" i="30" s="1"/>
  <c r="D21" i="17"/>
  <c r="R52" i="13"/>
  <c r="F21" i="17"/>
  <c r="T14" i="13"/>
  <c r="T7" i="30" s="1"/>
  <c r="H21" i="17"/>
  <c r="J21" i="17"/>
  <c r="X14" i="13" s="1"/>
  <c r="X7" i="30" s="1"/>
  <c r="AM45" i="25"/>
  <c r="N21" i="17"/>
  <c r="AB52" i="13"/>
  <c r="P21" i="17"/>
  <c r="AD14" i="13"/>
  <c r="R21" i="17"/>
  <c r="AF14" i="13" s="1"/>
  <c r="AF7" i="30" s="1"/>
  <c r="D21" i="16"/>
  <c r="H21" i="16"/>
  <c r="V51" i="13" s="1"/>
  <c r="J21" i="16"/>
  <c r="X13" i="13" s="1"/>
  <c r="N21" i="16"/>
  <c r="AB51" i="13"/>
  <c r="P21" i="16"/>
  <c r="R21" i="16"/>
  <c r="AF13" i="13" s="1"/>
  <c r="D21" i="12"/>
  <c r="F21" i="12"/>
  <c r="T12" i="13" s="1"/>
  <c r="H21" i="12"/>
  <c r="V50" i="13"/>
  <c r="J21" i="12"/>
  <c r="X12" i="13"/>
  <c r="N21" i="12"/>
  <c r="P21" i="12"/>
  <c r="AD12" i="13"/>
  <c r="R21" i="12"/>
  <c r="AF12" i="13" s="1"/>
  <c r="AF5" i="30" s="1"/>
  <c r="D21" i="11"/>
  <c r="F21" i="11"/>
  <c r="T49" i="13" s="1"/>
  <c r="H21" i="11"/>
  <c r="V49" i="13" s="1"/>
  <c r="J21" i="11"/>
  <c r="N21" i="11"/>
  <c r="P21" i="11"/>
  <c r="R21" i="11"/>
  <c r="AF11" i="13"/>
  <c r="AF4" i="30" s="1"/>
  <c r="D21" i="10"/>
  <c r="F21" i="10"/>
  <c r="H21" i="10"/>
  <c r="J21" i="10"/>
  <c r="N21" i="10"/>
  <c r="AB48" i="13"/>
  <c r="P21" i="10"/>
  <c r="AD10" i="13"/>
  <c r="AD3" i="30" s="1"/>
  <c r="R21" i="10"/>
  <c r="J30" i="11"/>
  <c r="J31" i="11"/>
  <c r="J32" i="11"/>
  <c r="J33" i="11"/>
  <c r="J34" i="11"/>
  <c r="J35" i="11"/>
  <c r="J36" i="11"/>
  <c r="A10" i="12"/>
  <c r="AE10" i="12" s="1"/>
  <c r="J31" i="12"/>
  <c r="J32" i="12"/>
  <c r="J33" i="12"/>
  <c r="J34" i="12"/>
  <c r="J35" i="12"/>
  <c r="J36" i="12"/>
  <c r="J38" i="23"/>
  <c r="J39" i="23"/>
  <c r="J40" i="23"/>
  <c r="J41" i="23"/>
  <c r="J42" i="23"/>
  <c r="J43" i="23"/>
  <c r="J44" i="23"/>
  <c r="J38" i="24"/>
  <c r="J39" i="24"/>
  <c r="J40" i="24"/>
  <c r="J41" i="24"/>
  <c r="J42" i="24"/>
  <c r="J43" i="24"/>
  <c r="J44" i="24"/>
  <c r="J38" i="22"/>
  <c r="J39" i="22"/>
  <c r="J40" i="22"/>
  <c r="J41" i="22"/>
  <c r="J42" i="22"/>
  <c r="J43" i="22"/>
  <c r="J44" i="22"/>
  <c r="J38" i="21"/>
  <c r="J39" i="21"/>
  <c r="J40" i="21"/>
  <c r="J41" i="21"/>
  <c r="J42" i="21"/>
  <c r="J43" i="21"/>
  <c r="J44" i="21"/>
  <c r="J38" i="20"/>
  <c r="J39" i="20"/>
  <c r="J40" i="20"/>
  <c r="J41" i="20"/>
  <c r="J42" i="20"/>
  <c r="J43" i="20"/>
  <c r="J44" i="20"/>
  <c r="J30" i="17"/>
  <c r="J31" i="17"/>
  <c r="J32" i="17"/>
  <c r="J33" i="17"/>
  <c r="J34" i="17"/>
  <c r="J35" i="17"/>
  <c r="J36" i="17"/>
  <c r="J30" i="16"/>
  <c r="J31" i="16"/>
  <c r="J32" i="16"/>
  <c r="J33" i="16"/>
  <c r="J34" i="16"/>
  <c r="J35" i="16"/>
  <c r="J36" i="16"/>
  <c r="BA19" i="25"/>
  <c r="BA18" i="25"/>
  <c r="BA17" i="25"/>
  <c r="BA9" i="25"/>
  <c r="BA8" i="25"/>
  <c r="AY19" i="25"/>
  <c r="AY18" i="25"/>
  <c r="AY17" i="25"/>
  <c r="AY9" i="25"/>
  <c r="AY8" i="25"/>
  <c r="AX19" i="25"/>
  <c r="AX18" i="25"/>
  <c r="AX17" i="25"/>
  <c r="AX9" i="25"/>
  <c r="AX8" i="25"/>
  <c r="AW19" i="25"/>
  <c r="AW18" i="25"/>
  <c r="AW17" i="25"/>
  <c r="AW9" i="25"/>
  <c r="AW8" i="25"/>
  <c r="AU9" i="25"/>
  <c r="AU8" i="25"/>
  <c r="AT19" i="25"/>
  <c r="AT18" i="25"/>
  <c r="AT17" i="25"/>
  <c r="AT9" i="25"/>
  <c r="AT8" i="25"/>
  <c r="AS19" i="25"/>
  <c r="AS18" i="25"/>
  <c r="AS17" i="25"/>
  <c r="AS9" i="25"/>
  <c r="AS8" i="25"/>
  <c r="M19" i="25"/>
  <c r="M18" i="25"/>
  <c r="M17" i="25"/>
  <c r="M9" i="25"/>
  <c r="M8" i="25"/>
  <c r="D9" i="25"/>
  <c r="AU19" i="25"/>
  <c r="AU18" i="25"/>
  <c r="AU17" i="25"/>
  <c r="S11" i="13"/>
  <c r="S4" i="30" s="1"/>
  <c r="S18" i="13"/>
  <c r="S11" i="30" s="1"/>
  <c r="X49" i="25"/>
  <c r="S21" i="13"/>
  <c r="S14" i="30" s="1"/>
  <c r="X52" i="25"/>
  <c r="AV9" i="25"/>
  <c r="AZ9" i="25"/>
  <c r="N19" i="25"/>
  <c r="B25" i="1"/>
  <c r="O20" i="25" s="1"/>
  <c r="AV17" i="25"/>
  <c r="AZ17" i="25"/>
  <c r="AV18" i="25"/>
  <c r="AZ18" i="25"/>
  <c r="AV19" i="25"/>
  <c r="AZ19" i="25"/>
  <c r="AZ8" i="25"/>
  <c r="AV8" i="25"/>
  <c r="P11" i="13"/>
  <c r="P4" i="30" s="1"/>
  <c r="DI42" i="25"/>
  <c r="K9" i="25" s="1"/>
  <c r="Q11" i="13"/>
  <c r="T11" i="13"/>
  <c r="T4" i="30" s="1"/>
  <c r="X11" i="13"/>
  <c r="X4" i="30" s="1"/>
  <c r="AB11" i="13"/>
  <c r="P12" i="13"/>
  <c r="R12" i="13"/>
  <c r="R5" i="30" s="1"/>
  <c r="W12" i="13"/>
  <c r="W5" i="30" s="1"/>
  <c r="AB12" i="13"/>
  <c r="AB5" i="30" s="1"/>
  <c r="AC12" i="13"/>
  <c r="AC5" i="30" s="1"/>
  <c r="P13" i="13"/>
  <c r="P6" i="30" s="1"/>
  <c r="Q13" i="13"/>
  <c r="Q6" i="30" s="1"/>
  <c r="R13" i="13"/>
  <c r="AB13" i="13"/>
  <c r="AD13" i="13"/>
  <c r="AD6" i="30" s="1"/>
  <c r="AE13" i="13"/>
  <c r="P14" i="13"/>
  <c r="P7" i="30" s="1"/>
  <c r="R14" i="13"/>
  <c r="R7" i="30" s="1"/>
  <c r="AA14" i="13"/>
  <c r="AA7" i="30" s="1"/>
  <c r="AZ45" i="25"/>
  <c r="P15" i="13"/>
  <c r="P8" i="30" s="1"/>
  <c r="DI46" i="25"/>
  <c r="K13" i="25" s="1"/>
  <c r="P16" i="13"/>
  <c r="AE16" i="13"/>
  <c r="AE9" i="30" s="1"/>
  <c r="P17" i="13"/>
  <c r="P10" i="30" s="1"/>
  <c r="DI48" i="25"/>
  <c r="K15" i="25" s="1"/>
  <c r="AF17" i="13"/>
  <c r="P18" i="13"/>
  <c r="P11" i="30" s="1"/>
  <c r="V18" i="13"/>
  <c r="V11" i="30" s="1"/>
  <c r="W18" i="13"/>
  <c r="W11" i="30" s="1"/>
  <c r="AL49" i="25"/>
  <c r="AC18" i="13"/>
  <c r="AC11" i="30" s="1"/>
  <c r="BG49" i="25"/>
  <c r="AD18" i="13"/>
  <c r="AD11" i="30" s="1"/>
  <c r="AF18" i="13"/>
  <c r="AF11" i="30" s="1"/>
  <c r="BO49" i="25"/>
  <c r="P19" i="13"/>
  <c r="P12" i="30" s="1"/>
  <c r="DI50" i="25"/>
  <c r="K17" i="25" s="1"/>
  <c r="Q19" i="13"/>
  <c r="Q12" i="30" s="1"/>
  <c r="X19" i="13"/>
  <c r="AA19" i="13"/>
  <c r="AA12" i="30" s="1"/>
  <c r="AD19" i="13"/>
  <c r="P20" i="13"/>
  <c r="P13" i="30" s="1"/>
  <c r="R20" i="13"/>
  <c r="R13" i="30" s="1"/>
  <c r="R51" i="25"/>
  <c r="V20" i="13"/>
  <c r="V13" i="30" s="1"/>
  <c r="AF51" i="25"/>
  <c r="W20" i="13"/>
  <c r="W13" i="30" s="1"/>
  <c r="AL51" i="25"/>
  <c r="AC20" i="13"/>
  <c r="AC13" i="30" s="1"/>
  <c r="BG51" i="25"/>
  <c r="P21" i="13"/>
  <c r="P14" i="30" s="1"/>
  <c r="DI52" i="25"/>
  <c r="K19" i="25" s="1"/>
  <c r="Q21" i="13"/>
  <c r="R21" i="13"/>
  <c r="R14" i="30" s="1"/>
  <c r="W21" i="13"/>
  <c r="Q32" i="25"/>
  <c r="R32" i="25"/>
  <c r="X32" i="25"/>
  <c r="Y32" i="25"/>
  <c r="AE32" i="25"/>
  <c r="AF32" i="25"/>
  <c r="AL32" i="25"/>
  <c r="AM32" i="25"/>
  <c r="AZ32" i="25"/>
  <c r="BA32" i="25"/>
  <c r="BG32" i="25"/>
  <c r="BH32" i="25"/>
  <c r="BN32" i="25"/>
  <c r="BO32" i="25"/>
  <c r="C21" i="10"/>
  <c r="Q48" i="13" s="1"/>
  <c r="CP32" i="25"/>
  <c r="Q33" i="25"/>
  <c r="R33" i="25"/>
  <c r="X33" i="25"/>
  <c r="Y33" i="25"/>
  <c r="AE33" i="25"/>
  <c r="AF33" i="25"/>
  <c r="AL33" i="25"/>
  <c r="AM33" i="25"/>
  <c r="AZ33" i="25"/>
  <c r="BA33" i="25"/>
  <c r="BG33" i="25"/>
  <c r="BH33" i="25"/>
  <c r="BN33" i="25"/>
  <c r="BO33" i="25"/>
  <c r="DI32" i="25"/>
  <c r="K7" i="25" s="1"/>
  <c r="I30" i="12"/>
  <c r="I31" i="12"/>
  <c r="I32" i="12"/>
  <c r="I33" i="12"/>
  <c r="I34" i="12"/>
  <c r="I35" i="12"/>
  <c r="I36" i="12"/>
  <c r="M21" i="10"/>
  <c r="AA10" i="13" s="1"/>
  <c r="I21" i="10"/>
  <c r="G21" i="10"/>
  <c r="U48" i="13" s="1"/>
  <c r="AB10" i="13"/>
  <c r="AB3" i="30" s="1"/>
  <c r="D41" i="25"/>
  <c r="B41" i="25"/>
  <c r="C8" i="25"/>
  <c r="Q21" i="10"/>
  <c r="AE48" i="13" s="1"/>
  <c r="O21" i="10"/>
  <c r="AC48" i="13" s="1"/>
  <c r="P10" i="13"/>
  <c r="G41" i="25"/>
  <c r="B32" i="25"/>
  <c r="C32" i="25"/>
  <c r="D32" i="25"/>
  <c r="E32" i="25"/>
  <c r="F32" i="25"/>
  <c r="G32" i="25"/>
  <c r="H32" i="25"/>
  <c r="I32" i="25"/>
  <c r="J32" i="25"/>
  <c r="K32" i="25"/>
  <c r="L32" i="25"/>
  <c r="DE32" i="25"/>
  <c r="DF32" i="25"/>
  <c r="DG32" i="25"/>
  <c r="B33" i="25"/>
  <c r="C33" i="25"/>
  <c r="D33" i="25"/>
  <c r="E33" i="25"/>
  <c r="F33" i="25"/>
  <c r="G33" i="25"/>
  <c r="H33" i="25"/>
  <c r="I33" i="25"/>
  <c r="J33" i="25"/>
  <c r="K33" i="25"/>
  <c r="L33" i="25"/>
  <c r="DE33" i="25"/>
  <c r="DF33" i="25"/>
  <c r="DG33" i="25"/>
  <c r="DI33" i="25"/>
  <c r="CP33" i="25"/>
  <c r="B34" i="25"/>
  <c r="D34" i="25"/>
  <c r="D3" i="13"/>
  <c r="E34" i="25" s="1"/>
  <c r="G34" i="25"/>
  <c r="K34" i="25"/>
  <c r="L34" i="25"/>
  <c r="DE34" i="25"/>
  <c r="DF34" i="25"/>
  <c r="DG34" i="25"/>
  <c r="P3" i="13"/>
  <c r="DI34" i="25" s="1"/>
  <c r="Q3" i="13"/>
  <c r="Q34" i="25" s="1"/>
  <c r="R3" i="13"/>
  <c r="R34" i="25" s="1"/>
  <c r="S3" i="13"/>
  <c r="X34" i="25" s="1"/>
  <c r="T3" i="13"/>
  <c r="Y34" i="25" s="1"/>
  <c r="U3" i="13"/>
  <c r="AE34" i="25" s="1"/>
  <c r="V3" i="13"/>
  <c r="AF34" i="25" s="1"/>
  <c r="W3" i="13"/>
  <c r="AL34" i="25" s="1"/>
  <c r="X3" i="13"/>
  <c r="AM34" i="25" s="1"/>
  <c r="AA3" i="13"/>
  <c r="AZ34" i="25" s="1"/>
  <c r="AB3" i="13"/>
  <c r="BA34" i="25" s="1"/>
  <c r="AC3" i="13"/>
  <c r="BG34" i="25" s="1"/>
  <c r="AD3" i="13"/>
  <c r="BH34" i="25" s="1"/>
  <c r="AE3" i="13"/>
  <c r="BN34" i="25" s="1"/>
  <c r="AF3" i="13"/>
  <c r="BO34" i="25" s="1"/>
  <c r="B35" i="25"/>
  <c r="D35" i="25"/>
  <c r="D4" i="13"/>
  <c r="E35" i="25" s="1"/>
  <c r="G35" i="25"/>
  <c r="K35" i="25"/>
  <c r="L35" i="25"/>
  <c r="DE35" i="25"/>
  <c r="DF35" i="25"/>
  <c r="DG35" i="25"/>
  <c r="P4" i="13"/>
  <c r="DI35" i="25" s="1"/>
  <c r="Q4" i="13"/>
  <c r="Q35" i="25" s="1"/>
  <c r="R4" i="13"/>
  <c r="R35" i="25" s="1"/>
  <c r="S4" i="13"/>
  <c r="X35" i="25" s="1"/>
  <c r="T4" i="13"/>
  <c r="Y35" i="25" s="1"/>
  <c r="U4" i="13"/>
  <c r="AE35" i="25" s="1"/>
  <c r="V4" i="13"/>
  <c r="AF35" i="25" s="1"/>
  <c r="W4" i="13"/>
  <c r="AL35" i="25" s="1"/>
  <c r="X4" i="13"/>
  <c r="AM35" i="25" s="1"/>
  <c r="AA4" i="13"/>
  <c r="AZ35" i="25" s="1"/>
  <c r="AB4" i="13"/>
  <c r="BA35" i="25" s="1"/>
  <c r="AC4" i="13"/>
  <c r="BG35" i="25" s="1"/>
  <c r="AD4" i="13"/>
  <c r="BH35" i="25" s="1"/>
  <c r="AE4" i="13"/>
  <c r="BN35" i="25" s="1"/>
  <c r="AF4" i="13"/>
  <c r="BO35" i="25" s="1"/>
  <c r="B36" i="25"/>
  <c r="D36" i="25"/>
  <c r="D5" i="13"/>
  <c r="E36" i="25" s="1"/>
  <c r="G36" i="25"/>
  <c r="K36" i="25"/>
  <c r="L36" i="25"/>
  <c r="DE36" i="25"/>
  <c r="DF36" i="25"/>
  <c r="DG36" i="25"/>
  <c r="P5" i="13"/>
  <c r="DI36" i="25" s="1"/>
  <c r="Q5" i="13"/>
  <c r="Q36" i="25" s="1"/>
  <c r="R5" i="13"/>
  <c r="R36" i="25" s="1"/>
  <c r="S5" i="13"/>
  <c r="X36" i="25" s="1"/>
  <c r="T5" i="13"/>
  <c r="Y36" i="25" s="1"/>
  <c r="U5" i="13"/>
  <c r="AE36" i="25" s="1"/>
  <c r="V5" i="13"/>
  <c r="AF36" i="25" s="1"/>
  <c r="W5" i="13"/>
  <c r="AL36" i="25" s="1"/>
  <c r="X5" i="13"/>
  <c r="AM36" i="25" s="1"/>
  <c r="AA5" i="13"/>
  <c r="AZ36" i="25" s="1"/>
  <c r="AB5" i="13"/>
  <c r="BA36" i="25" s="1"/>
  <c r="AC5" i="13"/>
  <c r="BG36" i="25" s="1"/>
  <c r="AD5" i="13"/>
  <c r="BH36" i="25" s="1"/>
  <c r="AE5" i="13"/>
  <c r="BN36" i="25" s="1"/>
  <c r="AF5" i="13"/>
  <c r="BO36" i="25" s="1"/>
  <c r="B37" i="25"/>
  <c r="D37" i="25"/>
  <c r="D6" i="13"/>
  <c r="E37" i="25" s="1"/>
  <c r="G37" i="25"/>
  <c r="K37" i="25"/>
  <c r="L37" i="25"/>
  <c r="DE37" i="25"/>
  <c r="DF37" i="25"/>
  <c r="DG37" i="25"/>
  <c r="P6" i="13"/>
  <c r="DI37" i="25" s="1"/>
  <c r="Q6" i="13"/>
  <c r="Q37" i="25" s="1"/>
  <c r="R6" i="13"/>
  <c r="R37" i="25" s="1"/>
  <c r="S6" i="13"/>
  <c r="X37" i="25" s="1"/>
  <c r="T6" i="13"/>
  <c r="Y37" i="25" s="1"/>
  <c r="U6" i="13"/>
  <c r="AE37" i="25" s="1"/>
  <c r="V6" i="13"/>
  <c r="AF37" i="25" s="1"/>
  <c r="W6" i="13"/>
  <c r="AL37" i="25" s="1"/>
  <c r="X6" i="13"/>
  <c r="AM37" i="25" s="1"/>
  <c r="AA6" i="13"/>
  <c r="AZ37" i="25" s="1"/>
  <c r="AB6" i="13"/>
  <c r="BA37" i="25" s="1"/>
  <c r="AC6" i="13"/>
  <c r="BG37" i="25" s="1"/>
  <c r="AD6" i="13"/>
  <c r="BH37" i="25" s="1"/>
  <c r="AE6" i="13"/>
  <c r="BN37" i="25" s="1"/>
  <c r="AF6" i="13"/>
  <c r="BO37" i="25" s="1"/>
  <c r="B38" i="25"/>
  <c r="D38" i="25"/>
  <c r="D7" i="13"/>
  <c r="E38" i="25" s="1"/>
  <c r="G38" i="25"/>
  <c r="K38" i="25"/>
  <c r="L38" i="25"/>
  <c r="DE38" i="25"/>
  <c r="DF38" i="25"/>
  <c r="DG38" i="25"/>
  <c r="P7" i="13"/>
  <c r="DI38" i="25" s="1"/>
  <c r="Q7" i="13"/>
  <c r="Q38" i="25" s="1"/>
  <c r="R7" i="13"/>
  <c r="R38" i="25" s="1"/>
  <c r="S7" i="13"/>
  <c r="X38" i="25" s="1"/>
  <c r="T7" i="13"/>
  <c r="Y38" i="25" s="1"/>
  <c r="U7" i="13"/>
  <c r="AE38" i="25" s="1"/>
  <c r="V7" i="13"/>
  <c r="AF38" i="25" s="1"/>
  <c r="W7" i="13"/>
  <c r="AL38" i="25" s="1"/>
  <c r="X7" i="13"/>
  <c r="AM38" i="25" s="1"/>
  <c r="AA7" i="13"/>
  <c r="AZ38" i="25" s="1"/>
  <c r="AB7" i="13"/>
  <c r="BA38" i="25" s="1"/>
  <c r="AC7" i="13"/>
  <c r="BG38" i="25" s="1"/>
  <c r="AD7" i="13"/>
  <c r="BH38" i="25" s="1"/>
  <c r="AE7" i="13"/>
  <c r="BN38" i="25" s="1"/>
  <c r="AF7" i="13"/>
  <c r="BO38" i="25" s="1"/>
  <c r="B39" i="25"/>
  <c r="D39" i="25"/>
  <c r="D8" i="13"/>
  <c r="E39" i="25" s="1"/>
  <c r="G39" i="25"/>
  <c r="K39" i="25"/>
  <c r="L39" i="25"/>
  <c r="DE39" i="25"/>
  <c r="DF39" i="25"/>
  <c r="DG39" i="25"/>
  <c r="P8" i="13"/>
  <c r="DI39" i="25" s="1"/>
  <c r="Q8" i="13"/>
  <c r="Q39" i="25" s="1"/>
  <c r="R8" i="13"/>
  <c r="R39" i="25" s="1"/>
  <c r="S8" i="13"/>
  <c r="X39" i="25" s="1"/>
  <c r="T8" i="13"/>
  <c r="Y39" i="25" s="1"/>
  <c r="U8" i="13"/>
  <c r="AE39" i="25" s="1"/>
  <c r="V8" i="13"/>
  <c r="AF39" i="25" s="1"/>
  <c r="W8" i="13"/>
  <c r="AL39" i="25" s="1"/>
  <c r="X8" i="13"/>
  <c r="AM39" i="25" s="1"/>
  <c r="AA8" i="13"/>
  <c r="AZ39" i="25" s="1"/>
  <c r="AB8" i="13"/>
  <c r="BA39" i="25" s="1"/>
  <c r="AC8" i="13"/>
  <c r="BG39" i="25" s="1"/>
  <c r="AD8" i="13"/>
  <c r="BH39" i="25" s="1"/>
  <c r="AE8" i="13"/>
  <c r="BN39" i="25" s="1"/>
  <c r="AF8" i="13"/>
  <c r="BO39" i="25" s="1"/>
  <c r="B40" i="25"/>
  <c r="D40" i="25"/>
  <c r="G40" i="25"/>
  <c r="K40" i="25"/>
  <c r="L40" i="25"/>
  <c r="DE40" i="25"/>
  <c r="DF40" i="25"/>
  <c r="DG40" i="25"/>
  <c r="P9" i="13"/>
  <c r="DI40" i="25" s="1"/>
  <c r="Q9" i="13"/>
  <c r="Q40" i="25" s="1"/>
  <c r="R9" i="13"/>
  <c r="R40" i="25" s="1"/>
  <c r="S9" i="13"/>
  <c r="X40" i="25" s="1"/>
  <c r="T9" i="13"/>
  <c r="Y40" i="25" s="1"/>
  <c r="U9" i="13"/>
  <c r="AE40" i="25" s="1"/>
  <c r="V9" i="13"/>
  <c r="AF40" i="25" s="1"/>
  <c r="W9" i="13"/>
  <c r="AL40" i="25" s="1"/>
  <c r="X9" i="13"/>
  <c r="AM40" i="25" s="1"/>
  <c r="AA9" i="13"/>
  <c r="AZ40" i="25" s="1"/>
  <c r="AB9" i="13"/>
  <c r="BA40" i="25" s="1"/>
  <c r="AC9" i="13"/>
  <c r="BG40" i="25" s="1"/>
  <c r="AD9" i="13"/>
  <c r="BH40" i="25" s="1"/>
  <c r="AE9" i="13"/>
  <c r="BN40" i="25" s="1"/>
  <c r="AF9" i="13"/>
  <c r="BO40" i="25" s="1"/>
  <c r="K41" i="25"/>
  <c r="L41" i="25"/>
  <c r="DE41" i="25"/>
  <c r="DF41" i="25"/>
  <c r="DG41" i="25"/>
  <c r="M7" i="25"/>
  <c r="AS7" i="25"/>
  <c r="AT7" i="25"/>
  <c r="AU7" i="25"/>
  <c r="B31" i="25"/>
  <c r="C31" i="25"/>
  <c r="D31" i="25"/>
  <c r="AV7" i="25"/>
  <c r="AW7" i="25"/>
  <c r="AX7" i="25"/>
  <c r="AY7" i="25"/>
  <c r="AZ7" i="25"/>
  <c r="BA7" i="25"/>
  <c r="BB7" i="25"/>
  <c r="N7" i="25"/>
  <c r="O7" i="25"/>
  <c r="F31" i="11"/>
  <c r="F34" i="12"/>
  <c r="F30" i="17"/>
  <c r="F30" i="16"/>
  <c r="I44" i="23"/>
  <c r="I43" i="23"/>
  <c r="I42" i="23"/>
  <c r="I41" i="23"/>
  <c r="I40" i="23"/>
  <c r="I39" i="23"/>
  <c r="I38" i="23"/>
  <c r="D33" i="10"/>
  <c r="I44" i="20"/>
  <c r="I43" i="20"/>
  <c r="I42" i="20"/>
  <c r="I41" i="20"/>
  <c r="I40" i="20"/>
  <c r="I39" i="20"/>
  <c r="I38" i="20"/>
  <c r="I44" i="21"/>
  <c r="I43" i="21"/>
  <c r="I42" i="21"/>
  <c r="I41" i="21"/>
  <c r="I40" i="21"/>
  <c r="I39" i="21"/>
  <c r="I38" i="21"/>
  <c r="I44" i="22"/>
  <c r="I43" i="22"/>
  <c r="I42" i="22"/>
  <c r="I41" i="22"/>
  <c r="I40" i="22"/>
  <c r="I39" i="22"/>
  <c r="I38" i="22"/>
  <c r="I44" i="24"/>
  <c r="I43" i="24"/>
  <c r="I42" i="24"/>
  <c r="I41" i="24"/>
  <c r="I40" i="24"/>
  <c r="I39" i="24"/>
  <c r="I38" i="24"/>
  <c r="I36" i="17"/>
  <c r="I35" i="17"/>
  <c r="I34" i="17"/>
  <c r="I33" i="17"/>
  <c r="I32" i="17"/>
  <c r="I31" i="17"/>
  <c r="I30" i="17"/>
  <c r="I36" i="16"/>
  <c r="I35" i="16"/>
  <c r="I34" i="16"/>
  <c r="I33" i="16"/>
  <c r="I32" i="16"/>
  <c r="I31" i="16"/>
  <c r="I30" i="16"/>
  <c r="I32" i="11"/>
  <c r="I33" i="11"/>
  <c r="I34" i="11"/>
  <c r="I35" i="11"/>
  <c r="I36" i="11"/>
  <c r="I31" i="11"/>
  <c r="I30" i="11"/>
  <c r="Y31" i="11"/>
  <c r="Y39" i="24"/>
  <c r="Y32" i="11"/>
  <c r="F38" i="23"/>
  <c r="F39" i="23"/>
  <c r="F40" i="23"/>
  <c r="F41" i="23"/>
  <c r="F42" i="23"/>
  <c r="F43" i="23"/>
  <c r="F44" i="23"/>
  <c r="F38" i="24"/>
  <c r="F39" i="24"/>
  <c r="F40" i="24"/>
  <c r="Y40" i="24"/>
  <c r="F41" i="24"/>
  <c r="F42" i="24"/>
  <c r="F43" i="24"/>
  <c r="F44" i="24"/>
  <c r="F38" i="22"/>
  <c r="F39" i="22"/>
  <c r="F40" i="22"/>
  <c r="Y40" i="22"/>
  <c r="F41" i="22"/>
  <c r="F42" i="22"/>
  <c r="F43" i="22"/>
  <c r="F44" i="22"/>
  <c r="F38" i="21"/>
  <c r="F39" i="21"/>
  <c r="F40" i="21"/>
  <c r="Y40" i="21"/>
  <c r="F41" i="21"/>
  <c r="F42" i="21"/>
  <c r="F43" i="21"/>
  <c r="F44" i="21"/>
  <c r="F38" i="20"/>
  <c r="F39" i="20"/>
  <c r="F40" i="20"/>
  <c r="AA40" i="20"/>
  <c r="F41" i="20"/>
  <c r="F42" i="20"/>
  <c r="F43" i="20"/>
  <c r="F44" i="20"/>
  <c r="F31" i="17"/>
  <c r="F32" i="17"/>
  <c r="Y32" i="17"/>
  <c r="F33" i="17"/>
  <c r="F34" i="17"/>
  <c r="F35" i="17"/>
  <c r="F36" i="17"/>
  <c r="F31" i="16"/>
  <c r="F32" i="16"/>
  <c r="F33" i="16"/>
  <c r="F34" i="16"/>
  <c r="F35" i="16"/>
  <c r="F36" i="16"/>
  <c r="F30" i="12"/>
  <c r="F31" i="12"/>
  <c r="F32" i="12"/>
  <c r="F33" i="12"/>
  <c r="F35" i="12"/>
  <c r="F36" i="12"/>
  <c r="F30" i="11"/>
  <c r="F32" i="11"/>
  <c r="F33" i="11"/>
  <c r="F34" i="11"/>
  <c r="F35" i="11"/>
  <c r="F36" i="11"/>
  <c r="D44" i="13"/>
  <c r="G44" i="13"/>
  <c r="O44" i="13"/>
  <c r="Q44" i="13"/>
  <c r="R44" i="13"/>
  <c r="S44" i="13"/>
  <c r="T44" i="13"/>
  <c r="U44" i="13"/>
  <c r="V44" i="13"/>
  <c r="W44" i="13"/>
  <c r="X44" i="13"/>
  <c r="AA44" i="13"/>
  <c r="AB44" i="13"/>
  <c r="AC44" i="13"/>
  <c r="AD44" i="13"/>
  <c r="AE44" i="13"/>
  <c r="AF44" i="13"/>
  <c r="D45" i="13"/>
  <c r="G45" i="13"/>
  <c r="O45" i="13"/>
  <c r="Q45" i="13"/>
  <c r="R45" i="13"/>
  <c r="S45" i="13"/>
  <c r="T45" i="13"/>
  <c r="U45" i="13"/>
  <c r="V45" i="13"/>
  <c r="W45" i="13"/>
  <c r="X45" i="13"/>
  <c r="AA45" i="13"/>
  <c r="AB45" i="13"/>
  <c r="AC45" i="13"/>
  <c r="AD45" i="13"/>
  <c r="AE45" i="13"/>
  <c r="AF45" i="13"/>
  <c r="D46" i="13"/>
  <c r="G46" i="13"/>
  <c r="O46" i="13"/>
  <c r="Q46" i="13"/>
  <c r="R46" i="13"/>
  <c r="S46" i="13"/>
  <c r="T46" i="13"/>
  <c r="U46" i="13"/>
  <c r="V46" i="13"/>
  <c r="W46" i="13"/>
  <c r="X46" i="13"/>
  <c r="AA46" i="13"/>
  <c r="AB46" i="13"/>
  <c r="AC46" i="13"/>
  <c r="AD46" i="13"/>
  <c r="AE46" i="13"/>
  <c r="AF46" i="13"/>
  <c r="O47" i="13"/>
  <c r="Q47" i="13"/>
  <c r="R47" i="13"/>
  <c r="S47" i="13"/>
  <c r="T47" i="13"/>
  <c r="U47" i="13"/>
  <c r="V47" i="13"/>
  <c r="W47" i="13"/>
  <c r="X47" i="13"/>
  <c r="AA47" i="13"/>
  <c r="AB47" i="13"/>
  <c r="AC47" i="13"/>
  <c r="AD47" i="13"/>
  <c r="AE47" i="13"/>
  <c r="AF47" i="13"/>
  <c r="O49" i="13"/>
  <c r="Q49" i="13"/>
  <c r="S49" i="13"/>
  <c r="X49" i="13"/>
  <c r="AA49" i="13"/>
  <c r="AB49" i="13"/>
  <c r="T50" i="13"/>
  <c r="W50" i="13"/>
  <c r="AA50" i="13"/>
  <c r="AB50" i="13"/>
  <c r="AF50" i="13"/>
  <c r="Q51" i="13"/>
  <c r="R51" i="13"/>
  <c r="W51" i="13"/>
  <c r="X51" i="13"/>
  <c r="AD51" i="13"/>
  <c r="AA52" i="13"/>
  <c r="X53" i="13"/>
  <c r="AC54" i="13"/>
  <c r="AF55" i="13"/>
  <c r="O56" i="13"/>
  <c r="Q56" i="13"/>
  <c r="T56" i="13"/>
  <c r="V56" i="13"/>
  <c r="W56" i="13"/>
  <c r="AC56" i="13"/>
  <c r="AF56" i="13"/>
  <c r="O57" i="13"/>
  <c r="Q57" i="13"/>
  <c r="X57" i="13"/>
  <c r="AA57" i="13"/>
  <c r="AC57" i="13"/>
  <c r="AD57" i="13"/>
  <c r="O58" i="13"/>
  <c r="R58" i="13"/>
  <c r="V58" i="13"/>
  <c r="W58" i="13"/>
  <c r="AE58" i="13"/>
  <c r="R59" i="13"/>
  <c r="S59" i="13"/>
  <c r="W59" i="13"/>
  <c r="AA59" i="13"/>
  <c r="V12" i="13"/>
  <c r="V5" i="30" s="1"/>
  <c r="AF43" i="25"/>
  <c r="D9" i="13"/>
  <c r="E40" i="25" s="1"/>
  <c r="G47" i="13"/>
  <c r="D47" i="13"/>
  <c r="AD53" i="13"/>
  <c r="AF59" i="13"/>
  <c r="V59" i="13"/>
  <c r="AE59" i="13"/>
  <c r="U59" i="13"/>
  <c r="S57" i="13"/>
  <c r="AG19" i="13"/>
  <c r="AG12" i="30" s="1"/>
  <c r="BU50" i="25"/>
  <c r="U56" i="13"/>
  <c r="V54" i="13"/>
  <c r="O48" i="13"/>
  <c r="Y39" i="22"/>
  <c r="Y31" i="12"/>
  <c r="Y39" i="21"/>
  <c r="Y31" i="17"/>
  <c r="Y39" i="23"/>
  <c r="AA39" i="20"/>
  <c r="Y31" i="16"/>
  <c r="T59" i="13"/>
  <c r="X21" i="13"/>
  <c r="X14" i="30" s="1"/>
  <c r="AM52" i="25"/>
  <c r="AA20" i="13"/>
  <c r="AA13" i="30" s="1"/>
  <c r="AZ51" i="25"/>
  <c r="P58" i="13"/>
  <c r="V19" i="13"/>
  <c r="O55" i="13"/>
  <c r="O52" i="13"/>
  <c r="T51" i="13"/>
  <c r="AC50" i="13"/>
  <c r="AD50" i="13"/>
  <c r="AA15" i="13"/>
  <c r="T15" i="13"/>
  <c r="T8" i="30" s="1"/>
  <c r="Y46" i="25"/>
  <c r="U12" i="13"/>
  <c r="Q50" i="13"/>
  <c r="Q12" i="13"/>
  <c r="Q5" i="30" s="1"/>
  <c r="Q43" i="25"/>
  <c r="AA51" i="13"/>
  <c r="U52" i="13"/>
  <c r="Y40" i="23"/>
  <c r="O59" i="13"/>
  <c r="AF20" i="13"/>
  <c r="Q20" i="13"/>
  <c r="Q13" i="30" s="1"/>
  <c r="Q51" i="25"/>
  <c r="T19" i="13"/>
  <c r="U53" i="13"/>
  <c r="R49" i="13"/>
  <c r="R11" i="13"/>
  <c r="AC49" i="13"/>
  <c r="AI11" i="1"/>
  <c r="J30" i="12"/>
  <c r="F8" i="4"/>
  <c r="F10" i="4" s="1"/>
  <c r="F7" i="4"/>
  <c r="H45" i="13"/>
  <c r="G9" i="4"/>
  <c r="AA9" i="20"/>
  <c r="AA11" i="24"/>
  <c r="AD11" i="23"/>
  <c r="AA15" i="22"/>
  <c r="B4" i="13"/>
  <c r="C35" i="25" s="1"/>
  <c r="B47" i="13"/>
  <c r="H47" i="13"/>
  <c r="I44" i="13"/>
  <c r="E6" i="13"/>
  <c r="F37" i="25" s="1"/>
  <c r="B6" i="13"/>
  <c r="C37" i="25" s="1"/>
  <c r="B5" i="13"/>
  <c r="C36" i="25" s="1"/>
  <c r="U10" i="13"/>
  <c r="BB11" i="25"/>
  <c r="BB17" i="25"/>
  <c r="BB14" i="25"/>
  <c r="BB8" i="25"/>
  <c r="N8" i="25"/>
  <c r="BB9" i="25"/>
  <c r="BB12" i="25"/>
  <c r="Z25" i="23"/>
  <c r="Y25" i="21"/>
  <c r="BB10" i="25"/>
  <c r="BB13" i="25"/>
  <c r="O9" i="25"/>
  <c r="Y25" i="24"/>
  <c r="BB16" i="25"/>
  <c r="AA25" i="16"/>
  <c r="Y25" i="22"/>
  <c r="N10" i="25"/>
  <c r="N9" i="25"/>
  <c r="AA25" i="17"/>
  <c r="N16" i="25"/>
  <c r="E46" i="13"/>
  <c r="B46" i="13"/>
  <c r="B8" i="13"/>
  <c r="C39" i="25" s="1"/>
  <c r="B44" i="13"/>
  <c r="E44" i="13"/>
  <c r="H4" i="13"/>
  <c r="I35" i="25" s="1"/>
  <c r="B45" i="13"/>
  <c r="E47" i="13"/>
  <c r="B9" i="13"/>
  <c r="H44" i="13"/>
  <c r="B3" i="13"/>
  <c r="C34" i="25" s="1"/>
  <c r="H5" i="13"/>
  <c r="I36" i="25" s="1"/>
  <c r="H3" i="13"/>
  <c r="I34" i="25" s="1"/>
  <c r="E45" i="13"/>
  <c r="B7" i="13"/>
  <c r="C38" i="25" s="1"/>
  <c r="I47" i="13"/>
  <c r="H9" i="13"/>
  <c r="I40" i="25" s="1"/>
  <c r="AB17" i="13"/>
  <c r="AB10" i="30" s="1"/>
  <c r="BA48" i="25"/>
  <c r="S55" i="13"/>
  <c r="N13" i="25"/>
  <c r="N12" i="25"/>
  <c r="AA25" i="12"/>
  <c r="N15" i="25"/>
  <c r="AA25" i="11"/>
  <c r="N11" i="25"/>
  <c r="AA25" i="20"/>
  <c r="AB25" i="16"/>
  <c r="O11" i="25"/>
  <c r="AA25" i="10"/>
  <c r="N17" i="25"/>
  <c r="O16" i="25"/>
  <c r="O10" i="25"/>
  <c r="O14" i="25"/>
  <c r="Y25" i="23"/>
  <c r="N14" i="25"/>
  <c r="N21" i="25"/>
  <c r="Z25" i="22"/>
  <c r="AB25" i="20"/>
  <c r="O17" i="25"/>
  <c r="AB25" i="11"/>
  <c r="O15" i="25"/>
  <c r="AB25" i="12"/>
  <c r="O26" i="25"/>
  <c r="O18" i="25"/>
  <c r="AB25" i="17"/>
  <c r="O8" i="25"/>
  <c r="Z25" i="24"/>
  <c r="AB25" i="10"/>
  <c r="N25" i="25"/>
  <c r="O22" i="25"/>
  <c r="O13" i="25"/>
  <c r="Z25" i="21"/>
  <c r="O12" i="25"/>
  <c r="N28" i="25"/>
  <c r="O25" i="25"/>
  <c r="N24" i="25"/>
  <c r="O21" i="25"/>
  <c r="N20" i="25"/>
  <c r="O27" i="25"/>
  <c r="N26" i="25"/>
  <c r="O23" i="25"/>
  <c r="N22" i="25"/>
  <c r="O19" i="25"/>
  <c r="N18" i="25"/>
  <c r="O28" i="25"/>
  <c r="N27" i="25"/>
  <c r="O24" i="25"/>
  <c r="N23" i="25"/>
  <c r="X17" i="13"/>
  <c r="X10" i="30" s="1"/>
  <c r="R55" i="13"/>
  <c r="R17" i="13"/>
  <c r="AE17" i="13"/>
  <c r="U17" i="13"/>
  <c r="V55" i="13"/>
  <c r="S16" i="13"/>
  <c r="S9" i="30" s="1"/>
  <c r="X47" i="25"/>
  <c r="AA17" i="13"/>
  <c r="T55" i="13"/>
  <c r="Q55" i="13"/>
  <c r="T17" i="13"/>
  <c r="AD17" i="13"/>
  <c r="Q49" i="1"/>
  <c r="S15" i="13"/>
  <c r="W16" i="13"/>
  <c r="A10" i="22"/>
  <c r="AE10" i="22" s="1"/>
  <c r="AF11" i="22" s="1"/>
  <c r="AE9" i="20"/>
  <c r="AE9" i="10"/>
  <c r="AE9" i="23"/>
  <c r="AF10" i="23" s="1"/>
  <c r="AE9" i="16"/>
  <c r="A10" i="17"/>
  <c r="AE10" i="17" s="1"/>
  <c r="AE9" i="17"/>
  <c r="AF10" i="17" s="1"/>
  <c r="AE10" i="10"/>
  <c r="AM5" i="13"/>
  <c r="CP36" i="25"/>
  <c r="AM4" i="13"/>
  <c r="CP35" i="25" s="1"/>
  <c r="AM3" i="13"/>
  <c r="CP34" i="25"/>
  <c r="AM7" i="13"/>
  <c r="CP38" i="25" s="1"/>
  <c r="AM45" i="13"/>
  <c r="AM44" i="13"/>
  <c r="AM6" i="13"/>
  <c r="CP37" i="25" s="1"/>
  <c r="AM9" i="13"/>
  <c r="CP40" i="25"/>
  <c r="AM47" i="13"/>
  <c r="AM8" i="13"/>
  <c r="CP39" i="25" s="1"/>
  <c r="AM46" i="13"/>
  <c r="R48" i="13"/>
  <c r="AE10" i="13"/>
  <c r="S48" i="13"/>
  <c r="AC10" i="13"/>
  <c r="AC3" i="30" s="1"/>
  <c r="X48" i="13"/>
  <c r="X10" i="13"/>
  <c r="AD48" i="13"/>
  <c r="W10" i="13"/>
  <c r="W3" i="30" s="1"/>
  <c r="W48" i="13"/>
  <c r="T10" i="13"/>
  <c r="T48" i="13"/>
  <c r="AE11" i="13"/>
  <c r="AF49" i="13"/>
  <c r="U11" i="13"/>
  <c r="U4" i="30" s="1"/>
  <c r="V11" i="13"/>
  <c r="AE12" i="13"/>
  <c r="AE5" i="30" s="1"/>
  <c r="X50" i="13"/>
  <c r="R50" i="13"/>
  <c r="O50" i="13"/>
  <c r="AC13" i="13"/>
  <c r="AC6" i="30" s="1"/>
  <c r="V13" i="13"/>
  <c r="V6" i="30" s="1"/>
  <c r="AF44" i="25"/>
  <c r="S51" i="13"/>
  <c r="AF51" i="13"/>
  <c r="O13" i="13"/>
  <c r="U51" i="13"/>
  <c r="O51" i="13"/>
  <c r="X54" i="13"/>
  <c r="AC53" i="13"/>
  <c r="AE15" i="13"/>
  <c r="AE8" i="30" s="1"/>
  <c r="AF15" i="13"/>
  <c r="AF8" i="30" s="1"/>
  <c r="R53" i="13"/>
  <c r="X52" i="13"/>
  <c r="AE52" i="13"/>
  <c r="W52" i="13"/>
  <c r="Q14" i="13"/>
  <c r="Q7" i="30" s="1"/>
  <c r="S14" i="13"/>
  <c r="S7" i="30" s="1"/>
  <c r="T52" i="13"/>
  <c r="AD52" i="13"/>
  <c r="AB14" i="13"/>
  <c r="AB7" i="30" s="1"/>
  <c r="A11" i="17"/>
  <c r="A12" i="17" s="1"/>
  <c r="AF52" i="13"/>
  <c r="V53" i="13"/>
  <c r="Q15" i="13"/>
  <c r="Q8" i="30" s="1"/>
  <c r="R16" i="13"/>
  <c r="R9" i="30" s="1"/>
  <c r="R47" i="25"/>
  <c r="U16" i="13"/>
  <c r="U9" i="30" s="1"/>
  <c r="AF54" i="13"/>
  <c r="T54" i="13"/>
  <c r="AB54" i="13"/>
  <c r="O54" i="13"/>
  <c r="AD16" i="13"/>
  <c r="AD9" i="30" s="1"/>
  <c r="Q16" i="13"/>
  <c r="Q9" i="30" s="1"/>
  <c r="AA54" i="13"/>
  <c r="D15" i="13"/>
  <c r="D8" i="30" s="1"/>
  <c r="D53" i="13"/>
  <c r="G53" i="13"/>
  <c r="D54" i="13"/>
  <c r="D16" i="13"/>
  <c r="H7" i="13"/>
  <c r="I38" i="25" s="1"/>
  <c r="I45" i="13"/>
  <c r="H46" i="13"/>
  <c r="H8" i="13"/>
  <c r="I39" i="25" s="1"/>
  <c r="I46" i="13"/>
  <c r="H6" i="13"/>
  <c r="I37" i="25" s="1"/>
  <c r="D32" i="10"/>
  <c r="DH57" i="25"/>
  <c r="J24" i="25" s="1"/>
  <c r="AJ29" i="13"/>
  <c r="CC60" i="25"/>
  <c r="AJ25" i="13"/>
  <c r="CC56" i="25"/>
  <c r="AJ28" i="13"/>
  <c r="CC59" i="25"/>
  <c r="AJ24" i="13"/>
  <c r="CC55" i="25"/>
  <c r="AJ30" i="13"/>
  <c r="CC61" i="25"/>
  <c r="AJ26" i="13"/>
  <c r="CC57" i="25"/>
  <c r="AJ21" i="13"/>
  <c r="AJ14" i="30" s="1"/>
  <c r="CC52" i="25"/>
  <c r="AC25" i="13"/>
  <c r="BG56" i="25"/>
  <c r="AJ27" i="13"/>
  <c r="CC58" i="25"/>
  <c r="AJ22" i="13"/>
  <c r="CC53" i="25"/>
  <c r="AE25" i="13"/>
  <c r="BN56" i="25"/>
  <c r="AE28" i="13"/>
  <c r="BN59" i="25"/>
  <c r="AE29" i="13"/>
  <c r="BN60" i="25"/>
  <c r="AE30" i="13"/>
  <c r="BN61" i="25"/>
  <c r="AE26" i="13"/>
  <c r="BN57" i="25"/>
  <c r="AE27" i="13"/>
  <c r="BN58" i="25"/>
  <c r="AE22" i="13"/>
  <c r="BN53" i="25"/>
  <c r="AE23" i="13"/>
  <c r="BN54" i="25"/>
  <c r="AE24" i="13"/>
  <c r="BN55" i="25"/>
  <c r="AK28" i="13"/>
  <c r="CI59" i="25"/>
  <c r="AK26" i="13"/>
  <c r="CI57" i="25"/>
  <c r="AK24" i="13"/>
  <c r="CI55" i="25"/>
  <c r="AK22" i="13"/>
  <c r="CI53" i="25"/>
  <c r="AK21" i="13"/>
  <c r="AK14" i="30" s="1"/>
  <c r="CI52" i="25"/>
  <c r="AK30" i="13"/>
  <c r="CI61" i="25"/>
  <c r="AK23" i="13"/>
  <c r="CI54" i="25"/>
  <c r="AC28" i="13"/>
  <c r="BG59" i="25"/>
  <c r="W25" i="13"/>
  <c r="AL56" i="25"/>
  <c r="AK29" i="13"/>
  <c r="CI60" i="25"/>
  <c r="Q30" i="13"/>
  <c r="Q61" i="25"/>
  <c r="Q23" i="13"/>
  <c r="Q54" i="25"/>
  <c r="Q24" i="13"/>
  <c r="Q55" i="25"/>
  <c r="Q26" i="13"/>
  <c r="Q57" i="25"/>
  <c r="Q27" i="13"/>
  <c r="Q58" i="25"/>
  <c r="Q25" i="13"/>
  <c r="Q56" i="25"/>
  <c r="Q29" i="13"/>
  <c r="Q60" i="25"/>
  <c r="Q59" i="13"/>
  <c r="T21" i="13"/>
  <c r="W24" i="13"/>
  <c r="AL55" i="25" s="1"/>
  <c r="W23" i="13"/>
  <c r="AL54" i="25" s="1"/>
  <c r="W28" i="13"/>
  <c r="AL59" i="25" s="1"/>
  <c r="W29" i="13"/>
  <c r="AL60" i="25" s="1"/>
  <c r="W26" i="13"/>
  <c r="AL57" i="25" s="1"/>
  <c r="W27" i="13"/>
  <c r="AL58" i="25" s="1"/>
  <c r="AB23" i="13"/>
  <c r="BA54" i="25" s="1"/>
  <c r="AB28" i="13"/>
  <c r="BA59" i="25" s="1"/>
  <c r="AB29" i="13"/>
  <c r="BA60" i="25" s="1"/>
  <c r="AB59" i="13"/>
  <c r="AB25" i="13"/>
  <c r="BA56" i="25"/>
  <c r="AB30" i="13"/>
  <c r="BA61" i="25"/>
  <c r="AB24" i="13"/>
  <c r="BA55" i="25"/>
  <c r="AB21" i="13"/>
  <c r="AB14" i="30" s="1"/>
  <c r="BA52" i="25"/>
  <c r="AH22" i="13"/>
  <c r="BV53" i="25"/>
  <c r="AH26" i="13"/>
  <c r="BV57" i="25"/>
  <c r="AH27" i="13"/>
  <c r="BV58" i="25"/>
  <c r="AH30" i="13"/>
  <c r="BV61" i="25"/>
  <c r="AH23" i="13"/>
  <c r="BV54" i="25"/>
  <c r="AH24" i="13"/>
  <c r="BV55" i="25"/>
  <c r="AH25" i="13"/>
  <c r="BV56" i="25"/>
  <c r="AH28" i="13"/>
  <c r="BV59" i="25"/>
  <c r="AH29" i="13"/>
  <c r="BV60" i="25"/>
  <c r="AB26" i="13"/>
  <c r="BA57" i="25" s="1"/>
  <c r="AB22" i="13"/>
  <c r="BA53" i="25" s="1"/>
  <c r="T24" i="13"/>
  <c r="Y55" i="25"/>
  <c r="T26" i="13"/>
  <c r="Y57" i="25"/>
  <c r="T27" i="13"/>
  <c r="Y58" i="25"/>
  <c r="T23" i="13"/>
  <c r="Y54" i="25"/>
  <c r="T22" i="13"/>
  <c r="Y53" i="25"/>
  <c r="T25" i="13"/>
  <c r="Y56" i="25"/>
  <c r="T30" i="13"/>
  <c r="Y61" i="25"/>
  <c r="AC24" i="13"/>
  <c r="BG55" i="25"/>
  <c r="AC21" i="13"/>
  <c r="AC14" i="30" s="1"/>
  <c r="BG52" i="25"/>
  <c r="AC59" i="13"/>
  <c r="AC22" i="13"/>
  <c r="BG53" i="25" s="1"/>
  <c r="AC23" i="13"/>
  <c r="BG54" i="25" s="1"/>
  <c r="AC29" i="13"/>
  <c r="BG60" i="25" s="1"/>
  <c r="AC26" i="13"/>
  <c r="BG57" i="25" s="1"/>
  <c r="AC27" i="13"/>
  <c r="BG58" i="25" s="1"/>
  <c r="O22" i="13"/>
  <c r="DH53" i="25" s="1"/>
  <c r="O25" i="13"/>
  <c r="O29" i="13"/>
  <c r="DH60" i="25"/>
  <c r="J27" i="25" s="1"/>
  <c r="O30" i="13"/>
  <c r="O23" i="13"/>
  <c r="O24" i="13"/>
  <c r="O27" i="13"/>
  <c r="O28" i="13"/>
  <c r="P59" i="13"/>
  <c r="O21" i="13"/>
  <c r="W30" i="13"/>
  <c r="AL61" i="25"/>
  <c r="T28" i="13"/>
  <c r="Y59" i="25"/>
  <c r="AJ23" i="13"/>
  <c r="CC54" i="25"/>
  <c r="AK25" i="13"/>
  <c r="CI56" i="25"/>
  <c r="Q22" i="13"/>
  <c r="Q53" i="25"/>
  <c r="AD30" i="13"/>
  <c r="BH61" i="25"/>
  <c r="X30" i="13"/>
  <c r="AM61" i="25"/>
  <c r="AD29" i="13"/>
  <c r="BH60" i="25"/>
  <c r="AA29" i="13"/>
  <c r="AZ60" i="25"/>
  <c r="U29" i="13"/>
  <c r="AE60" i="25"/>
  <c r="AD28" i="13"/>
  <c r="BH59" i="25"/>
  <c r="AA28" i="13"/>
  <c r="AZ59" i="25"/>
  <c r="U28" i="13"/>
  <c r="AE59" i="25"/>
  <c r="R28" i="13"/>
  <c r="R59" i="25"/>
  <c r="S27" i="13"/>
  <c r="X58" i="25"/>
  <c r="S26" i="13"/>
  <c r="X57" i="25"/>
  <c r="AD25" i="13"/>
  <c r="BH56" i="25"/>
  <c r="X25" i="13"/>
  <c r="AM56" i="25"/>
  <c r="V24" i="13"/>
  <c r="AF55" i="25"/>
  <c r="S24" i="13"/>
  <c r="X55" i="25"/>
  <c r="AA23" i="13"/>
  <c r="AZ54" i="25"/>
  <c r="V23" i="13"/>
  <c r="AF54" i="25"/>
  <c r="S23" i="13"/>
  <c r="X54" i="25"/>
  <c r="AI21" i="13"/>
  <c r="AI14" i="30" s="1"/>
  <c r="CB52" i="25"/>
  <c r="AI26" i="13"/>
  <c r="CB57" i="25"/>
  <c r="AI30" i="13"/>
  <c r="CB61" i="25"/>
  <c r="AL24" i="13"/>
  <c r="CJ55" i="25"/>
  <c r="AL26" i="13"/>
  <c r="CJ57" i="25"/>
  <c r="AL28" i="13"/>
  <c r="CJ59" i="25"/>
  <c r="AA22" i="13"/>
  <c r="AZ53" i="25"/>
  <c r="AI22" i="13"/>
  <c r="CB53" i="25"/>
  <c r="V30" i="13"/>
  <c r="AF61" i="25"/>
  <c r="R30" i="13"/>
  <c r="R61" i="25"/>
  <c r="AF29" i="13"/>
  <c r="BO60" i="25"/>
  <c r="S29" i="13"/>
  <c r="X60" i="25"/>
  <c r="AF28" i="13"/>
  <c r="BO59" i="25"/>
  <c r="S28" i="13"/>
  <c r="X59" i="25"/>
  <c r="AA27" i="13"/>
  <c r="AZ58" i="25"/>
  <c r="U27" i="13"/>
  <c r="AE58" i="25"/>
  <c r="AA26" i="13"/>
  <c r="AZ57" i="25"/>
  <c r="U26" i="13"/>
  <c r="AE57" i="25"/>
  <c r="AF25" i="13"/>
  <c r="BO56" i="25"/>
  <c r="V25" i="13"/>
  <c r="AF56" i="25"/>
  <c r="R25" i="13"/>
  <c r="R56" i="25"/>
  <c r="AD24" i="13"/>
  <c r="BH55" i="25"/>
  <c r="X24" i="13"/>
  <c r="AM55" i="25"/>
  <c r="U24" i="13"/>
  <c r="AE55" i="25"/>
  <c r="AI24" i="13"/>
  <c r="CB55" i="25"/>
  <c r="AI28" i="13"/>
  <c r="CB59" i="25"/>
  <c r="AL23" i="13"/>
  <c r="CJ54" i="25"/>
  <c r="AL25" i="13"/>
  <c r="CJ56" i="25"/>
  <c r="AL27" i="13"/>
  <c r="CJ58" i="25"/>
  <c r="R22" i="13"/>
  <c r="R53" i="25"/>
  <c r="AD59" i="13"/>
  <c r="AA30" i="13"/>
  <c r="AZ61" i="25" s="1"/>
  <c r="U30" i="13"/>
  <c r="AE61" i="25" s="1"/>
  <c r="V29" i="13"/>
  <c r="AF60" i="25" s="1"/>
  <c r="V28" i="13"/>
  <c r="AF59" i="25" s="1"/>
  <c r="AD27" i="13"/>
  <c r="BH58" i="25" s="1"/>
  <c r="X27" i="13"/>
  <c r="AM58" i="25" s="1"/>
  <c r="AD26" i="13"/>
  <c r="BH57" i="25" s="1"/>
  <c r="X26" i="13"/>
  <c r="AM57" i="25" s="1"/>
  <c r="AF24" i="13"/>
  <c r="BO55" i="25" s="1"/>
  <c r="AI25" i="13"/>
  <c r="CB56" i="25" s="1"/>
  <c r="AL21" i="13"/>
  <c r="AL29" i="13"/>
  <c r="CJ60" i="25" s="1"/>
  <c r="Q58" i="13"/>
  <c r="S58" i="13"/>
  <c r="U58" i="13"/>
  <c r="T58" i="13"/>
  <c r="AB58" i="13"/>
  <c r="W57" i="13"/>
  <c r="R19" i="13"/>
  <c r="R12" i="30" s="1"/>
  <c r="R50" i="25"/>
  <c r="AB57" i="13"/>
  <c r="R57" i="13"/>
  <c r="R18" i="13"/>
  <c r="R11" i="30" s="1"/>
  <c r="R49" i="25"/>
  <c r="U18" i="13"/>
  <c r="U11" i="30" s="1"/>
  <c r="AE49" i="25"/>
  <c r="AE9" i="21"/>
  <c r="X56" i="13"/>
  <c r="A11" i="23"/>
  <c r="AE11" i="23" s="1"/>
  <c r="AE10" i="23"/>
  <c r="I8" i="13"/>
  <c r="J39" i="25" s="1"/>
  <c r="DH36" i="25"/>
  <c r="DH47" i="25"/>
  <c r="J14" i="25" s="1"/>
  <c r="DH48" i="25"/>
  <c r="J15" i="25" s="1"/>
  <c r="AF10" i="20"/>
  <c r="DH56" i="25"/>
  <c r="J23" i="25" s="1"/>
  <c r="DH59" i="25"/>
  <c r="J26" i="25" s="1"/>
  <c r="DH61" i="25"/>
  <c r="J28" i="25" s="1"/>
  <c r="DH58" i="25"/>
  <c r="J25" i="25" s="1"/>
  <c r="DH55" i="25"/>
  <c r="J22" i="25" s="1"/>
  <c r="DH54" i="25"/>
  <c r="J21" i="25" s="1"/>
  <c r="J20" i="25"/>
  <c r="I7" i="13"/>
  <c r="J38" i="25" s="1"/>
  <c r="AL27" i="30"/>
  <c r="AH27" i="30"/>
  <c r="AD27" i="30"/>
  <c r="Z27" i="30"/>
  <c r="V27" i="30"/>
  <c r="R27" i="30"/>
  <c r="N27" i="30"/>
  <c r="J27" i="30"/>
  <c r="F27" i="30"/>
  <c r="B27" i="30"/>
  <c r="I27" i="30"/>
  <c r="AJ27" i="30"/>
  <c r="AF27" i="30"/>
  <c r="AB27" i="30"/>
  <c r="X27" i="30"/>
  <c r="T27" i="30"/>
  <c r="P27" i="30"/>
  <c r="D41" i="30" s="1"/>
  <c r="L27" i="30"/>
  <c r="H27" i="30"/>
  <c r="D27" i="30"/>
  <c r="AK27" i="30"/>
  <c r="AG27" i="30"/>
  <c r="AC27" i="30"/>
  <c r="Y27" i="30"/>
  <c r="U27" i="30"/>
  <c r="Q27" i="30"/>
  <c r="D43" i="30" s="1"/>
  <c r="M27" i="30"/>
  <c r="E27" i="30"/>
  <c r="AM27" i="30"/>
  <c r="AI27" i="30"/>
  <c r="AE27" i="30"/>
  <c r="AA27" i="30"/>
  <c r="W27" i="30"/>
  <c r="S27" i="30"/>
  <c r="O27" i="30"/>
  <c r="D40" i="30" s="1"/>
  <c r="K27" i="30"/>
  <c r="G27" i="30"/>
  <c r="C27" i="30"/>
  <c r="A27" i="30"/>
  <c r="G9" i="13"/>
  <c r="H40" i="25" s="1"/>
  <c r="AE15" i="25" l="1"/>
  <c r="BV49" i="25"/>
  <c r="BH49" i="25"/>
  <c r="AF49" i="25"/>
  <c r="Q10" i="13"/>
  <c r="AC21" i="10"/>
  <c r="AD21" i="10" s="1"/>
  <c r="Y21" i="10"/>
  <c r="AA21" i="10" s="1"/>
  <c r="DI44" i="25"/>
  <c r="K11" i="25" s="1"/>
  <c r="AE42" i="25"/>
  <c r="CB42" i="25"/>
  <c r="CI48" i="25"/>
  <c r="BG41" i="25"/>
  <c r="CC41" i="25"/>
  <c r="AL41" i="25"/>
  <c r="X42" i="25"/>
  <c r="BG43" i="25"/>
  <c r="AL43" i="25"/>
  <c r="BO43" i="25"/>
  <c r="CC43" i="25"/>
  <c r="BN43" i="25"/>
  <c r="BA43" i="25"/>
  <c r="R43" i="25"/>
  <c r="BG44" i="25"/>
  <c r="CB44" i="25"/>
  <c r="Q45" i="25"/>
  <c r="CC45" i="25"/>
  <c r="BA45" i="25"/>
  <c r="X45" i="25"/>
  <c r="R45" i="25"/>
  <c r="BO45" i="25"/>
  <c r="E46" i="25"/>
  <c r="Q46" i="25"/>
  <c r="R46" i="25"/>
  <c r="BO46" i="25"/>
  <c r="BH46" i="25"/>
  <c r="AL46" i="25"/>
  <c r="BV46" i="25"/>
  <c r="CC46" i="25"/>
  <c r="CJ46" i="25"/>
  <c r="BN46" i="25"/>
  <c r="BA46" i="25"/>
  <c r="BU46" i="25"/>
  <c r="CB46" i="25"/>
  <c r="CI46" i="25"/>
  <c r="AT46" i="25"/>
  <c r="BH47" i="25"/>
  <c r="BN47" i="25"/>
  <c r="Q47" i="25"/>
  <c r="AE47" i="25"/>
  <c r="AF47" i="25"/>
  <c r="BG47" i="25"/>
  <c r="BO47" i="25"/>
  <c r="CC47" i="25"/>
  <c r="CJ48" i="25"/>
  <c r="S17" i="13"/>
  <c r="AC21" i="20"/>
  <c r="Y21" i="20"/>
  <c r="AM48" i="25"/>
  <c r="Q48" i="25"/>
  <c r="BU48" i="25"/>
  <c r="BV48" i="25"/>
  <c r="DH34" i="25"/>
  <c r="E5" i="13"/>
  <c r="F36" i="25" s="1"/>
  <c r="G8" i="13"/>
  <c r="H39" i="25" s="1"/>
  <c r="I5" i="13"/>
  <c r="J36" i="25" s="1"/>
  <c r="I4" i="13"/>
  <c r="J35" i="25" s="1"/>
  <c r="G6" i="13"/>
  <c r="H37" i="25" s="1"/>
  <c r="E4" i="13"/>
  <c r="F35" i="25" s="1"/>
  <c r="G4" i="13"/>
  <c r="H35" i="25" s="1"/>
  <c r="E8" i="13"/>
  <c r="F39" i="25" s="1"/>
  <c r="Q52" i="1"/>
  <c r="Q50" i="1"/>
  <c r="B12" i="25"/>
  <c r="AE12" i="25" s="1"/>
  <c r="B13" i="25"/>
  <c r="AE13" i="25" s="1"/>
  <c r="AE10" i="28"/>
  <c r="AE10" i="16"/>
  <c r="AF11" i="16" s="1"/>
  <c r="Q45" i="1"/>
  <c r="B28" i="25"/>
  <c r="AE28" i="25" s="1"/>
  <c r="Q44" i="1"/>
  <c r="AE11" i="16"/>
  <c r="A12" i="16"/>
  <c r="A12" i="28"/>
  <c r="AE12" i="28" s="1"/>
  <c r="AE11" i="28"/>
  <c r="AF11" i="12"/>
  <c r="A11" i="21"/>
  <c r="AE9" i="24"/>
  <c r="AF10" i="24" s="1"/>
  <c r="AE9" i="28"/>
  <c r="AF10" i="28" s="1"/>
  <c r="A11" i="12"/>
  <c r="AE11" i="12" s="1"/>
  <c r="AF12" i="12" s="1"/>
  <c r="AE11" i="17"/>
  <c r="AF12" i="17" s="1"/>
  <c r="A12" i="10"/>
  <c r="AE12" i="10" s="1"/>
  <c r="AE12" i="17"/>
  <c r="AF13" i="17" s="1"/>
  <c r="A13" i="17"/>
  <c r="A11" i="11"/>
  <c r="AE10" i="11"/>
  <c r="A11" i="20"/>
  <c r="AF12" i="23"/>
  <c r="A13" i="10"/>
  <c r="AE10" i="24"/>
  <c r="AF11" i="24" s="1"/>
  <c r="AE9" i="11"/>
  <c r="AF10" i="11" s="1"/>
  <c r="AF11" i="23"/>
  <c r="A12" i="12"/>
  <c r="B11" i="25"/>
  <c r="AE11" i="25" s="1"/>
  <c r="B27" i="25"/>
  <c r="AE27" i="25" s="1"/>
  <c r="B19" i="25"/>
  <c r="AE19" i="25" s="1"/>
  <c r="Q47" i="1"/>
  <c r="B16" i="25"/>
  <c r="AE16" i="25" s="1"/>
  <c r="Q53" i="1"/>
  <c r="Q48" i="1"/>
  <c r="B10" i="25"/>
  <c r="AE10" i="25" s="1"/>
  <c r="B21" i="25"/>
  <c r="AE21" i="25" s="1"/>
  <c r="Q46" i="1"/>
  <c r="B9" i="25"/>
  <c r="AE9" i="25" s="1"/>
  <c r="B24" i="25"/>
  <c r="AE24" i="25" s="1"/>
  <c r="B22" i="25"/>
  <c r="AE22" i="25" s="1"/>
  <c r="B17" i="25"/>
  <c r="AE17" i="25" s="1"/>
  <c r="B8" i="25"/>
  <c r="AE8" i="25" s="1"/>
  <c r="B23" i="25"/>
  <c r="AE23" i="25" s="1"/>
  <c r="B25" i="25"/>
  <c r="AE25" i="25" s="1"/>
  <c r="B26" i="25"/>
  <c r="AE26" i="25" s="1"/>
  <c r="B20" i="25"/>
  <c r="AE20" i="25" s="1"/>
  <c r="B18" i="25"/>
  <c r="AE18" i="25" s="1"/>
  <c r="B14" i="25"/>
  <c r="AE14" i="25" s="1"/>
  <c r="W55" i="13"/>
  <c r="Y17" i="13"/>
  <c r="G16" i="13"/>
  <c r="G9" i="30" s="1"/>
  <c r="DH41" i="25"/>
  <c r="J8" i="25" s="1"/>
  <c r="I45" i="28"/>
  <c r="AA43" i="28" s="1"/>
  <c r="AA38" i="28"/>
  <c r="B16" i="13"/>
  <c r="B9" i="30" s="1"/>
  <c r="I3" i="13"/>
  <c r="J34" i="25" s="1"/>
  <c r="E7" i="13"/>
  <c r="F38" i="25" s="1"/>
  <c r="DH40" i="25"/>
  <c r="DH38" i="25"/>
  <c r="E3" i="13"/>
  <c r="F34" i="25" s="1"/>
  <c r="E9" i="13"/>
  <c r="F40" i="25" s="1"/>
  <c r="J37" i="11"/>
  <c r="Y34" i="11" s="1"/>
  <c r="C28" i="10" s="1"/>
  <c r="I45" i="23"/>
  <c r="Y43" i="23" s="1"/>
  <c r="D38" i="10" s="1"/>
  <c r="AF11" i="20"/>
  <c r="J45" i="29"/>
  <c r="AA42" i="29" s="1"/>
  <c r="C32" i="10" s="1"/>
  <c r="I45" i="29"/>
  <c r="AA43" i="29" s="1"/>
  <c r="I45" i="22"/>
  <c r="Y43" i="22" s="1"/>
  <c r="D36" i="10" s="1"/>
  <c r="I45" i="21"/>
  <c r="Y43" i="21" s="1"/>
  <c r="D35" i="10" s="1"/>
  <c r="I45" i="20"/>
  <c r="AA43" i="20" s="1"/>
  <c r="D34" i="10" s="1"/>
  <c r="I37" i="11"/>
  <c r="Y35" i="11" s="1"/>
  <c r="D28" i="10" s="1"/>
  <c r="I37" i="16"/>
  <c r="Y35" i="16" s="1"/>
  <c r="D30" i="10" s="1"/>
  <c r="I37" i="17"/>
  <c r="Y35" i="17" s="1"/>
  <c r="D31" i="10" s="1"/>
  <c r="J45" i="28"/>
  <c r="AA42" i="28" s="1"/>
  <c r="C33" i="10" s="1"/>
  <c r="J45" i="21"/>
  <c r="Y42" i="21" s="1"/>
  <c r="C35" i="10" s="1"/>
  <c r="E16" i="13"/>
  <c r="F47" i="25" s="1"/>
  <c r="AA21" i="28"/>
  <c r="E54" i="13" s="1"/>
  <c r="B54" i="13"/>
  <c r="I37" i="12"/>
  <c r="Y35" i="12" s="1"/>
  <c r="D29" i="10" s="1"/>
  <c r="T14" i="30"/>
  <c r="Y52" i="25"/>
  <c r="X3" i="30"/>
  <c r="AM41" i="25"/>
  <c r="O8" i="30"/>
  <c r="DH46" i="25"/>
  <c r="J13" i="25" s="1"/>
  <c r="G15" i="13"/>
  <c r="AF11" i="10"/>
  <c r="AG25" i="13"/>
  <c r="BU56" i="25" s="1"/>
  <c r="AG29" i="13"/>
  <c r="BU60" i="25" s="1"/>
  <c r="AG28" i="13"/>
  <c r="BU59" i="25" s="1"/>
  <c r="AG22" i="13"/>
  <c r="BU53" i="25" s="1"/>
  <c r="AG21" i="13"/>
  <c r="AG30" i="13"/>
  <c r="BU61" i="25" s="1"/>
  <c r="AG27" i="13"/>
  <c r="BU58" i="25" s="1"/>
  <c r="AG26" i="13"/>
  <c r="BU57" i="25" s="1"/>
  <c r="AG24" i="13"/>
  <c r="BU55" i="25" s="1"/>
  <c r="AG23" i="13"/>
  <c r="BU54" i="25" s="1"/>
  <c r="AE11" i="11"/>
  <c r="A12" i="11"/>
  <c r="V4" i="30"/>
  <c r="AF42" i="25"/>
  <c r="AE4" i="30"/>
  <c r="BN42" i="25"/>
  <c r="AA8" i="30"/>
  <c r="AZ46" i="25"/>
  <c r="Q3" i="30"/>
  <c r="Q41" i="25"/>
  <c r="X12" i="30"/>
  <c r="AM50" i="25"/>
  <c r="J37" i="16"/>
  <c r="Y34" i="16" s="1"/>
  <c r="C30" i="10" s="1"/>
  <c r="J37" i="17"/>
  <c r="Y34" i="17" s="1"/>
  <c r="C31" i="10" s="1"/>
  <c r="J45" i="20"/>
  <c r="AA42" i="20" s="1"/>
  <c r="C34" i="10" s="1"/>
  <c r="J45" i="22"/>
  <c r="Y42" i="22" s="1"/>
  <c r="C36" i="10" s="1"/>
  <c r="J45" i="24"/>
  <c r="Y42" i="24" s="1"/>
  <c r="C37" i="10" s="1"/>
  <c r="J45" i="23"/>
  <c r="Y42" i="23" s="1"/>
  <c r="C38" i="10" s="1"/>
  <c r="J37" i="12"/>
  <c r="Y34" i="12" s="1"/>
  <c r="C29" i="10" s="1"/>
  <c r="AD11" i="13"/>
  <c r="AD49" i="13"/>
  <c r="AD5" i="30"/>
  <c r="BH43" i="25"/>
  <c r="V52" i="13"/>
  <c r="V14" i="13"/>
  <c r="V14" i="30"/>
  <c r="AF52" i="25"/>
  <c r="AF13" i="30"/>
  <c r="BO51" i="25"/>
  <c r="AF10" i="21"/>
  <c r="AE10" i="30"/>
  <c r="BN48" i="25"/>
  <c r="AK4" i="30"/>
  <c r="CI42" i="25"/>
  <c r="AI9" i="30"/>
  <c r="CB47" i="25"/>
  <c r="AF11" i="21"/>
  <c r="O6" i="30"/>
  <c r="DH44" i="25"/>
  <c r="J11" i="25" s="1"/>
  <c r="AE3" i="30"/>
  <c r="BN41" i="25"/>
  <c r="AF10" i="12"/>
  <c r="C40" i="25"/>
  <c r="A12" i="23"/>
  <c r="A11" i="22"/>
  <c r="O14" i="30"/>
  <c r="DH52" i="25"/>
  <c r="J19" i="25" s="1"/>
  <c r="AE11" i="24"/>
  <c r="A12" i="24"/>
  <c r="AF10" i="16"/>
  <c r="W9" i="30"/>
  <c r="AL47" i="25"/>
  <c r="AD10" i="30"/>
  <c r="BH48" i="25"/>
  <c r="AA10" i="30"/>
  <c r="AZ48" i="25"/>
  <c r="R10" i="30"/>
  <c r="R48" i="25"/>
  <c r="U5" i="30"/>
  <c r="AE43" i="25"/>
  <c r="AK3" i="30"/>
  <c r="CI41" i="25"/>
  <c r="AL14" i="30"/>
  <c r="CJ52" i="25"/>
  <c r="S8" i="30"/>
  <c r="X46" i="25"/>
  <c r="T10" i="30"/>
  <c r="Y48" i="25"/>
  <c r="U3" i="30"/>
  <c r="AE41" i="25"/>
  <c r="AA6" i="30"/>
  <c r="AZ44" i="25"/>
  <c r="AC52" i="13"/>
  <c r="AC14" i="13"/>
  <c r="AC8" i="30"/>
  <c r="BG46" i="25"/>
  <c r="AG3" i="30"/>
  <c r="BU41" i="25"/>
  <c r="AG7" i="30"/>
  <c r="BU45" i="25"/>
  <c r="AJ10" i="30"/>
  <c r="CC48" i="25"/>
  <c r="U19" i="13"/>
  <c r="U57" i="13"/>
  <c r="D9" i="30"/>
  <c r="E47" i="25"/>
  <c r="T3" i="30"/>
  <c r="Y41" i="25"/>
  <c r="AF11" i="17"/>
  <c r="AF9" i="10"/>
  <c r="AF12" i="10"/>
  <c r="AF10" i="10"/>
  <c r="U10" i="30"/>
  <c r="AE48" i="25"/>
  <c r="W49" i="13"/>
  <c r="W11" i="13"/>
  <c r="O12" i="13"/>
  <c r="Y32" i="12"/>
  <c r="AG5" i="30"/>
  <c r="BU43" i="25"/>
  <c r="AK6" i="30"/>
  <c r="CI44" i="25"/>
  <c r="T12" i="30"/>
  <c r="Y50" i="25"/>
  <c r="P3" i="30"/>
  <c r="DI41" i="25"/>
  <c r="K8" i="25" s="1"/>
  <c r="Q14" i="30"/>
  <c r="Q52" i="25"/>
  <c r="AF10" i="30"/>
  <c r="BO48" i="25"/>
  <c r="AB6" i="30"/>
  <c r="BA44" i="25"/>
  <c r="AF10" i="13"/>
  <c r="AF48" i="13"/>
  <c r="R10" i="13"/>
  <c r="AF6" i="30"/>
  <c r="BO44" i="25"/>
  <c r="X6" i="30"/>
  <c r="AM44" i="25"/>
  <c r="AC4" i="30"/>
  <c r="BG42" i="25"/>
  <c r="W6" i="30"/>
  <c r="AL44" i="25"/>
  <c r="O7" i="30"/>
  <c r="DH45" i="25"/>
  <c r="J12" i="25" s="1"/>
  <c r="AG4" i="30"/>
  <c r="BU42" i="25"/>
  <c r="AI5" i="30"/>
  <c r="CB43" i="25"/>
  <c r="AG6" i="30"/>
  <c r="BU44" i="25"/>
  <c r="AH7" i="30"/>
  <c r="BV45" i="25"/>
  <c r="T9" i="30"/>
  <c r="Y47" i="25"/>
  <c r="AG9" i="30"/>
  <c r="BU47" i="25"/>
  <c r="AC17" i="13"/>
  <c r="AC55" i="13"/>
  <c r="AB12" i="30"/>
  <c r="BA50" i="25"/>
  <c r="AE19" i="13"/>
  <c r="AE57" i="13"/>
  <c r="AH12" i="30"/>
  <c r="BV50" i="25"/>
  <c r="U13" i="30"/>
  <c r="AE51" i="25"/>
  <c r="X58" i="13"/>
  <c r="X20" i="13"/>
  <c r="AH14" i="30"/>
  <c r="BV52" i="25"/>
  <c r="AK9" i="30"/>
  <c r="CI47" i="25"/>
  <c r="AH5" i="30"/>
  <c r="BV43" i="25"/>
  <c r="R4" i="30"/>
  <c r="R42" i="25"/>
  <c r="AA3" i="30"/>
  <c r="AZ41" i="25"/>
  <c r="AD12" i="30"/>
  <c r="BH50" i="25"/>
  <c r="P9" i="30"/>
  <c r="DI47" i="25"/>
  <c r="K14" i="25" s="1"/>
  <c r="R6" i="30"/>
  <c r="R44" i="25"/>
  <c r="P5" i="30"/>
  <c r="DI43" i="25"/>
  <c r="K10" i="25" s="1"/>
  <c r="AD7" i="30"/>
  <c r="BH45" i="25"/>
  <c r="W7" i="30"/>
  <c r="AL45" i="25"/>
  <c r="U14" i="30"/>
  <c r="AE52" i="25"/>
  <c r="AL3" i="30"/>
  <c r="CJ41" i="25"/>
  <c r="AJ4" i="30"/>
  <c r="CC42" i="25"/>
  <c r="AJ6" i="30"/>
  <c r="CC44" i="25"/>
  <c r="AI11" i="30"/>
  <c r="CB49" i="25"/>
  <c r="W12" i="30"/>
  <c r="AL50" i="25"/>
  <c r="AL13" i="30"/>
  <c r="CJ51" i="25"/>
  <c r="AA24" i="13"/>
  <c r="AZ55" i="25" s="1"/>
  <c r="AA25" i="13"/>
  <c r="AZ56" i="25" s="1"/>
  <c r="AA21" i="13"/>
  <c r="AI27" i="13"/>
  <c r="CB58" i="25" s="1"/>
  <c r="AI23" i="13"/>
  <c r="CB54" i="25" s="1"/>
  <c r="AI29" i="13"/>
  <c r="CB60" i="25" s="1"/>
  <c r="T6" i="30"/>
  <c r="Y44" i="25"/>
  <c r="O13" i="30"/>
  <c r="DH51" i="25"/>
  <c r="J18" i="25" s="1"/>
  <c r="V12" i="30"/>
  <c r="AF50" i="25"/>
  <c r="AA48" i="13"/>
  <c r="I45" i="24"/>
  <c r="Y43" i="24" s="1"/>
  <c r="D37" i="10" s="1"/>
  <c r="W14" i="30"/>
  <c r="AL52" i="25"/>
  <c r="AE6" i="30"/>
  <c r="BN44" i="25"/>
  <c r="AB4" i="30"/>
  <c r="BA42" i="25"/>
  <c r="Q4" i="30"/>
  <c r="Q42" i="25"/>
  <c r="V48" i="13"/>
  <c r="V10" i="13"/>
  <c r="X5" i="30"/>
  <c r="AM43" i="25"/>
  <c r="T5" i="30"/>
  <c r="Y43" i="25"/>
  <c r="AA5" i="30"/>
  <c r="AZ43" i="25"/>
  <c r="S12" i="13"/>
  <c r="S50" i="13"/>
  <c r="U6" i="30"/>
  <c r="AE44" i="25"/>
  <c r="AE7" i="30"/>
  <c r="BN45" i="25"/>
  <c r="AK5" i="30"/>
  <c r="CI43" i="25"/>
  <c r="AK7" i="30"/>
  <c r="CI45" i="25"/>
  <c r="V10" i="30"/>
  <c r="AF48" i="25"/>
  <c r="Z21" i="21"/>
  <c r="R56" i="13"/>
  <c r="X11" i="30"/>
  <c r="AM49" i="25"/>
  <c r="AB18" i="13"/>
  <c r="AB56" i="13"/>
  <c r="AE56" i="13"/>
  <c r="AE18" i="13"/>
  <c r="AI12" i="30"/>
  <c r="CB50" i="25"/>
  <c r="AB13" i="30"/>
  <c r="BA51" i="25"/>
  <c r="AG13" i="30"/>
  <c r="BU51" i="25"/>
  <c r="AI13" i="30"/>
  <c r="CB51" i="25"/>
  <c r="AD23" i="13"/>
  <c r="BH54" i="25" s="1"/>
  <c r="AD22" i="13"/>
  <c r="BH53" i="25" s="1"/>
  <c r="AD21" i="13"/>
  <c r="X8" i="30"/>
  <c r="AM46" i="25"/>
  <c r="AA9" i="30"/>
  <c r="AZ47" i="25"/>
  <c r="BA41" i="25"/>
  <c r="R52" i="25"/>
  <c r="DI51" i="25"/>
  <c r="K18" i="25" s="1"/>
  <c r="AZ50" i="25"/>
  <c r="Q50" i="25"/>
  <c r="DI49" i="25"/>
  <c r="K16" i="25" s="1"/>
  <c r="DI45" i="25"/>
  <c r="K12" i="25" s="1"/>
  <c r="BH44" i="25"/>
  <c r="Q44" i="25"/>
  <c r="AM42" i="25"/>
  <c r="Y42" i="25"/>
  <c r="C53" i="30"/>
  <c r="AB25" i="29"/>
  <c r="AB25" i="28"/>
  <c r="BH41" i="25"/>
  <c r="BO42" i="25"/>
  <c r="Y45" i="25"/>
  <c r="I6" i="13"/>
  <c r="J37" i="25" s="1"/>
  <c r="DH42" i="25"/>
  <c r="J9" i="25" s="1"/>
  <c r="AZ42" i="25"/>
  <c r="AE45" i="25"/>
  <c r="AE46" i="25"/>
  <c r="BN52" i="25"/>
  <c r="BV41" i="25"/>
  <c r="CB41" i="25"/>
  <c r="BV42" i="25"/>
  <c r="CJ42" i="25"/>
  <c r="AL5" i="30"/>
  <c r="CJ43" i="25"/>
  <c r="BV44" i="25"/>
  <c r="CJ44" i="25"/>
  <c r="CJ45" i="25"/>
  <c r="X9" i="30"/>
  <c r="AM47" i="25"/>
  <c r="BV47" i="25"/>
  <c r="CB48" i="25"/>
  <c r="BO50" i="25"/>
  <c r="Z21" i="24"/>
  <c r="Y51" i="25"/>
  <c r="AJ13" i="30"/>
  <c r="CC51" i="25"/>
  <c r="S25" i="13"/>
  <c r="X56" i="25" s="1"/>
  <c r="S30" i="13"/>
  <c r="X61" i="25" s="1"/>
  <c r="V27" i="13"/>
  <c r="AF58" i="25" s="1"/>
  <c r="V26" i="13"/>
  <c r="AF57" i="25" s="1"/>
  <c r="BB21" i="25"/>
  <c r="BB25" i="25"/>
  <c r="BB18" i="25"/>
  <c r="BB22" i="25"/>
  <c r="BB26" i="25"/>
  <c r="BB19" i="25"/>
  <c r="BB23" i="25"/>
  <c r="BB27" i="25"/>
  <c r="BB20" i="25"/>
  <c r="BB24" i="25"/>
  <c r="BB28" i="25"/>
  <c r="W10" i="30"/>
  <c r="AL48" i="25"/>
  <c r="Q11" i="30"/>
  <c r="Q49" i="25"/>
  <c r="AJ11" i="30"/>
  <c r="CC49" i="25"/>
  <c r="Y21" i="22"/>
  <c r="AC21" i="22"/>
  <c r="AD13" i="30"/>
  <c r="BH51" i="25"/>
  <c r="X29" i="13"/>
  <c r="AM60" i="25" s="1"/>
  <c r="X28" i="13"/>
  <c r="AM59" i="25" s="1"/>
  <c r="X23" i="13"/>
  <c r="AM54" i="25" s="1"/>
  <c r="AF14" i="30"/>
  <c r="BO52" i="25"/>
  <c r="S6" i="30"/>
  <c r="X44" i="25"/>
  <c r="S10" i="30"/>
  <c r="X48" i="25"/>
  <c r="C52" i="30"/>
  <c r="AA25" i="29"/>
  <c r="AA25" i="28"/>
  <c r="AL9" i="30"/>
  <c r="CJ47" i="25"/>
  <c r="Z21" i="20"/>
  <c r="AK11" i="30"/>
  <c r="CI49" i="25"/>
  <c r="Z21" i="22"/>
  <c r="AC21" i="23"/>
  <c r="Y21" i="23"/>
  <c r="Z21" i="23"/>
  <c r="R24" i="13"/>
  <c r="R55" i="25" s="1"/>
  <c r="R27" i="13"/>
  <c r="R58" i="25" s="1"/>
  <c r="R26" i="13"/>
  <c r="R57" i="25" s="1"/>
  <c r="R23" i="13"/>
  <c r="R54" i="25" s="1"/>
  <c r="AA39" i="29"/>
  <c r="AA39" i="28"/>
  <c r="Y7" i="30"/>
  <c r="AS45" i="25"/>
  <c r="Y3" i="30"/>
  <c r="AS41" i="25"/>
  <c r="U22" i="13"/>
  <c r="AE53" i="25" s="1"/>
  <c r="Y8" i="30"/>
  <c r="AS46" i="25"/>
  <c r="Y11" i="30"/>
  <c r="AS49" i="25"/>
  <c r="AC21" i="24"/>
  <c r="Y21" i="24"/>
  <c r="X41" i="25"/>
  <c r="AT44" i="25"/>
  <c r="BA47" i="25"/>
  <c r="Z5" i="30"/>
  <c r="AT43" i="25"/>
  <c r="Z3" i="30"/>
  <c r="AT41" i="25"/>
  <c r="Z11" i="30"/>
  <c r="AT49" i="25"/>
  <c r="Z13" i="30"/>
  <c r="AT51" i="25"/>
  <c r="AF30" i="13"/>
  <c r="BO61" i="25" s="1"/>
  <c r="AF26" i="13"/>
  <c r="BO57" i="25" s="1"/>
  <c r="Y4" i="30"/>
  <c r="AS42" i="25"/>
  <c r="Y12" i="30"/>
  <c r="AS50" i="25"/>
  <c r="H47" i="25"/>
  <c r="Q51" i="1"/>
  <c r="AF27" i="13"/>
  <c r="BO58" i="25" s="1"/>
  <c r="AS43" i="25"/>
  <c r="CI51" i="25"/>
  <c r="A10" i="29"/>
  <c r="AE9" i="29"/>
  <c r="AB21" i="28"/>
  <c r="G54" i="13" s="1"/>
  <c r="AA40" i="28"/>
  <c r="H43" i="30"/>
  <c r="F43" i="30"/>
  <c r="AF11" i="28" l="1"/>
  <c r="AF13" i="28"/>
  <c r="AF12" i="16"/>
  <c r="AF12" i="28"/>
  <c r="A13" i="28"/>
  <c r="AE13" i="28" s="1"/>
  <c r="AE11" i="21"/>
  <c r="A12" i="21"/>
  <c r="A13" i="16"/>
  <c r="AE12" i="16"/>
  <c r="A13" i="12"/>
  <c r="AE12" i="12"/>
  <c r="A14" i="10"/>
  <c r="AE13" i="10"/>
  <c r="AF13" i="10" s="1"/>
  <c r="AF11" i="11"/>
  <c r="A14" i="17"/>
  <c r="AE13" i="17"/>
  <c r="AF14" i="17" s="1"/>
  <c r="A12" i="20"/>
  <c r="AE11" i="20"/>
  <c r="C47" i="25"/>
  <c r="Y10" i="30"/>
  <c r="AS48" i="25"/>
  <c r="E9" i="30"/>
  <c r="AE10" i="29"/>
  <c r="AF11" i="29" s="1"/>
  <c r="A11" i="29"/>
  <c r="AD21" i="28"/>
  <c r="I54" i="13" s="1"/>
  <c r="H54" i="13"/>
  <c r="I16" i="13"/>
  <c r="H16" i="13"/>
  <c r="Y38" i="24"/>
  <c r="E20" i="13"/>
  <c r="B20" i="13"/>
  <c r="AA21" i="24"/>
  <c r="E58" i="13" s="1"/>
  <c r="B58" i="13"/>
  <c r="I53" i="13"/>
  <c r="H15" i="13"/>
  <c r="H53" i="13"/>
  <c r="I15" i="13"/>
  <c r="D28" i="13"/>
  <c r="E59" i="25" s="1"/>
  <c r="D21" i="13"/>
  <c r="D27" i="13"/>
  <c r="E58" i="25" s="1"/>
  <c r="D23" i="13"/>
  <c r="E54" i="25" s="1"/>
  <c r="D22" i="13"/>
  <c r="E53" i="25" s="1"/>
  <c r="D26" i="13"/>
  <c r="E57" i="25" s="1"/>
  <c r="G21" i="13"/>
  <c r="G22" i="13"/>
  <c r="AB21" i="23"/>
  <c r="G59" i="13" s="1"/>
  <c r="G30" i="13"/>
  <c r="D24" i="13"/>
  <c r="E55" i="25" s="1"/>
  <c r="G26" i="13"/>
  <c r="G24" i="13"/>
  <c r="D29" i="13"/>
  <c r="E60" i="25" s="1"/>
  <c r="D30" i="13"/>
  <c r="E61" i="25" s="1"/>
  <c r="G25" i="13"/>
  <c r="G27" i="13"/>
  <c r="G29" i="13"/>
  <c r="D25" i="13"/>
  <c r="E56" i="25" s="1"/>
  <c r="D59" i="13"/>
  <c r="G23" i="13"/>
  <c r="G28" i="13"/>
  <c r="D55" i="13"/>
  <c r="G17" i="13"/>
  <c r="D17" i="13"/>
  <c r="AB21" i="20"/>
  <c r="G55" i="13" s="1"/>
  <c r="D11" i="13"/>
  <c r="D49" i="13"/>
  <c r="G49" i="13"/>
  <c r="G11" i="13"/>
  <c r="E10" i="13"/>
  <c r="B10" i="13"/>
  <c r="E48" i="13"/>
  <c r="B48" i="13"/>
  <c r="AB21" i="24"/>
  <c r="G58" i="13" s="1"/>
  <c r="D58" i="13"/>
  <c r="G20" i="13"/>
  <c r="D20" i="13"/>
  <c r="H50" i="13"/>
  <c r="I50" i="13"/>
  <c r="H12" i="13"/>
  <c r="I12" i="13"/>
  <c r="AD14" i="30"/>
  <c r="BH52" i="25"/>
  <c r="AA14" i="30"/>
  <c r="AZ52" i="25"/>
  <c r="AF3" i="30"/>
  <c r="BO41" i="25"/>
  <c r="O5" i="30"/>
  <c r="DH43" i="25"/>
  <c r="J10" i="25" s="1"/>
  <c r="AD4" i="30"/>
  <c r="BH42" i="25"/>
  <c r="I20" i="13"/>
  <c r="H58" i="13"/>
  <c r="H20" i="13"/>
  <c r="AD21" i="24"/>
  <c r="I58" i="13" s="1"/>
  <c r="AA21" i="23"/>
  <c r="E59" i="13" s="1"/>
  <c r="E29" i="13"/>
  <c r="E23" i="13"/>
  <c r="B27" i="13"/>
  <c r="C58" i="25" s="1"/>
  <c r="B25" i="13"/>
  <c r="C56" i="25" s="1"/>
  <c r="B28" i="13"/>
  <c r="C59" i="25" s="1"/>
  <c r="B30" i="13"/>
  <c r="C61" i="25" s="1"/>
  <c r="B29" i="13"/>
  <c r="C60" i="25" s="1"/>
  <c r="B22" i="13"/>
  <c r="C53" i="25" s="1"/>
  <c r="E25" i="13"/>
  <c r="B26" i="13"/>
  <c r="C57" i="25" s="1"/>
  <c r="E21" i="13"/>
  <c r="B24" i="13"/>
  <c r="C55" i="25" s="1"/>
  <c r="B59" i="13"/>
  <c r="B21" i="13"/>
  <c r="E26" i="13"/>
  <c r="B23" i="13"/>
  <c r="C54" i="25" s="1"/>
  <c r="E30" i="13"/>
  <c r="E27" i="13"/>
  <c r="E22" i="13"/>
  <c r="Y38" i="23"/>
  <c r="E24" i="13"/>
  <c r="E28" i="13"/>
  <c r="H19" i="13"/>
  <c r="I19" i="13"/>
  <c r="AD21" i="22"/>
  <c r="I57" i="13" s="1"/>
  <c r="H57" i="13"/>
  <c r="B55" i="13"/>
  <c r="AA21" i="20"/>
  <c r="E55" i="13" s="1"/>
  <c r="E17" i="13"/>
  <c r="B17" i="13"/>
  <c r="AA38" i="20"/>
  <c r="E50" i="13"/>
  <c r="B50" i="13"/>
  <c r="E12" i="13"/>
  <c r="B12" i="13"/>
  <c r="Y30" i="12"/>
  <c r="G14" i="13"/>
  <c r="D14" i="13"/>
  <c r="G52" i="13"/>
  <c r="D52" i="13"/>
  <c r="N54" i="13"/>
  <c r="I49" i="13"/>
  <c r="N58" i="13"/>
  <c r="N52" i="13"/>
  <c r="N51" i="13"/>
  <c r="H11" i="13"/>
  <c r="N56" i="13"/>
  <c r="N55" i="13"/>
  <c r="N53" i="13"/>
  <c r="I11" i="13"/>
  <c r="H49" i="13"/>
  <c r="N50" i="13"/>
  <c r="N59" i="13"/>
  <c r="N57" i="13"/>
  <c r="R3" i="30"/>
  <c r="R41" i="25"/>
  <c r="W4" i="30"/>
  <c r="AL42" i="25"/>
  <c r="AE12" i="24"/>
  <c r="AF13" i="24" s="1"/>
  <c r="A13" i="24"/>
  <c r="A12" i="22"/>
  <c r="AE11" i="22"/>
  <c r="A13" i="11"/>
  <c r="AE12" i="11"/>
  <c r="AF13" i="11" s="1"/>
  <c r="I17" i="13"/>
  <c r="H55" i="13"/>
  <c r="AD21" i="20"/>
  <c r="I55" i="13" s="1"/>
  <c r="H17" i="13"/>
  <c r="H59" i="13"/>
  <c r="I29" i="13"/>
  <c r="J60" i="25" s="1"/>
  <c r="I27" i="13"/>
  <c r="J58" i="25" s="1"/>
  <c r="AD21" i="23"/>
  <c r="I59" i="13" s="1"/>
  <c r="I26" i="13"/>
  <c r="J57" i="25" s="1"/>
  <c r="I23" i="13"/>
  <c r="J54" i="25" s="1"/>
  <c r="I21" i="13"/>
  <c r="H29" i="13"/>
  <c r="I60" i="25" s="1"/>
  <c r="H25" i="13"/>
  <c r="I56" i="25" s="1"/>
  <c r="H28" i="13"/>
  <c r="I59" i="25" s="1"/>
  <c r="I22" i="13"/>
  <c r="J53" i="25" s="1"/>
  <c r="H27" i="13"/>
  <c r="I58" i="25" s="1"/>
  <c r="H22" i="13"/>
  <c r="I53" i="25" s="1"/>
  <c r="I28" i="13"/>
  <c r="J59" i="25" s="1"/>
  <c r="H26" i="13"/>
  <c r="I57" i="25" s="1"/>
  <c r="H30" i="13"/>
  <c r="I61" i="25" s="1"/>
  <c r="H23" i="13"/>
  <c r="I54" i="25" s="1"/>
  <c r="I30" i="13"/>
  <c r="J61" i="25" s="1"/>
  <c r="I25" i="13"/>
  <c r="J56" i="25" s="1"/>
  <c r="H24" i="13"/>
  <c r="I55" i="25" s="1"/>
  <c r="I24" i="13"/>
  <c r="J55" i="25" s="1"/>
  <c r="H21" i="13"/>
  <c r="H18" i="13"/>
  <c r="I18" i="13"/>
  <c r="AD21" i="21"/>
  <c r="I56" i="13" s="1"/>
  <c r="H56" i="13"/>
  <c r="H52" i="13"/>
  <c r="H14" i="13"/>
  <c r="I14" i="13"/>
  <c r="I52" i="13"/>
  <c r="B57" i="13"/>
  <c r="E19" i="13"/>
  <c r="AA21" i="22"/>
  <c r="E57" i="13" s="1"/>
  <c r="B19" i="13"/>
  <c r="Y38" i="22"/>
  <c r="E13" i="13"/>
  <c r="B13" i="13"/>
  <c r="B51" i="13"/>
  <c r="E51" i="13"/>
  <c r="Y30" i="16"/>
  <c r="AB11" i="30"/>
  <c r="BA49" i="25"/>
  <c r="G18" i="13"/>
  <c r="AB21" i="21"/>
  <c r="G56" i="13" s="1"/>
  <c r="D18" i="13"/>
  <c r="D56" i="13"/>
  <c r="S5" i="30"/>
  <c r="X43" i="25"/>
  <c r="B49" i="13"/>
  <c r="B11" i="13"/>
  <c r="E11" i="13"/>
  <c r="E49" i="13"/>
  <c r="Y30" i="11"/>
  <c r="AE12" i="30"/>
  <c r="BN50" i="25"/>
  <c r="AC10" i="30"/>
  <c r="BG48" i="25"/>
  <c r="G10" i="13"/>
  <c r="D48" i="13"/>
  <c r="D10" i="13"/>
  <c r="G48" i="13"/>
  <c r="U12" i="30"/>
  <c r="AE50" i="25"/>
  <c r="AF12" i="24"/>
  <c r="AE12" i="23"/>
  <c r="A13" i="23"/>
  <c r="AF12" i="11"/>
  <c r="AG14" i="30"/>
  <c r="BU52" i="25"/>
  <c r="G8" i="30"/>
  <c r="H46" i="25"/>
  <c r="AF10" i="29"/>
  <c r="E53" i="13"/>
  <c r="E15" i="13"/>
  <c r="B53" i="13"/>
  <c r="B15" i="13"/>
  <c r="G19" i="13"/>
  <c r="D57" i="13"/>
  <c r="D19" i="13"/>
  <c r="AB21" i="22"/>
  <c r="G57" i="13" s="1"/>
  <c r="B56" i="13"/>
  <c r="B18" i="13"/>
  <c r="E18" i="13"/>
  <c r="AA21" i="21"/>
  <c r="E56" i="13" s="1"/>
  <c r="Y38" i="21"/>
  <c r="D51" i="13"/>
  <c r="G13" i="13"/>
  <c r="D13" i="13"/>
  <c r="G51" i="13"/>
  <c r="B52" i="13"/>
  <c r="Y30" i="17"/>
  <c r="E14" i="13"/>
  <c r="B14" i="13"/>
  <c r="E52" i="13"/>
  <c r="N29" i="13"/>
  <c r="DG60" i="25" s="1"/>
  <c r="N19" i="13"/>
  <c r="N20" i="13"/>
  <c r="H10" i="13"/>
  <c r="N18" i="13"/>
  <c r="N11" i="13"/>
  <c r="I48" i="13"/>
  <c r="N23" i="13"/>
  <c r="DG54" i="25" s="1"/>
  <c r="I10" i="13"/>
  <c r="N25" i="13"/>
  <c r="DG56" i="25" s="1"/>
  <c r="N26" i="13"/>
  <c r="DG57" i="25" s="1"/>
  <c r="N28" i="13"/>
  <c r="DG59" i="25" s="1"/>
  <c r="N22" i="13"/>
  <c r="DG53" i="25" s="1"/>
  <c r="N12" i="13"/>
  <c r="H48" i="13"/>
  <c r="N27" i="13"/>
  <c r="DG58" i="25" s="1"/>
  <c r="N21" i="13"/>
  <c r="N13" i="13"/>
  <c r="N30" i="13"/>
  <c r="DG61" i="25" s="1"/>
  <c r="N15" i="13"/>
  <c r="N24" i="13"/>
  <c r="DG55" i="25" s="1"/>
  <c r="N16" i="13"/>
  <c r="N14" i="13"/>
  <c r="N17" i="13"/>
  <c r="I51" i="13"/>
  <c r="H51" i="13"/>
  <c r="H13" i="13"/>
  <c r="I13" i="13"/>
  <c r="G12" i="13"/>
  <c r="M15" i="13" s="1"/>
  <c r="D50" i="13"/>
  <c r="G50" i="13"/>
  <c r="D12" i="13"/>
  <c r="AE11" i="30"/>
  <c r="BN49" i="25"/>
  <c r="V3" i="30"/>
  <c r="AF41" i="25"/>
  <c r="X13" i="30"/>
  <c r="AM51" i="25"/>
  <c r="AC7" i="30"/>
  <c r="BG45" i="25"/>
  <c r="V7" i="30"/>
  <c r="AF45" i="25"/>
  <c r="A14" i="28" l="1"/>
  <c r="AE14" i="28" s="1"/>
  <c r="AF15" i="28" s="1"/>
  <c r="AE13" i="16"/>
  <c r="AF14" i="16" s="1"/>
  <c r="A14" i="16"/>
  <c r="AE12" i="21"/>
  <c r="AF13" i="21" s="1"/>
  <c r="A13" i="21"/>
  <c r="AF12" i="21"/>
  <c r="AF13" i="16"/>
  <c r="AE14" i="10"/>
  <c r="A15" i="10"/>
  <c r="AE12" i="20"/>
  <c r="AF13" i="20" s="1"/>
  <c r="A13" i="20"/>
  <c r="A15" i="28"/>
  <c r="AF14" i="28"/>
  <c r="AF13" i="12"/>
  <c r="AF12" i="20"/>
  <c r="AE14" i="17"/>
  <c r="AF15" i="17" s="1"/>
  <c r="A15" i="17"/>
  <c r="AE13" i="12"/>
  <c r="AF14" i="12" s="1"/>
  <c r="A14" i="12"/>
  <c r="M8" i="30"/>
  <c r="DF46" i="25"/>
  <c r="G6" i="30"/>
  <c r="H44" i="25"/>
  <c r="M13" i="13"/>
  <c r="D11" i="30"/>
  <c r="E49" i="25"/>
  <c r="D5" i="30"/>
  <c r="E43" i="25"/>
  <c r="D3" i="30"/>
  <c r="E41" i="25"/>
  <c r="H6" i="30"/>
  <c r="I44" i="25"/>
  <c r="N7" i="30"/>
  <c r="DG45" i="25"/>
  <c r="N13" i="30"/>
  <c r="DG51" i="25"/>
  <c r="B7" i="30"/>
  <c r="C45" i="25"/>
  <c r="G12" i="30"/>
  <c r="H50" i="25"/>
  <c r="M19" i="13"/>
  <c r="A14" i="23"/>
  <c r="AE13" i="23"/>
  <c r="E4" i="30"/>
  <c r="F42" i="25"/>
  <c r="G11" i="30"/>
  <c r="M18" i="13"/>
  <c r="H49" i="25"/>
  <c r="H11" i="30"/>
  <c r="I49" i="25"/>
  <c r="I14" i="30"/>
  <c r="J52" i="25"/>
  <c r="I4" i="30"/>
  <c r="J42" i="25"/>
  <c r="H4" i="30"/>
  <c r="I42" i="25"/>
  <c r="D7" i="30"/>
  <c r="E45" i="25"/>
  <c r="E5" i="30"/>
  <c r="F43" i="25"/>
  <c r="B10" i="30"/>
  <c r="C48" i="25"/>
  <c r="F59" i="25"/>
  <c r="F58" i="25"/>
  <c r="B14" i="30"/>
  <c r="C52" i="25"/>
  <c r="F54" i="25"/>
  <c r="H13" i="30"/>
  <c r="I51" i="25"/>
  <c r="I5" i="30"/>
  <c r="J43" i="25"/>
  <c r="D13" i="30"/>
  <c r="E51" i="25"/>
  <c r="G4" i="30"/>
  <c r="H42" i="25"/>
  <c r="M11" i="13"/>
  <c r="H59" i="25"/>
  <c r="M28" i="13"/>
  <c r="DF59" i="25" s="1"/>
  <c r="H60" i="25"/>
  <c r="M29" i="13"/>
  <c r="DF60" i="25" s="1"/>
  <c r="M30" i="13"/>
  <c r="DF61" i="25" s="1"/>
  <c r="H61" i="25"/>
  <c r="D14" i="30"/>
  <c r="E52" i="25"/>
  <c r="H8" i="30"/>
  <c r="I46" i="25"/>
  <c r="B13" i="30"/>
  <c r="C51" i="25"/>
  <c r="I9" i="30"/>
  <c r="J47" i="25"/>
  <c r="G5" i="30"/>
  <c r="M12" i="13"/>
  <c r="H43" i="25"/>
  <c r="M16" i="13"/>
  <c r="N14" i="30"/>
  <c r="DG52" i="25"/>
  <c r="N11" i="30"/>
  <c r="DG49" i="25"/>
  <c r="E11" i="30"/>
  <c r="F49" i="25"/>
  <c r="I6" i="30"/>
  <c r="J44" i="25"/>
  <c r="N8" i="30"/>
  <c r="DG46" i="25"/>
  <c r="B11" i="30"/>
  <c r="C49" i="25"/>
  <c r="N9" i="30"/>
  <c r="DG47" i="25"/>
  <c r="N6" i="30"/>
  <c r="DG44" i="25"/>
  <c r="N5" i="30"/>
  <c r="DG43" i="25"/>
  <c r="N4" i="30"/>
  <c r="DG42" i="25"/>
  <c r="N12" i="30"/>
  <c r="DG50" i="25"/>
  <c r="E7" i="30"/>
  <c r="F45" i="25"/>
  <c r="D6" i="30"/>
  <c r="E44" i="25"/>
  <c r="B8" i="30"/>
  <c r="C46" i="25"/>
  <c r="AF13" i="23"/>
  <c r="G3" i="30"/>
  <c r="L24" i="13"/>
  <c r="DE55" i="25" s="1"/>
  <c r="L13" i="13"/>
  <c r="L30" i="13"/>
  <c r="DE61" i="25" s="1"/>
  <c r="L15" i="13"/>
  <c r="L25" i="13"/>
  <c r="DE56" i="25" s="1"/>
  <c r="H41" i="25"/>
  <c r="L18" i="13"/>
  <c r="L29" i="13"/>
  <c r="DE60" i="25" s="1"/>
  <c r="L19" i="13"/>
  <c r="L20" i="13"/>
  <c r="L14" i="13"/>
  <c r="L23" i="13"/>
  <c r="DE54" i="25" s="1"/>
  <c r="L12" i="13"/>
  <c r="L16" i="13"/>
  <c r="L26" i="13"/>
  <c r="DE57" i="25" s="1"/>
  <c r="L22" i="13"/>
  <c r="DE53" i="25" s="1"/>
  <c r="L11" i="13"/>
  <c r="L28" i="13"/>
  <c r="DE59" i="25" s="1"/>
  <c r="L21" i="13"/>
  <c r="L27" i="13"/>
  <c r="DE58" i="25" s="1"/>
  <c r="L17" i="13"/>
  <c r="B4" i="30"/>
  <c r="C42" i="25"/>
  <c r="B12" i="30"/>
  <c r="C50" i="25"/>
  <c r="H14" i="30"/>
  <c r="I52" i="25"/>
  <c r="AE13" i="11"/>
  <c r="A14" i="11"/>
  <c r="AF12" i="22"/>
  <c r="G7" i="30"/>
  <c r="M14" i="13"/>
  <c r="H45" i="25"/>
  <c r="E10" i="30"/>
  <c r="F48" i="25"/>
  <c r="F55" i="25"/>
  <c r="F61" i="25"/>
  <c r="F56" i="25"/>
  <c r="F60" i="25"/>
  <c r="H5" i="30"/>
  <c r="I43" i="25"/>
  <c r="G13" i="30"/>
  <c r="H51" i="25"/>
  <c r="M20" i="13"/>
  <c r="D10" i="30"/>
  <c r="E48" i="25"/>
  <c r="M23" i="13"/>
  <c r="DF54" i="25" s="1"/>
  <c r="H54" i="25"/>
  <c r="M27" i="13"/>
  <c r="DF58" i="25" s="1"/>
  <c r="H58" i="25"/>
  <c r="H55" i="25"/>
  <c r="M24" i="13"/>
  <c r="DF55" i="25" s="1"/>
  <c r="E13" i="30"/>
  <c r="F51" i="25"/>
  <c r="I3" i="30"/>
  <c r="J41" i="25"/>
  <c r="I7" i="30"/>
  <c r="J45" i="25"/>
  <c r="I10" i="30"/>
  <c r="J48" i="25"/>
  <c r="A13" i="22"/>
  <c r="AE12" i="22"/>
  <c r="AE13" i="24"/>
  <c r="A14" i="24"/>
  <c r="I12" i="30"/>
  <c r="J50" i="25"/>
  <c r="I13" i="30"/>
  <c r="J51" i="25"/>
  <c r="B3" i="30"/>
  <c r="C41" i="25"/>
  <c r="A68" i="13"/>
  <c r="G10" i="30"/>
  <c r="H48" i="25"/>
  <c r="M17" i="13"/>
  <c r="M25" i="13"/>
  <c r="DF56" i="25" s="1"/>
  <c r="H56" i="25"/>
  <c r="M26" i="13"/>
  <c r="DF57" i="25" s="1"/>
  <c r="H57" i="25"/>
  <c r="M22" i="13"/>
  <c r="DF53" i="25" s="1"/>
  <c r="H53" i="25"/>
  <c r="I8" i="30"/>
  <c r="J46" i="25"/>
  <c r="A12" i="29"/>
  <c r="AE11" i="29"/>
  <c r="D12" i="30"/>
  <c r="E50" i="25"/>
  <c r="B6" i="30"/>
  <c r="C44" i="25"/>
  <c r="N10" i="30"/>
  <c r="DG48" i="25"/>
  <c r="H3" i="30"/>
  <c r="I41" i="25"/>
  <c r="E8" i="30"/>
  <c r="F46" i="25"/>
  <c r="E6" i="30"/>
  <c r="F44" i="25"/>
  <c r="E12" i="30"/>
  <c r="F50" i="25"/>
  <c r="H7" i="30"/>
  <c r="I45" i="25"/>
  <c r="I11" i="30"/>
  <c r="J49" i="25"/>
  <c r="H10" i="30"/>
  <c r="I48" i="25"/>
  <c r="B5" i="30"/>
  <c r="C43" i="25"/>
  <c r="H12" i="30"/>
  <c r="I50" i="25"/>
  <c r="F53" i="25"/>
  <c r="F57" i="25"/>
  <c r="E14" i="30"/>
  <c r="F52" i="25"/>
  <c r="E3" i="30"/>
  <c r="F41" i="25"/>
  <c r="D4" i="30"/>
  <c r="E42" i="25"/>
  <c r="G14" i="30"/>
  <c r="H52" i="25"/>
  <c r="M21" i="13"/>
  <c r="H9" i="30"/>
  <c r="I47" i="25"/>
  <c r="AE13" i="21" l="1"/>
  <c r="A14" i="21"/>
  <c r="AE14" i="16"/>
  <c r="AF15" i="16" s="1"/>
  <c r="A15" i="16"/>
  <c r="A14" i="20"/>
  <c r="AE13" i="20"/>
  <c r="AF14" i="20" s="1"/>
  <c r="AE14" i="12"/>
  <c r="AF15" i="12" s="1"/>
  <c r="A15" i="12"/>
  <c r="AE15" i="28"/>
  <c r="A16" i="28"/>
  <c r="A16" i="10"/>
  <c r="AE15" i="10"/>
  <c r="AF15" i="10" s="1"/>
  <c r="A16" i="17"/>
  <c r="AE15" i="17"/>
  <c r="AF16" i="17" s="1"/>
  <c r="AF14" i="10"/>
  <c r="M13" i="30"/>
  <c r="DF51" i="25"/>
  <c r="L14" i="30"/>
  <c r="DE52" i="25"/>
  <c r="AF12" i="29"/>
  <c r="AE14" i="24"/>
  <c r="A15" i="24"/>
  <c r="L9" i="30"/>
  <c r="DE47" i="25"/>
  <c r="L13" i="30"/>
  <c r="DE51" i="25"/>
  <c r="L6" i="30"/>
  <c r="DE44" i="25"/>
  <c r="AF14" i="23"/>
  <c r="AF14" i="11"/>
  <c r="M12" i="30"/>
  <c r="DF50" i="25"/>
  <c r="M14" i="30"/>
  <c r="DF52" i="25"/>
  <c r="AE12" i="29"/>
  <c r="AF13" i="29" s="1"/>
  <c r="A13" i="29"/>
  <c r="AF14" i="24"/>
  <c r="AF13" i="22"/>
  <c r="A15" i="11"/>
  <c r="AE14" i="11"/>
  <c r="AF15" i="11" s="1"/>
  <c r="L10" i="30"/>
  <c r="DE48" i="25"/>
  <c r="L4" i="30"/>
  <c r="DE42" i="25"/>
  <c r="L5" i="30"/>
  <c r="DE43" i="25"/>
  <c r="L12" i="30"/>
  <c r="DE50" i="25"/>
  <c r="M9" i="30"/>
  <c r="DF47" i="25"/>
  <c r="L8" i="30"/>
  <c r="DE46" i="25"/>
  <c r="M4" i="30"/>
  <c r="DF42" i="25"/>
  <c r="M11" i="30"/>
  <c r="DF49" i="25"/>
  <c r="M10" i="30"/>
  <c r="DF48" i="25"/>
  <c r="AE13" i="22"/>
  <c r="A14" i="22"/>
  <c r="M7" i="30"/>
  <c r="DF45" i="25"/>
  <c r="L7" i="30"/>
  <c r="DE45" i="25"/>
  <c r="L11" i="30"/>
  <c r="DE49" i="25"/>
  <c r="M5" i="30"/>
  <c r="DF43" i="25"/>
  <c r="AF15" i="24"/>
  <c r="A15" i="23"/>
  <c r="AE14" i="23"/>
  <c r="M6" i="30"/>
  <c r="DF44" i="25"/>
  <c r="AF14" i="21" l="1"/>
  <c r="AE14" i="21"/>
  <c r="AF15" i="21" s="1"/>
  <c r="A15" i="21"/>
  <c r="AE15" i="16"/>
  <c r="AF16" i="16" s="1"/>
  <c r="A16" i="16"/>
  <c r="AE16" i="10"/>
  <c r="AF16" i="10" s="1"/>
  <c r="A17" i="10"/>
  <c r="A15" i="20"/>
  <c r="AE14" i="20"/>
  <c r="AF15" i="20" s="1"/>
  <c r="AE16" i="28"/>
  <c r="AF17" i="28" s="1"/>
  <c r="A17" i="28"/>
  <c r="A16" i="12"/>
  <c r="AE15" i="12"/>
  <c r="AF16" i="12" s="1"/>
  <c r="AE16" i="17"/>
  <c r="A17" i="17"/>
  <c r="AF16" i="28"/>
  <c r="A16" i="23"/>
  <c r="AE15" i="23"/>
  <c r="AE13" i="29"/>
  <c r="A14" i="29"/>
  <c r="A16" i="24"/>
  <c r="AE15" i="24"/>
  <c r="AE14" i="22"/>
  <c r="A15" i="22"/>
  <c r="AE15" i="11"/>
  <c r="A16" i="11"/>
  <c r="AF14" i="22"/>
  <c r="AF15" i="23"/>
  <c r="AE15" i="21" l="1"/>
  <c r="A16" i="21"/>
  <c r="AE16" i="16"/>
  <c r="AF17" i="16" s="1"/>
  <c r="A17" i="16"/>
  <c r="AE16" i="12"/>
  <c r="A17" i="12"/>
  <c r="AE15" i="20"/>
  <c r="AF16" i="20" s="1"/>
  <c r="A16" i="20"/>
  <c r="A18" i="28"/>
  <c r="AE17" i="28"/>
  <c r="AE17" i="10"/>
  <c r="AF17" i="10" s="1"/>
  <c r="A18" i="10"/>
  <c r="AF17" i="17"/>
  <c r="A18" i="17"/>
  <c r="AE17" i="17"/>
  <c r="AF18" i="17" s="1"/>
  <c r="AF16" i="23"/>
  <c r="AF14" i="29"/>
  <c r="A16" i="22"/>
  <c r="AE15" i="22"/>
  <c r="AF16" i="22" s="1"/>
  <c r="A17" i="11"/>
  <c r="AE16" i="11"/>
  <c r="AF17" i="11" s="1"/>
  <c r="AF16" i="24"/>
  <c r="AF15" i="22"/>
  <c r="AF16" i="11"/>
  <c r="A17" i="24"/>
  <c r="AE16" i="24"/>
  <c r="AE14" i="29"/>
  <c r="AF15" i="29" s="1"/>
  <c r="A15" i="29"/>
  <c r="A17" i="23"/>
  <c r="AE16" i="23"/>
  <c r="AF17" i="23" s="1"/>
  <c r="AE17" i="16" l="1"/>
  <c r="AF18" i="16" s="1"/>
  <c r="A18" i="16"/>
  <c r="A17" i="21"/>
  <c r="AE16" i="21"/>
  <c r="AF16" i="21"/>
  <c r="A19" i="28"/>
  <c r="AE18" i="28"/>
  <c r="AF19" i="28" s="1"/>
  <c r="AE17" i="12"/>
  <c r="A18" i="12"/>
  <c r="AE18" i="10"/>
  <c r="A19" i="10"/>
  <c r="AF18" i="28"/>
  <c r="AE18" i="17"/>
  <c r="AF19" i="17" s="1"/>
  <c r="A19" i="17"/>
  <c r="AF17" i="12"/>
  <c r="A17" i="20"/>
  <c r="AE16" i="20"/>
  <c r="AF17" i="20" s="1"/>
  <c r="AE17" i="24"/>
  <c r="AF18" i="24" s="1"/>
  <c r="A18" i="24"/>
  <c r="A17" i="22"/>
  <c r="AE16" i="22"/>
  <c r="AF17" i="22" s="1"/>
  <c r="A18" i="23"/>
  <c r="AE17" i="23"/>
  <c r="AF18" i="23" s="1"/>
  <c r="A16" i="29"/>
  <c r="AE15" i="29"/>
  <c r="AF16" i="29" s="1"/>
  <c r="AF17" i="24"/>
  <c r="A18" i="11"/>
  <c r="AE17" i="11"/>
  <c r="AF18" i="11" s="1"/>
  <c r="AE17" i="21" l="1"/>
  <c r="A18" i="21"/>
  <c r="AF17" i="21"/>
  <c r="A19" i="16"/>
  <c r="AE18" i="16"/>
  <c r="AF19" i="16" s="1"/>
  <c r="AE19" i="17"/>
  <c r="AF20" i="17" s="1"/>
  <c r="A20" i="17"/>
  <c r="AE20" i="17" s="1"/>
  <c r="AE21" i="17" s="1"/>
  <c r="A20" i="10"/>
  <c r="AE20" i="10" s="1"/>
  <c r="AE19" i="10"/>
  <c r="AF19" i="10" s="1"/>
  <c r="AF18" i="10"/>
  <c r="A18" i="20"/>
  <c r="AE17" i="20"/>
  <c r="AF18" i="20" s="1"/>
  <c r="AF18" i="12"/>
  <c r="AE18" i="12"/>
  <c r="AF19" i="12" s="1"/>
  <c r="A19" i="12"/>
  <c r="AE19" i="28"/>
  <c r="AF20" i="28" s="1"/>
  <c r="A20" i="28"/>
  <c r="L38" i="28" s="1"/>
  <c r="AE17" i="22"/>
  <c r="A18" i="22"/>
  <c r="A19" i="24"/>
  <c r="AE18" i="24"/>
  <c r="AF19" i="24" s="1"/>
  <c r="A19" i="23"/>
  <c r="AE18" i="23"/>
  <c r="AF19" i="23" s="1"/>
  <c r="A19" i="11"/>
  <c r="AE18" i="11"/>
  <c r="AF19" i="11" s="1"/>
  <c r="AE16" i="29"/>
  <c r="AF17" i="29" s="1"/>
  <c r="A17" i="29"/>
  <c r="L31" i="17" l="1"/>
  <c r="L34" i="17"/>
  <c r="AF20" i="10"/>
  <c r="L36" i="17"/>
  <c r="AF20" i="16"/>
  <c r="A19" i="21"/>
  <c r="AE18" i="21"/>
  <c r="AE19" i="16"/>
  <c r="A20" i="16"/>
  <c r="L33" i="16" s="1"/>
  <c r="L30" i="16"/>
  <c r="AE21" i="10"/>
  <c r="AM48" i="13" s="1"/>
  <c r="AF18" i="21"/>
  <c r="L30" i="17"/>
  <c r="L33" i="17"/>
  <c r="AE20" i="28"/>
  <c r="AE21" i="28" s="1"/>
  <c r="L39" i="28"/>
  <c r="L41" i="28"/>
  <c r="L44" i="28"/>
  <c r="L42" i="28"/>
  <c r="L40" i="28"/>
  <c r="L43" i="28"/>
  <c r="AE19" i="12"/>
  <c r="AF20" i="12" s="1"/>
  <c r="A20" i="12"/>
  <c r="L33" i="12" s="1"/>
  <c r="L36" i="12"/>
  <c r="AE18" i="20"/>
  <c r="AF19" i="20" s="1"/>
  <c r="A19" i="20"/>
  <c r="K32" i="17"/>
  <c r="K30" i="17"/>
  <c r="K34" i="17"/>
  <c r="K33" i="17"/>
  <c r="AM14" i="13"/>
  <c r="AM52" i="13"/>
  <c r="K35" i="17"/>
  <c r="K36" i="17"/>
  <c r="K31" i="17"/>
  <c r="L32" i="17"/>
  <c r="L35" i="17"/>
  <c r="AE17" i="29"/>
  <c r="AF18" i="29" s="1"/>
  <c r="A18" i="29"/>
  <c r="AE19" i="11"/>
  <c r="AF20" i="11" s="1"/>
  <c r="AF21" i="11" s="1"/>
  <c r="A20" i="11"/>
  <c r="A19" i="22"/>
  <c r="AE18" i="22"/>
  <c r="AF19" i="22" s="1"/>
  <c r="AF18" i="22"/>
  <c r="A20" i="24"/>
  <c r="AE19" i="24"/>
  <c r="AF20" i="24" s="1"/>
  <c r="A20" i="23"/>
  <c r="AE19" i="23"/>
  <c r="AF20" i="23" s="1"/>
  <c r="Y29" i="17" l="1"/>
  <c r="Y33" i="17" s="1"/>
  <c r="AM10" i="13"/>
  <c r="L34" i="12"/>
  <c r="L36" i="16"/>
  <c r="AF19" i="21"/>
  <c r="AE19" i="21"/>
  <c r="AF20" i="21" s="1"/>
  <c r="A20" i="21"/>
  <c r="L39" i="21" s="1"/>
  <c r="L44" i="21"/>
  <c r="L42" i="21"/>
  <c r="L34" i="16"/>
  <c r="L35" i="16"/>
  <c r="L32" i="16"/>
  <c r="AE20" i="16"/>
  <c r="AE21" i="16" s="1"/>
  <c r="L31" i="16"/>
  <c r="F14" i="13"/>
  <c r="C14" i="13"/>
  <c r="F52" i="13"/>
  <c r="AE19" i="20"/>
  <c r="AF20" i="20" s="1"/>
  <c r="A20" i="20"/>
  <c r="CP45" i="25"/>
  <c r="AM7" i="30"/>
  <c r="L35" i="12"/>
  <c r="AE20" i="12"/>
  <c r="AE21" i="12" s="1"/>
  <c r="L32" i="12"/>
  <c r="AM16" i="13"/>
  <c r="K39" i="28"/>
  <c r="K42" i="28"/>
  <c r="K40" i="28"/>
  <c r="AM54" i="13"/>
  <c r="K41" i="28"/>
  <c r="K38" i="28"/>
  <c r="K44" i="28"/>
  <c r="K43" i="28"/>
  <c r="AA37" i="28"/>
  <c r="C16" i="13" s="1"/>
  <c r="AM3" i="30"/>
  <c r="CP41" i="25"/>
  <c r="L31" i="12"/>
  <c r="L30" i="12"/>
  <c r="AE20" i="23"/>
  <c r="AE21" i="23" s="1"/>
  <c r="L40" i="23"/>
  <c r="L39" i="23"/>
  <c r="L42" i="23"/>
  <c r="L38" i="23"/>
  <c r="L43" i="23"/>
  <c r="L44" i="23"/>
  <c r="L41" i="23"/>
  <c r="AE20" i="24"/>
  <c r="AE21" i="24" s="1"/>
  <c r="L40" i="24"/>
  <c r="L43" i="24"/>
  <c r="L42" i="24"/>
  <c r="L39" i="24"/>
  <c r="L38" i="24"/>
  <c r="L44" i="24"/>
  <c r="AE18" i="29"/>
  <c r="AF19" i="29" s="1"/>
  <c r="A19" i="29"/>
  <c r="L41" i="24"/>
  <c r="A20" i="22"/>
  <c r="AE19" i="22"/>
  <c r="AF20" i="22" s="1"/>
  <c r="AE20" i="11"/>
  <c r="AE21" i="11" s="1"/>
  <c r="L31" i="11"/>
  <c r="L32" i="11"/>
  <c r="L33" i="11"/>
  <c r="L30" i="11"/>
  <c r="L36" i="11"/>
  <c r="L34" i="11"/>
  <c r="L35" i="11"/>
  <c r="C52" i="13" l="1"/>
  <c r="L38" i="21"/>
  <c r="L40" i="21"/>
  <c r="AE20" i="21"/>
  <c r="AE21" i="21" s="1"/>
  <c r="K30" i="16"/>
  <c r="K36" i="16"/>
  <c r="K33" i="16"/>
  <c r="K34" i="16"/>
  <c r="K35" i="16"/>
  <c r="K31" i="16"/>
  <c r="K32" i="16"/>
  <c r="AM51" i="13"/>
  <c r="Y29" i="16"/>
  <c r="AM13" i="13"/>
  <c r="L43" i="21"/>
  <c r="L41" i="21"/>
  <c r="L39" i="20"/>
  <c r="L44" i="20"/>
  <c r="AE20" i="20"/>
  <c r="AE21" i="20" s="1"/>
  <c r="L43" i="20"/>
  <c r="L42" i="20"/>
  <c r="L38" i="20"/>
  <c r="L41" i="20"/>
  <c r="L40" i="20"/>
  <c r="D45" i="25"/>
  <c r="C7" i="30"/>
  <c r="C54" i="13"/>
  <c r="AA41" i="28"/>
  <c r="F54" i="13"/>
  <c r="F16" i="13"/>
  <c r="AM50" i="13"/>
  <c r="AM12" i="13"/>
  <c r="K30" i="12"/>
  <c r="Y29" i="12"/>
  <c r="AM9" i="30"/>
  <c r="CP47" i="25"/>
  <c r="K14" i="13"/>
  <c r="G45" i="25"/>
  <c r="J14" i="13"/>
  <c r="F7" i="30"/>
  <c r="K32" i="12"/>
  <c r="K32" i="11"/>
  <c r="K36" i="11"/>
  <c r="K36" i="12"/>
  <c r="K33" i="12"/>
  <c r="K34" i="12"/>
  <c r="K35" i="12"/>
  <c r="K30" i="11"/>
  <c r="Y29" i="11"/>
  <c r="K31" i="11"/>
  <c r="K31" i="12"/>
  <c r="K35" i="11"/>
  <c r="K34" i="11"/>
  <c r="K33" i="11"/>
  <c r="AM11" i="13"/>
  <c r="AM49" i="13"/>
  <c r="AE20" i="22"/>
  <c r="AE21" i="22" s="1"/>
  <c r="L39" i="22"/>
  <c r="L40" i="22"/>
  <c r="L38" i="22"/>
  <c r="L44" i="22"/>
  <c r="L41" i="22"/>
  <c r="L43" i="22"/>
  <c r="L42" i="22"/>
  <c r="A20" i="29"/>
  <c r="K43" i="29" s="1"/>
  <c r="AE19" i="29"/>
  <c r="AF20" i="29" s="1"/>
  <c r="K38" i="29"/>
  <c r="K40" i="29"/>
  <c r="AM20" i="13"/>
  <c r="K40" i="24"/>
  <c r="Y37" i="24"/>
  <c r="K38" i="24"/>
  <c r="K41" i="24"/>
  <c r="K39" i="24"/>
  <c r="AM58" i="13"/>
  <c r="K43" i="24"/>
  <c r="K44" i="24"/>
  <c r="K42" i="24"/>
  <c r="AM59" i="13"/>
  <c r="AM28" i="13"/>
  <c r="CP59" i="25" s="1"/>
  <c r="AM30" i="13"/>
  <c r="CP61" i="25" s="1"/>
  <c r="AM23" i="13"/>
  <c r="CP54" i="25" s="1"/>
  <c r="AM24" i="13"/>
  <c r="CP55" i="25" s="1"/>
  <c r="AM27" i="13"/>
  <c r="CP58" i="25" s="1"/>
  <c r="AM29" i="13"/>
  <c r="CP60" i="25" s="1"/>
  <c r="AM22" i="13"/>
  <c r="CP53" i="25" s="1"/>
  <c r="K39" i="23"/>
  <c r="K44" i="23"/>
  <c r="K38" i="23"/>
  <c r="K40" i="23"/>
  <c r="K41" i="23"/>
  <c r="Y37" i="23"/>
  <c r="AM25" i="13"/>
  <c r="CP56" i="25" s="1"/>
  <c r="AM21" i="13"/>
  <c r="K42" i="23"/>
  <c r="AM26" i="13"/>
  <c r="CP57" i="25" s="1"/>
  <c r="K43" i="23"/>
  <c r="AM6" i="30" l="1"/>
  <c r="CP44" i="25"/>
  <c r="K39" i="29"/>
  <c r="Y33" i="16"/>
  <c r="F51" i="13"/>
  <c r="C51" i="13"/>
  <c r="C13" i="13"/>
  <c r="F13" i="13"/>
  <c r="K38" i="21"/>
  <c r="K44" i="21"/>
  <c r="K40" i="21"/>
  <c r="K43" i="21"/>
  <c r="K41" i="21"/>
  <c r="K42" i="21"/>
  <c r="K39" i="21"/>
  <c r="AM18" i="13"/>
  <c r="Y37" i="21"/>
  <c r="AM56" i="13"/>
  <c r="J7" i="30"/>
  <c r="K45" i="25"/>
  <c r="F12" i="13"/>
  <c r="C50" i="13"/>
  <c r="Y33" i="12"/>
  <c r="F50" i="13"/>
  <c r="C12" i="13"/>
  <c r="K16" i="13"/>
  <c r="F9" i="30"/>
  <c r="J16" i="13"/>
  <c r="G47" i="25"/>
  <c r="K38" i="20"/>
  <c r="AM17" i="13"/>
  <c r="K42" i="20"/>
  <c r="K44" i="20"/>
  <c r="K40" i="20"/>
  <c r="AM55" i="13"/>
  <c r="AA37" i="20"/>
  <c r="K43" i="20"/>
  <c r="K41" i="20"/>
  <c r="K39" i="20"/>
  <c r="L45" i="25"/>
  <c r="K7" i="30"/>
  <c r="C9" i="30"/>
  <c r="D47" i="25"/>
  <c r="CP43" i="25"/>
  <c r="AM5" i="30"/>
  <c r="C20" i="13"/>
  <c r="F20" i="13"/>
  <c r="Y41" i="24"/>
  <c r="C58" i="13"/>
  <c r="F58" i="13"/>
  <c r="AE20" i="29"/>
  <c r="AE21" i="29" s="1"/>
  <c r="L44" i="29"/>
  <c r="L38" i="29"/>
  <c r="L42" i="29"/>
  <c r="L39" i="29"/>
  <c r="K44" i="29"/>
  <c r="L41" i="29"/>
  <c r="L40" i="29"/>
  <c r="L43" i="29"/>
  <c r="K41" i="29"/>
  <c r="K42" i="29"/>
  <c r="AM14" i="30"/>
  <c r="CP52" i="25"/>
  <c r="K39" i="22"/>
  <c r="K42" i="22"/>
  <c r="K44" i="22"/>
  <c r="AM57" i="13"/>
  <c r="K41" i="22"/>
  <c r="Y37" i="22"/>
  <c r="AM19" i="13"/>
  <c r="K40" i="22"/>
  <c r="K43" i="22"/>
  <c r="K38" i="22"/>
  <c r="AM4" i="30"/>
  <c r="CP42" i="25"/>
  <c r="AM13" i="30"/>
  <c r="CP51" i="25"/>
  <c r="F24" i="13"/>
  <c r="C29" i="13"/>
  <c r="D60" i="25" s="1"/>
  <c r="F21" i="13"/>
  <c r="C21" i="13"/>
  <c r="C26" i="13"/>
  <c r="D57" i="25" s="1"/>
  <c r="C25" i="13"/>
  <c r="D56" i="25" s="1"/>
  <c r="F23" i="13"/>
  <c r="F26" i="13"/>
  <c r="F28" i="13"/>
  <c r="C28" i="13"/>
  <c r="D59" i="25" s="1"/>
  <c r="F27" i="13"/>
  <c r="C24" i="13"/>
  <c r="D55" i="25" s="1"/>
  <c r="C59" i="13"/>
  <c r="F25" i="13"/>
  <c r="F22" i="13"/>
  <c r="C30" i="13"/>
  <c r="D61" i="25" s="1"/>
  <c r="C23" i="13"/>
  <c r="D54" i="25" s="1"/>
  <c r="C22" i="13"/>
  <c r="D53" i="25" s="1"/>
  <c r="F59" i="13"/>
  <c r="F30" i="13"/>
  <c r="F29" i="13"/>
  <c r="C27" i="13"/>
  <c r="D58" i="25" s="1"/>
  <c r="Y41" i="23"/>
  <c r="Y33" i="11"/>
  <c r="C11" i="13"/>
  <c r="F11" i="13"/>
  <c r="AM11" i="30" l="1"/>
  <c r="CP49" i="25"/>
  <c r="G44" i="25"/>
  <c r="K13" i="13"/>
  <c r="F6" i="30"/>
  <c r="J13" i="13"/>
  <c r="D44" i="25"/>
  <c r="C6" i="30"/>
  <c r="F56" i="13"/>
  <c r="C56" i="13"/>
  <c r="Y41" i="21"/>
  <c r="F18" i="13"/>
  <c r="C18" i="13"/>
  <c r="L47" i="25"/>
  <c r="K9" i="30"/>
  <c r="G43" i="25"/>
  <c r="K12" i="13"/>
  <c r="F5" i="30"/>
  <c r="J12" i="13"/>
  <c r="C55" i="13"/>
  <c r="F17" i="13"/>
  <c r="F55" i="13"/>
  <c r="AA41" i="20"/>
  <c r="C17" i="13"/>
  <c r="K47" i="25"/>
  <c r="J9" i="30"/>
  <c r="C5" i="30"/>
  <c r="D43" i="25"/>
  <c r="AM10" i="30"/>
  <c r="CP48" i="25"/>
  <c r="F4" i="30"/>
  <c r="G42" i="25"/>
  <c r="J11" i="13"/>
  <c r="K11" i="13"/>
  <c r="G56" i="25"/>
  <c r="J25" i="13"/>
  <c r="K56" i="25" s="1"/>
  <c r="K25" i="13"/>
  <c r="L56" i="25" s="1"/>
  <c r="C4" i="30"/>
  <c r="D42" i="25"/>
  <c r="J29" i="13"/>
  <c r="K60" i="25" s="1"/>
  <c r="G60" i="25"/>
  <c r="K29" i="13"/>
  <c r="L60" i="25" s="1"/>
  <c r="G59" i="25"/>
  <c r="J28" i="13"/>
  <c r="K59" i="25" s="1"/>
  <c r="K28" i="13"/>
  <c r="L59" i="25" s="1"/>
  <c r="G55" i="25"/>
  <c r="J24" i="13"/>
  <c r="K55" i="25" s="1"/>
  <c r="K24" i="13"/>
  <c r="L55" i="25" s="1"/>
  <c r="AM12" i="30"/>
  <c r="CP50" i="25"/>
  <c r="J30" i="13"/>
  <c r="K61" i="25" s="1"/>
  <c r="G61" i="25"/>
  <c r="K30" i="13"/>
  <c r="L61" i="25" s="1"/>
  <c r="G57" i="25"/>
  <c r="J26" i="13"/>
  <c r="K57" i="25" s="1"/>
  <c r="K26" i="13"/>
  <c r="L57" i="25" s="1"/>
  <c r="C14" i="30"/>
  <c r="D52" i="25"/>
  <c r="F57" i="13"/>
  <c r="Y41" i="22"/>
  <c r="F19" i="13"/>
  <c r="C19" i="13"/>
  <c r="C57" i="13"/>
  <c r="AM53" i="13"/>
  <c r="AM15" i="13"/>
  <c r="AA37" i="29"/>
  <c r="F13" i="30"/>
  <c r="G51" i="25"/>
  <c r="J20" i="13"/>
  <c r="K20" i="13"/>
  <c r="J22" i="13"/>
  <c r="K53" i="25" s="1"/>
  <c r="G53" i="25"/>
  <c r="K22" i="13"/>
  <c r="L53" i="25" s="1"/>
  <c r="G58" i="25"/>
  <c r="J27" i="13"/>
  <c r="K58" i="25" s="1"/>
  <c r="K27" i="13"/>
  <c r="L58" i="25" s="1"/>
  <c r="G54" i="25"/>
  <c r="J23" i="13"/>
  <c r="K54" i="25" s="1"/>
  <c r="K23" i="13"/>
  <c r="L54" i="25" s="1"/>
  <c r="F14" i="30"/>
  <c r="G52" i="25"/>
  <c r="J21" i="13"/>
  <c r="K21" i="13"/>
  <c r="C13" i="30"/>
  <c r="D51" i="25"/>
  <c r="G49" i="25" l="1"/>
  <c r="K18" i="13"/>
  <c r="J18" i="13"/>
  <c r="F11" i="30"/>
  <c r="L44" i="25"/>
  <c r="K6" i="30"/>
  <c r="J6" i="30"/>
  <c r="K44" i="25"/>
  <c r="D49" i="25"/>
  <c r="C11" i="30"/>
  <c r="D48" i="25"/>
  <c r="C10" i="30"/>
  <c r="K17" i="13"/>
  <c r="G48" i="25"/>
  <c r="F10" i="30"/>
  <c r="J17" i="13"/>
  <c r="J5" i="30"/>
  <c r="K43" i="25"/>
  <c r="K5" i="30"/>
  <c r="L43" i="25"/>
  <c r="AA41" i="29"/>
  <c r="F15" i="13"/>
  <c r="C15" i="13"/>
  <c r="F53" i="13"/>
  <c r="C53" i="13"/>
  <c r="C12" i="30"/>
  <c r="D50" i="25"/>
  <c r="K4" i="30"/>
  <c r="L42" i="25"/>
  <c r="J14" i="30"/>
  <c r="K52" i="25"/>
  <c r="K13" i="30"/>
  <c r="L51" i="25"/>
  <c r="K14" i="30"/>
  <c r="L52" i="25"/>
  <c r="F12" i="30"/>
  <c r="G50" i="25"/>
  <c r="J19" i="13"/>
  <c r="K19" i="13"/>
  <c r="J4" i="30"/>
  <c r="K42" i="25"/>
  <c r="J13" i="30"/>
  <c r="K51" i="25"/>
  <c r="AM8" i="30"/>
  <c r="CP46" i="25"/>
  <c r="J11" i="30" l="1"/>
  <c r="K49" i="25"/>
  <c r="L49" i="25"/>
  <c r="K11" i="30"/>
  <c r="K10" i="30"/>
  <c r="L48" i="25"/>
  <c r="J10" i="30"/>
  <c r="K48" i="25"/>
  <c r="K12" i="30"/>
  <c r="L50" i="25"/>
  <c r="C8" i="30"/>
  <c r="D46" i="25"/>
  <c r="J12" i="30"/>
  <c r="K50" i="25"/>
  <c r="F8" i="30"/>
  <c r="G46" i="25"/>
  <c r="J15" i="13"/>
  <c r="K15" i="13"/>
  <c r="K8" i="30" l="1"/>
  <c r="L46" i="25"/>
  <c r="J8" i="30"/>
  <c r="K46" i="25"/>
</calcChain>
</file>

<file path=xl/comments1.xml><?xml version="1.0" encoding="utf-8"?>
<comments xmlns="http://schemas.openxmlformats.org/spreadsheetml/2006/main">
  <authors>
    <author>Julien Dutel</author>
    <author>Bouchard, Maxwell (BEIE)</author>
  </authors>
  <commentList>
    <comment ref="B23" authorId="0" shapeId="0">
      <text>
        <r>
          <rPr>
            <b/>
            <sz val="8"/>
            <color indexed="81"/>
            <rFont val="Tahoma"/>
            <family val="2"/>
          </rPr>
          <t>Avertissement:</t>
        </r>
        <r>
          <rPr>
            <sz val="8"/>
            <color indexed="81"/>
            <rFont val="Tahoma"/>
            <family val="2"/>
          </rPr>
          <t xml:space="preserve">
Une portion de la consommation énergétique d'un bâtiment est influencée par la météo. Après une étude sur un ensemble de bâtiments, cette portion a été définie à 35 % de la consommation totale. Toutefois, l'utilisateur peut modifier cette valeur.</t>
        </r>
      </text>
    </comment>
    <comment ref="A43" authorId="1" shapeId="0">
      <text>
        <r>
          <rPr>
            <sz val="8"/>
            <color indexed="81"/>
            <rFont val="Tahoma"/>
            <family val="2"/>
          </rPr>
          <t>Choisir, dans la liste déroulante, l'année financière ou l'année civile, selon le cas.</t>
        </r>
        <r>
          <rPr>
            <sz val="9"/>
            <color indexed="81"/>
            <rFont val="Tahoma"/>
            <family val="2"/>
          </rPr>
          <t xml:space="preserve">
</t>
        </r>
      </text>
    </comment>
  </commentList>
</comments>
</file>

<file path=xl/comments10.xml><?xml version="1.0" encoding="utf-8"?>
<comments xmlns="http://schemas.openxmlformats.org/spreadsheetml/2006/main">
  <authors>
    <author>Julien Dutel</author>
  </authors>
  <commentList>
    <comment ref="B21" authorId="0" shapeId="0">
      <text>
        <r>
          <rPr>
            <b/>
            <sz val="10"/>
            <color indexed="81"/>
            <rFont val="Tahoma"/>
            <family val="2"/>
          </rPr>
          <t>Avertissement:</t>
        </r>
        <r>
          <rPr>
            <sz val="10"/>
            <color indexed="81"/>
            <rFont val="Tahoma"/>
            <family val="2"/>
          </rPr>
          <t xml:space="preserve">
Lorsque les données sont entrées mensuellement, la moyenne annuel est calculé automatiquement.
La donnée annuelle peut aussi être saisie manuellement dans cette case, mais cela viendra enlever la possibilité de compilation mensuelle, à moins de recopier la formule de moyenne pour les douze mois concernés.
 </t>
        </r>
      </text>
    </comment>
    <comment ref="C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D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E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F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G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H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I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J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K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L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M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N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O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P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Q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R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S21" authorId="0" shapeId="0">
      <text>
        <r>
          <rPr>
            <b/>
            <sz val="10"/>
            <color indexed="81"/>
            <rFont val="Tahoma"/>
            <family val="2"/>
          </rPr>
          <t>Avertissement:</t>
        </r>
        <r>
          <rPr>
            <sz val="10"/>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r>
          <rPr>
            <sz val="8"/>
            <color indexed="81"/>
            <rFont val="Tahoma"/>
            <family val="2"/>
          </rPr>
          <t xml:space="preserve">
 </t>
        </r>
      </text>
    </comment>
    <comment ref="T21" authorId="0" shapeId="0">
      <text>
        <r>
          <rPr>
            <b/>
            <sz val="10"/>
            <color indexed="81"/>
            <rFont val="Tahoma"/>
            <family val="2"/>
          </rPr>
          <t>Avertissement:</t>
        </r>
        <r>
          <rPr>
            <sz val="10"/>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U21" authorId="0" shapeId="0">
      <text>
        <r>
          <rPr>
            <b/>
            <sz val="10"/>
            <color indexed="81"/>
            <rFont val="Tahoma"/>
            <family val="2"/>
          </rPr>
          <t>Avertissement:</t>
        </r>
        <r>
          <rPr>
            <sz val="10"/>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r>
          <rPr>
            <sz val="8"/>
            <color indexed="81"/>
            <rFont val="Tahoma"/>
            <family val="2"/>
          </rPr>
          <t xml:space="preserve">
 </t>
        </r>
      </text>
    </comment>
    <comment ref="V21" authorId="0" shapeId="0">
      <text>
        <r>
          <rPr>
            <b/>
            <sz val="10"/>
            <color indexed="81"/>
            <rFont val="Tahoma"/>
            <family val="2"/>
          </rPr>
          <t>Avertissement:</t>
        </r>
        <r>
          <rPr>
            <sz val="10"/>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r>
          <rPr>
            <sz val="8"/>
            <color indexed="81"/>
            <rFont val="Tahoma"/>
            <family val="2"/>
          </rPr>
          <t xml:space="preserve">
 </t>
        </r>
      </text>
    </comment>
    <comment ref="W21" authorId="0" shapeId="0">
      <text>
        <r>
          <rPr>
            <b/>
            <sz val="10"/>
            <color indexed="81"/>
            <rFont val="Tahoma"/>
            <family val="2"/>
          </rPr>
          <t>Avertissement:</t>
        </r>
        <r>
          <rPr>
            <sz val="10"/>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r>
          <rPr>
            <sz val="8"/>
            <color indexed="81"/>
            <rFont val="Tahoma"/>
            <family val="2"/>
          </rPr>
          <t xml:space="preserve">
 </t>
        </r>
      </text>
    </comment>
    <comment ref="X21" authorId="0" shapeId="0">
      <text>
        <r>
          <rPr>
            <b/>
            <sz val="10"/>
            <color indexed="81"/>
            <rFont val="Tahoma"/>
            <family val="2"/>
          </rPr>
          <t>Avertissement:</t>
        </r>
        <r>
          <rPr>
            <sz val="10"/>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AA21" authorId="0" shapeId="0">
      <text>
        <r>
          <rPr>
            <b/>
            <sz val="10"/>
            <color indexed="81"/>
            <rFont val="Tahoma"/>
            <family val="2"/>
          </rPr>
          <t xml:space="preserve">Avertissement :
</t>
        </r>
        <r>
          <rPr>
            <sz val="10"/>
            <color indexed="81"/>
            <rFont val="Tahoma"/>
            <family val="2"/>
          </rPr>
          <t xml:space="preserve">Si cette case est rouge, vérifier qu'il n'y ai pas d'erreur de saisie sur les consommations et les superficies.
En effet cette case devient rouge lorsque l'intensité énergétique annuelle dépasse les bornes suivantes :
- Commission scolaire  : 0,14 GJ/m² à 1,42 GJ/m²
- Etablissements d'enseigenement supérieur - Cegep: 0,18 GJ/m² à 1,84 GJ/m²
- Etablissements d'enseigenement supérieur - Université: 0,31 GJ/m² à 3,1 GJ/m²
- Édifices à bureaux: 0,22 GJ/m² à 2,21 GJ/m²
- Ministère de la Santé et des Services sociaux: 0,41 GJ/m² à 4,06 GJ/m²
- Autre: 0,3 GJ/m² à 2,97 GJ/m²
</t>
        </r>
      </text>
    </comment>
    <comment ref="I37" authorId="0" shapeId="0">
      <text>
        <r>
          <rPr>
            <b/>
            <sz val="8"/>
            <color indexed="81"/>
            <rFont val="Tahoma"/>
            <family val="2"/>
          </rPr>
          <t>GJ annuel:</t>
        </r>
        <r>
          <rPr>
            <sz val="8"/>
            <color indexed="81"/>
            <rFont val="Tahoma"/>
            <family val="2"/>
          </rPr>
          <t xml:space="preserve">
Représente l'impact énergétique pour une année 
complète (indépendamment du mois d'implantation).
</t>
        </r>
      </text>
    </comment>
    <comment ref="J37" authorId="0" shapeId="0">
      <text>
        <r>
          <rPr>
            <b/>
            <sz val="8"/>
            <color indexed="81"/>
            <rFont val="Tahoma"/>
            <family val="2"/>
          </rPr>
          <t>GJ année en cours:</t>
        </r>
        <r>
          <rPr>
            <sz val="8"/>
            <color indexed="81"/>
            <rFont val="Tahoma"/>
            <family val="2"/>
          </rPr>
          <t xml:space="preserve">
Représente l'impact énergétique pour l'année en cours (dépendant du mois d'implantation)</t>
        </r>
      </text>
    </comment>
    <comment ref="E38" authorId="0" shapeId="0">
      <text>
        <r>
          <rPr>
            <b/>
            <sz val="8"/>
            <color indexed="81"/>
            <rFont val="Tahoma"/>
            <family val="2"/>
          </rPr>
          <t xml:space="preserve">AIDE:
</t>
        </r>
        <r>
          <rPr>
            <sz val="8"/>
            <color indexed="81"/>
            <rFont val="Tahoma"/>
            <family val="2"/>
          </rPr>
          <t>Impact énergétique qu'aura le projet annuel par rapport à l'année de référence. Par exemple, un projet d'ajout d'éclairge diminera de 3 000 kWh la consommation électrique.</t>
        </r>
      </text>
    </comment>
  </commentList>
</comments>
</file>

<file path=xl/comments11.xml><?xml version="1.0" encoding="utf-8"?>
<comments xmlns="http://schemas.openxmlformats.org/spreadsheetml/2006/main">
  <authors>
    <author>Julien Dutel</author>
  </authors>
  <commentList>
    <comment ref="B21" authorId="0" shapeId="0">
      <text>
        <r>
          <rPr>
            <b/>
            <sz val="10"/>
            <color indexed="81"/>
            <rFont val="Tahoma"/>
            <family val="2"/>
          </rPr>
          <t>Avertissement:</t>
        </r>
        <r>
          <rPr>
            <sz val="10"/>
            <color indexed="81"/>
            <rFont val="Tahoma"/>
            <family val="2"/>
          </rPr>
          <t xml:space="preserve">
Lorsque les données sont entrées mensuellement, la moyenne annuel est calculé automatiquement.
La donnée annuelle peut aussi être saisie manuellement dans cette case, mais cela viendra enlever la possibilité de compilation mensuelle, à moins de recopier la formule de moyenne pour les douze mois concernés.
 </t>
        </r>
      </text>
    </comment>
    <comment ref="C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D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E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F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G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H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I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J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K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L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M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N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O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P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Q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R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S21" authorId="0" shapeId="0">
      <text>
        <r>
          <rPr>
            <b/>
            <sz val="10"/>
            <color indexed="81"/>
            <rFont val="Tahoma"/>
            <family val="2"/>
          </rPr>
          <t>Avertissement:</t>
        </r>
        <r>
          <rPr>
            <sz val="10"/>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r>
          <rPr>
            <sz val="8"/>
            <color indexed="81"/>
            <rFont val="Tahoma"/>
            <family val="2"/>
          </rPr>
          <t xml:space="preserve">
 </t>
        </r>
      </text>
    </comment>
    <comment ref="T21" authorId="0" shapeId="0">
      <text>
        <r>
          <rPr>
            <b/>
            <sz val="10"/>
            <color indexed="81"/>
            <rFont val="Tahoma"/>
            <family val="2"/>
          </rPr>
          <t>Avertissement:</t>
        </r>
        <r>
          <rPr>
            <sz val="10"/>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U21" authorId="0" shapeId="0">
      <text>
        <r>
          <rPr>
            <b/>
            <sz val="10"/>
            <color indexed="81"/>
            <rFont val="Tahoma"/>
            <family val="2"/>
          </rPr>
          <t>Avertissement:</t>
        </r>
        <r>
          <rPr>
            <sz val="10"/>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r>
          <rPr>
            <sz val="8"/>
            <color indexed="81"/>
            <rFont val="Tahoma"/>
            <family val="2"/>
          </rPr>
          <t xml:space="preserve">
 </t>
        </r>
      </text>
    </comment>
    <comment ref="V21" authorId="0" shapeId="0">
      <text>
        <r>
          <rPr>
            <b/>
            <sz val="10"/>
            <color indexed="81"/>
            <rFont val="Tahoma"/>
            <family val="2"/>
          </rPr>
          <t>Avertissement:</t>
        </r>
        <r>
          <rPr>
            <sz val="10"/>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r>
          <rPr>
            <sz val="8"/>
            <color indexed="81"/>
            <rFont val="Tahoma"/>
            <family val="2"/>
          </rPr>
          <t xml:space="preserve">
 </t>
        </r>
      </text>
    </comment>
    <comment ref="W21" authorId="0" shapeId="0">
      <text>
        <r>
          <rPr>
            <b/>
            <sz val="10"/>
            <color indexed="81"/>
            <rFont val="Tahoma"/>
            <family val="2"/>
          </rPr>
          <t>Avertissement:</t>
        </r>
        <r>
          <rPr>
            <sz val="10"/>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r>
          <rPr>
            <sz val="8"/>
            <color indexed="81"/>
            <rFont val="Tahoma"/>
            <family val="2"/>
          </rPr>
          <t xml:space="preserve">
 </t>
        </r>
      </text>
    </comment>
    <comment ref="X21" authorId="0" shapeId="0">
      <text>
        <r>
          <rPr>
            <b/>
            <sz val="10"/>
            <color indexed="81"/>
            <rFont val="Tahoma"/>
            <family val="2"/>
          </rPr>
          <t>Avertissement:</t>
        </r>
        <r>
          <rPr>
            <sz val="10"/>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AA21" authorId="0" shapeId="0">
      <text>
        <r>
          <rPr>
            <b/>
            <sz val="10"/>
            <color indexed="81"/>
            <rFont val="Tahoma"/>
            <family val="2"/>
          </rPr>
          <t xml:space="preserve">Avertissement :
</t>
        </r>
        <r>
          <rPr>
            <sz val="10"/>
            <color indexed="81"/>
            <rFont val="Tahoma"/>
            <family val="2"/>
          </rPr>
          <t xml:space="preserve">Si cette case est rouge, vérifier qu'il n'y ai pas d'erreur de saisie sur les consommations et les superficies.
En effet cette case devient rouge lorsque l'intensité énergétique annuelle dépasse les bornes suivantes :
- Commission scolaire  : 0,14 GJ/m² à 1,42 GJ/m²
- Etablissements d'enseigenement supérieur - Cegep: 0,18 GJ/m² à 1,84 GJ/m²
- Etablissements d'enseigenement supérieur - Université: 0,31 GJ/m² à 3,1 GJ/m²
- Édifices à bureaux: 0,22 GJ/m² à 2,21 GJ/m²
- Ministère de la Santé et des Services sociaux: 0,41 GJ/m² à 4,06 GJ/m²
- Autre: 0,3 GJ/m² à 2,97 GJ/m²
</t>
        </r>
      </text>
    </comment>
    <comment ref="I37" authorId="0" shapeId="0">
      <text>
        <r>
          <rPr>
            <b/>
            <sz val="8"/>
            <color indexed="81"/>
            <rFont val="Tahoma"/>
            <family val="2"/>
          </rPr>
          <t>GJ annuel:</t>
        </r>
        <r>
          <rPr>
            <sz val="8"/>
            <color indexed="81"/>
            <rFont val="Tahoma"/>
            <family val="2"/>
          </rPr>
          <t xml:space="preserve">
Représente l'impact énergétique pour une année 
complète (indépendamment du mois d'implantation).
</t>
        </r>
      </text>
    </comment>
    <comment ref="J37" authorId="0" shapeId="0">
      <text>
        <r>
          <rPr>
            <b/>
            <sz val="8"/>
            <color indexed="81"/>
            <rFont val="Tahoma"/>
            <family val="2"/>
          </rPr>
          <t>GJ année en cours:</t>
        </r>
        <r>
          <rPr>
            <sz val="8"/>
            <color indexed="81"/>
            <rFont val="Tahoma"/>
            <family val="2"/>
          </rPr>
          <t xml:space="preserve">
Représente l'impact énergétique pour l'année en cours (dépendant du mois d'implantation)</t>
        </r>
      </text>
    </comment>
    <comment ref="E38" authorId="0" shapeId="0">
      <text>
        <r>
          <rPr>
            <b/>
            <sz val="8"/>
            <color indexed="81"/>
            <rFont val="Tahoma"/>
            <family val="2"/>
          </rPr>
          <t xml:space="preserve">AIDE:
</t>
        </r>
        <r>
          <rPr>
            <sz val="8"/>
            <color indexed="81"/>
            <rFont val="Tahoma"/>
            <family val="2"/>
          </rPr>
          <t>Impact énergétique qu'aura le projet annuel par rapport à l'année de référence. Par exemple, un projet d'ajout d'éclairge diminera de 3 000 kWh la consommation électrique.</t>
        </r>
      </text>
    </comment>
  </commentList>
</comments>
</file>

<file path=xl/comments12.xml><?xml version="1.0" encoding="utf-8"?>
<comments xmlns="http://schemas.openxmlformats.org/spreadsheetml/2006/main">
  <authors>
    <author>Julien Dutel</author>
  </authors>
  <commentList>
    <comment ref="B21" authorId="0" shapeId="0">
      <text>
        <r>
          <rPr>
            <b/>
            <sz val="10"/>
            <color indexed="81"/>
            <rFont val="Tahoma"/>
            <family val="2"/>
          </rPr>
          <t>Avertissement:</t>
        </r>
        <r>
          <rPr>
            <sz val="10"/>
            <color indexed="81"/>
            <rFont val="Tahoma"/>
            <family val="2"/>
          </rPr>
          <t xml:space="preserve">
Lorsque les données sont entrées mensuellement, la moyenne annuel est calculé automatiquement.
La donnée annuelle peut aussi être saisie manuellement dans cette case, mais cela viendra enlever la possibilité de compilation mensuelle, à moins de recopier la formule de moyenne pour les douze mois concernés.
 </t>
        </r>
      </text>
    </comment>
    <comment ref="C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D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E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F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G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H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I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J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K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L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M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N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O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P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Q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R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S21" authorId="0" shapeId="0">
      <text>
        <r>
          <rPr>
            <b/>
            <sz val="10"/>
            <color indexed="81"/>
            <rFont val="Tahoma"/>
            <family val="2"/>
          </rPr>
          <t>Avertissement:</t>
        </r>
        <r>
          <rPr>
            <sz val="10"/>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r>
          <rPr>
            <sz val="8"/>
            <color indexed="81"/>
            <rFont val="Tahoma"/>
            <family val="2"/>
          </rPr>
          <t xml:space="preserve">
 </t>
        </r>
      </text>
    </comment>
    <comment ref="T21" authorId="0" shapeId="0">
      <text>
        <r>
          <rPr>
            <b/>
            <sz val="10"/>
            <color indexed="81"/>
            <rFont val="Tahoma"/>
            <family val="2"/>
          </rPr>
          <t>Avertissement:</t>
        </r>
        <r>
          <rPr>
            <sz val="10"/>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U21" authorId="0" shapeId="0">
      <text>
        <r>
          <rPr>
            <b/>
            <sz val="10"/>
            <color indexed="81"/>
            <rFont val="Tahoma"/>
            <family val="2"/>
          </rPr>
          <t>Avertissement:</t>
        </r>
        <r>
          <rPr>
            <sz val="10"/>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r>
          <rPr>
            <sz val="8"/>
            <color indexed="81"/>
            <rFont val="Tahoma"/>
            <family val="2"/>
          </rPr>
          <t xml:space="preserve">
 </t>
        </r>
      </text>
    </comment>
    <comment ref="V21" authorId="0" shapeId="0">
      <text>
        <r>
          <rPr>
            <b/>
            <sz val="10"/>
            <color indexed="81"/>
            <rFont val="Tahoma"/>
            <family val="2"/>
          </rPr>
          <t>Avertissement:</t>
        </r>
        <r>
          <rPr>
            <sz val="10"/>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r>
          <rPr>
            <sz val="8"/>
            <color indexed="81"/>
            <rFont val="Tahoma"/>
            <family val="2"/>
          </rPr>
          <t xml:space="preserve">
 </t>
        </r>
      </text>
    </comment>
    <comment ref="W21" authorId="0" shapeId="0">
      <text>
        <r>
          <rPr>
            <b/>
            <sz val="10"/>
            <color indexed="81"/>
            <rFont val="Tahoma"/>
            <family val="2"/>
          </rPr>
          <t>Avertissement:</t>
        </r>
        <r>
          <rPr>
            <sz val="10"/>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r>
          <rPr>
            <sz val="8"/>
            <color indexed="81"/>
            <rFont val="Tahoma"/>
            <family val="2"/>
          </rPr>
          <t xml:space="preserve">
 </t>
        </r>
      </text>
    </comment>
    <comment ref="X21" authorId="0" shapeId="0">
      <text>
        <r>
          <rPr>
            <b/>
            <sz val="10"/>
            <color indexed="81"/>
            <rFont val="Tahoma"/>
            <family val="2"/>
          </rPr>
          <t>Avertissement:</t>
        </r>
        <r>
          <rPr>
            <sz val="10"/>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AA21" authorId="0" shapeId="0">
      <text>
        <r>
          <rPr>
            <b/>
            <sz val="10"/>
            <color indexed="81"/>
            <rFont val="Tahoma"/>
            <family val="2"/>
          </rPr>
          <t xml:space="preserve">Avertissement :
</t>
        </r>
        <r>
          <rPr>
            <sz val="10"/>
            <color indexed="81"/>
            <rFont val="Tahoma"/>
            <family val="2"/>
          </rPr>
          <t xml:space="preserve">Si cette case est rouge, vérifier qu'il n'y ai pas d'erreur de saisie sur les consommations et les superficies.
En effet cette case devient rouge lorsque l'intensité énergétique annuelle dépasse les bornes suivantes :
- Commission scolaire  : 0,14 GJ/m² à 1,42 GJ/m²
- Etablissements d'enseigenement supérieur - Cegep: 0,18 GJ/m² à 1,84 GJ/m²
- Etablissements d'enseigenement supérieur - Université: 0,31 GJ/m² à 3,1 GJ/m²
- Édifices à bureaux: 0,22 GJ/m² à 2,21 GJ/m²
- Ministère de la Santé et des Services sociaux: 0,41 GJ/m² à 4,06 GJ/m²
- Autre: 0,3 GJ/m² à 2,97 GJ/m²
</t>
        </r>
      </text>
    </comment>
    <comment ref="I37" authorId="0" shapeId="0">
      <text>
        <r>
          <rPr>
            <b/>
            <sz val="8"/>
            <color indexed="81"/>
            <rFont val="Tahoma"/>
            <family val="2"/>
          </rPr>
          <t>GJ annuel:</t>
        </r>
        <r>
          <rPr>
            <sz val="8"/>
            <color indexed="81"/>
            <rFont val="Tahoma"/>
            <family val="2"/>
          </rPr>
          <t xml:space="preserve">
Représente l'impact énergétique pour une année 
complète (indépendamment du mois d'implantation).
</t>
        </r>
      </text>
    </comment>
    <comment ref="J37" authorId="0" shapeId="0">
      <text>
        <r>
          <rPr>
            <b/>
            <sz val="8"/>
            <color indexed="81"/>
            <rFont val="Tahoma"/>
            <family val="2"/>
          </rPr>
          <t>GJ année en cours:</t>
        </r>
        <r>
          <rPr>
            <sz val="8"/>
            <color indexed="81"/>
            <rFont val="Tahoma"/>
            <family val="2"/>
          </rPr>
          <t xml:space="preserve">
Représente l'impact énergétique pour l'année en cours (dépendant du mois d'implantation)</t>
        </r>
      </text>
    </comment>
    <comment ref="E38" authorId="0" shapeId="0">
      <text>
        <r>
          <rPr>
            <b/>
            <sz val="8"/>
            <color indexed="81"/>
            <rFont val="Tahoma"/>
            <family val="2"/>
          </rPr>
          <t xml:space="preserve">AIDE:
</t>
        </r>
        <r>
          <rPr>
            <sz val="8"/>
            <color indexed="81"/>
            <rFont val="Tahoma"/>
            <family val="2"/>
          </rPr>
          <t>Impact énergétique qu'aura le projet annuel par rapport à l'année de référence. Par exemple, un projet d'ajout d'éclairge diminera de 3 000 kWh la consommation électrique.</t>
        </r>
      </text>
    </comment>
  </commentList>
</comments>
</file>

<file path=xl/comments13.xml><?xml version="1.0" encoding="utf-8"?>
<comments xmlns="http://schemas.openxmlformats.org/spreadsheetml/2006/main">
  <authors>
    <author>Julien Dutel</author>
  </authors>
  <commentList>
    <comment ref="B21" authorId="0" shapeId="0">
      <text>
        <r>
          <rPr>
            <b/>
            <sz val="10"/>
            <color indexed="81"/>
            <rFont val="Tahoma"/>
            <family val="2"/>
          </rPr>
          <t>Avertissement:</t>
        </r>
        <r>
          <rPr>
            <sz val="10"/>
            <color indexed="81"/>
            <rFont val="Tahoma"/>
            <family val="2"/>
          </rPr>
          <t xml:space="preserve">
Lorsque les données sont entrées mensuellement, la moyenne annuel est calculé automatiquement.
La donnée annuelle peut aussi être saisie manuellement dans cette case, mais cela viendra enlever la possibilité de compilation mensuelle, à moins de recopier la formule de moyenne pour les douze mois concernés.
 </t>
        </r>
      </text>
    </comment>
    <comment ref="C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D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E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F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G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H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I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J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K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L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M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N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O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P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Q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R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S21" authorId="0" shapeId="0">
      <text>
        <r>
          <rPr>
            <b/>
            <sz val="10"/>
            <color indexed="81"/>
            <rFont val="Tahoma"/>
            <family val="2"/>
          </rPr>
          <t>Avertissement:</t>
        </r>
        <r>
          <rPr>
            <sz val="10"/>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r>
          <rPr>
            <sz val="8"/>
            <color indexed="81"/>
            <rFont val="Tahoma"/>
            <family val="2"/>
          </rPr>
          <t xml:space="preserve">
 </t>
        </r>
      </text>
    </comment>
    <comment ref="T21" authorId="0" shapeId="0">
      <text>
        <r>
          <rPr>
            <b/>
            <sz val="10"/>
            <color indexed="81"/>
            <rFont val="Tahoma"/>
            <family val="2"/>
          </rPr>
          <t>Avertissement:</t>
        </r>
        <r>
          <rPr>
            <sz val="10"/>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U21" authorId="0" shapeId="0">
      <text>
        <r>
          <rPr>
            <b/>
            <sz val="10"/>
            <color indexed="81"/>
            <rFont val="Tahoma"/>
            <family val="2"/>
          </rPr>
          <t>Avertissement:</t>
        </r>
        <r>
          <rPr>
            <sz val="10"/>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r>
          <rPr>
            <sz val="8"/>
            <color indexed="81"/>
            <rFont val="Tahoma"/>
            <family val="2"/>
          </rPr>
          <t xml:space="preserve">
 </t>
        </r>
      </text>
    </comment>
    <comment ref="V21" authorId="0" shapeId="0">
      <text>
        <r>
          <rPr>
            <b/>
            <sz val="10"/>
            <color indexed="81"/>
            <rFont val="Tahoma"/>
            <family val="2"/>
          </rPr>
          <t>Avertissement:</t>
        </r>
        <r>
          <rPr>
            <sz val="10"/>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r>
          <rPr>
            <sz val="8"/>
            <color indexed="81"/>
            <rFont val="Tahoma"/>
            <family val="2"/>
          </rPr>
          <t xml:space="preserve">
 </t>
        </r>
      </text>
    </comment>
    <comment ref="W21" authorId="0" shapeId="0">
      <text>
        <r>
          <rPr>
            <b/>
            <sz val="10"/>
            <color indexed="81"/>
            <rFont val="Tahoma"/>
            <family val="2"/>
          </rPr>
          <t>Avertissement:</t>
        </r>
        <r>
          <rPr>
            <sz val="10"/>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r>
          <rPr>
            <sz val="8"/>
            <color indexed="81"/>
            <rFont val="Tahoma"/>
            <family val="2"/>
          </rPr>
          <t xml:space="preserve">
 </t>
        </r>
      </text>
    </comment>
    <comment ref="X21" authorId="0" shapeId="0">
      <text>
        <r>
          <rPr>
            <b/>
            <sz val="10"/>
            <color indexed="81"/>
            <rFont val="Tahoma"/>
            <family val="2"/>
          </rPr>
          <t>Avertissement:</t>
        </r>
        <r>
          <rPr>
            <sz val="10"/>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AA21" authorId="0" shapeId="0">
      <text>
        <r>
          <rPr>
            <b/>
            <sz val="10"/>
            <color indexed="81"/>
            <rFont val="Tahoma"/>
            <family val="2"/>
          </rPr>
          <t xml:space="preserve">Avertissement :
</t>
        </r>
        <r>
          <rPr>
            <sz val="10"/>
            <color indexed="81"/>
            <rFont val="Tahoma"/>
            <family val="2"/>
          </rPr>
          <t xml:space="preserve">Si cette case est rouge, vérifier qu'il n'y ai pas d'erreur de saisie sur les consommations et les superficies.
En effet cette case devient rouge lorsque l'intensité énergétique annuelle dépasse les bornes suivantes :
- Commission scolaire  : 0,14 GJ/m² à 1,42 GJ/m²
- Etablissements d'enseigenement supérieur - Cegep: 0,18 GJ/m² à 1,84 GJ/m²
- Etablissements d'enseigenement supérieur - Université: 0,31 GJ/m² à 3,1 GJ/m²
- Édifices à bureaux: 0,22 GJ/m² à 2,21 GJ/m²
- Ministère de la Santé et des Services sociaux: 0,41 GJ/m² à 4,06 GJ/m²
- Autre: 0,3 GJ/m² à 2,97 GJ/m²
</t>
        </r>
      </text>
    </comment>
    <comment ref="I37" authorId="0" shapeId="0">
      <text>
        <r>
          <rPr>
            <b/>
            <sz val="8"/>
            <color indexed="81"/>
            <rFont val="Tahoma"/>
            <family val="2"/>
          </rPr>
          <t>GJ annuel:</t>
        </r>
        <r>
          <rPr>
            <sz val="8"/>
            <color indexed="81"/>
            <rFont val="Tahoma"/>
            <family val="2"/>
          </rPr>
          <t xml:space="preserve">
Représente l'impact énergétique pour une année 
complète (indépendamment du mois d'implantation).
</t>
        </r>
      </text>
    </comment>
    <comment ref="J37" authorId="0" shapeId="0">
      <text>
        <r>
          <rPr>
            <b/>
            <sz val="8"/>
            <color indexed="81"/>
            <rFont val="Tahoma"/>
            <family val="2"/>
          </rPr>
          <t>GJ année en cours:</t>
        </r>
        <r>
          <rPr>
            <sz val="8"/>
            <color indexed="81"/>
            <rFont val="Tahoma"/>
            <family val="2"/>
          </rPr>
          <t xml:space="preserve">
Représente l'impact énergétique pour l'année en cours (dépendant du mois d'implantation)</t>
        </r>
      </text>
    </comment>
    <comment ref="E38" authorId="0" shapeId="0">
      <text>
        <r>
          <rPr>
            <b/>
            <sz val="8"/>
            <color indexed="81"/>
            <rFont val="Tahoma"/>
            <family val="2"/>
          </rPr>
          <t xml:space="preserve">AIDE:
</t>
        </r>
        <r>
          <rPr>
            <sz val="8"/>
            <color indexed="81"/>
            <rFont val="Tahoma"/>
            <family val="2"/>
          </rPr>
          <t>Impact énergétique qu'aura le projet annuel par rapport à l'année de référence. Par exemple, un projet d'ajout d'éclairge diminera de 3 000 kWh la consommation électrique.</t>
        </r>
      </text>
    </comment>
  </commentList>
</comments>
</file>

<file path=xl/comments14.xml><?xml version="1.0" encoding="utf-8"?>
<comments xmlns="http://schemas.openxmlformats.org/spreadsheetml/2006/main">
  <authors>
    <author>Bouchard, Maxwell (BEIE)</author>
    <author>Mathieu Payeur</author>
  </authors>
  <commentList>
    <comment ref="B14" authorId="0" shapeId="0">
      <text>
        <r>
          <rPr>
            <sz val="9"/>
            <color indexed="81"/>
            <rFont val="Tahoma"/>
            <family val="2"/>
          </rPr>
          <t>Produit au moyen du gaz naturel</t>
        </r>
      </text>
    </comment>
    <comment ref="B15" authorId="0" shapeId="0">
      <text>
        <r>
          <rPr>
            <sz val="9"/>
            <color indexed="81"/>
            <rFont val="Tahoma"/>
            <family val="2"/>
          </rPr>
          <t>Produit au moyen de l'électricité</t>
        </r>
      </text>
    </comment>
    <comment ref="D15" authorId="0" shapeId="0">
      <text>
        <r>
          <rPr>
            <sz val="9"/>
            <color indexed="81"/>
            <rFont val="Tahoma"/>
            <family val="2"/>
          </rPr>
          <t xml:space="preserve">1er-oct.-2015 
1000 BTU ou 1 MBTU = 0,001055 GJ;
Comme dans les autres bâtiments pour lesquels nous recevons des données, les valeurs reçues réfèrent à des consommations nettes avant transformation en eau refroidie, il nous faut ici appliquer un facteur pour revenir à une consommation d'électricité.  Le facteur utilisé dans notre formule est 5 pour tenir compte du rendement annuel offert par le système de refroidissement produisant l'eau refroidie (refroidisseur, pompage, perte de chaleur). On fait l'hypothèse que ce système fonctionne avec l'électricité. Le facteur d'émissions de GES en tient compte.
</t>
        </r>
      </text>
    </comment>
    <comment ref="B16" authorId="0" shapeId="0">
      <text>
        <r>
          <rPr>
            <sz val="9"/>
            <color indexed="81"/>
            <rFont val="Tahoma"/>
            <family val="2"/>
          </rPr>
          <t>Produit au moyen du gaz naturel</t>
        </r>
      </text>
    </comment>
    <comment ref="D16" authorId="0" shapeId="0">
      <text>
        <r>
          <rPr>
            <sz val="9"/>
            <color indexed="81"/>
            <rFont val="Tahoma"/>
            <family val="2"/>
          </rPr>
          <t xml:space="preserve">1er-oct.-2015 
1000 BTU ou 1 MBTU = 0,001055 GJ;
Comme dans les autres bâtiments pour lesquels nous recevons des données, les valeurs reçues réfèrent à des consommations nettes avant transformation en eau chaude, il nous faut ici appliquer un facteur pour revenir à une consommation de gaz naturel  Le facteur utilisé dans notre formule est 1,2 pour tenir compte du rendement annuel offert par le système de chauffage produisant l'eau chaude (chaudière, pompage, perte de chaleur). On fait l'hypothèse que ce système fonctionne avec le gaz naturel. Le facteur d'émissions de GES en tient compte.
</t>
        </r>
      </text>
    </comment>
    <comment ref="H25" authorId="1" shapeId="0">
      <text>
        <r>
          <rPr>
            <sz val="8"/>
            <color indexed="81"/>
            <rFont val="Tahoma"/>
            <family val="2"/>
          </rPr>
          <t>Taux d'émission de GES HQ 2011 : 6 501 Tonne CO2/TWh  (+16 SO2 + 19 NOx) = 6,536 kg CO2 / kWh
http://www.hydroquebec.com/developpementdurable/documentation/pdf/etiquette_achats_fr.pdf</t>
        </r>
      </text>
    </comment>
    <comment ref="F40" authorId="0" shapeId="0">
      <text>
        <r>
          <rPr>
            <b/>
            <sz val="9"/>
            <color indexed="81"/>
            <rFont val="Tahoma"/>
            <family val="2"/>
          </rPr>
          <t xml:space="preserve">Fournier, Michel (BEIE):
</t>
        </r>
        <r>
          <rPr>
            <sz val="9"/>
            <color indexed="81"/>
            <rFont val="Tahoma"/>
            <family val="2"/>
          </rPr>
          <t>1er oct. 2015: 1000 BTU ou 1 MBTU = 0,001055 GJ;
Comme dans les autres bâtiments pour lesquels nous recevons des données, les valeurs reçues réfèrent à des consommations nettes avant transformation en eau refroidie, il nous faut ici appliquer un facteur pour revenir à une consommation d'électricité.  Le facteur utilisé dans notre formule est 2 pour tenir compte du rendement annuel offert par le système de refroidissement produisant l'eau refroidie (refroidisseur, pompage, perte de chaleur). On fait l'hypothèse que ce système fonctionne avec l'électricité. Le facteur d'émissions de GES en tient compte.
Validé avec Benoît Légaré, ing., MERN. Dans Écoperformance, l'établissement des GJ et des GES se fait en remontant à la source de production.  Le participant au programme doit fournir l'information à ce sujet.</t>
        </r>
      </text>
    </comment>
    <comment ref="F41" authorId="0" shapeId="0">
      <text>
        <r>
          <rPr>
            <b/>
            <sz val="9"/>
            <color indexed="81"/>
            <rFont val="Tahoma"/>
            <family val="2"/>
          </rPr>
          <t>Fournier, Michel (BEIE):</t>
        </r>
        <r>
          <rPr>
            <sz val="9"/>
            <color indexed="81"/>
            <rFont val="Tahoma"/>
            <family val="2"/>
          </rPr>
          <t xml:space="preserve">
1er oct. 2015: 1000 BTU ou 1 MBTU = 0,001055 GJ;
Comme dans les autres bâtiments pour lesquels nous recevons des données, les valeurs reçues réfèrent à des consommations nettes avant transformation en eau chaude, il nous faut ici appliquer un facteur pour revenir à une consommation de gaz naturel  Le facteur utilisé dans notre formule est 1,2 pour tenir compte du rendement annuel offert par le système de refroidissement produisant l'eau chaude (chaudière, pompage, perte de chaleur). On fait l'hypothèse que ce système fonctionne avec le gaz naturel. Le facteur d'émissions de GES en tient compte.
Validé avec Benoît Légaré, ing., MERN. Dans Écoperformance, l'établissement des GJ et des GES se fait en remontant à la source de production.  Le participant au programme doit fournir l'information à ce sujet.
</t>
        </r>
      </text>
    </comment>
  </commentList>
</comments>
</file>

<file path=xl/comments15.xml><?xml version="1.0" encoding="utf-8"?>
<comments xmlns="http://schemas.openxmlformats.org/spreadsheetml/2006/main">
  <authors>
    <author>Bouchard, Maxwell (BEIE)</author>
  </authors>
  <commentList>
    <comment ref="B459" authorId="0" shapeId="0">
      <text>
        <r>
          <rPr>
            <b/>
            <sz val="9"/>
            <color indexed="81"/>
            <rFont val="Tahoma"/>
            <family val="2"/>
          </rPr>
          <t>Bouchard, Maxwell (BEIE):</t>
        </r>
        <r>
          <rPr>
            <sz val="9"/>
            <color indexed="81"/>
            <rFont val="Tahoma"/>
            <family val="2"/>
          </rPr>
          <t xml:space="preserve">
3 mai 2016
Anciennement nommé :
</t>
        </r>
        <r>
          <rPr>
            <b/>
            <sz val="9"/>
            <color indexed="81"/>
            <rFont val="Tahoma"/>
            <family val="2"/>
          </rPr>
          <t xml:space="preserve">Ministère de l'Enseignement supérieur, de la Recherche, de la Science et de la Technologie (MESRST)
</t>
        </r>
        <r>
          <rPr>
            <sz val="9"/>
            <color indexed="81"/>
            <rFont val="Tahoma"/>
            <family val="2"/>
          </rPr>
          <t xml:space="preserve">Ajourd'hui le </t>
        </r>
        <r>
          <rPr>
            <b/>
            <sz val="9"/>
            <color indexed="81"/>
            <rFont val="Tahoma"/>
            <family val="2"/>
          </rPr>
          <t>Ministère de l'Éducation, du Loisir et du Sport (MELS)</t>
        </r>
        <r>
          <rPr>
            <sz val="9"/>
            <color indexed="81"/>
            <rFont val="Tahoma"/>
            <family val="2"/>
          </rPr>
          <t xml:space="preserve"> y est intégré.</t>
        </r>
      </text>
    </comment>
  </commentList>
</comments>
</file>

<file path=xl/comments16.xml><?xml version="1.0" encoding="utf-8"?>
<comments xmlns="http://schemas.openxmlformats.org/spreadsheetml/2006/main">
  <authors>
    <author>Auteur</author>
  </authors>
  <commentList>
    <comment ref="A73" authorId="0" shapeId="0">
      <text>
        <r>
          <rPr>
            <b/>
            <sz val="9"/>
            <color indexed="81"/>
            <rFont val="Tahoma"/>
            <family val="2"/>
          </rPr>
          <t>Abibsi, Amazigh 17-05-2017
Cette colonne est un repère de navigation utile aux macros.</t>
        </r>
        <r>
          <rPr>
            <sz val="9"/>
            <color indexed="81"/>
            <rFont val="Tahoma"/>
            <family val="2"/>
          </rPr>
          <t xml:space="preserve">
</t>
        </r>
      </text>
    </comment>
    <comment ref="F73" authorId="0" shapeId="0">
      <text>
        <r>
          <rPr>
            <b/>
            <sz val="9"/>
            <color indexed="81"/>
            <rFont val="Tahoma"/>
            <family val="2"/>
          </rPr>
          <t xml:space="preserve">Abibsi, Amazigh 16-05-2017
Un code sera attribué pour désigner le statut (incluant les doubles statuts) + légende pour expliquer
</t>
        </r>
      </text>
    </comment>
    <comment ref="CY73" authorId="0" shapeId="0">
      <text>
        <r>
          <rPr>
            <b/>
            <sz val="14"/>
            <color indexed="81"/>
            <rFont val="Tahoma"/>
            <family val="2"/>
          </rPr>
          <t>Auteur:</t>
        </r>
        <r>
          <rPr>
            <sz val="14"/>
            <color indexed="81"/>
            <rFont val="Tahoma"/>
            <family val="2"/>
          </rPr>
          <t xml:space="preserve">
'Normalisation selon les degrés-jours de Montréal (PE Trudeau)</t>
        </r>
      </text>
    </comment>
    <comment ref="HD73" authorId="0" shapeId="0">
      <text>
        <r>
          <rPr>
            <b/>
            <sz val="8"/>
            <color indexed="81"/>
            <rFont val="Tahoma"/>
            <family val="2"/>
          </rPr>
          <t>Auteur:</t>
        </r>
        <r>
          <rPr>
            <sz val="8"/>
            <color indexed="81"/>
            <rFont val="Tahoma"/>
            <family val="2"/>
          </rPr>
          <t xml:space="preserve">
'Normalisation selon les degrés-jours de Montréal (PE Trudeau)</t>
        </r>
      </text>
    </comment>
  </commentList>
</comments>
</file>

<file path=xl/comments2.xml><?xml version="1.0" encoding="utf-8"?>
<comments xmlns="http://schemas.openxmlformats.org/spreadsheetml/2006/main">
  <authors>
    <author>kreca1</author>
    <author>Julien Dutel</author>
  </authors>
  <commentList>
    <comment ref="A21" authorId="0" shapeId="0">
      <text>
        <r>
          <rPr>
            <sz val="8"/>
            <color indexed="81"/>
            <rFont val="Tahoma"/>
            <family val="2"/>
          </rPr>
          <t xml:space="preserve">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r>
          <rPr>
            <sz val="8"/>
            <color indexed="81"/>
            <rFont val="Tahoma"/>
            <family val="2"/>
          </rPr>
          <t xml:space="preserve">
</t>
        </r>
      </text>
    </comment>
    <comment ref="B21" authorId="1" shapeId="0">
      <text>
        <r>
          <rPr>
            <b/>
            <sz val="8"/>
            <color indexed="81"/>
            <rFont val="Tahoma"/>
            <family val="2"/>
          </rPr>
          <t>Avertissement :</t>
        </r>
        <r>
          <rPr>
            <sz val="8"/>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C21" authorId="1" shapeId="0">
      <text>
        <r>
          <rPr>
            <b/>
            <sz val="8"/>
            <color indexed="81"/>
            <rFont val="Tahoma"/>
            <family val="2"/>
          </rPr>
          <t>Avertissement :</t>
        </r>
        <r>
          <rPr>
            <sz val="8"/>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D21" authorId="1" shapeId="0">
      <text>
        <r>
          <rPr>
            <b/>
            <sz val="8"/>
            <color indexed="81"/>
            <rFont val="Tahoma"/>
            <family val="2"/>
          </rPr>
          <t>Avertissement:</t>
        </r>
        <r>
          <rPr>
            <sz val="8"/>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E21" authorId="1" shapeId="0">
      <text>
        <r>
          <rPr>
            <b/>
            <sz val="8"/>
            <color indexed="81"/>
            <rFont val="Tahoma"/>
            <family val="2"/>
          </rPr>
          <t>Avertissement :</t>
        </r>
        <r>
          <rPr>
            <sz val="8"/>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F21" authorId="1" shapeId="0">
      <text>
        <r>
          <rPr>
            <b/>
            <sz val="8"/>
            <color indexed="81"/>
            <rFont val="Tahoma"/>
            <family val="2"/>
          </rPr>
          <t>Avertissement :</t>
        </r>
        <r>
          <rPr>
            <sz val="8"/>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G21" authorId="1" shapeId="0">
      <text>
        <r>
          <rPr>
            <b/>
            <sz val="8"/>
            <color indexed="81"/>
            <rFont val="Tahoma"/>
            <family val="2"/>
          </rPr>
          <t>Avertissement:</t>
        </r>
        <r>
          <rPr>
            <sz val="8"/>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H21" authorId="1" shapeId="0">
      <text>
        <r>
          <rPr>
            <b/>
            <sz val="8"/>
            <color indexed="81"/>
            <rFont val="Tahoma"/>
            <family val="2"/>
          </rPr>
          <t>Avertissement:</t>
        </r>
        <r>
          <rPr>
            <sz val="8"/>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I21" authorId="1" shapeId="0">
      <text>
        <r>
          <rPr>
            <b/>
            <sz val="8"/>
            <color indexed="81"/>
            <rFont val="Tahoma"/>
            <family val="2"/>
          </rPr>
          <t>Avertissement:</t>
        </r>
        <r>
          <rPr>
            <sz val="8"/>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J21" authorId="1" shapeId="0">
      <text>
        <r>
          <rPr>
            <b/>
            <sz val="8"/>
            <color indexed="81"/>
            <rFont val="Tahoma"/>
            <family val="2"/>
          </rPr>
          <t>Avertissement:</t>
        </r>
        <r>
          <rPr>
            <sz val="8"/>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K21" authorId="1"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L21" authorId="1"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M21" authorId="1" shapeId="0">
      <text>
        <r>
          <rPr>
            <b/>
            <sz val="8"/>
            <color indexed="81"/>
            <rFont val="Tahoma"/>
            <family val="2"/>
          </rPr>
          <t>Avertissement:</t>
        </r>
        <r>
          <rPr>
            <sz val="8"/>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N21" authorId="1" shapeId="0">
      <text>
        <r>
          <rPr>
            <b/>
            <sz val="8"/>
            <color indexed="81"/>
            <rFont val="Tahoma"/>
            <family val="2"/>
          </rPr>
          <t>Avertissement :</t>
        </r>
        <r>
          <rPr>
            <sz val="8"/>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O21" authorId="1" shapeId="0">
      <text>
        <r>
          <rPr>
            <b/>
            <sz val="8"/>
            <color indexed="81"/>
            <rFont val="Tahoma"/>
            <family val="2"/>
          </rPr>
          <t>Avertissement:</t>
        </r>
        <r>
          <rPr>
            <sz val="8"/>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P21" authorId="1" shapeId="0">
      <text>
        <r>
          <rPr>
            <b/>
            <sz val="8"/>
            <color indexed="81"/>
            <rFont val="Tahoma"/>
            <family val="2"/>
          </rPr>
          <t>Avertissement:</t>
        </r>
        <r>
          <rPr>
            <sz val="8"/>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Q21" authorId="1" shapeId="0">
      <text>
        <r>
          <rPr>
            <b/>
            <sz val="8"/>
            <color indexed="81"/>
            <rFont val="Tahoma"/>
            <family val="2"/>
          </rPr>
          <t>Avertissement:</t>
        </r>
        <r>
          <rPr>
            <sz val="8"/>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R21" authorId="1" shapeId="0">
      <text>
        <r>
          <rPr>
            <b/>
            <sz val="8"/>
            <color indexed="81"/>
            <rFont val="Tahoma"/>
            <family val="2"/>
          </rPr>
          <t>Avertissement:</t>
        </r>
        <r>
          <rPr>
            <sz val="8"/>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S21" authorId="1" shapeId="0">
      <text>
        <r>
          <rPr>
            <b/>
            <sz val="8"/>
            <color indexed="81"/>
            <rFont val="Tahoma"/>
            <family val="2"/>
          </rPr>
          <t>Avertissement:</t>
        </r>
        <r>
          <rPr>
            <sz val="8"/>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T21" authorId="1" shapeId="0">
      <text>
        <r>
          <rPr>
            <b/>
            <sz val="8"/>
            <color indexed="81"/>
            <rFont val="Tahoma"/>
            <family val="2"/>
          </rPr>
          <t>Avertissement:</t>
        </r>
        <r>
          <rPr>
            <sz val="8"/>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U21" authorId="1" shapeId="0">
      <text>
        <r>
          <rPr>
            <b/>
            <sz val="8"/>
            <color indexed="81"/>
            <rFont val="Tahoma"/>
            <family val="2"/>
          </rPr>
          <t>Avertissement:</t>
        </r>
        <r>
          <rPr>
            <sz val="8"/>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V21" authorId="1" shapeId="0">
      <text>
        <r>
          <rPr>
            <b/>
            <sz val="8"/>
            <color indexed="81"/>
            <rFont val="Tahoma"/>
            <family val="2"/>
          </rPr>
          <t>Avertissement:</t>
        </r>
        <r>
          <rPr>
            <sz val="8"/>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W21" authorId="1" shapeId="0">
      <text>
        <r>
          <rPr>
            <b/>
            <sz val="8"/>
            <color indexed="81"/>
            <rFont val="Tahoma"/>
            <family val="2"/>
          </rPr>
          <t>Avertissement:</t>
        </r>
        <r>
          <rPr>
            <sz val="8"/>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X21" authorId="1" shapeId="0">
      <text>
        <r>
          <rPr>
            <b/>
            <sz val="8"/>
            <color indexed="81"/>
            <rFont val="Tahoma"/>
            <family val="2"/>
          </rPr>
          <t>Avertissement:</t>
        </r>
        <r>
          <rPr>
            <sz val="8"/>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List>
</comments>
</file>

<file path=xl/comments3.xml><?xml version="1.0" encoding="utf-8"?>
<comments xmlns="http://schemas.openxmlformats.org/spreadsheetml/2006/main">
  <authors>
    <author>kreca1</author>
    <author>Julien Dutel</author>
  </authors>
  <commentList>
    <comment ref="B21" authorId="0" shapeId="0">
      <text>
        <r>
          <rPr>
            <sz val="10"/>
            <color indexed="81"/>
            <rFont val="Tahoma"/>
            <family val="2"/>
          </rPr>
          <t>Avertissement :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text>
    </comment>
    <comment ref="C21" authorId="1" shapeId="0">
      <text>
        <r>
          <rPr>
            <b/>
            <sz val="8"/>
            <color indexed="81"/>
            <rFont val="Tahoma"/>
            <family val="2"/>
          </rPr>
          <t>Avertissement :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text>
    </comment>
    <comment ref="D21" authorId="1" shapeId="0">
      <text>
        <r>
          <rPr>
            <b/>
            <sz val="8"/>
            <color indexed="81"/>
            <rFont val="Tahoma"/>
            <family val="2"/>
          </rPr>
          <t>Avertissement :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text>
    </comment>
    <comment ref="E21" authorId="1" shapeId="0">
      <text>
        <r>
          <rPr>
            <b/>
            <sz val="8"/>
            <color indexed="81"/>
            <rFont val="Tahoma"/>
            <family val="2"/>
          </rPr>
          <t>Avertissement :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text>
    </comment>
    <comment ref="F21" authorId="1" shapeId="0">
      <text>
        <r>
          <rPr>
            <b/>
            <sz val="8"/>
            <color indexed="81"/>
            <rFont val="Tahoma"/>
            <family val="2"/>
          </rPr>
          <t>Avertissement :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text>
    </comment>
    <comment ref="G21" authorId="1" shapeId="0">
      <text>
        <r>
          <rPr>
            <b/>
            <sz val="8"/>
            <color indexed="81"/>
            <rFont val="Tahoma"/>
            <family val="2"/>
          </rPr>
          <t>Avertissement :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text>
    </comment>
    <comment ref="H21" authorId="1" shapeId="0">
      <text>
        <r>
          <rPr>
            <b/>
            <sz val="8"/>
            <color indexed="81"/>
            <rFont val="Tahoma"/>
            <family val="2"/>
          </rPr>
          <t>Avertissement :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text>
    </comment>
    <comment ref="I21" authorId="1" shapeId="0">
      <text>
        <r>
          <rPr>
            <b/>
            <sz val="8"/>
            <color indexed="81"/>
            <rFont val="Tahoma"/>
            <family val="2"/>
          </rPr>
          <t>Avertissement :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text>
    </comment>
    <comment ref="J21" authorId="1" shapeId="0">
      <text>
        <r>
          <rPr>
            <b/>
            <sz val="8"/>
            <color indexed="81"/>
            <rFont val="Tahoma"/>
            <family val="2"/>
          </rPr>
          <t>Avertissement :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text>
    </comment>
    <comment ref="K21" authorId="1"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L21" authorId="1"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M21" authorId="1" shapeId="0">
      <text>
        <r>
          <rPr>
            <b/>
            <sz val="8"/>
            <color indexed="81"/>
            <rFont val="Tahoma"/>
            <family val="2"/>
          </rPr>
          <t>Avertissement :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text>
    </comment>
    <comment ref="N21" authorId="1" shapeId="0">
      <text>
        <r>
          <rPr>
            <b/>
            <sz val="8"/>
            <color indexed="81"/>
            <rFont val="Tahoma"/>
            <family val="2"/>
          </rPr>
          <t>Avertissement :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text>
    </comment>
    <comment ref="O21" authorId="1" shapeId="0">
      <text>
        <r>
          <rPr>
            <b/>
            <sz val="8"/>
            <color indexed="81"/>
            <rFont val="Tahoma"/>
            <family val="2"/>
          </rPr>
          <t>Avertissement :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text>
    </comment>
    <comment ref="P21" authorId="1" shapeId="0">
      <text>
        <r>
          <rPr>
            <b/>
            <sz val="8"/>
            <color indexed="81"/>
            <rFont val="Tahoma"/>
            <family val="2"/>
          </rPr>
          <t>Avertissement :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text>
    </comment>
    <comment ref="Q21" authorId="1" shapeId="0">
      <text>
        <r>
          <rPr>
            <b/>
            <sz val="8"/>
            <color indexed="81"/>
            <rFont val="Tahoma"/>
            <family val="2"/>
          </rPr>
          <t>Avertissement :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text>
    </comment>
    <comment ref="R21" authorId="1" shapeId="0">
      <text>
        <r>
          <rPr>
            <b/>
            <sz val="8"/>
            <color indexed="81"/>
            <rFont val="Tahoma"/>
            <family val="2"/>
          </rPr>
          <t>Avertissement :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text>
    </comment>
    <comment ref="S21" authorId="1" shapeId="0">
      <text>
        <r>
          <rPr>
            <b/>
            <sz val="8"/>
            <color indexed="81"/>
            <rFont val="Tahoma"/>
            <family val="2"/>
          </rPr>
          <t>Avertissement:</t>
        </r>
        <r>
          <rPr>
            <sz val="8"/>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T21" authorId="1" shapeId="0">
      <text>
        <r>
          <rPr>
            <b/>
            <sz val="8"/>
            <color indexed="81"/>
            <rFont val="Tahoma"/>
            <family val="2"/>
          </rPr>
          <t>Avertissement:</t>
        </r>
        <r>
          <rPr>
            <sz val="8"/>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U21" authorId="1" shapeId="0">
      <text>
        <r>
          <rPr>
            <b/>
            <sz val="8"/>
            <color indexed="81"/>
            <rFont val="Tahoma"/>
            <family val="2"/>
          </rPr>
          <t>Avertissement:</t>
        </r>
        <r>
          <rPr>
            <sz val="8"/>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V21" authorId="1" shapeId="0">
      <text>
        <r>
          <rPr>
            <b/>
            <sz val="8"/>
            <color indexed="81"/>
            <rFont val="Tahoma"/>
            <family val="2"/>
          </rPr>
          <t>Avertissement:</t>
        </r>
        <r>
          <rPr>
            <sz val="8"/>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W21" authorId="1" shapeId="0">
      <text>
        <r>
          <rPr>
            <b/>
            <sz val="8"/>
            <color indexed="81"/>
            <rFont val="Tahoma"/>
            <family val="2"/>
          </rPr>
          <t>Avertissement:</t>
        </r>
        <r>
          <rPr>
            <sz val="8"/>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X21" authorId="1" shapeId="0">
      <text>
        <r>
          <rPr>
            <b/>
            <sz val="8"/>
            <color indexed="81"/>
            <rFont val="Tahoma"/>
            <family val="2"/>
          </rPr>
          <t>Avertissement:</t>
        </r>
        <r>
          <rPr>
            <sz val="8"/>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AA21" authorId="1" shapeId="0">
      <text>
        <r>
          <rPr>
            <b/>
            <sz val="8"/>
            <color indexed="81"/>
            <rFont val="Tahoma"/>
            <family val="2"/>
          </rPr>
          <t xml:space="preserve">Avertissement :
</t>
        </r>
        <r>
          <rPr>
            <sz val="8"/>
            <color indexed="81"/>
            <rFont val="Tahoma"/>
            <family val="2"/>
          </rPr>
          <t xml:space="preserve">
Si cette case est rouge, vérifiez qu'il n'y ait pas d'erreur de saisie dans les consommations et les superficies.
Cette case devient rouge lorsque l'intensité énergétique annuelle dépasse les bornes suivantes :
- Commission scolaire : 0,14 GJ/m² à 1,42 GJ/m²
- Etablissements d'enseigenement supérieur - Cegep : 0,18 GJ/m² à 1,84 GJ/m²
- Etablissements d'enseignement supérieur - Université : 0,31 GJ/m² à 3,1 GJ/m²
- Édifices à bureaux : 0,22 GJ/m² à 2,21 GJ/m²
- Ministère de la Santé et des Services sociaux : 0,41 GJ/m² à 4,06 GJ/m²
- Autre : 0,3 GJ/m² à 2,97 GJ/m²
</t>
        </r>
      </text>
    </comment>
    <comment ref="I29" authorId="1" shapeId="0">
      <text>
        <r>
          <rPr>
            <b/>
            <sz val="8"/>
            <color indexed="81"/>
            <rFont val="Tahoma"/>
            <family val="2"/>
          </rPr>
          <t>Effet pour l'année complète :</t>
        </r>
        <r>
          <rPr>
            <sz val="8"/>
            <color indexed="81"/>
            <rFont val="Tahoma"/>
            <family val="2"/>
          </rPr>
          <t xml:space="preserve">
Représente l'effet énergétique du projet pour une année 
complète (indépendamment du mois d'implantation).</t>
        </r>
      </text>
    </comment>
    <comment ref="J29" authorId="1" shapeId="0">
      <text>
        <r>
          <rPr>
            <b/>
            <sz val="8"/>
            <color indexed="81"/>
            <rFont val="Tahoma"/>
            <family val="2"/>
          </rPr>
          <t>Effet pour l'année en cours :</t>
        </r>
        <r>
          <rPr>
            <sz val="8"/>
            <color indexed="81"/>
            <rFont val="Tahoma"/>
            <family val="2"/>
          </rPr>
          <t xml:space="preserve">
Représente l'effet énergétique du projet pour l'année en cours (selon le mois d'implantation).</t>
        </r>
      </text>
    </comment>
    <comment ref="E30" authorId="1" shapeId="0">
      <text>
        <r>
          <rPr>
            <b/>
            <sz val="8"/>
            <color indexed="81"/>
            <rFont val="Tahoma"/>
            <family val="2"/>
          </rPr>
          <t xml:space="preserve">AIDE:
</t>
        </r>
        <r>
          <rPr>
            <sz val="8"/>
            <color indexed="81"/>
            <rFont val="Tahoma"/>
            <family val="2"/>
          </rPr>
          <t>Effet énergétique qu'aura le projet annuel par rapport à l'année de référence. 
Par exemple, un projet d'ajout d'éclairage augmentera de 3 000 kWh la consommation électrique.</t>
        </r>
      </text>
    </comment>
  </commentList>
</comments>
</file>

<file path=xl/comments4.xml><?xml version="1.0" encoding="utf-8"?>
<comments xmlns="http://schemas.openxmlformats.org/spreadsheetml/2006/main">
  <authors>
    <author>Julien Dutel</author>
  </authors>
  <commentList>
    <comment ref="B21" authorId="0" shapeId="0">
      <text>
        <r>
          <rPr>
            <b/>
            <sz val="8"/>
            <color indexed="81"/>
            <rFont val="Tahoma"/>
            <family val="2"/>
          </rPr>
          <t>Avertissement :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text>
    </comment>
    <comment ref="C21" authorId="0" shapeId="0">
      <text>
        <r>
          <rPr>
            <b/>
            <sz val="8"/>
            <color indexed="81"/>
            <rFont val="Tahoma"/>
            <family val="2"/>
          </rPr>
          <t>Avertissement :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text>
    </comment>
    <comment ref="D21" authorId="0" shapeId="0">
      <text>
        <r>
          <rPr>
            <b/>
            <sz val="8"/>
            <color indexed="81"/>
            <rFont val="Tahoma"/>
            <family val="2"/>
          </rPr>
          <t>Avertissement :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text>
    </comment>
    <comment ref="E21" authorId="0" shapeId="0">
      <text>
        <r>
          <rPr>
            <b/>
            <sz val="8"/>
            <color indexed="81"/>
            <rFont val="Tahoma"/>
            <family val="2"/>
          </rPr>
          <t>Avertissement :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text>
    </comment>
    <comment ref="F21" authorId="0" shapeId="0">
      <text>
        <r>
          <rPr>
            <b/>
            <sz val="8"/>
            <color indexed="81"/>
            <rFont val="Tahoma"/>
            <family val="2"/>
          </rPr>
          <t>Avertissement :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text>
    </comment>
    <comment ref="G21" authorId="0" shapeId="0">
      <text>
        <r>
          <rPr>
            <b/>
            <sz val="8"/>
            <color indexed="81"/>
            <rFont val="Tahoma"/>
            <family val="2"/>
          </rPr>
          <t>Avertissement :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text>
    </comment>
    <comment ref="H21" authorId="0" shapeId="0">
      <text>
        <r>
          <rPr>
            <b/>
            <sz val="8"/>
            <color indexed="81"/>
            <rFont val="Tahoma"/>
            <family val="2"/>
          </rPr>
          <t>Avertissement :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text>
    </comment>
    <comment ref="I21" authorId="0" shapeId="0">
      <text>
        <r>
          <rPr>
            <b/>
            <sz val="8"/>
            <color indexed="81"/>
            <rFont val="Tahoma"/>
            <family val="2"/>
          </rPr>
          <t>Avertissement :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text>
    </comment>
    <comment ref="J21" authorId="0" shapeId="0">
      <text>
        <r>
          <rPr>
            <b/>
            <sz val="8"/>
            <color indexed="81"/>
            <rFont val="Tahoma"/>
            <family val="2"/>
          </rPr>
          <t>Avertissement :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text>
    </comment>
    <comment ref="K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L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M21" authorId="0" shapeId="0">
      <text>
        <r>
          <rPr>
            <b/>
            <sz val="8"/>
            <color indexed="81"/>
            <rFont val="Tahoma"/>
            <family val="2"/>
          </rPr>
          <t>Avertissement :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text>
    </comment>
    <comment ref="N21" authorId="0" shapeId="0">
      <text>
        <r>
          <rPr>
            <b/>
            <sz val="8"/>
            <color indexed="81"/>
            <rFont val="Tahoma"/>
            <family val="2"/>
          </rPr>
          <t>Avertissement :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text>
    </comment>
    <comment ref="O21" authorId="0" shapeId="0">
      <text>
        <r>
          <rPr>
            <b/>
            <sz val="8"/>
            <color indexed="81"/>
            <rFont val="Tahoma"/>
            <family val="2"/>
          </rPr>
          <t>Avertissement :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text>
    </comment>
    <comment ref="P21" authorId="0" shapeId="0">
      <text>
        <r>
          <rPr>
            <b/>
            <sz val="8"/>
            <color indexed="81"/>
            <rFont val="Tahoma"/>
            <family val="2"/>
          </rPr>
          <t>Avertissement :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text>
    </comment>
    <comment ref="Q21" authorId="0" shapeId="0">
      <text>
        <r>
          <rPr>
            <b/>
            <sz val="8"/>
            <color indexed="81"/>
            <rFont val="Tahoma"/>
            <family val="2"/>
          </rPr>
          <t>Avertissement :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text>
    </comment>
    <comment ref="R21" authorId="0" shapeId="0">
      <text>
        <r>
          <rPr>
            <b/>
            <sz val="8"/>
            <color indexed="81"/>
            <rFont val="Tahoma"/>
            <family val="2"/>
          </rPr>
          <t>Avertissement :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text>
    </comment>
    <comment ref="S21" authorId="0" shapeId="0">
      <text>
        <r>
          <rPr>
            <b/>
            <sz val="8"/>
            <color indexed="81"/>
            <rFont val="Tahoma"/>
            <family val="2"/>
          </rPr>
          <t>Avertissement:</t>
        </r>
        <r>
          <rPr>
            <sz val="8"/>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T21" authorId="0" shapeId="0">
      <text>
        <r>
          <rPr>
            <b/>
            <sz val="8"/>
            <color indexed="81"/>
            <rFont val="Tahoma"/>
            <family val="2"/>
          </rPr>
          <t>Avertissement:</t>
        </r>
        <r>
          <rPr>
            <sz val="8"/>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U21" authorId="0" shapeId="0">
      <text>
        <r>
          <rPr>
            <b/>
            <sz val="8"/>
            <color indexed="81"/>
            <rFont val="Tahoma"/>
            <family val="2"/>
          </rPr>
          <t>Avertissement:</t>
        </r>
        <r>
          <rPr>
            <sz val="8"/>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V21" authorId="0" shapeId="0">
      <text>
        <r>
          <rPr>
            <b/>
            <sz val="8"/>
            <color indexed="81"/>
            <rFont val="Tahoma"/>
            <family val="2"/>
          </rPr>
          <t>Avertissement:</t>
        </r>
        <r>
          <rPr>
            <sz val="8"/>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W21" authorId="0" shapeId="0">
      <text>
        <r>
          <rPr>
            <b/>
            <sz val="8"/>
            <color indexed="81"/>
            <rFont val="Tahoma"/>
            <family val="2"/>
          </rPr>
          <t>Avertissement:</t>
        </r>
        <r>
          <rPr>
            <sz val="8"/>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X21" authorId="0" shapeId="0">
      <text>
        <r>
          <rPr>
            <b/>
            <sz val="8"/>
            <color indexed="81"/>
            <rFont val="Tahoma"/>
            <family val="2"/>
          </rPr>
          <t>Avertissement:</t>
        </r>
        <r>
          <rPr>
            <sz val="8"/>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AA21" authorId="0" shapeId="0">
      <text>
        <r>
          <rPr>
            <b/>
            <sz val="8"/>
            <color indexed="81"/>
            <rFont val="Tahoma"/>
            <family val="2"/>
          </rPr>
          <t xml:space="preserve">Avertissement :
</t>
        </r>
        <r>
          <rPr>
            <sz val="8"/>
            <color indexed="81"/>
            <rFont val="Tahoma"/>
            <family val="2"/>
          </rPr>
          <t>Si cette case est rouge, vérifiez qu'il n'y ait pas d'erreur de saisie dans les consommations et les superficies.
Cette case devient rouge lorsque l'intensité énergétique annuelle dépasse les bornes suivantes :</t>
        </r>
        <r>
          <rPr>
            <sz val="8"/>
            <color indexed="81"/>
            <rFont val="Tahoma"/>
            <family val="2"/>
          </rPr>
          <t xml:space="preserve">
- Commission scolaire : 0,14 GJ/m² à 1,42 GJ/m²
- Etablissements d'enseigenement supérieur - Cegep : 0,18 GJ/m² à 1,84 GJ/m²
- Etablissements d'enseignement supérieur - Université : 0,31 GJ/m² à 3,1 GJ/m²
- Édifices à bureaux : 0,22 GJ/m² à 2,21 GJ/m²
- Ministère de la Santé et des Services sociaux : 0,41 GJ/m² à 4,06 GJ/m²
- Autre : 0,3 GJ/m² à 2,97 GJ/m²
</t>
        </r>
      </text>
    </comment>
    <comment ref="I29" authorId="0" shapeId="0">
      <text>
        <r>
          <rPr>
            <b/>
            <sz val="8"/>
            <color indexed="81"/>
            <rFont val="Tahoma"/>
            <family val="2"/>
          </rPr>
          <t>Effet pour l'année complète :</t>
        </r>
        <r>
          <rPr>
            <sz val="8"/>
            <color indexed="81"/>
            <rFont val="Tahoma"/>
            <family val="2"/>
          </rPr>
          <t xml:space="preserve">
Représente l'effet énergétique du projet pour une année 
complète (indépendamment du mois d'implantation).</t>
        </r>
      </text>
    </comment>
    <comment ref="J29" authorId="0" shapeId="0">
      <text>
        <r>
          <rPr>
            <b/>
            <sz val="8"/>
            <color indexed="81"/>
            <rFont val="Tahoma"/>
            <family val="2"/>
          </rPr>
          <t>Effet pour l'année en cours :</t>
        </r>
        <r>
          <rPr>
            <sz val="8"/>
            <color indexed="81"/>
            <rFont val="Tahoma"/>
            <family val="2"/>
          </rPr>
          <t xml:space="preserve">
Représente l'effet énergétique du projet pour l'année en cours (selon le mois d'implantation).</t>
        </r>
      </text>
    </comment>
    <comment ref="E30" authorId="0" shapeId="0">
      <text>
        <r>
          <rPr>
            <b/>
            <sz val="8"/>
            <color indexed="81"/>
            <rFont val="Tahoma"/>
            <family val="2"/>
          </rPr>
          <t xml:space="preserve">AIDE:
</t>
        </r>
        <r>
          <rPr>
            <sz val="8"/>
            <color indexed="81"/>
            <rFont val="Tahoma"/>
            <family val="2"/>
          </rPr>
          <t>Impact énergétique qu'aura le projet annuel par rapport à l'année de référence. Par exemple, un projet d'ajout d'éclairage augmentera de 3 000 kWh la consommation électrique.</t>
        </r>
      </text>
    </comment>
  </commentList>
</comments>
</file>

<file path=xl/comments5.xml><?xml version="1.0" encoding="utf-8"?>
<comments xmlns="http://schemas.openxmlformats.org/spreadsheetml/2006/main">
  <authors>
    <author>Julien Dutel</author>
  </authors>
  <commentList>
    <comment ref="B21" authorId="0" shapeId="0">
      <text>
        <r>
          <rPr>
            <b/>
            <sz val="8"/>
            <color indexed="81"/>
            <rFont val="Tahoma"/>
            <family val="2"/>
          </rPr>
          <t>Avertissement:</t>
        </r>
        <r>
          <rPr>
            <sz val="8"/>
            <color indexed="81"/>
            <rFont val="Tahoma"/>
            <family val="2"/>
          </rPr>
          <t xml:space="preserve">
Lorsque les données sont entrées mensuellement, la moyenne annuel est calculé automatiquement.
La donnée annuelle peut aussi être saisie manuellement dans cette case, mais cela viendra enlever la possibilité de compilation mensuelle, à moins de recopier la formule de moyenne pour les douze mois concernés.
 </t>
        </r>
      </text>
    </comment>
    <comment ref="C21" authorId="0" shapeId="0">
      <text>
        <r>
          <rPr>
            <b/>
            <sz val="8"/>
            <color indexed="81"/>
            <rFont val="Tahoma"/>
            <family val="2"/>
          </rPr>
          <t>Avertissement:</t>
        </r>
        <r>
          <rPr>
            <sz val="8"/>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D21" authorId="0" shapeId="0">
      <text>
        <r>
          <rPr>
            <b/>
            <sz val="8"/>
            <color indexed="81"/>
            <rFont val="Tahoma"/>
            <family val="2"/>
          </rPr>
          <t>Avertissement:</t>
        </r>
        <r>
          <rPr>
            <sz val="8"/>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E21" authorId="0" shapeId="0">
      <text>
        <r>
          <rPr>
            <b/>
            <sz val="8"/>
            <color indexed="81"/>
            <rFont val="Tahoma"/>
            <family val="2"/>
          </rPr>
          <t>Avertissement:</t>
        </r>
        <r>
          <rPr>
            <sz val="8"/>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F21" authorId="0" shapeId="0">
      <text>
        <r>
          <rPr>
            <b/>
            <sz val="8"/>
            <color indexed="81"/>
            <rFont val="Tahoma"/>
            <family val="2"/>
          </rPr>
          <t>Avertissement:</t>
        </r>
        <r>
          <rPr>
            <sz val="8"/>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G21" authorId="0" shapeId="0">
      <text>
        <r>
          <rPr>
            <b/>
            <sz val="8"/>
            <color indexed="81"/>
            <rFont val="Tahoma"/>
            <family val="2"/>
          </rPr>
          <t>Avertissement:</t>
        </r>
        <r>
          <rPr>
            <sz val="8"/>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H21" authorId="0" shapeId="0">
      <text>
        <r>
          <rPr>
            <b/>
            <sz val="8"/>
            <color indexed="81"/>
            <rFont val="Tahoma"/>
            <family val="2"/>
          </rPr>
          <t>Avertissement:</t>
        </r>
        <r>
          <rPr>
            <sz val="8"/>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I21" authorId="0" shapeId="0">
      <text>
        <r>
          <rPr>
            <b/>
            <sz val="8"/>
            <color indexed="81"/>
            <rFont val="Tahoma"/>
            <family val="2"/>
          </rPr>
          <t>Avertissement:</t>
        </r>
        <r>
          <rPr>
            <sz val="8"/>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J21" authorId="0" shapeId="0">
      <text>
        <r>
          <rPr>
            <b/>
            <sz val="8"/>
            <color indexed="81"/>
            <rFont val="Tahoma"/>
            <family val="2"/>
          </rPr>
          <t>Avertissement:</t>
        </r>
        <r>
          <rPr>
            <sz val="8"/>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K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L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M21" authorId="0" shapeId="0">
      <text>
        <r>
          <rPr>
            <b/>
            <sz val="8"/>
            <color indexed="81"/>
            <rFont val="Tahoma"/>
            <family val="2"/>
          </rPr>
          <t>Avertissement:</t>
        </r>
        <r>
          <rPr>
            <sz val="8"/>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N21" authorId="0" shapeId="0">
      <text>
        <r>
          <rPr>
            <b/>
            <sz val="8"/>
            <color indexed="81"/>
            <rFont val="Tahoma"/>
            <family val="2"/>
          </rPr>
          <t>Avertissement:</t>
        </r>
        <r>
          <rPr>
            <sz val="8"/>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O21" authorId="0" shapeId="0">
      <text>
        <r>
          <rPr>
            <b/>
            <sz val="8"/>
            <color indexed="81"/>
            <rFont val="Tahoma"/>
            <family val="2"/>
          </rPr>
          <t>Avertissement:</t>
        </r>
        <r>
          <rPr>
            <sz val="8"/>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P21" authorId="0" shapeId="0">
      <text>
        <r>
          <rPr>
            <b/>
            <sz val="8"/>
            <color indexed="81"/>
            <rFont val="Tahoma"/>
            <family val="2"/>
          </rPr>
          <t>Avertissement:</t>
        </r>
        <r>
          <rPr>
            <sz val="8"/>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Q21" authorId="0" shapeId="0">
      <text>
        <r>
          <rPr>
            <b/>
            <sz val="8"/>
            <color indexed="81"/>
            <rFont val="Tahoma"/>
            <family val="2"/>
          </rPr>
          <t>Avertissement:</t>
        </r>
        <r>
          <rPr>
            <sz val="8"/>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R21" authorId="0" shapeId="0">
      <text>
        <r>
          <rPr>
            <b/>
            <sz val="8"/>
            <color indexed="81"/>
            <rFont val="Tahoma"/>
            <family val="2"/>
          </rPr>
          <t>Avertissement:</t>
        </r>
        <r>
          <rPr>
            <sz val="8"/>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S21" authorId="0" shapeId="0">
      <text>
        <r>
          <rPr>
            <b/>
            <sz val="8"/>
            <color indexed="81"/>
            <rFont val="Tahoma"/>
            <family val="2"/>
          </rPr>
          <t>Avertissement:</t>
        </r>
        <r>
          <rPr>
            <sz val="8"/>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T21" authorId="0" shapeId="0">
      <text>
        <r>
          <rPr>
            <b/>
            <sz val="8"/>
            <color indexed="81"/>
            <rFont val="Tahoma"/>
            <family val="2"/>
          </rPr>
          <t>Avertissement:</t>
        </r>
        <r>
          <rPr>
            <sz val="8"/>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U21" authorId="0" shapeId="0">
      <text>
        <r>
          <rPr>
            <b/>
            <sz val="8"/>
            <color indexed="81"/>
            <rFont val="Tahoma"/>
            <family val="2"/>
          </rPr>
          <t>Avertissement:</t>
        </r>
        <r>
          <rPr>
            <sz val="8"/>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V21" authorId="0" shapeId="0">
      <text>
        <r>
          <rPr>
            <b/>
            <sz val="8"/>
            <color indexed="81"/>
            <rFont val="Tahoma"/>
            <family val="2"/>
          </rPr>
          <t>Avertissement:</t>
        </r>
        <r>
          <rPr>
            <sz val="8"/>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W21" authorId="0" shapeId="0">
      <text>
        <r>
          <rPr>
            <b/>
            <sz val="8"/>
            <color indexed="81"/>
            <rFont val="Tahoma"/>
            <family val="2"/>
          </rPr>
          <t>Avertissement:</t>
        </r>
        <r>
          <rPr>
            <sz val="8"/>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X21" authorId="0" shapeId="0">
      <text>
        <r>
          <rPr>
            <b/>
            <sz val="8"/>
            <color indexed="81"/>
            <rFont val="Tahoma"/>
            <family val="2"/>
          </rPr>
          <t>Avertissement:</t>
        </r>
        <r>
          <rPr>
            <sz val="8"/>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AA21" authorId="0" shapeId="0">
      <text>
        <r>
          <rPr>
            <b/>
            <sz val="8"/>
            <color indexed="81"/>
            <rFont val="Tahoma"/>
            <family val="2"/>
          </rPr>
          <t xml:space="preserve">Avertissement :
</t>
        </r>
        <r>
          <rPr>
            <sz val="8"/>
            <color indexed="81"/>
            <rFont val="Tahoma"/>
            <family val="2"/>
          </rPr>
          <t>Si cette case est rouge, vérifier qu'il n'y ai pas d'erreur de saisie sur les consommations et les superficies.
En effet cette case devient rouge lorsque l'intensité énergétique annuelle dépasse les bornes suivantes :</t>
        </r>
        <r>
          <rPr>
            <sz val="8"/>
            <color indexed="81"/>
            <rFont val="Tahoma"/>
            <family val="2"/>
          </rPr>
          <t xml:space="preserve">
- Commission scolaire  : 0,14 GJ/m² à 1,42 GJ/m²
- Etablissements d'enseigenement supérieur - Cegep: 0,18 GJ/m² à 1,84 GJ/m²
- Etablissements d'enseigenement supérieur - Université: 0,31 GJ/m² à 3,1 GJ/m²
- Édifices à bureaux: 0,22 GJ/m² à 2,21 GJ/m²
- Ministère de la Santé et des Services sociaux: 0,41 GJ/m² à 4,06 GJ/m²
- Autre: 0,3 GJ/m² à 2,97 GJ/m²
</t>
        </r>
      </text>
    </comment>
    <comment ref="I29" authorId="0" shapeId="0">
      <text>
        <r>
          <rPr>
            <b/>
            <sz val="8"/>
            <color indexed="81"/>
            <rFont val="Tahoma"/>
            <family val="2"/>
          </rPr>
          <t>GJ annuel:</t>
        </r>
        <r>
          <rPr>
            <sz val="8"/>
            <color indexed="81"/>
            <rFont val="Tahoma"/>
            <family val="2"/>
          </rPr>
          <t xml:space="preserve">
Représente l'impact énergétique pour une année 
complète (indépendamment du mois d'implantation).
</t>
        </r>
      </text>
    </comment>
    <comment ref="J29" authorId="0" shapeId="0">
      <text>
        <r>
          <rPr>
            <b/>
            <sz val="8"/>
            <color indexed="81"/>
            <rFont val="Tahoma"/>
            <family val="2"/>
          </rPr>
          <t>GJ année en cours:</t>
        </r>
        <r>
          <rPr>
            <sz val="8"/>
            <color indexed="81"/>
            <rFont val="Tahoma"/>
            <family val="2"/>
          </rPr>
          <t xml:space="preserve">
Représente l'impact énergétique pour l'année en cours (dépendant du mois d'implantation)</t>
        </r>
      </text>
    </comment>
  </commentList>
</comments>
</file>

<file path=xl/comments6.xml><?xml version="1.0" encoding="utf-8"?>
<comments xmlns="http://schemas.openxmlformats.org/spreadsheetml/2006/main">
  <authors>
    <author>Julien Dutel</author>
  </authors>
  <commentList>
    <comment ref="B21" authorId="0" shapeId="0">
      <text>
        <r>
          <rPr>
            <b/>
            <sz val="8"/>
            <color indexed="81"/>
            <rFont val="Tahoma"/>
            <family val="2"/>
          </rPr>
          <t>Avertissement:</t>
        </r>
        <r>
          <rPr>
            <sz val="8"/>
            <color indexed="81"/>
            <rFont val="Tahoma"/>
            <family val="2"/>
          </rPr>
          <t xml:space="preserve">
Lorsque les données sont entrées mensuellement, la moyenne annuel est calculé automatiquement.
La donnée annuelle peut aussi être saisie manuellement dans cette case, mais cela viendra enlever la possibilité de compilation mensuelle, à moins de recopier la formule de moyenne pour les douze mois concernés.
 </t>
        </r>
      </text>
    </comment>
    <comment ref="C21" authorId="0" shapeId="0">
      <text>
        <r>
          <rPr>
            <b/>
            <sz val="8"/>
            <color indexed="81"/>
            <rFont val="Tahoma"/>
            <family val="2"/>
          </rPr>
          <t>Avertissement:</t>
        </r>
        <r>
          <rPr>
            <sz val="8"/>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D21" authorId="0" shapeId="0">
      <text>
        <r>
          <rPr>
            <b/>
            <sz val="8"/>
            <color indexed="81"/>
            <rFont val="Tahoma"/>
            <family val="2"/>
          </rPr>
          <t>Avertissement:</t>
        </r>
        <r>
          <rPr>
            <sz val="8"/>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E21" authorId="0" shapeId="0">
      <text>
        <r>
          <rPr>
            <b/>
            <sz val="8"/>
            <color indexed="81"/>
            <rFont val="Tahoma"/>
            <family val="2"/>
          </rPr>
          <t>Avertissement:</t>
        </r>
        <r>
          <rPr>
            <sz val="8"/>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F21" authorId="0" shapeId="0">
      <text>
        <r>
          <rPr>
            <b/>
            <sz val="8"/>
            <color indexed="81"/>
            <rFont val="Tahoma"/>
            <family val="2"/>
          </rPr>
          <t>Avertissement:</t>
        </r>
        <r>
          <rPr>
            <sz val="8"/>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G21" authorId="0" shapeId="0">
      <text>
        <r>
          <rPr>
            <b/>
            <sz val="8"/>
            <color indexed="81"/>
            <rFont val="Tahoma"/>
            <family val="2"/>
          </rPr>
          <t>Avertissement:</t>
        </r>
        <r>
          <rPr>
            <sz val="8"/>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H21" authorId="0" shapeId="0">
      <text>
        <r>
          <rPr>
            <b/>
            <sz val="8"/>
            <color indexed="81"/>
            <rFont val="Tahoma"/>
            <family val="2"/>
          </rPr>
          <t>Avertissement:</t>
        </r>
        <r>
          <rPr>
            <sz val="8"/>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I21" authorId="0" shapeId="0">
      <text>
        <r>
          <rPr>
            <b/>
            <sz val="8"/>
            <color indexed="81"/>
            <rFont val="Tahoma"/>
            <family val="2"/>
          </rPr>
          <t>Avertissement:</t>
        </r>
        <r>
          <rPr>
            <sz val="8"/>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J21" authorId="0" shapeId="0">
      <text>
        <r>
          <rPr>
            <b/>
            <sz val="8"/>
            <color indexed="81"/>
            <rFont val="Tahoma"/>
            <family val="2"/>
          </rPr>
          <t>Avertissement:</t>
        </r>
        <r>
          <rPr>
            <sz val="8"/>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K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L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M21" authorId="0" shapeId="0">
      <text>
        <r>
          <rPr>
            <b/>
            <sz val="8"/>
            <color indexed="81"/>
            <rFont val="Tahoma"/>
            <family val="2"/>
          </rPr>
          <t>Avertissement:</t>
        </r>
        <r>
          <rPr>
            <sz val="8"/>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N21" authorId="0" shapeId="0">
      <text>
        <r>
          <rPr>
            <b/>
            <sz val="8"/>
            <color indexed="81"/>
            <rFont val="Tahoma"/>
            <family val="2"/>
          </rPr>
          <t>Avertissement:</t>
        </r>
        <r>
          <rPr>
            <sz val="8"/>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O21" authorId="0" shapeId="0">
      <text>
        <r>
          <rPr>
            <b/>
            <sz val="8"/>
            <color indexed="81"/>
            <rFont val="Tahoma"/>
            <family val="2"/>
          </rPr>
          <t>Avertissement:</t>
        </r>
        <r>
          <rPr>
            <sz val="8"/>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P21" authorId="0" shapeId="0">
      <text>
        <r>
          <rPr>
            <b/>
            <sz val="8"/>
            <color indexed="81"/>
            <rFont val="Tahoma"/>
            <family val="2"/>
          </rPr>
          <t>Avertissement:</t>
        </r>
        <r>
          <rPr>
            <sz val="8"/>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Q21" authorId="0" shapeId="0">
      <text>
        <r>
          <rPr>
            <b/>
            <sz val="8"/>
            <color indexed="81"/>
            <rFont val="Tahoma"/>
            <family val="2"/>
          </rPr>
          <t>Avertissement:</t>
        </r>
        <r>
          <rPr>
            <sz val="8"/>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R21" authorId="0" shapeId="0">
      <text>
        <r>
          <rPr>
            <b/>
            <sz val="8"/>
            <color indexed="81"/>
            <rFont val="Tahoma"/>
            <family val="2"/>
          </rPr>
          <t>Avertissement:</t>
        </r>
        <r>
          <rPr>
            <sz val="8"/>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S21" authorId="0" shapeId="0">
      <text>
        <r>
          <rPr>
            <b/>
            <sz val="8"/>
            <color indexed="81"/>
            <rFont val="Tahoma"/>
            <family val="2"/>
          </rPr>
          <t>Avertissement:</t>
        </r>
        <r>
          <rPr>
            <sz val="8"/>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T21" authorId="0" shapeId="0">
      <text>
        <r>
          <rPr>
            <b/>
            <sz val="8"/>
            <color indexed="81"/>
            <rFont val="Tahoma"/>
            <family val="2"/>
          </rPr>
          <t>Avertissement:</t>
        </r>
        <r>
          <rPr>
            <sz val="8"/>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U21" authorId="0" shapeId="0">
      <text>
        <r>
          <rPr>
            <b/>
            <sz val="8"/>
            <color indexed="81"/>
            <rFont val="Tahoma"/>
            <family val="2"/>
          </rPr>
          <t>Avertissement:</t>
        </r>
        <r>
          <rPr>
            <sz val="8"/>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V21" authorId="0" shapeId="0">
      <text>
        <r>
          <rPr>
            <b/>
            <sz val="8"/>
            <color indexed="81"/>
            <rFont val="Tahoma"/>
            <family val="2"/>
          </rPr>
          <t>Avertissement:</t>
        </r>
        <r>
          <rPr>
            <sz val="8"/>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W21" authorId="0" shapeId="0">
      <text>
        <r>
          <rPr>
            <b/>
            <sz val="8"/>
            <color indexed="81"/>
            <rFont val="Tahoma"/>
            <family val="2"/>
          </rPr>
          <t>Avertissement:</t>
        </r>
        <r>
          <rPr>
            <sz val="8"/>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X21" authorId="0" shapeId="0">
      <text>
        <r>
          <rPr>
            <b/>
            <sz val="8"/>
            <color indexed="81"/>
            <rFont val="Tahoma"/>
            <family val="2"/>
          </rPr>
          <t>Avertissement:</t>
        </r>
        <r>
          <rPr>
            <sz val="8"/>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AA21" authorId="0" shapeId="0">
      <text>
        <r>
          <rPr>
            <b/>
            <sz val="8"/>
            <color indexed="81"/>
            <rFont val="Tahoma"/>
            <family val="2"/>
          </rPr>
          <t xml:space="preserve">Avertissement :
</t>
        </r>
        <r>
          <rPr>
            <sz val="8"/>
            <color indexed="81"/>
            <rFont val="Tahoma"/>
            <family val="2"/>
          </rPr>
          <t>Si cette case est rouge, vérifier qu'il n'y ai pas d'erreur de saisie sur les consommations et les superficies.
En effet cette case devient rouge lorsque l'intensité énergétique annuelle dépasse les bornes suivantes :</t>
        </r>
        <r>
          <rPr>
            <sz val="8"/>
            <color indexed="81"/>
            <rFont val="Tahoma"/>
            <family val="2"/>
          </rPr>
          <t xml:space="preserve">
- Commission scolaire  : 0,14 GJ/m² à 1,42 GJ/m²
- Etablissements d'enseigenement supérieur - Cegep: 0,18 GJ/m² à 1,84 GJ/m²
- Etablissements d'enseigenement supérieur - Université: 0,31 GJ/m² à 3,1 GJ/m²
- Édifices à bureaux: 0,22 GJ/m² à 2,21 GJ/m²
- Ministère de la Santé et des Services sociaux: 0,41 GJ/m² à 4,06 GJ/m²
- Autre: 0,3 GJ/m² à 2,97 GJ/m²
</t>
        </r>
      </text>
    </comment>
    <comment ref="I29" authorId="0" shapeId="0">
      <text>
        <r>
          <rPr>
            <b/>
            <sz val="8"/>
            <color indexed="81"/>
            <rFont val="Tahoma"/>
            <family val="2"/>
          </rPr>
          <t>GJ annuel:</t>
        </r>
        <r>
          <rPr>
            <sz val="8"/>
            <color indexed="81"/>
            <rFont val="Tahoma"/>
            <family val="2"/>
          </rPr>
          <t xml:space="preserve">
Représente l'impact énergétique pour une année 
complète (indépendamment du mois d'implantation).
</t>
        </r>
      </text>
    </comment>
    <comment ref="J29" authorId="0" shapeId="0">
      <text>
        <r>
          <rPr>
            <b/>
            <sz val="8"/>
            <color indexed="81"/>
            <rFont val="Tahoma"/>
            <family val="2"/>
          </rPr>
          <t>GJ année en cours:</t>
        </r>
        <r>
          <rPr>
            <sz val="8"/>
            <color indexed="81"/>
            <rFont val="Tahoma"/>
            <family val="2"/>
          </rPr>
          <t xml:space="preserve">
Représente l'impact énergétique pour l'année en cours (dépendant du mois d'implantation)</t>
        </r>
      </text>
    </comment>
  </commentList>
</comments>
</file>

<file path=xl/comments7.xml><?xml version="1.0" encoding="utf-8"?>
<comments xmlns="http://schemas.openxmlformats.org/spreadsheetml/2006/main">
  <authors>
    <author>Julien Dutel</author>
  </authors>
  <commentList>
    <comment ref="B21" authorId="0" shapeId="0">
      <text>
        <r>
          <rPr>
            <b/>
            <sz val="10"/>
            <color indexed="81"/>
            <rFont val="Tahoma"/>
            <family val="2"/>
          </rPr>
          <t>Avertissement:</t>
        </r>
        <r>
          <rPr>
            <sz val="10"/>
            <color indexed="81"/>
            <rFont val="Tahoma"/>
            <family val="2"/>
          </rPr>
          <t xml:space="preserve">
Lorsque les données sont entrées mensuellement, la moyenne annuel est calculé automatiquement.
La donnée annuelle peut aussi être saisie manuellement dans cette case, mais cela viendra enlever la possibilité de compilation mensuelle, à moins de recopier la formule de moyenne pour les douze mois concernés.
 </t>
        </r>
      </text>
    </comment>
    <comment ref="C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D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E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F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G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H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I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J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K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L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M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N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O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P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Q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R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S21" authorId="0" shapeId="0">
      <text>
        <r>
          <rPr>
            <b/>
            <sz val="10"/>
            <color indexed="81"/>
            <rFont val="Tahoma"/>
            <family val="2"/>
          </rPr>
          <t>Avertissement:</t>
        </r>
        <r>
          <rPr>
            <sz val="10"/>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r>
          <rPr>
            <sz val="8"/>
            <color indexed="81"/>
            <rFont val="Tahoma"/>
            <family val="2"/>
          </rPr>
          <t xml:space="preserve">
 </t>
        </r>
      </text>
    </comment>
    <comment ref="T21" authorId="0" shapeId="0">
      <text>
        <r>
          <rPr>
            <b/>
            <sz val="10"/>
            <color indexed="81"/>
            <rFont val="Tahoma"/>
            <family val="2"/>
          </rPr>
          <t>Avertissement:</t>
        </r>
        <r>
          <rPr>
            <sz val="10"/>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U21" authorId="0" shapeId="0">
      <text>
        <r>
          <rPr>
            <b/>
            <sz val="10"/>
            <color indexed="81"/>
            <rFont val="Tahoma"/>
            <family val="2"/>
          </rPr>
          <t>Avertissement:</t>
        </r>
        <r>
          <rPr>
            <sz val="10"/>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r>
          <rPr>
            <sz val="8"/>
            <color indexed="81"/>
            <rFont val="Tahoma"/>
            <family val="2"/>
          </rPr>
          <t xml:space="preserve">
 </t>
        </r>
      </text>
    </comment>
    <comment ref="V21" authorId="0" shapeId="0">
      <text>
        <r>
          <rPr>
            <b/>
            <sz val="10"/>
            <color indexed="81"/>
            <rFont val="Tahoma"/>
            <family val="2"/>
          </rPr>
          <t>Avertissement:</t>
        </r>
        <r>
          <rPr>
            <sz val="10"/>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r>
          <rPr>
            <sz val="8"/>
            <color indexed="81"/>
            <rFont val="Tahoma"/>
            <family val="2"/>
          </rPr>
          <t xml:space="preserve">
 </t>
        </r>
      </text>
    </comment>
    <comment ref="W21" authorId="0" shapeId="0">
      <text>
        <r>
          <rPr>
            <b/>
            <sz val="10"/>
            <color indexed="81"/>
            <rFont val="Tahoma"/>
            <family val="2"/>
          </rPr>
          <t>Avertissement:</t>
        </r>
        <r>
          <rPr>
            <sz val="10"/>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r>
          <rPr>
            <sz val="8"/>
            <color indexed="81"/>
            <rFont val="Tahoma"/>
            <family val="2"/>
          </rPr>
          <t xml:space="preserve">
 </t>
        </r>
      </text>
    </comment>
    <comment ref="X21" authorId="0" shapeId="0">
      <text>
        <r>
          <rPr>
            <b/>
            <sz val="10"/>
            <color indexed="81"/>
            <rFont val="Tahoma"/>
            <family val="2"/>
          </rPr>
          <t>Avertissement:</t>
        </r>
        <r>
          <rPr>
            <sz val="10"/>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AA21" authorId="0" shapeId="0">
      <text>
        <r>
          <rPr>
            <b/>
            <sz val="10"/>
            <color indexed="81"/>
            <rFont val="Tahoma"/>
            <family val="2"/>
          </rPr>
          <t xml:space="preserve">Avertissement :
</t>
        </r>
        <r>
          <rPr>
            <sz val="10"/>
            <color indexed="81"/>
            <rFont val="Tahoma"/>
            <family val="2"/>
          </rPr>
          <t xml:space="preserve">Si cette case est rouge, vérifier qu'il n'y ai pas d'erreur de saisie sur les consommations et les superficies.
En effet cette case devient rouge lorsque l'intensité énergétique annuelle dépasse les bornes suivantes :
- Commission scolaire  : 0,14 GJ/m² à 1,42 GJ/m²
- Etablissements d'enseigenement supérieur - Cegep: 0,18 GJ/m² à 1,84 GJ/m²
- Etablissements d'enseigenement supérieur - Université: 0,31 GJ/m² à 3,1 GJ/m²
- Édifices à bureaux: 0,22 GJ/m² à 2,21 GJ/m²
- Ministère de la Santé et des Services sociaux: 0,41 GJ/m² à 4,06 GJ/m²
- Autre: 0,3 GJ/m² à 2,97 GJ/m²
</t>
        </r>
      </text>
    </comment>
    <comment ref="I37" authorId="0" shapeId="0">
      <text>
        <r>
          <rPr>
            <b/>
            <sz val="8"/>
            <color indexed="81"/>
            <rFont val="Tahoma"/>
            <family val="2"/>
          </rPr>
          <t>GJ annuel:</t>
        </r>
        <r>
          <rPr>
            <sz val="8"/>
            <color indexed="81"/>
            <rFont val="Tahoma"/>
            <family val="2"/>
          </rPr>
          <t xml:space="preserve">
Représente l'impact énergétique pour une année 
complète (indépendamment du mois d'implantation).
</t>
        </r>
      </text>
    </comment>
    <comment ref="J37" authorId="0" shapeId="0">
      <text>
        <r>
          <rPr>
            <b/>
            <sz val="8"/>
            <color indexed="81"/>
            <rFont val="Tahoma"/>
            <family val="2"/>
          </rPr>
          <t>GJ année en cours:</t>
        </r>
        <r>
          <rPr>
            <sz val="8"/>
            <color indexed="81"/>
            <rFont val="Tahoma"/>
            <family val="2"/>
          </rPr>
          <t xml:space="preserve">
Représente l'impact énergétique pour l'année en cours (dépendant du mois d'implantation)</t>
        </r>
      </text>
    </comment>
    <comment ref="E38" authorId="0" shapeId="0">
      <text>
        <r>
          <rPr>
            <b/>
            <sz val="8"/>
            <color indexed="81"/>
            <rFont val="Tahoma"/>
            <family val="2"/>
          </rPr>
          <t xml:space="preserve">AIDE:
</t>
        </r>
        <r>
          <rPr>
            <sz val="8"/>
            <color indexed="81"/>
            <rFont val="Tahoma"/>
            <family val="2"/>
          </rPr>
          <t>Impact énergétique qu'aura le projet annuel par rapport à l'année de référence. Par exemple, un projet d'ajout d'éclairge diminera de 3 000 kWh la consommation électrique.</t>
        </r>
      </text>
    </comment>
  </commentList>
</comments>
</file>

<file path=xl/comments8.xml><?xml version="1.0" encoding="utf-8"?>
<comments xmlns="http://schemas.openxmlformats.org/spreadsheetml/2006/main">
  <authors>
    <author>Julien Dutel</author>
  </authors>
  <commentList>
    <comment ref="B21" authorId="0" shapeId="0">
      <text>
        <r>
          <rPr>
            <b/>
            <sz val="10"/>
            <color indexed="81"/>
            <rFont val="Tahoma"/>
            <family val="2"/>
          </rPr>
          <t>Avertissement:</t>
        </r>
        <r>
          <rPr>
            <sz val="10"/>
            <color indexed="81"/>
            <rFont val="Tahoma"/>
            <family val="2"/>
          </rPr>
          <t xml:space="preserve">
Lorsque les données sont entrées mensuellement, la moyenne annuel est calculé automatiquement.
La donnée annuelle peut aussi être saisie manuellement dans cette case, mais cela viendra enlever la possibilité de compilation mensuelle, à moins de recopier la formule de moyenne pour les douze mois concernés.
 </t>
        </r>
      </text>
    </comment>
    <comment ref="C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D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E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F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G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H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I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J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K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L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M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N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O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P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Q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R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S21" authorId="0" shapeId="0">
      <text>
        <r>
          <rPr>
            <b/>
            <sz val="10"/>
            <color indexed="81"/>
            <rFont val="Tahoma"/>
            <family val="2"/>
          </rPr>
          <t>Avertissement:</t>
        </r>
        <r>
          <rPr>
            <sz val="10"/>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r>
          <rPr>
            <sz val="8"/>
            <color indexed="81"/>
            <rFont val="Tahoma"/>
            <family val="2"/>
          </rPr>
          <t xml:space="preserve">
 </t>
        </r>
      </text>
    </comment>
    <comment ref="T21" authorId="0" shapeId="0">
      <text>
        <r>
          <rPr>
            <b/>
            <sz val="10"/>
            <color indexed="81"/>
            <rFont val="Tahoma"/>
            <family val="2"/>
          </rPr>
          <t>Avertissement:</t>
        </r>
        <r>
          <rPr>
            <sz val="10"/>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U21" authorId="0" shapeId="0">
      <text>
        <r>
          <rPr>
            <b/>
            <sz val="10"/>
            <color indexed="81"/>
            <rFont val="Tahoma"/>
            <family val="2"/>
          </rPr>
          <t>Avertissement:</t>
        </r>
        <r>
          <rPr>
            <sz val="10"/>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r>
          <rPr>
            <sz val="8"/>
            <color indexed="81"/>
            <rFont val="Tahoma"/>
            <family val="2"/>
          </rPr>
          <t xml:space="preserve">
 </t>
        </r>
      </text>
    </comment>
    <comment ref="V21" authorId="0" shapeId="0">
      <text>
        <r>
          <rPr>
            <b/>
            <sz val="10"/>
            <color indexed="81"/>
            <rFont val="Tahoma"/>
            <family val="2"/>
          </rPr>
          <t>Avertissement:</t>
        </r>
        <r>
          <rPr>
            <sz val="10"/>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r>
          <rPr>
            <sz val="8"/>
            <color indexed="81"/>
            <rFont val="Tahoma"/>
            <family val="2"/>
          </rPr>
          <t xml:space="preserve">
 </t>
        </r>
      </text>
    </comment>
    <comment ref="W21" authorId="0" shapeId="0">
      <text>
        <r>
          <rPr>
            <b/>
            <sz val="10"/>
            <color indexed="81"/>
            <rFont val="Tahoma"/>
            <family val="2"/>
          </rPr>
          <t>Avertissement:</t>
        </r>
        <r>
          <rPr>
            <sz val="10"/>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r>
          <rPr>
            <sz val="8"/>
            <color indexed="81"/>
            <rFont val="Tahoma"/>
            <family val="2"/>
          </rPr>
          <t xml:space="preserve">
 </t>
        </r>
      </text>
    </comment>
    <comment ref="X21" authorId="0" shapeId="0">
      <text>
        <r>
          <rPr>
            <b/>
            <sz val="10"/>
            <color indexed="81"/>
            <rFont val="Tahoma"/>
            <family val="2"/>
          </rPr>
          <t>Avertissement:</t>
        </r>
        <r>
          <rPr>
            <sz val="10"/>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AA21" authorId="0" shapeId="0">
      <text>
        <r>
          <rPr>
            <b/>
            <sz val="10"/>
            <color indexed="81"/>
            <rFont val="Tahoma"/>
            <family val="2"/>
          </rPr>
          <t xml:space="preserve">Avertissement :
</t>
        </r>
        <r>
          <rPr>
            <sz val="10"/>
            <color indexed="81"/>
            <rFont val="Tahoma"/>
            <family val="2"/>
          </rPr>
          <t xml:space="preserve">Si cette case est rouge, vérifier qu'il n'y ai pas d'erreur de saisie sur les consommations et les superficies.
En effet cette case devient rouge lorsque l'intensité énergétique annuelle dépasse les bornes suivantes :
- Commission scolaire  : 0,14 GJ/m² à 1,42 GJ/m²
- Etablissements d'enseigenement supérieur - Cegep: 0,18 GJ/m² à 1,84 GJ/m²
- Etablissements d'enseigenement supérieur - Université: 0,31 GJ/m² à 3,1 GJ/m²
- Édifices à bureaux: 0,22 GJ/m² à 2,21 GJ/m²
- Ministère de la Santé et des Services sociaux: 0,41 GJ/m² à 4,06 GJ/m²
- Autre: 0,3 GJ/m² à 2,97 GJ/m²
</t>
        </r>
      </text>
    </comment>
    <comment ref="I37" authorId="0" shapeId="0">
      <text>
        <r>
          <rPr>
            <b/>
            <sz val="8"/>
            <color indexed="81"/>
            <rFont val="Tahoma"/>
            <family val="2"/>
          </rPr>
          <t>GJ annuel:</t>
        </r>
        <r>
          <rPr>
            <sz val="8"/>
            <color indexed="81"/>
            <rFont val="Tahoma"/>
            <family val="2"/>
          </rPr>
          <t xml:space="preserve">
Représente l'impact énergétique pour une année 
complète (indépendamment du mois d'implantation).
</t>
        </r>
      </text>
    </comment>
    <comment ref="J37" authorId="0" shapeId="0">
      <text>
        <r>
          <rPr>
            <b/>
            <sz val="8"/>
            <color indexed="81"/>
            <rFont val="Tahoma"/>
            <family val="2"/>
          </rPr>
          <t>GJ année en cours:</t>
        </r>
        <r>
          <rPr>
            <sz val="8"/>
            <color indexed="81"/>
            <rFont val="Tahoma"/>
            <family val="2"/>
          </rPr>
          <t xml:space="preserve">
Représente l'impact énergétique pour l'année en cours (dépendant du mois d'implantation)</t>
        </r>
      </text>
    </comment>
    <comment ref="E38" authorId="0" shapeId="0">
      <text>
        <r>
          <rPr>
            <b/>
            <sz val="8"/>
            <color indexed="81"/>
            <rFont val="Tahoma"/>
            <family val="2"/>
          </rPr>
          <t xml:space="preserve">AIDE:
</t>
        </r>
        <r>
          <rPr>
            <sz val="8"/>
            <color indexed="81"/>
            <rFont val="Tahoma"/>
            <family val="2"/>
          </rPr>
          <t>Impact énergétique qu'aura le projet annuel par rapport à l'année de référence. Par exemple, un projet d'ajout d'éclairge diminera de 3 000 kWh la consommation électrique.</t>
        </r>
      </text>
    </comment>
  </commentList>
</comments>
</file>

<file path=xl/comments9.xml><?xml version="1.0" encoding="utf-8"?>
<comments xmlns="http://schemas.openxmlformats.org/spreadsheetml/2006/main">
  <authors>
    <author>Julien Dutel</author>
  </authors>
  <commentList>
    <comment ref="B21" authorId="0" shapeId="0">
      <text>
        <r>
          <rPr>
            <b/>
            <sz val="10"/>
            <color indexed="81"/>
            <rFont val="Tahoma"/>
            <family val="2"/>
          </rPr>
          <t>Avertissement:</t>
        </r>
        <r>
          <rPr>
            <sz val="10"/>
            <color indexed="81"/>
            <rFont val="Tahoma"/>
            <family val="2"/>
          </rPr>
          <t xml:space="preserve">
Lorsque les données sont entrées mensuellement, la moyenne annuel est calculé automatiquement.
La donnée annuelle peut aussi être saisie manuellement dans cette case, mais cela viendra enlever la possibilité de compilation mensuelle, à moins de recopier la formule de moyenne pour les douze mois concernés.
 </t>
        </r>
      </text>
    </comment>
    <comment ref="C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D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E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F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G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H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I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J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K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L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M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N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O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P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Q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R21" authorId="0" shapeId="0">
      <text>
        <r>
          <rPr>
            <b/>
            <sz val="10"/>
            <color indexed="81"/>
            <rFont val="Tahoma"/>
            <family val="2"/>
          </rPr>
          <t>Avertissement:</t>
        </r>
        <r>
          <rPr>
            <sz val="10"/>
            <color indexed="81"/>
            <rFont val="Tahoma"/>
            <family val="2"/>
          </rPr>
          <t xml:space="preserve">
Lorsque les données sont entrées mensuellement, le total annuel est calculé automatiquement.
La donnée annuelle peut aussi être saisie manuellement dans cette case, mais cela viendra enlever la possibilité de compilation mensuelle, à moins de recopier la formule de somme pour les douze mois concernés.</t>
        </r>
      </text>
    </comment>
    <comment ref="S21" authorId="0" shapeId="0">
      <text>
        <r>
          <rPr>
            <b/>
            <sz val="10"/>
            <color indexed="81"/>
            <rFont val="Tahoma"/>
            <family val="2"/>
          </rPr>
          <t>Avertissement:</t>
        </r>
        <r>
          <rPr>
            <sz val="10"/>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r>
          <rPr>
            <sz val="8"/>
            <color indexed="81"/>
            <rFont val="Tahoma"/>
            <family val="2"/>
          </rPr>
          <t xml:space="preserve">
 </t>
        </r>
      </text>
    </comment>
    <comment ref="T21" authorId="0" shapeId="0">
      <text>
        <r>
          <rPr>
            <b/>
            <sz val="10"/>
            <color indexed="81"/>
            <rFont val="Tahoma"/>
            <family val="2"/>
          </rPr>
          <t>Avertissement:</t>
        </r>
        <r>
          <rPr>
            <sz val="10"/>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U21" authorId="0" shapeId="0">
      <text>
        <r>
          <rPr>
            <b/>
            <sz val="10"/>
            <color indexed="81"/>
            <rFont val="Tahoma"/>
            <family val="2"/>
          </rPr>
          <t>Avertissement:</t>
        </r>
        <r>
          <rPr>
            <sz val="10"/>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r>
          <rPr>
            <sz val="8"/>
            <color indexed="81"/>
            <rFont val="Tahoma"/>
            <family val="2"/>
          </rPr>
          <t xml:space="preserve">
 </t>
        </r>
      </text>
    </comment>
    <comment ref="V21" authorId="0" shapeId="0">
      <text>
        <r>
          <rPr>
            <b/>
            <sz val="10"/>
            <color indexed="81"/>
            <rFont val="Tahoma"/>
            <family val="2"/>
          </rPr>
          <t>Avertissement:</t>
        </r>
        <r>
          <rPr>
            <sz val="10"/>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r>
          <rPr>
            <sz val="8"/>
            <color indexed="81"/>
            <rFont val="Tahoma"/>
            <family val="2"/>
          </rPr>
          <t xml:space="preserve">
 </t>
        </r>
      </text>
    </comment>
    <comment ref="W21" authorId="0" shapeId="0">
      <text>
        <r>
          <rPr>
            <b/>
            <sz val="10"/>
            <color indexed="81"/>
            <rFont val="Tahoma"/>
            <family val="2"/>
          </rPr>
          <t>Avertissement:</t>
        </r>
        <r>
          <rPr>
            <sz val="10"/>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t>
        </r>
        <r>
          <rPr>
            <sz val="8"/>
            <color indexed="81"/>
            <rFont val="Tahoma"/>
            <family val="2"/>
          </rPr>
          <t xml:space="preserve">
 </t>
        </r>
      </text>
    </comment>
    <comment ref="X21" authorId="0" shapeId="0">
      <text>
        <r>
          <rPr>
            <b/>
            <sz val="10"/>
            <color indexed="81"/>
            <rFont val="Tahoma"/>
            <family val="2"/>
          </rPr>
          <t>Avertissement:</t>
        </r>
        <r>
          <rPr>
            <sz val="10"/>
            <color indexed="81"/>
            <rFont val="Tahoma"/>
            <family val="2"/>
          </rPr>
          <t xml:space="preserve">
Lorsque les données sont entrées tous les mois, le total annuel est calculé automatiquement.
La moyenne annuelle peut aussi être saisie manuellement dans cette case, mais la ventilation mensuelle ne sera plus possible à moins de recopier la formule de moyenne dans les douze cases mensuelles.
 </t>
        </r>
      </text>
    </comment>
    <comment ref="AA21" authorId="0" shapeId="0">
      <text>
        <r>
          <rPr>
            <b/>
            <sz val="10"/>
            <color indexed="81"/>
            <rFont val="Tahoma"/>
            <family val="2"/>
          </rPr>
          <t xml:space="preserve">Avertissement :
</t>
        </r>
        <r>
          <rPr>
            <sz val="10"/>
            <color indexed="81"/>
            <rFont val="Tahoma"/>
            <family val="2"/>
          </rPr>
          <t xml:space="preserve">Si cette case est rouge, vérifier qu'il n'y ai pas d'erreur de saisie sur les consommations et les superficies.
En effet cette case devient rouge lorsque l'intensité énergétique annuelle dépasse les bornes suivantes :
- Commission scolaire  : 0,14 GJ/m² à 1,42 GJ/m²
- Etablissements d'enseigenement supérieur - Cegep: 0,18 GJ/m² à 1,84 GJ/m²
- Etablissements d'enseigenement supérieur - Université: 0,31 GJ/m² à 3,1 GJ/m²
- Édifices à bureaux: 0,22 GJ/m² à 2,21 GJ/m²
- Ministère de la Santé et des Services sociaux: 0,41 GJ/m² à 4,06 GJ/m²
- Autre: 0,3 GJ/m² à 2,97 GJ/m²
</t>
        </r>
      </text>
    </comment>
    <comment ref="I37" authorId="0" shapeId="0">
      <text>
        <r>
          <rPr>
            <b/>
            <sz val="8"/>
            <color indexed="81"/>
            <rFont val="Tahoma"/>
            <family val="2"/>
          </rPr>
          <t>GJ annuel:</t>
        </r>
        <r>
          <rPr>
            <sz val="8"/>
            <color indexed="81"/>
            <rFont val="Tahoma"/>
            <family val="2"/>
          </rPr>
          <t xml:space="preserve">
Représente l'impact énergétique pour une année 
complète (indépendamment du mois d'implantation).
</t>
        </r>
      </text>
    </comment>
    <comment ref="J37" authorId="0" shapeId="0">
      <text>
        <r>
          <rPr>
            <b/>
            <sz val="8"/>
            <color indexed="81"/>
            <rFont val="Tahoma"/>
            <family val="2"/>
          </rPr>
          <t>GJ année en cours:</t>
        </r>
        <r>
          <rPr>
            <sz val="8"/>
            <color indexed="81"/>
            <rFont val="Tahoma"/>
            <family val="2"/>
          </rPr>
          <t xml:space="preserve">
Représente l'impact énergétique pour l'année en cours (dépendant du mois d'implantation)</t>
        </r>
      </text>
    </comment>
    <comment ref="E38" authorId="0" shapeId="0">
      <text>
        <r>
          <rPr>
            <b/>
            <sz val="8"/>
            <color indexed="81"/>
            <rFont val="Tahoma"/>
            <family val="2"/>
          </rPr>
          <t xml:space="preserve">AIDE:
</t>
        </r>
        <r>
          <rPr>
            <sz val="8"/>
            <color indexed="81"/>
            <rFont val="Tahoma"/>
            <family val="2"/>
          </rPr>
          <t>Impact énergétique qu'aura le projet annuel par rapport à l'année de référence. Par exemple, un projet d'ajout d'éclairge diminera de 3 000 kWh la consommation électrique.</t>
        </r>
      </text>
    </comment>
  </commentList>
</comments>
</file>

<file path=xl/sharedStrings.xml><?xml version="1.0" encoding="utf-8"?>
<sst xmlns="http://schemas.openxmlformats.org/spreadsheetml/2006/main" count="2892" uniqueCount="1065">
  <si>
    <t>Ministère ou organisme :</t>
  </si>
  <si>
    <t>Nom de la personne responsable :</t>
  </si>
  <si>
    <t>Adresse :</t>
  </si>
  <si>
    <t>Téléphone :</t>
  </si>
  <si>
    <t>Courriel :</t>
  </si>
  <si>
    <t>Date :</t>
  </si>
  <si>
    <t>2003-2004</t>
  </si>
  <si>
    <t>2004-2005</t>
  </si>
  <si>
    <t>2005-2006</t>
  </si>
  <si>
    <t>2006-2007</t>
  </si>
  <si>
    <t>2007-2008</t>
  </si>
  <si>
    <t>2011-2012</t>
  </si>
  <si>
    <t>2012-2013</t>
  </si>
  <si>
    <t>Superficie</t>
  </si>
  <si>
    <t>2013-2014</t>
  </si>
  <si>
    <t>2014-2015</t>
  </si>
  <si>
    <t>TOTAL</t>
  </si>
  <si>
    <t xml:space="preserve"> [GJ]</t>
  </si>
  <si>
    <t xml:space="preserve"> [$]</t>
  </si>
  <si>
    <t>Gaz naturel</t>
  </si>
  <si>
    <t>[$]</t>
  </si>
  <si>
    <t xml:space="preserve"> [kWh]</t>
  </si>
  <si>
    <t>Consommation électrique</t>
  </si>
  <si>
    <t>[l]</t>
  </si>
  <si>
    <t xml:space="preserve">Mazout n°2 </t>
  </si>
  <si>
    <t>Mazout n°6</t>
  </si>
  <si>
    <t>Résidus de bois (20% d'humidité)</t>
  </si>
  <si>
    <t>Propane</t>
  </si>
  <si>
    <t>[1000 kg MG]</t>
  </si>
  <si>
    <t>[1000 lbs]</t>
  </si>
  <si>
    <t>[Gallon imp]</t>
  </si>
  <si>
    <t>[m³]</t>
  </si>
  <si>
    <t>Résidus de bois
(45% d'humidité)</t>
  </si>
  <si>
    <t>Ne pas effacer, à blanchir et bloquer lora de la mise en route</t>
  </si>
  <si>
    <t>[mille pi³]</t>
  </si>
  <si>
    <t>[$/m²]</t>
  </si>
  <si>
    <t>[m²]</t>
  </si>
  <si>
    <t>[GJ/m²]</t>
  </si>
  <si>
    <t>Début</t>
  </si>
  <si>
    <t>Fin</t>
  </si>
  <si>
    <t>DJC</t>
  </si>
  <si>
    <t>DJR</t>
  </si>
  <si>
    <t>° C</t>
  </si>
  <si>
    <t xml:space="preserve"> [° C]</t>
  </si>
  <si>
    <t>[Ton CO2 eq]</t>
  </si>
  <si>
    <t>GES</t>
  </si>
  <si>
    <t>Résidus de bois
 (20% d'humidité)</t>
  </si>
  <si>
    <t>Économie de coûts</t>
  </si>
  <si>
    <t>Économie de GES</t>
  </si>
  <si>
    <t xml:space="preserve"> [m³]</t>
  </si>
  <si>
    <t xml:space="preserve"> [l]</t>
  </si>
  <si>
    <t xml:space="preserve"> [1000 kg MG]</t>
  </si>
  <si>
    <t>Intensité Énergétique</t>
  </si>
  <si>
    <t>TOTAL/moyenne</t>
  </si>
  <si>
    <t>Énergie de l'année de référence ajustée</t>
  </si>
  <si>
    <t>Énergie de l'année de suivi</t>
  </si>
  <si>
    <t>Superficie de l'année de référence</t>
  </si>
  <si>
    <t>Superficie de l'année de suivi</t>
  </si>
  <si>
    <t>[GJ réel/m²]</t>
  </si>
  <si>
    <t>[GJ ajusté/m²]</t>
  </si>
  <si>
    <t>[$ réel/m²]</t>
  </si>
  <si>
    <t xml:space="preserve"> [GJ réel]</t>
  </si>
  <si>
    <t>[%]</t>
  </si>
  <si>
    <t>[$ réel]</t>
  </si>
  <si>
    <t>Projet</t>
  </si>
  <si>
    <t>Réduction</t>
  </si>
  <si>
    <t>Augmentation</t>
  </si>
  <si>
    <t>Mazout n°2</t>
  </si>
  <si>
    <t>Résidus de bois (20%humidité)</t>
  </si>
  <si>
    <t>Résidus de bois (45%humidité)</t>
  </si>
  <si>
    <t>Électrique</t>
  </si>
  <si>
    <t>Date d'implantation</t>
  </si>
  <si>
    <t>Ajustement sensible au chauffage</t>
  </si>
  <si>
    <t>Oui</t>
  </si>
  <si>
    <t>Non</t>
  </si>
  <si>
    <t>Impact Annuel</t>
  </si>
  <si>
    <t>2008-2009</t>
  </si>
  <si>
    <t>-</t>
  </si>
  <si>
    <t>&lt;-- Résumé</t>
  </si>
  <si>
    <t>Résumé des ajustements non périodique</t>
  </si>
  <si>
    <t>AJUSTEMENTS NON PÉRIODIQUE</t>
  </si>
  <si>
    <t>Degrés-jours calculés de Montréal (Pierre Elliot Trudeau)</t>
  </si>
  <si>
    <t>Degrés-jours calculés de Québec (Qc)</t>
  </si>
  <si>
    <t>Édifices à bureaux</t>
  </si>
  <si>
    <t>Autre</t>
  </si>
  <si>
    <t>2015-2016</t>
  </si>
  <si>
    <t>2016-2017</t>
  </si>
  <si>
    <t>2017-2018</t>
  </si>
  <si>
    <t>2018-2019</t>
  </si>
  <si>
    <t>2019-2020</t>
  </si>
  <si>
    <t>2020-2021</t>
  </si>
  <si>
    <t>Tendance de l'impact</t>
  </si>
  <si>
    <t>Sup_09-10</t>
  </si>
  <si>
    <t>Elec_kWh_09-10</t>
  </si>
  <si>
    <t>Elec_CAD_09-10</t>
  </si>
  <si>
    <t>GN_m³_09-10</t>
  </si>
  <si>
    <t>GN_CAD_09-10</t>
  </si>
  <si>
    <t>Ma2_l_09-10</t>
  </si>
  <si>
    <t>Ma2_CAD_09-10</t>
  </si>
  <si>
    <t>Ma6_l_09-10</t>
  </si>
  <si>
    <t>Ma6_CAD_09-10</t>
  </si>
  <si>
    <t>Prop_l_09-10</t>
  </si>
  <si>
    <t>Prop_CAD_09-10</t>
  </si>
  <si>
    <t>Bois20_1000kg_09-10</t>
  </si>
  <si>
    <t>Bois20_CAD_09-10</t>
  </si>
  <si>
    <t>Bois45_1000kg_09-10</t>
  </si>
  <si>
    <t>Bois45_CAD_09-10</t>
  </si>
  <si>
    <t>GJ_Tot_09-10</t>
  </si>
  <si>
    <t>CAD_Tot_09-10</t>
  </si>
  <si>
    <t>GJm²_09-10</t>
  </si>
  <si>
    <t>CAD/m²_09-10</t>
  </si>
  <si>
    <t>GES_ton_09-10</t>
  </si>
  <si>
    <t>GES_ton/m²_09-10</t>
  </si>
  <si>
    <t>DJC_tot_09-10</t>
  </si>
  <si>
    <t>Sup_10-11</t>
  </si>
  <si>
    <t>Elec_kWh_10-11</t>
  </si>
  <si>
    <t>Elec_CAD_10-11</t>
  </si>
  <si>
    <t>GN_m³_10-11</t>
  </si>
  <si>
    <t>GN_CAD_10-11</t>
  </si>
  <si>
    <t>Ma2_l_10-11</t>
  </si>
  <si>
    <t>Ma2_CAD_10-11</t>
  </si>
  <si>
    <t>Ma6_l_10-11</t>
  </si>
  <si>
    <t>Ma6_CAD_10-11</t>
  </si>
  <si>
    <t>Prop_l_10-11</t>
  </si>
  <si>
    <t>Prop_CAD_10-11</t>
  </si>
  <si>
    <t>Bois20_1000kg_10-11</t>
  </si>
  <si>
    <t>Bois20_CAD_10-11</t>
  </si>
  <si>
    <t>Bois45_1000kg_10-11</t>
  </si>
  <si>
    <t>Bois45_CAD_10-11</t>
  </si>
  <si>
    <t>GJ_Tot_10-11</t>
  </si>
  <si>
    <t>CAD_Tot_10-11</t>
  </si>
  <si>
    <t>GJm²_10-11</t>
  </si>
  <si>
    <t>CAD/m²_10-11</t>
  </si>
  <si>
    <t>GES_ton_10-11</t>
  </si>
  <si>
    <t>GES_ton/m²_10-11</t>
  </si>
  <si>
    <t>DJC_tot_10-11</t>
  </si>
  <si>
    <t>Sup_11-12</t>
  </si>
  <si>
    <t>Elec_kWh_11-12</t>
  </si>
  <si>
    <t>Elec_CAD_11-12</t>
  </si>
  <si>
    <t>GN_m³_11-12</t>
  </si>
  <si>
    <t>GN_CAD_11-12</t>
  </si>
  <si>
    <t>Ma2_l_11-12</t>
  </si>
  <si>
    <t>Ma2_CAD_11-12</t>
  </si>
  <si>
    <t>Ma6_l_11-12</t>
  </si>
  <si>
    <t>Ma6_CAD_11-12</t>
  </si>
  <si>
    <t>Prop_l_11-12</t>
  </si>
  <si>
    <t>Prop_CAD_11-12</t>
  </si>
  <si>
    <t>Bois20_1000kg_11-12</t>
  </si>
  <si>
    <t>Bois20_CAD_11-12</t>
  </si>
  <si>
    <t>Bois45_1000kg_11-12</t>
  </si>
  <si>
    <t>Bois45_CAD_11-12</t>
  </si>
  <si>
    <t>GJ_Tot_11-12</t>
  </si>
  <si>
    <t>CAD_Tot_11-12</t>
  </si>
  <si>
    <t>GJm²_11-12</t>
  </si>
  <si>
    <t>CAD/m²_11-12</t>
  </si>
  <si>
    <t>GES_ton_11-12</t>
  </si>
  <si>
    <t>GES_ton/m²_11-12</t>
  </si>
  <si>
    <t>DJC_tot_11-12</t>
  </si>
  <si>
    <t>Sup_12-13</t>
  </si>
  <si>
    <t>Elec_kWh_12-13</t>
  </si>
  <si>
    <t>Elec_CAD_12-13</t>
  </si>
  <si>
    <t>GN_m³_12-13</t>
  </si>
  <si>
    <t>GN_CAD_12-13</t>
  </si>
  <si>
    <t>Ma2_l_12-13</t>
  </si>
  <si>
    <t>Ma2_CAD_12-13</t>
  </si>
  <si>
    <t>Ma6_l_12-13</t>
  </si>
  <si>
    <t>Ma6_CAD_12-13</t>
  </si>
  <si>
    <t>Prop_l_12-13</t>
  </si>
  <si>
    <t>Prop_CAD_12-13</t>
  </si>
  <si>
    <t>Bois20_1000kg_12-13</t>
  </si>
  <si>
    <t>Bois20_CAD_12-13</t>
  </si>
  <si>
    <t>Bois45_1000kg_12-13</t>
  </si>
  <si>
    <t>Bois45_CAD_12-13</t>
  </si>
  <si>
    <t>GJ_Tot_12-13</t>
  </si>
  <si>
    <t>CAD_Tot_12-13</t>
  </si>
  <si>
    <t>GJm²_12-13</t>
  </si>
  <si>
    <t>CAD/m²_12-13</t>
  </si>
  <si>
    <t>GES_ton_12-13</t>
  </si>
  <si>
    <t>GES_ton/m²_12-13</t>
  </si>
  <si>
    <t>DJC_tot_12-13</t>
  </si>
  <si>
    <t>Sup_13-14</t>
  </si>
  <si>
    <t>Elec_kWh_13-14</t>
  </si>
  <si>
    <t>Elec_CAD_13-14</t>
  </si>
  <si>
    <t>GN_m³_13-14</t>
  </si>
  <si>
    <t>GN_CAD_13-14</t>
  </si>
  <si>
    <t>Ma2_l_13-14</t>
  </si>
  <si>
    <t>Ma2_CAD_13-14</t>
  </si>
  <si>
    <t>Ma6_l_13-14</t>
  </si>
  <si>
    <t>Ma6_CAD_13-14</t>
  </si>
  <si>
    <t>Prop_l_13-14</t>
  </si>
  <si>
    <t>Prop_CAD_13-14</t>
  </si>
  <si>
    <t>Bois20_1000kg_13-14</t>
  </si>
  <si>
    <t>Bois20_CAD_13-14</t>
  </si>
  <si>
    <t>Bois45_1000kg_13-14</t>
  </si>
  <si>
    <t>Bois45_CAD_13-14</t>
  </si>
  <si>
    <t>GJ_Tot_13-14</t>
  </si>
  <si>
    <t>CAD_Tot_13-14</t>
  </si>
  <si>
    <t>GJm²_13-14</t>
  </si>
  <si>
    <t>CAD/m²_13-14</t>
  </si>
  <si>
    <t>GES_ton_13-14</t>
  </si>
  <si>
    <t>GES_ton/m²_13-14</t>
  </si>
  <si>
    <t>DJC_tot_13-14</t>
  </si>
  <si>
    <t>Sup_17-18</t>
  </si>
  <si>
    <t>Elec_kWh_17-18</t>
  </si>
  <si>
    <t>Elec_CAD_17-18</t>
  </si>
  <si>
    <t>GN_m³_17-18</t>
  </si>
  <si>
    <t>GN_CAD_17-18</t>
  </si>
  <si>
    <t>Ma2_l_17-18</t>
  </si>
  <si>
    <t>Ma2_CAD_17-18</t>
  </si>
  <si>
    <t>Ma6_l_17-18</t>
  </si>
  <si>
    <t>Ma6_CAD_17-18</t>
  </si>
  <si>
    <t>Prop_l_17-18</t>
  </si>
  <si>
    <t>Prop_CAD_17-18</t>
  </si>
  <si>
    <t>Bois20_1000kg_17-18</t>
  </si>
  <si>
    <t>Bois20_CAD_17-18</t>
  </si>
  <si>
    <t>Bois45_1000kg_17-18</t>
  </si>
  <si>
    <t>Bois45_CAD_17-18</t>
  </si>
  <si>
    <t>GJ_Tot_17-18</t>
  </si>
  <si>
    <t>CAD_Tot_17-18</t>
  </si>
  <si>
    <t>GJm²_17-18</t>
  </si>
  <si>
    <t>CAD/m²_17-18</t>
  </si>
  <si>
    <t>GES_ton_17-18</t>
  </si>
  <si>
    <t>GES_ton/m²_17-18</t>
  </si>
  <si>
    <t>DJC_tot_17-18</t>
  </si>
  <si>
    <t>Sup_18-19</t>
  </si>
  <si>
    <t>Elec_kWh_18-19</t>
  </si>
  <si>
    <t>Elec_CAD_18-19</t>
  </si>
  <si>
    <t>GN_m³_18-19</t>
  </si>
  <si>
    <t>GN_CAD_18-19</t>
  </si>
  <si>
    <t>Ma2_l_18-19</t>
  </si>
  <si>
    <t>Ma2_CAD_18-19</t>
  </si>
  <si>
    <t>Ma6_l_18-19</t>
  </si>
  <si>
    <t>Ma6_CAD_18-19</t>
  </si>
  <si>
    <t>Prop_l_18-19</t>
  </si>
  <si>
    <t>Prop_CAD_18-19</t>
  </si>
  <si>
    <t>Bois20_1000kg_18-19</t>
  </si>
  <si>
    <t>Bois20_CAD_18-19</t>
  </si>
  <si>
    <t>Bois45_1000kg_18-19</t>
  </si>
  <si>
    <t>Bois45_CAD_18-19</t>
  </si>
  <si>
    <t>GJ_Tot_18-19</t>
  </si>
  <si>
    <t>CAD_Tot_18-19</t>
  </si>
  <si>
    <t>GJm²_18-19</t>
  </si>
  <si>
    <t>CAD/m²_18-19</t>
  </si>
  <si>
    <t>GES_ton_18-19</t>
  </si>
  <si>
    <t>GES_ton/m²_18-19</t>
  </si>
  <si>
    <t>DJC_tot_18-19</t>
  </si>
  <si>
    <t>Sup_19-20</t>
  </si>
  <si>
    <t>Elec_kWh_19-20</t>
  </si>
  <si>
    <t>Elec_CAD_19-20</t>
  </si>
  <si>
    <t>GN_m³_19-20</t>
  </si>
  <si>
    <t>GN_CAD_19-20</t>
  </si>
  <si>
    <t>Ma2_l_19-20</t>
  </si>
  <si>
    <t>Ma2_CAD_19-20</t>
  </si>
  <si>
    <t>Ma6_l_19-20</t>
  </si>
  <si>
    <t>Ma6_CAD_19-20</t>
  </si>
  <si>
    <t>Prop_l_19-20</t>
  </si>
  <si>
    <t>Prop_CAD_19-20</t>
  </si>
  <si>
    <t>Bois20_1000kg_19-20</t>
  </si>
  <si>
    <t>Bois20_CAD_19-20</t>
  </si>
  <si>
    <t>Bois45_1000kg_19-20</t>
  </si>
  <si>
    <t>Bois45_CAD_19-20</t>
  </si>
  <si>
    <t>GJ_Tot_19-20</t>
  </si>
  <si>
    <t>CAD_Tot_19-20</t>
  </si>
  <si>
    <t>GJm²_19-20</t>
  </si>
  <si>
    <t>CAD/m²_19-20</t>
  </si>
  <si>
    <t>GES_ton_19-20</t>
  </si>
  <si>
    <t>GES_ton/m²_19-20</t>
  </si>
  <si>
    <t>DJC_tot_19-20</t>
  </si>
  <si>
    <t>Sup_20-21</t>
  </si>
  <si>
    <t>Elec_kWh_20-21</t>
  </si>
  <si>
    <t>Elec_CAD_20-21</t>
  </si>
  <si>
    <t>GN_m³_20-21</t>
  </si>
  <si>
    <t>GN_CAD_20-21</t>
  </si>
  <si>
    <t>Ma2_l_20-21</t>
  </si>
  <si>
    <t>Ma2_CAD_20-21</t>
  </si>
  <si>
    <t>Ma6_l_20-21</t>
  </si>
  <si>
    <t>Ma6_CAD_20-21</t>
  </si>
  <si>
    <t>Prop_l_20-21</t>
  </si>
  <si>
    <t>Prop_CAD_20-21</t>
  </si>
  <si>
    <t>Bois20_1000kg_20-21</t>
  </si>
  <si>
    <t>Bois20_CAD_20-21</t>
  </si>
  <si>
    <t>Bois45_1000kg_20-21</t>
  </si>
  <si>
    <t>Bois45_CAD_20-21</t>
  </si>
  <si>
    <t>GJ_Tot_20-21</t>
  </si>
  <si>
    <t>CAD_Tot_20-21</t>
  </si>
  <si>
    <t>GJm²_20-21</t>
  </si>
  <si>
    <t>CAD/m²_20-21</t>
  </si>
  <si>
    <t>GES_ton_20-21</t>
  </si>
  <si>
    <t>GES_ton/m²_20-21</t>
  </si>
  <si>
    <t>DJC_tot_20-21</t>
  </si>
  <si>
    <t>GJTotRef_Ajust_11_12</t>
  </si>
  <si>
    <t>GJTotRef_Ajust_m²_11_12</t>
  </si>
  <si>
    <t>GJ_Ajust_NP_Cour_11_12</t>
  </si>
  <si>
    <t>GJ_Ajust_NP_annuel_11_12</t>
  </si>
  <si>
    <t>GJTotRef_Ajust_12_13</t>
  </si>
  <si>
    <t>GJTotRef_Ajust_m²_12_13</t>
  </si>
  <si>
    <t>GJ_Ajust_NP_Cour_12_13</t>
  </si>
  <si>
    <t>GJ_Ajust_NP_annuel_12_13</t>
  </si>
  <si>
    <t>GJTotRef_Ajust_13_14</t>
  </si>
  <si>
    <t>GJTotRef_Ajust_m²_13_14</t>
  </si>
  <si>
    <t>GJ_Ajust_NP_Cour_13_14</t>
  </si>
  <si>
    <t>GJ_Ajust_NP_annuel_13_14</t>
  </si>
  <si>
    <t>GJTotRef_Ajust_14_15</t>
  </si>
  <si>
    <t>GJTotRef_Ajust_m²_14_15</t>
  </si>
  <si>
    <t>GJ_Ajust_NP_Cour_14_15</t>
  </si>
  <si>
    <t>GJ_Ajust_NP_annuel_14_15</t>
  </si>
  <si>
    <t>GJTotRef_Ajust_15_16</t>
  </si>
  <si>
    <t>GJTotRef_Ajust_m²_15_16</t>
  </si>
  <si>
    <t>GJ_Ajust_NP_Cour_15_16</t>
  </si>
  <si>
    <t>GJ_Ajust_NP_annuel_15_16</t>
  </si>
  <si>
    <t>GJTotRef_Ajust_16_17</t>
  </si>
  <si>
    <t>GJTotRef_Ajust_m²_16_17</t>
  </si>
  <si>
    <t>GJ_Ajust_NP_Cour_16_17</t>
  </si>
  <si>
    <t>GJ_Ajust_NP_annuel_16_17</t>
  </si>
  <si>
    <t>GJTotRef_Ajust_17_18</t>
  </si>
  <si>
    <t>GJTotRef_Ajust_m²_17_18</t>
  </si>
  <si>
    <t>GJ_Ajust_NP_Cour_17_18</t>
  </si>
  <si>
    <t>GJ_Ajust_NP_annuel_17_18</t>
  </si>
  <si>
    <t>GJTotRef_Ajust_18_19</t>
  </si>
  <si>
    <t>GJTotRef_Ajust_m²_18_19</t>
  </si>
  <si>
    <t>GJ_Ajust_NP_Cour_18_19</t>
  </si>
  <si>
    <t>GJ_Ajust_NP_annuel_18_19</t>
  </si>
  <si>
    <t>GJTotRef_Ajust_19_20</t>
  </si>
  <si>
    <t>GJTotRef_Ajust_m²_19_20</t>
  </si>
  <si>
    <t>GJ_Ajust_NP_Cour_19_20</t>
  </si>
  <si>
    <t>GJ_Ajust_NP_annuel_19_20</t>
  </si>
  <si>
    <t>GJTotRef_Ajust_20_21</t>
  </si>
  <si>
    <t>GJTotRef_Ajust_m²_20_21</t>
  </si>
  <si>
    <t>GJ_Ajust_NP_Cour_20_21</t>
  </si>
  <si>
    <t>GJ_Ajust_NP_annuel_20_21</t>
  </si>
  <si>
    <t>Nom du projet #2</t>
  </si>
  <si>
    <t>Nom du projet #3</t>
  </si>
  <si>
    <t>Nom du projet #4</t>
  </si>
  <si>
    <t>Nom du projet #5</t>
  </si>
  <si>
    <t>Nom du projet #6</t>
  </si>
  <si>
    <t>Nom du projet #7</t>
  </si>
  <si>
    <t>Nom du projet #1</t>
  </si>
  <si>
    <t>titre?</t>
  </si>
  <si>
    <t>Source d'énergie touchée</t>
  </si>
  <si>
    <t>Impact pour l'année en cours [GJ]</t>
  </si>
  <si>
    <t>Impact pour l'année complète [GJ]</t>
  </si>
  <si>
    <t>Impact cumulatif pour les années subséquentes [GJ]</t>
  </si>
  <si>
    <t xml:space="preserve">Un ajustement correspond à une modification majeure des équipements ou du bâtiment. Un ajustement peut avoir un impact positif ou négatif sur la consommation énergétique: 
    - un impact positif correspond à une augmentation majeure de la consommation, suite par exemple à l'ajout d'un étage de bâtiment ou à l'ajout de climatisation d'une aile d'un bâtiment.
    - un impact négatif correspond à une diminution majeure de la consommation. Cette diminution provient non pas d’une économie provenant d’une optimisation du bâtiment mais par exemple de la fermeture d’une partie d'un bâtiment qui devient alors inoccupé.                                                                                                                                                                                                                                                 
Par exemple : l'ajout de locaux implique une augmentation nette des charges de chauffage et d'éclairage de 500 kWh, telles que calculées par une firme d'ingénieurs. Dans ce fichier, le projet sera noté « Agrandissement » impliquant une augmentation de l'électricité de 500 kWh. Comme il s'agit de chauffage, l'ajustement est sensible au chauffage. La date d'implantation correspond au mois où l'impact sur la consommation a été effectif.
Si l'ajustement a eu un impact sur plus qu'une source d'énergie, merci de rajouter une ligne pour chaque source touchée.
</t>
  </si>
  <si>
    <t>2010-2011</t>
  </si>
  <si>
    <t>[GJ 09-10 ajusté]</t>
  </si>
  <si>
    <t>GJTotRef_Ajust_10_11</t>
  </si>
  <si>
    <t>pourquoi utiliser GJ_Ajust_NP_Cour_11_12 qui représente une données partielle, plutôt que GJ_Ajust_NP_annuel_11_12</t>
  </si>
  <si>
    <t>Nombre de bâtiments</t>
  </si>
  <si>
    <t>Titre :</t>
  </si>
  <si>
    <t>Initiale ou acronyme :</t>
  </si>
  <si>
    <t>Année financière :</t>
  </si>
  <si>
    <t>Facteur de consommation variable :</t>
  </si>
  <si>
    <t>Nombre de bâtiments en propriété ou location, pour lesquels des factures d'énergie sont payées par l'organisation :</t>
  </si>
  <si>
    <t>[GJ 09-10 ajusté/m²]</t>
  </si>
  <si>
    <t>--&gt;Réponse de JD le 27 août 2012 : parce que pour l'année de suivi il faut prendre le courant et pour les années subséquentes il faut prendre l'annuel</t>
  </si>
  <si>
    <t>GJTotRef_Ajust_m²_10_11</t>
  </si>
  <si>
    <t>GJ_Ajust_NP_Cour_10_11</t>
  </si>
  <si>
    <t>GJ_Ajust_NP_annuel_10_11</t>
  </si>
  <si>
    <t>Impact Annuel sur la référence</t>
  </si>
  <si>
    <t>Année de référence :</t>
  </si>
  <si>
    <t>Effet pour l'année complète [GJ]</t>
  </si>
  <si>
    <t>Effet pour l'année en cours [GJ]</t>
  </si>
  <si>
    <t>Objectif du document :</t>
  </si>
  <si>
    <t>Système de suivi de la consommation énergétique dans les bâtiments</t>
  </si>
  <si>
    <t>Catégorie :</t>
  </si>
  <si>
    <t>Etablissements d'enseignement supérieur - Université</t>
  </si>
  <si>
    <t>Réseau de la santé et des services sociaux</t>
  </si>
  <si>
    <t>Ville :</t>
  </si>
  <si>
    <t>Marge d'erreur min.</t>
  </si>
  <si>
    <t>Marge d'erreur max.</t>
  </si>
  <si>
    <t>Résidus de bois
 (20 % d'humidité)</t>
  </si>
  <si>
    <t>Intensité énergétique</t>
  </si>
  <si>
    <t>veuillez remplir la section « AJUSTEMENTS NON PÉRIODIQUES », ci-dessous.</t>
  </si>
  <si>
    <t>Résidus de bois
(45 % d'humidité)</t>
  </si>
  <si>
    <t>AJUSTEMENTS NON PÉRIODIQUES</t>
  </si>
  <si>
    <t>[GJ]</t>
  </si>
  <si>
    <t>[kWh]</t>
  </si>
  <si>
    <t>[° C]</t>
  </si>
  <si>
    <r>
      <t>Nombre de bâtiments en propriété ou en location</t>
    </r>
    <r>
      <rPr>
        <b/>
        <sz val="11.5"/>
        <rFont val="Calibri"/>
        <family val="2"/>
      </rPr>
      <t>, pour lesquels des factures d'énergie sont payées par l'organisation :</t>
    </r>
  </si>
  <si>
    <r>
      <t>Nombre de bâtiments en propriété ou en location</t>
    </r>
    <r>
      <rPr>
        <b/>
        <sz val="11.5"/>
        <color indexed="8"/>
        <rFont val="Calibri"/>
        <family val="2"/>
      </rPr>
      <t>, pour lesquels des factures d'énergie sont payées par l'organisation :</t>
    </r>
  </si>
  <si>
    <r>
      <t xml:space="preserve">Saisir les données énergétiques et les données sur les dépenses annuelles, avant taxes, dans les cellules ombragées en </t>
    </r>
    <r>
      <rPr>
        <b/>
        <u/>
        <sz val="14"/>
        <rFont val="Calibri"/>
        <family val="2"/>
      </rPr>
      <t>bleu pâle</t>
    </r>
    <r>
      <rPr>
        <b/>
        <sz val="14"/>
        <rFont val="Calibri"/>
        <family val="2"/>
      </rPr>
      <t>.</t>
    </r>
  </si>
  <si>
    <t>Organisme</t>
  </si>
  <si>
    <t>Année</t>
  </si>
  <si>
    <r>
      <t>Superficie
m</t>
    </r>
    <r>
      <rPr>
        <vertAlign val="superscript"/>
        <sz val="8"/>
        <rFont val="Arial"/>
        <family val="2"/>
      </rPr>
      <t>2</t>
    </r>
  </si>
  <si>
    <t>Nb bâtiments</t>
  </si>
  <si>
    <t>propriété</t>
  </si>
  <si>
    <t>location</t>
  </si>
  <si>
    <t>Ministère ou org.</t>
  </si>
  <si>
    <t>Catégorie</t>
  </si>
  <si>
    <t>Nom pers. Respon.</t>
  </si>
  <si>
    <t>Titre</t>
  </si>
  <si>
    <t>Adresse</t>
  </si>
  <si>
    <t>Ville</t>
  </si>
  <si>
    <t>Téléphone</t>
  </si>
  <si>
    <t>Courriel</t>
  </si>
  <si>
    <t>Date</t>
  </si>
  <si>
    <t>Année financière</t>
  </si>
  <si>
    <t>Année de référence</t>
  </si>
  <si>
    <t>Facteur consom. Variable</t>
  </si>
  <si>
    <t>Intensité énerg. minimum</t>
  </si>
  <si>
    <t>Intensité énerg. maximum</t>
  </si>
  <si>
    <t>Organisme
(acronyme)</t>
  </si>
  <si>
    <r>
      <t>Superficie
m</t>
    </r>
    <r>
      <rPr>
        <b/>
        <vertAlign val="superscript"/>
        <sz val="8"/>
        <rFont val="Arial"/>
        <family val="2"/>
      </rPr>
      <t>2</t>
    </r>
  </si>
  <si>
    <t>Nombre de
bâtiments</t>
  </si>
  <si>
    <t xml:space="preserve"> Bâtiment</t>
  </si>
  <si>
    <t>Ministère
ou organisme</t>
  </si>
  <si>
    <t>Nom de la personne
responsable</t>
  </si>
  <si>
    <t>Année
financière</t>
  </si>
  <si>
    <t>Année
de référence</t>
  </si>
  <si>
    <t>Facteur de
consommation
variable</t>
  </si>
  <si>
    <t>Intensité
énergétique
minimum</t>
  </si>
  <si>
    <t>Intensité
énergétique
maximum</t>
  </si>
  <si>
    <t>Vapeur</t>
  </si>
  <si>
    <t>Données bâtiments</t>
  </si>
  <si>
    <t>X</t>
  </si>
  <si>
    <t>s</t>
  </si>
  <si>
    <t xml:space="preserve"> </t>
  </si>
  <si>
    <t>Concatener (cette colonne est un repére de données pour les rapports personnalisés)</t>
  </si>
  <si>
    <r>
      <t xml:space="preserve">Veuillez inscrire l'information dans les cellules ombragées en </t>
    </r>
    <r>
      <rPr>
        <b/>
        <u/>
        <sz val="13.5"/>
        <rFont val="Calibri"/>
        <family val="2"/>
      </rPr>
      <t>bleu pâle</t>
    </r>
    <r>
      <rPr>
        <b/>
        <sz val="13.5"/>
        <rFont val="Calibri"/>
        <family val="2"/>
      </rPr>
      <t>.</t>
    </r>
  </si>
  <si>
    <t>Nom du projet n°1</t>
  </si>
  <si>
    <t>Nom du projet n°2</t>
  </si>
  <si>
    <t>Nom du projet n°3</t>
  </si>
  <si>
    <t>Nom du projet n°4</t>
  </si>
  <si>
    <t>Nom du projet n°5</t>
  </si>
  <si>
    <t>Nom du projet n°6</t>
  </si>
  <si>
    <t>Nom du projet n°7</t>
  </si>
  <si>
    <t>Tendance de l'effet</t>
  </si>
  <si>
    <t>Effet annuel sur la référence</t>
  </si>
  <si>
    <t>Résidus de bois (20 % d'humidité)</t>
  </si>
  <si>
    <t>Résidus de bois (45 % d'humidité)</t>
  </si>
  <si>
    <t>Ne pas effacer, à blanchir et bloquer lors de la mise en route</t>
  </si>
  <si>
    <r>
      <t>[T éq. CO</t>
    </r>
    <r>
      <rPr>
        <vertAlign val="subscript"/>
        <sz val="11"/>
        <color indexed="9"/>
        <rFont val="Calibri"/>
        <family val="2"/>
      </rPr>
      <t>2</t>
    </r>
    <r>
      <rPr>
        <sz val="11"/>
        <color indexed="9"/>
        <rFont val="Calibri"/>
        <family val="2"/>
      </rPr>
      <t>]</t>
    </r>
  </si>
  <si>
    <t>Économie d'énergie</t>
  </si>
  <si>
    <t>Etablissements d'enseignement supérieur - Cégep</t>
  </si>
  <si>
    <t xml:space="preserve">     Recueillir l'information sur la consommation énergétique liée aux bâtiments de l'organisation et suivre son évolution.</t>
  </si>
  <si>
    <t xml:space="preserve">Dans le cas où un projet ayant un effet sur la consommation énergétique a eu lieu au cours de l'année (rénovation, agrandissement, etc.), </t>
  </si>
  <si>
    <t>Identité et coordonnées</t>
  </si>
  <si>
    <t>Code du MO</t>
  </si>
  <si>
    <t>NOM DE L'ENTITÉ</t>
  </si>
  <si>
    <t>NUMÉRO
APPARENTÉ
SAGIR</t>
  </si>
  <si>
    <t>Agence du revenu du Québec</t>
  </si>
  <si>
    <t>0445</t>
  </si>
  <si>
    <t>0553</t>
  </si>
  <si>
    <t>Assemblée nationale du Québec</t>
  </si>
  <si>
    <t>0370</t>
  </si>
  <si>
    <t>Autorité des marchés financiers</t>
  </si>
  <si>
    <t>0356</t>
  </si>
  <si>
    <t>Bibliothèque et Archives nationales du Québec</t>
  </si>
  <si>
    <t>0326</t>
  </si>
  <si>
    <t>Bureau d'audiences publiques sur l'environnement</t>
  </si>
  <si>
    <t>0256</t>
  </si>
  <si>
    <t>0293</t>
  </si>
  <si>
    <t>Capital financière agricole inc.</t>
  </si>
  <si>
    <t>0899</t>
  </si>
  <si>
    <t>Centre de la francophonie des Amériques</t>
  </si>
  <si>
    <t>0222</t>
  </si>
  <si>
    <t>Centre de recherche industrielle du Québec</t>
  </si>
  <si>
    <t>0523</t>
  </si>
  <si>
    <t>Centre de services partagés du Québec</t>
  </si>
  <si>
    <t>0347</t>
  </si>
  <si>
    <t>Centre régional de santé et de services sociaux de la Baie-James</t>
  </si>
  <si>
    <t>4051</t>
  </si>
  <si>
    <t>0408</t>
  </si>
  <si>
    <t>Commission de la capitale nationale du Québec</t>
  </si>
  <si>
    <t>0549</t>
  </si>
  <si>
    <t>Commission de la fonction publique du Québec</t>
  </si>
  <si>
    <t>0430</t>
  </si>
  <si>
    <t>Commission de protection du territoire agricole du Québec</t>
  </si>
  <si>
    <t>0328</t>
  </si>
  <si>
    <t>Commission des droits de la personne et des droits de la jeunesse</t>
  </si>
  <si>
    <t>0271</t>
  </si>
  <si>
    <t>Commission des services juridiques</t>
  </si>
  <si>
    <t>0315</t>
  </si>
  <si>
    <t>Commission des transports du Québec</t>
  </si>
  <si>
    <t>0830</t>
  </si>
  <si>
    <t>Commission d'évaluation de l'enseignement collégial</t>
  </si>
  <si>
    <t>Conseil des arts et des lettres du Québec</t>
  </si>
  <si>
    <t>0314</t>
  </si>
  <si>
    <t>0206</t>
  </si>
  <si>
    <t>Conseil du statut de la femme</t>
  </si>
  <si>
    <t>0660</t>
  </si>
  <si>
    <t>Conseil supérieur de la langue française</t>
  </si>
  <si>
    <t>0690</t>
  </si>
  <si>
    <t>Conseil supérieur de l'éducation</t>
  </si>
  <si>
    <t>0238</t>
  </si>
  <si>
    <t>Conservatoire de musique et d'art dramatique du Québec</t>
  </si>
  <si>
    <t>0317</t>
  </si>
  <si>
    <t>Corporation d'urgences-santé</t>
  </si>
  <si>
    <t>0571</t>
  </si>
  <si>
    <t>Curateur public du Québec</t>
  </si>
  <si>
    <t>0560</t>
  </si>
  <si>
    <t>Directeur des poursuites criminelles et pénales</t>
  </si>
  <si>
    <t>0246</t>
  </si>
  <si>
    <t>0630</t>
  </si>
  <si>
    <t>École nationale de police du Québec</t>
  </si>
  <si>
    <t>0329</t>
  </si>
  <si>
    <t>École nationale des pompiers du Québec</t>
  </si>
  <si>
    <t>0335</t>
  </si>
  <si>
    <t>Fondation de la faune du Québec</t>
  </si>
  <si>
    <t>0525</t>
  </si>
  <si>
    <t>Fonds de la recherche du Québec – Nature et technologies</t>
  </si>
  <si>
    <t>0327</t>
  </si>
  <si>
    <t>Héma-Québec</t>
  </si>
  <si>
    <t>0573</t>
  </si>
  <si>
    <t>Hydro-Québec</t>
  </si>
  <si>
    <t>0606</t>
  </si>
  <si>
    <t>Institut de la statistique du Québec</t>
  </si>
  <si>
    <t>0323</t>
  </si>
  <si>
    <t>Institut de tourisme et d'hôtellerie du Québec</t>
  </si>
  <si>
    <t>0547</t>
  </si>
  <si>
    <t>Institut national de santé publique du Québec</t>
  </si>
  <si>
    <t>0332</t>
  </si>
  <si>
    <t>Investissement Québec</t>
  </si>
  <si>
    <t>0537</t>
  </si>
  <si>
    <t>Financière agricole du Québec</t>
  </si>
  <si>
    <t>0520</t>
  </si>
  <si>
    <t>0627</t>
  </si>
  <si>
    <t>Ministère de la Culture et des Communications</t>
  </si>
  <si>
    <t>0010</t>
  </si>
  <si>
    <t>Ministère de la Famille</t>
  </si>
  <si>
    <t>0065</t>
  </si>
  <si>
    <t>0400</t>
  </si>
  <si>
    <t>Ministère de la Santé et des Services sociaux</t>
  </si>
  <si>
    <t>0060</t>
  </si>
  <si>
    <t>Ministère de la Sécurité publique</t>
  </si>
  <si>
    <t>0095</t>
  </si>
  <si>
    <t>Ministère de l'Agriculture, des Pêcheries et de l'Alimentation</t>
  </si>
  <si>
    <t>0080</t>
  </si>
  <si>
    <t>0700</t>
  </si>
  <si>
    <t>0055</t>
  </si>
  <si>
    <t>0050</t>
  </si>
  <si>
    <t>0210</t>
  </si>
  <si>
    <t>0030</t>
  </si>
  <si>
    <t>0850</t>
  </si>
  <si>
    <t>Ministère du Conseil exécutif</t>
  </si>
  <si>
    <t>0140</t>
  </si>
  <si>
    <t>0380</t>
  </si>
  <si>
    <t>0071</t>
  </si>
  <si>
    <t>Musée d'art contemporain de Montréal</t>
  </si>
  <si>
    <t>0541</t>
  </si>
  <si>
    <t>0544</t>
  </si>
  <si>
    <t>Musée national des beaux-arts du Québec</t>
  </si>
  <si>
    <t>0545</t>
  </si>
  <si>
    <t>Office de la protection du consommateur</t>
  </si>
  <si>
    <t>0344</t>
  </si>
  <si>
    <t>Office de la sécurité du revenu des chasseurs et piégeurs cris</t>
  </si>
  <si>
    <t>0483</t>
  </si>
  <si>
    <t>Office des personnes handicapées du Québec</t>
  </si>
  <si>
    <t>0538</t>
  </si>
  <si>
    <t>Office des professions du Québec</t>
  </si>
  <si>
    <t>0360</t>
  </si>
  <si>
    <t>0346</t>
  </si>
  <si>
    <t>Office Québec-Monde pour la jeunesse</t>
  </si>
  <si>
    <t>0239</t>
  </si>
  <si>
    <t>Office québécois de la langue française</t>
  </si>
  <si>
    <t>0710</t>
  </si>
  <si>
    <t>0295</t>
  </si>
  <si>
    <t>Régie de l'assurance maladie du Québec</t>
  </si>
  <si>
    <t>0064</t>
  </si>
  <si>
    <t>Régie de l'énergie</t>
  </si>
  <si>
    <t>0385</t>
  </si>
  <si>
    <t>Régie des alcools, des courses et des jeux</t>
  </si>
  <si>
    <t>0386</t>
  </si>
  <si>
    <t>Régie des installations olympiques</t>
  </si>
  <si>
    <t>0546</t>
  </si>
  <si>
    <t>Régie des marchés agricoles et alimentaires du Québec</t>
  </si>
  <si>
    <t>0392</t>
  </si>
  <si>
    <t>Régie du bâtiment du Québec</t>
  </si>
  <si>
    <t>0367</t>
  </si>
  <si>
    <t>Régie du cinéma</t>
  </si>
  <si>
    <t>0352</t>
  </si>
  <si>
    <t>0510</t>
  </si>
  <si>
    <t>Régie régionale de la santé et des services sociaux du Nunavik</t>
  </si>
  <si>
    <t>4017</t>
  </si>
  <si>
    <t>0160</t>
  </si>
  <si>
    <t>0618</t>
  </si>
  <si>
    <t>Société de développement des entreprises culturelles</t>
  </si>
  <si>
    <t>0539</t>
  </si>
  <si>
    <t>Société de la Place de Arts de Montréal</t>
  </si>
  <si>
    <t>0552</t>
  </si>
  <si>
    <t>Société de l'assurance automobile du Québec</t>
  </si>
  <si>
    <t>0320</t>
  </si>
  <si>
    <t>Société de télédiffusion du Québec</t>
  </si>
  <si>
    <t>0582</t>
  </si>
  <si>
    <t>0624</t>
  </si>
  <si>
    <t>Société des établissements de plein air du Québec</t>
  </si>
  <si>
    <t>0569</t>
  </si>
  <si>
    <t>0554</t>
  </si>
  <si>
    <t>Société d'habitation du Québec</t>
  </si>
  <si>
    <t>0730</t>
  </si>
  <si>
    <t>Société du Centre des congrès de Québec</t>
  </si>
  <si>
    <t>0557</t>
  </si>
  <si>
    <t>Société du Grand Théâtre de Québec</t>
  </si>
  <si>
    <t>0558</t>
  </si>
  <si>
    <t>Société du Palais des congrès de Montréal</t>
  </si>
  <si>
    <t>0559</t>
  </si>
  <si>
    <t>Société du parc industriel et portuaire de Bécancour</t>
  </si>
  <si>
    <t>0565</t>
  </si>
  <si>
    <t>Société québécoise de récupération et de recyclage</t>
  </si>
  <si>
    <t>0586</t>
  </si>
  <si>
    <t>Société québécoise des infrastructures</t>
  </si>
  <si>
    <t>0339</t>
  </si>
  <si>
    <t>Société québécoise d'information juridique</t>
  </si>
  <si>
    <t>0585</t>
  </si>
  <si>
    <t>Sûreté du Québec</t>
  </si>
  <si>
    <t>0390</t>
  </si>
  <si>
    <t>Tribunal administratif du Québec</t>
  </si>
  <si>
    <t>0450</t>
  </si>
  <si>
    <t>0434</t>
  </si>
  <si>
    <t>Caisse de dépôt et placement du Québec et filiales</t>
  </si>
  <si>
    <t>Commission de la construction du Québec</t>
  </si>
  <si>
    <t>Commission québécoise des libérations conditionnelles</t>
  </si>
  <si>
    <t>Conseil Cris-Québec sur la foresterie</t>
  </si>
  <si>
    <t>Conseil de gestion de l'assurance parentale</t>
  </si>
  <si>
    <t>Conseil des appellations réservées et des termes valorisants</t>
  </si>
  <si>
    <t>Institut national d'excellence en santé et en services sociaux</t>
  </si>
  <si>
    <t>Code du ministère ou de l'organisme :</t>
  </si>
  <si>
    <r>
      <t>[kg éq. CO</t>
    </r>
    <r>
      <rPr>
        <vertAlign val="subscript"/>
        <sz val="11"/>
        <color indexed="9"/>
        <rFont val="Calibri"/>
        <family val="2"/>
      </rPr>
      <t>2</t>
    </r>
    <r>
      <rPr>
        <sz val="11"/>
        <color indexed="9"/>
        <rFont val="Calibri"/>
        <family val="2"/>
      </rPr>
      <t>/m²]</t>
    </r>
  </si>
  <si>
    <t>Conseil du patrimoine culturel du Québec</t>
  </si>
  <si>
    <t>Tribunal des droits de la personne</t>
  </si>
  <si>
    <t>Comité de déontologie policière</t>
  </si>
  <si>
    <t>Commissaire à la déontologie policière</t>
  </si>
  <si>
    <t>[kg CO2 eq/m²]</t>
  </si>
  <si>
    <t>Autre type d'énergie?</t>
  </si>
  <si>
    <t>Eau refroidie</t>
  </si>
  <si>
    <t>Eau chaude</t>
  </si>
  <si>
    <t>[lbs]</t>
  </si>
  <si>
    <t>ZONE TRANSITION:</t>
  </si>
  <si>
    <t>[MBTU]</t>
  </si>
  <si>
    <t>2009-2010</t>
  </si>
  <si>
    <t>Source d'énergie - Unité de mesure</t>
  </si>
  <si>
    <t>unité</t>
  </si>
  <si>
    <t>Gigajoules brutes [GJ]/unité</t>
  </si>
  <si>
    <t>GES [kg CO2]/unité</t>
  </si>
  <si>
    <t>GES [kg CO2]/GJ</t>
  </si>
  <si>
    <t>facteurs de conversion</t>
  </si>
  <si>
    <t>m³</t>
  </si>
  <si>
    <t>à</t>
  </si>
  <si>
    <t>millier de pi³</t>
  </si>
  <si>
    <t>litre</t>
  </si>
  <si>
    <t>gal imp</t>
  </si>
  <si>
    <t>1000 kg</t>
  </si>
  <si>
    <t>1000 lbs</t>
  </si>
  <si>
    <t>Gaz propane - Litre</t>
  </si>
  <si>
    <t>Gaz propane - Gallon (imp.)</t>
  </si>
  <si>
    <t>Résidus de bois (20% d'humidité) - 1000kg (MG)</t>
  </si>
  <si>
    <t>Résidus de bois (20% d'humidité) - 1000lbs</t>
  </si>
  <si>
    <t>Résidus de bois (45% d'humidité) - 1000kg (MG)</t>
  </si>
  <si>
    <t>Résidus de bois (45% d'humidité) - 1000lbs</t>
  </si>
  <si>
    <t>Eau refroidie - MBTU</t>
  </si>
  <si>
    <t>Eau chaude - MBTU</t>
  </si>
  <si>
    <t>références:</t>
  </si>
  <si>
    <t>Annexe 13 du Rapport d'inventaire national du Canada 1990-2010 partie 3</t>
  </si>
  <si>
    <t>Règlement sur la déclaration obligatoire de certaines émission de contaminants dans l'atmosphère, Loi sur la qualité de l'environnement, Q-2, a.2.2, 109.1 et 124.1, tableau 1-3 Facteurs d’émission selon le type de combustible</t>
  </si>
  <si>
    <t>Utilisation des données pour usages industriels, ciment, secteur manufacturier et secteurs résidentiel, commercial, isntitutionnel, agricile et de la construction (évacuation de centrale électrique, autoconsommation ou gazoduc).</t>
  </si>
  <si>
    <t>Benoît Légaré, Nadia Lalancette et Michel Fournier, on convient de d'utiliser la valeur calculée à la colonne 18</t>
  </si>
  <si>
    <t>Ces facteurs sont les mêmes que ceux utilisés dans le fichier CompilationSommaireV5</t>
  </si>
  <si>
    <t>Facteur de conversion normalisé pour le gaz naturel au Québec, par Gaz Métro</t>
  </si>
  <si>
    <t>MELS- ES</t>
  </si>
  <si>
    <t>Vapeur - Lbs</t>
  </si>
  <si>
    <t>Bureau du coroner</t>
  </si>
  <si>
    <t>Commission municipale du Québec</t>
  </si>
  <si>
    <t>Protecteur du citoyen</t>
  </si>
  <si>
    <t>0368</t>
  </si>
  <si>
    <t>0350</t>
  </si>
  <si>
    <t>Énergie brute2 par unité (MJ)</t>
  </si>
  <si>
    <t>Électricité</t>
  </si>
  <si>
    <t>kWh</t>
  </si>
  <si>
    <t>Gaz naturel - m3</t>
  </si>
  <si>
    <t>Gaz naturel - Mille pi3</t>
  </si>
  <si>
    <t>Mazout 2 léger</t>
  </si>
  <si>
    <t>Mazout no 2 - Litre</t>
  </si>
  <si>
    <t>L</t>
  </si>
  <si>
    <t>Mazout no 2 - Gallon (imp.)</t>
  </si>
  <si>
    <t>Mazout 6 lourd</t>
  </si>
  <si>
    <t>Mazout no 6 - Litre</t>
  </si>
  <si>
    <t>Mazout no 6 - Gallon (imp.)</t>
  </si>
  <si>
    <t>kg (MG)</t>
  </si>
  <si>
    <t>Résidus de bois (45% d'humidité)</t>
  </si>
  <si>
    <t>Lbs</t>
  </si>
  <si>
    <t>MBTU</t>
  </si>
  <si>
    <t>1.</t>
  </si>
  <si>
    <t>2.</t>
  </si>
  <si>
    <t>3.</t>
  </si>
  <si>
    <t>4.</t>
  </si>
  <si>
    <t>5.</t>
  </si>
  <si>
    <t>QUESTIONS SPÉCIFIQUES (cocher si applicable)</t>
  </si>
  <si>
    <t xml:space="preserve"> [VRAI/FAUX]</t>
  </si>
  <si>
    <r>
      <t>1</t>
    </r>
    <r>
      <rPr>
        <vertAlign val="superscript"/>
        <sz val="11"/>
        <rFont val="Calibri"/>
        <family val="2"/>
      </rPr>
      <t>er</t>
    </r>
    <r>
      <rPr>
        <sz val="11"/>
        <rFont val="Calibri"/>
        <family val="2"/>
      </rPr>
      <t xml:space="preserve"> janvier au 31 décembre</t>
    </r>
  </si>
  <si>
    <r>
      <t>1</t>
    </r>
    <r>
      <rPr>
        <vertAlign val="superscript"/>
        <sz val="11"/>
        <rFont val="Calibri"/>
        <family val="2"/>
      </rPr>
      <t>er</t>
    </r>
    <r>
      <rPr>
        <sz val="11"/>
        <rFont val="Calibri"/>
        <family val="2"/>
      </rPr>
      <t xml:space="preserve"> avril au 31 mars</t>
    </r>
  </si>
  <si>
    <r>
      <t>1</t>
    </r>
    <r>
      <rPr>
        <vertAlign val="superscript"/>
        <sz val="11"/>
        <rFont val="Calibri"/>
        <family val="2"/>
      </rPr>
      <t>er</t>
    </r>
    <r>
      <rPr>
        <sz val="11"/>
        <rFont val="Calibri"/>
        <family val="2"/>
      </rPr>
      <t xml:space="preserve"> mai au 30 avril</t>
    </r>
  </si>
  <si>
    <r>
      <t>1</t>
    </r>
    <r>
      <rPr>
        <vertAlign val="superscript"/>
        <sz val="11"/>
        <rFont val="Calibri"/>
        <family val="2"/>
      </rPr>
      <t>er</t>
    </r>
    <r>
      <rPr>
        <sz val="11"/>
        <rFont val="Calibri"/>
        <family val="2"/>
      </rPr>
      <t xml:space="preserve"> juin au 31 mai</t>
    </r>
  </si>
  <si>
    <r>
      <t>1</t>
    </r>
    <r>
      <rPr>
        <vertAlign val="superscript"/>
        <sz val="11"/>
        <rFont val="Calibri"/>
        <family val="2"/>
      </rPr>
      <t>er</t>
    </r>
    <r>
      <rPr>
        <sz val="11"/>
        <rFont val="Calibri"/>
        <family val="2"/>
      </rPr>
      <t xml:space="preserve"> juillet au 30 juin</t>
    </r>
  </si>
  <si>
    <t>Commentaires</t>
  </si>
  <si>
    <r>
      <t xml:space="preserve">Pour les fins du BEIE, la saisie mensuelle des données est </t>
    </r>
    <r>
      <rPr>
        <b/>
        <u/>
        <sz val="12"/>
        <color indexed="13"/>
        <rFont val="Calibri"/>
        <family val="2"/>
      </rPr>
      <t>optionnelle</t>
    </r>
    <r>
      <rPr>
        <b/>
        <sz val="12"/>
        <color indexed="9"/>
        <rFont val="Calibri"/>
        <family val="2"/>
      </rPr>
      <t>. Les espaces pour saisir mensuellement les données sont mises à la disposition des MO afin de leur permettre de suivre périodiquement la consommation.</t>
    </r>
  </si>
  <si>
    <t xml:space="preserve">        Si vous avez implanté des mesures d'efficacité énergétique ou de réduction de GES, veuillez l'indiquer dans le tableau ci-dessous.</t>
  </si>
  <si>
    <t>Forme d'énergie</t>
  </si>
  <si>
    <t>GJ/unité</t>
  </si>
  <si>
    <t>MJ/unité</t>
  </si>
  <si>
    <r>
      <t>kg CO</t>
    </r>
    <r>
      <rPr>
        <b/>
        <vertAlign val="subscript"/>
        <sz val="11"/>
        <rFont val="Calibri"/>
        <family val="2"/>
      </rPr>
      <t>2</t>
    </r>
    <r>
      <rPr>
        <b/>
        <sz val="11"/>
        <rFont val="Calibri"/>
        <family val="2"/>
      </rPr>
      <t>éq./unité</t>
    </r>
  </si>
  <si>
    <r>
      <t>kg CO</t>
    </r>
    <r>
      <rPr>
        <b/>
        <vertAlign val="subscript"/>
        <sz val="11"/>
        <rFont val="Calibri"/>
        <family val="2"/>
      </rPr>
      <t>2</t>
    </r>
    <r>
      <rPr>
        <b/>
        <sz val="11"/>
        <rFont val="Calibri"/>
        <family val="2"/>
      </rPr>
      <t>éq./GJ</t>
    </r>
  </si>
  <si>
    <t>Superficie contient des surfaces louées</t>
  </si>
  <si>
    <t>Valeurs de consommation proviennent de surfaces des surfaces louées</t>
  </si>
  <si>
    <t>Projet(s) modifiant la superficie fait(s) lors de l'année de suivi</t>
  </si>
  <si>
    <t>Taxes de ventes inclues dans le montant dépensé en énergie</t>
  </si>
  <si>
    <t>Murs extérieurs exclus de la superficie</t>
  </si>
  <si>
    <t>Type(s) de système(s) touché(s)</t>
  </si>
  <si>
    <t>Autres actions</t>
  </si>
  <si>
    <t>Enveloppe de bâtiment</t>
  </si>
  <si>
    <t>Conseil de la justice administrative</t>
  </si>
  <si>
    <t>Directeur général des élections du Québec</t>
  </si>
  <si>
    <t>Fonds d'aide aux recours collectifs</t>
  </si>
  <si>
    <t xml:space="preserve">Ministère des Ressources naturelles </t>
  </si>
  <si>
    <t>0357</t>
  </si>
  <si>
    <t>0425</t>
  </si>
  <si>
    <t>0876</t>
  </si>
  <si>
    <t>0321</t>
  </si>
  <si>
    <t>0324</t>
  </si>
  <si>
    <t>0318</t>
  </si>
  <si>
    <t>0600</t>
  </si>
  <si>
    <t>0280</t>
  </si>
  <si>
    <t>Identité</t>
  </si>
  <si>
    <t>Affirmation</t>
  </si>
  <si>
    <t>Adéquate</t>
  </si>
  <si>
    <t>Place à amélioration</t>
  </si>
  <si>
    <t>x</t>
  </si>
  <si>
    <t>PROCESSUS DE COLLECTE DE DONNÉES ÉNERGÉTIQUES POUR LES BÂTIMENTS</t>
  </si>
  <si>
    <t>1. Les énergies les plus consommées sont l’électricité et le gaz naturel.</t>
  </si>
  <si>
    <t xml:space="preserve">2. Les factures d’énergie arrivent généralement aux ressources matérielles et sont ensuite acheminées aux ressources financières. </t>
  </si>
  <si>
    <t>3. La saisie et la compilation des données sont effectuées dans un fichier maison.</t>
  </si>
  <si>
    <t>4. La validation des données énergétique est effectuée sur une base mensuelle.</t>
  </si>
  <si>
    <t xml:space="preserve">5. Lorsqu’une nouvelle personne est en charge de la collecte des données énergétiques au sein d’un MO, sa formation consiste généralement en une transmission sommaire des informations. </t>
  </si>
  <si>
    <t>6. Parmi les MO ayant des stationnements intérieurs, ce ne sont que les stationnements intérieurs chauffés et éclairés qui sont inclus dans la valeur de superficie.</t>
  </si>
  <si>
    <t xml:space="preserve">7. Pour l’analyse des consommations, seule une analyse sommaire des consommations est effectuée. </t>
  </si>
  <si>
    <t>8. Les températures ne sont pas normalisées en fonction des degrés jours de chauffe.</t>
  </si>
  <si>
    <t xml:space="preserve">9. Généralement, aucune estimation de données n’est effectuée. </t>
  </si>
  <si>
    <t xml:space="preserve">10. Les MO incluent généralement les consommations de tous les mois pour tous les bâtiments dans leur rapport annuel. </t>
  </si>
  <si>
    <t xml:space="preserve">12. Les données énergétiques font partie d’une publication publiée sous la gouverne du MO. </t>
  </si>
  <si>
    <t>Commissaire à la lutte contre la corruption</t>
  </si>
  <si>
    <t>Commission des partenaires du marché du travail</t>
  </si>
  <si>
    <t>Liste des ministères et organismes</t>
  </si>
  <si>
    <t>0603</t>
  </si>
  <si>
    <t>0509</t>
  </si>
  <si>
    <t>0203</t>
  </si>
  <si>
    <t>0505</t>
  </si>
  <si>
    <t>0212</t>
  </si>
  <si>
    <t>Résidus de bois (8% d'humidité)</t>
  </si>
  <si>
    <t>kg</t>
  </si>
  <si>
    <t>Résidus de bois (35% d'humidité)</t>
  </si>
  <si>
    <r>
      <t xml:space="preserve">Table de conversion des différentes formes d'énergie utilisées dans les bâtiments 
</t>
    </r>
    <r>
      <rPr>
        <b/>
        <sz val="10"/>
        <rFont val="Calibri"/>
        <family val="2"/>
      </rPr>
      <t>(en vigueur depuis octobre 2016)</t>
    </r>
  </si>
  <si>
    <t>Commission des normes, de l'équité, de la santé et de la sécurité du travail</t>
  </si>
  <si>
    <t>Ministère des Finances</t>
  </si>
  <si>
    <t>0402</t>
  </si>
  <si>
    <t>0267</t>
  </si>
  <si>
    <t>0703</t>
  </si>
  <si>
    <t>0310</t>
  </si>
  <si>
    <t>0063</t>
  </si>
  <si>
    <t>Résidus de bois
 (8% d'humidité)</t>
  </si>
  <si>
    <t>Résidus de bois
(35% d'humidité)</t>
  </si>
  <si>
    <t>Retraite Québec</t>
  </si>
  <si>
    <t>0415</t>
  </si>
  <si>
    <t>Résidus de bois
 (8 % d'humidité)</t>
  </si>
  <si>
    <t>Résidus de bois
(35 % d'humidité)</t>
  </si>
  <si>
    <t>Ministère de l'Éducation et de l'Enseignement supérieur</t>
  </si>
  <si>
    <t xml:space="preserve">    ← Veuillez utiliser la liste déroulante pour choisir la période de l'année financière</t>
  </si>
  <si>
    <r>
      <t xml:space="preserve">    </t>
    </r>
    <r>
      <rPr>
        <sz val="16"/>
        <color indexed="10"/>
        <rFont val="Arial"/>
        <family val="2"/>
      </rPr>
      <t>←</t>
    </r>
    <r>
      <rPr>
        <b/>
        <sz val="11"/>
        <color indexed="10"/>
        <rFont val="Arial"/>
        <family val="2"/>
      </rPr>
      <t xml:space="preserve"> Veuillez utiliser la liste déroulante pour choisir le nom de votre organisme.</t>
    </r>
  </si>
  <si>
    <t>MESURES D'EFFICACITÉ ÉNERGÉTIQUE</t>
  </si>
  <si>
    <t>Intensité énergétique minimale :</t>
  </si>
  <si>
    <t>Intensité énergétique maximale :</t>
  </si>
  <si>
    <t>11. Les documents contenant les données énergétiques, transmis à Transition énergétique Québec, doivent d’abord être révisés par une personne en autorité.</t>
  </si>
  <si>
    <t>13. Le fichier de saisie de Transition énergétique Québec est utilisé par une grande partie des MO.</t>
  </si>
  <si>
    <r>
      <t>Nom du projet n</t>
    </r>
    <r>
      <rPr>
        <vertAlign val="superscript"/>
        <sz val="11"/>
        <rFont val="Calibri"/>
        <family val="2"/>
      </rPr>
      <t>o</t>
    </r>
    <r>
      <rPr>
        <sz val="11"/>
        <rFont val="Calibri"/>
        <family val="2"/>
      </rPr>
      <t>1</t>
    </r>
  </si>
  <si>
    <r>
      <t>Nom du projet n</t>
    </r>
    <r>
      <rPr>
        <vertAlign val="superscript"/>
        <sz val="11"/>
        <rFont val="Calibri"/>
        <family val="2"/>
      </rPr>
      <t>o</t>
    </r>
    <r>
      <rPr>
        <sz val="11"/>
        <rFont val="Calibri"/>
        <family val="2"/>
      </rPr>
      <t>3</t>
    </r>
  </si>
  <si>
    <r>
      <t>Nom du projet n</t>
    </r>
    <r>
      <rPr>
        <vertAlign val="superscript"/>
        <sz val="11"/>
        <rFont val="Calibri"/>
        <family val="2"/>
      </rPr>
      <t>o</t>
    </r>
    <r>
      <rPr>
        <sz val="11"/>
        <rFont val="Calibri"/>
        <family val="2"/>
      </rPr>
      <t>2</t>
    </r>
  </si>
  <si>
    <r>
      <t>Nom du projet n</t>
    </r>
    <r>
      <rPr>
        <vertAlign val="superscript"/>
        <sz val="11"/>
        <rFont val="Calibri"/>
        <family val="2"/>
      </rPr>
      <t>o</t>
    </r>
    <r>
      <rPr>
        <sz val="11"/>
        <rFont val="Calibri"/>
        <family val="2"/>
      </rPr>
      <t>7</t>
    </r>
  </si>
  <si>
    <r>
      <t>Nom du projet n</t>
    </r>
    <r>
      <rPr>
        <vertAlign val="superscript"/>
        <sz val="11"/>
        <rFont val="Calibri"/>
        <family val="2"/>
      </rPr>
      <t>o</t>
    </r>
    <r>
      <rPr>
        <sz val="11"/>
        <rFont val="Calibri"/>
        <family val="2"/>
      </rPr>
      <t>6</t>
    </r>
  </si>
  <si>
    <r>
      <t>Nom du projet n</t>
    </r>
    <r>
      <rPr>
        <vertAlign val="superscript"/>
        <sz val="11"/>
        <rFont val="Calibri"/>
        <family val="2"/>
      </rPr>
      <t>o</t>
    </r>
    <r>
      <rPr>
        <sz val="11"/>
        <rFont val="Calibri"/>
        <family val="2"/>
      </rPr>
      <t>5</t>
    </r>
  </si>
  <si>
    <r>
      <t>Nom du projet n</t>
    </r>
    <r>
      <rPr>
        <vertAlign val="superscript"/>
        <sz val="11"/>
        <rFont val="Calibri"/>
        <family val="2"/>
      </rPr>
      <t>o</t>
    </r>
    <r>
      <rPr>
        <sz val="11"/>
        <rFont val="Calibri"/>
        <family val="2"/>
      </rPr>
      <t>4</t>
    </r>
  </si>
  <si>
    <r>
      <t>Nom du projet n</t>
    </r>
    <r>
      <rPr>
        <vertAlign val="superscript"/>
        <sz val="11"/>
        <color indexed="8"/>
        <rFont val="Calibri"/>
        <family val="2"/>
      </rPr>
      <t>o</t>
    </r>
    <r>
      <rPr>
        <sz val="11"/>
        <color theme="1"/>
        <rFont val="Calibri"/>
        <family val="2"/>
        <scheme val="minor"/>
      </rPr>
      <t>1</t>
    </r>
  </si>
  <si>
    <r>
      <t>Nom du projet n</t>
    </r>
    <r>
      <rPr>
        <vertAlign val="superscript"/>
        <sz val="11"/>
        <color indexed="8"/>
        <rFont val="Calibri"/>
        <family val="2"/>
      </rPr>
      <t>o</t>
    </r>
    <r>
      <rPr>
        <sz val="11"/>
        <color theme="1"/>
        <rFont val="Calibri"/>
        <family val="2"/>
        <scheme val="minor"/>
      </rPr>
      <t>2</t>
    </r>
  </si>
  <si>
    <r>
      <t>Nom du projet n</t>
    </r>
    <r>
      <rPr>
        <vertAlign val="superscript"/>
        <sz val="11"/>
        <color indexed="8"/>
        <rFont val="Calibri"/>
        <family val="2"/>
      </rPr>
      <t>o</t>
    </r>
    <r>
      <rPr>
        <sz val="11"/>
        <color theme="1"/>
        <rFont val="Calibri"/>
        <family val="2"/>
        <scheme val="minor"/>
      </rPr>
      <t>3</t>
    </r>
  </si>
  <si>
    <r>
      <t>Nom du projet n</t>
    </r>
    <r>
      <rPr>
        <vertAlign val="superscript"/>
        <sz val="11"/>
        <color indexed="8"/>
        <rFont val="Calibri"/>
        <family val="2"/>
      </rPr>
      <t>o</t>
    </r>
    <r>
      <rPr>
        <sz val="11"/>
        <color theme="1"/>
        <rFont val="Calibri"/>
        <family val="2"/>
        <scheme val="minor"/>
      </rPr>
      <t>4</t>
    </r>
  </si>
  <si>
    <r>
      <t>Nom du projet n</t>
    </r>
    <r>
      <rPr>
        <vertAlign val="superscript"/>
        <sz val="11"/>
        <color indexed="8"/>
        <rFont val="Calibri"/>
        <family val="2"/>
      </rPr>
      <t>o</t>
    </r>
    <r>
      <rPr>
        <sz val="11"/>
        <color theme="1"/>
        <rFont val="Calibri"/>
        <family val="2"/>
        <scheme val="minor"/>
      </rPr>
      <t>5</t>
    </r>
  </si>
  <si>
    <r>
      <t>Nom du projet n</t>
    </r>
    <r>
      <rPr>
        <vertAlign val="superscript"/>
        <sz val="11"/>
        <color indexed="8"/>
        <rFont val="Calibri"/>
        <family val="2"/>
      </rPr>
      <t>o</t>
    </r>
    <r>
      <rPr>
        <sz val="11"/>
        <color theme="1"/>
        <rFont val="Calibri"/>
        <family val="2"/>
        <scheme val="minor"/>
      </rPr>
      <t>6</t>
    </r>
  </si>
  <si>
    <r>
      <t>Nom du projet n</t>
    </r>
    <r>
      <rPr>
        <vertAlign val="superscript"/>
        <sz val="11"/>
        <color indexed="8"/>
        <rFont val="Calibri"/>
        <family val="2"/>
      </rPr>
      <t>o</t>
    </r>
    <r>
      <rPr>
        <sz val="11"/>
        <color theme="1"/>
        <rFont val="Calibri"/>
        <family val="2"/>
        <scheme val="minor"/>
      </rPr>
      <t>7</t>
    </r>
  </si>
  <si>
    <t>Références :</t>
  </si>
  <si>
    <t>Sources :</t>
  </si>
  <si>
    <t>2. Règlement sur la déclaration obligatoire de certaines émissions de contaminants dans l'atmosphère. Loi sur la qualité de l'environnement (chapitre Q-2, a. 2.2, 46.2, 115.27, 115.34 et 124.1)</t>
  </si>
  <si>
    <t>Un ajustement correspond à une modification majeure des équipements ou du bâtiment. Il peut avoir un effet positif ou négatif sur la consommation énergétique : 
- un effet positif correspond à une augmentation majeure de la consommation, à la suite par exemple de l'ajout d'un étage de bâtiment ou de l'ajout de climatisation d'une aile d'un bâtiment;
- un effet négatif correspond à une diminution majeure de la consommation. Cette diminution ne résulte pas forcément d’une économie provenant d’une optimisation du bâtiment.  Elle peut, par exemple, être attribuable à la fermeture d’une partie d'un bâtiment qui devient alors inoccupé.                                                                                                                                                                                                                                                 
Exemple :
L'ajout de locaux implique une augmentation nette des charges de chauffage et d'éclairage de 500 kWh, telles qu’elles sont calculées par une firme d'ingénieurs. Dans ce fichier, le projet, qui sera nommé « Agrandissement », impliquera une augmentation de l'électricité de 500 kWh. Comme il s'agit de chauffage, l'ajustement y est sensible. La date d'implantation correspond au mois où l’effet sur la consommation a été effectif.
Si l'ajustement a eu un effet sur plus qu'une source d'énergie, merci de rajouter une ligne pour chaque source touchée.</t>
  </si>
  <si>
    <t>Au printemps 2015, les MO ont été contactés afin de participer à une enquête au sujet de leur collecte de données énergétiques effectuée à l'automne de chaque année. Cette enquête contenait des questionnaires qui portaient sur les bâtiments et les véhicules. Le tableau précédent décrit sommairement le processus de cueillette de données énergétiques typique; il s'agit d'une synthèse illustrant ce que la majorité des répondants ont choisi comme réponse à chacune des questions. Notez qu'il s'agit du regroupement des réponses les plus courantes et non pas du processus d'un MO en particulier. Chaque affirmation affichée est évaluée afin de savoir si elle représente une étape adéquate dans le processus ou s'il pourrait y avoir place à l'amélioration.</t>
  </si>
  <si>
    <t>Version 23__03-05-2017</t>
  </si>
  <si>
    <t>Résidus de bois (8 % d'humidité)</t>
  </si>
  <si>
    <t>Résidus de bois (35 % d'humidité)</t>
  </si>
  <si>
    <t>[kg CO2 éq./m²]</t>
  </si>
  <si>
    <t>Ministère des Affaires municipales et de l'Occupation du territoire</t>
  </si>
  <si>
    <t>2021-2022</t>
  </si>
  <si>
    <t>2022-2023</t>
  </si>
  <si>
    <t>2023-2024</t>
  </si>
  <si>
    <t>2024-2025</t>
  </si>
  <si>
    <t>2025-2026</t>
  </si>
  <si>
    <t>2026-2027</t>
  </si>
  <si>
    <t>2027-2028</t>
  </si>
  <si>
    <t>2028-2029</t>
  </si>
  <si>
    <t>2029-2030</t>
  </si>
  <si>
    <t>ATTENTION, la saisie des consommations d'énergie comporte une erreur si la cellule AA21 est ombragée d'une couleur !</t>
  </si>
  <si>
    <t>Diesel (génératrice)</t>
  </si>
  <si>
    <t>Diesel génératrice</t>
  </si>
  <si>
    <t>Statut du MO/réseau</t>
  </si>
  <si>
    <t>Parc de bâtiment</t>
  </si>
  <si>
    <t>Parc de 
bâtiment</t>
  </si>
  <si>
    <t>Superficie/bâtiment</t>
  </si>
  <si>
    <r>
      <t xml:space="preserve">Année financière
</t>
    </r>
    <r>
      <rPr>
        <b/>
        <sz val="10"/>
        <rFont val="Arial"/>
        <family val="2"/>
      </rPr>
      <t>Choix possibles:
Janvier-Décembre
Avril-Mars
Mai-Avril
Juillet-Juin</t>
    </r>
  </si>
  <si>
    <t>Critère d'inclusion et d'exclusion</t>
  </si>
  <si>
    <t>Électricité 
[kWh]</t>
  </si>
  <si>
    <t>Électricité 
[$]</t>
  </si>
  <si>
    <t>Électricité 
[GJ]</t>
  </si>
  <si>
    <t>Électricité
[kg CO2]</t>
  </si>
  <si>
    <t>Électricité
[kg CH4]</t>
  </si>
  <si>
    <t>Électricité
[kg N2O]</t>
  </si>
  <si>
    <t>GES Électricité
[kg CO2 éq]</t>
  </si>
  <si>
    <t>Gaz naturel 
[m³]</t>
  </si>
  <si>
    <t>Gaz naturel 
[$]</t>
  </si>
  <si>
    <t>Gaz naturel 
[GJ]</t>
  </si>
  <si>
    <t>Gaz naturel 
[kg CO2]</t>
  </si>
  <si>
    <t>Gaz naturel 
[kg CH4]</t>
  </si>
  <si>
    <t>Gaz naturel 
[kg N2O]</t>
  </si>
  <si>
    <t>GES Gaz naturel
[kg CO2 éq]</t>
  </si>
  <si>
    <t>Mazout 2 léger 
[L]</t>
  </si>
  <si>
    <t>Mazout 2 léger
 [$]</t>
  </si>
  <si>
    <t>Mazout 2 léger
[GJ]</t>
  </si>
  <si>
    <t>Mazout 2 léger
[kg CO2]</t>
  </si>
  <si>
    <t>Mazout 2 léger
[kg CH4]</t>
  </si>
  <si>
    <t>Mazout 2 léger
[kg N2O]</t>
  </si>
  <si>
    <t>GES Mazout 2 léger
[kg CO2 éq]</t>
  </si>
  <si>
    <t>Mazout 6 lourd 
[L]</t>
  </si>
  <si>
    <t>Mazout 6 lourd 
[$]</t>
  </si>
  <si>
    <t>Mazout 6 lourd
[GJ]</t>
  </si>
  <si>
    <t>Mazout 6 lourd
[kg CO2]</t>
  </si>
  <si>
    <t>Mazout 6 lourd
[kg CH4]</t>
  </si>
  <si>
    <t>Mazout 6 lourd
[kg N2O]</t>
  </si>
  <si>
    <t>GES Mazout 6 lourd
[kg CO2 éq]</t>
  </si>
  <si>
    <t>Diesel (génératrice)
[L]</t>
  </si>
  <si>
    <t>Diesel (génératrice)
[$]</t>
  </si>
  <si>
    <t>Diesel (génératrice)
[GJ]</t>
  </si>
  <si>
    <t>Diesel (génératrice)
[kg CO2]</t>
  </si>
  <si>
    <t>Diesel (génératrice)
[kg CH4]</t>
  </si>
  <si>
    <t>Diesel (génératrice)
[kg N2O]</t>
  </si>
  <si>
    <t>Diesel (génératrice)
[kg CO2 éq]</t>
  </si>
  <si>
    <t>Propane
[L]</t>
  </si>
  <si>
    <t>Propane
[$]</t>
  </si>
  <si>
    <t>Propane
[GJ]</t>
  </si>
  <si>
    <t>Propane
[kg CO2]</t>
  </si>
  <si>
    <t>Propane
[kg CH4]</t>
  </si>
  <si>
    <t>Propane
[kg N2O]</t>
  </si>
  <si>
    <t>GES Propane
[kg CO2 éq]</t>
  </si>
  <si>
    <t>Résidus de bois (8% d'humidité) 
[Kg]</t>
  </si>
  <si>
    <t>Résidus de bois (8% d'humidité)
[$]</t>
  </si>
  <si>
    <t>Résidus de bois (8% d'humidité)
[GJ]</t>
  </si>
  <si>
    <t>Résidus de bois (8% d'humidité) 
[kg CO2]</t>
  </si>
  <si>
    <t>Résidus de bois (8% d'humidité) 
[kg CH4]</t>
  </si>
  <si>
    <t>Résidus de bois (8% d'humidité) 
[kg N2O]</t>
  </si>
  <si>
    <t>Résidus de bois (8% d'humidité)
[kg CO2 éq]</t>
  </si>
  <si>
    <t>Résidus de bois (35% d'humidité)
[Kg]</t>
  </si>
  <si>
    <t>Résidus de bois (35% d'humidité) 
[$]</t>
  </si>
  <si>
    <t>Résidus de bois (35% d'humidité)
[GJ]</t>
  </si>
  <si>
    <t>Résidus de bois (35% d'humidité)
[kg CO2]</t>
  </si>
  <si>
    <t>Résidus de bois (35% d'humidité)
[kg CH4]</t>
  </si>
  <si>
    <t>Résidus de bois (35% d'humidité) 
[kg N2O]</t>
  </si>
  <si>
    <t>Résidus de bois (35% d'humidité)
[kg CO2 éq]</t>
  </si>
  <si>
    <t>Vapeur
[lbs]</t>
  </si>
  <si>
    <t>Vapeur
[$]</t>
  </si>
  <si>
    <t>Vapeur
[GJ]</t>
  </si>
  <si>
    <t>Vapeur
[kg CO2]</t>
  </si>
  <si>
    <t>Vapeur
[kg CH4]</t>
  </si>
  <si>
    <t>Vapeur
[kg N2O]</t>
  </si>
  <si>
    <t>Vapeur
[kg CO2 éq]</t>
  </si>
  <si>
    <t>Eau refroidie
[MBTU]</t>
  </si>
  <si>
    <t>Eau refroidie
[$]</t>
  </si>
  <si>
    <t>Eau refroidie
[GJ]</t>
  </si>
  <si>
    <t>Eau refroidie
[kg CO2]</t>
  </si>
  <si>
    <t>Eau refroidie
[kg CH4]</t>
  </si>
  <si>
    <t>Eau refroidie
[kg N2O]</t>
  </si>
  <si>
    <t>Eau refroidie
[kg CO2 éq]</t>
  </si>
  <si>
    <t>Eau chaude
[MBTU]</t>
  </si>
  <si>
    <t>Eau chaude
[$]</t>
  </si>
  <si>
    <t>Eau chaude
[GJ]</t>
  </si>
  <si>
    <t>Eau chaude
[kg CO2]</t>
  </si>
  <si>
    <t>Eau chaude
[kg CH4]</t>
  </si>
  <si>
    <t>Eau chaude
[kg N2O]</t>
  </si>
  <si>
    <t>Eau chaude
[kg CO2 éq]</t>
  </si>
  <si>
    <t>Identifiant (CodeMO+année)</t>
  </si>
  <si>
    <t>Acronyme</t>
  </si>
  <si>
    <t>MO ou réseau</t>
  </si>
  <si>
    <t>Statut du MO/Réseau</t>
  </si>
  <si>
    <t>Superficie
[m2]</t>
  </si>
  <si>
    <t>Nombre bâtiments</t>
  </si>
  <si>
    <t>Superficie par bâtiment</t>
  </si>
  <si>
    <t>IMPORT</t>
  </si>
  <si>
    <t>Intensité MIN</t>
  </si>
  <si>
    <t>Intensité MAX</t>
  </si>
  <si>
    <t>TOTAL Facture
[$]</t>
  </si>
  <si>
    <t>Coûts ajustés à l'année courante (2016-2017)
[$]</t>
  </si>
  <si>
    <t>Coûts comparatifs ajustés à l'année de référence (2009-2010)
[$]</t>
  </si>
  <si>
    <t>TOTAL Consommation
[GJ brut]</t>
  </si>
  <si>
    <t>TOTAL Dioxide de carbone
[kg CO2]</t>
  </si>
  <si>
    <t>TOTAL Méthane
[kg CH4]</t>
  </si>
  <si>
    <t>TOTAL Oxyde nitreux
[kg N2O]</t>
  </si>
  <si>
    <t>TOTAL GES
[kg CO2 éq.]</t>
  </si>
  <si>
    <t>Variation émissions GES p/r à
année précédente (%)</t>
  </si>
  <si>
    <t>Variation émissions GES p/r
2009-2010 (%)</t>
  </si>
  <si>
    <t>DJC Année</t>
  </si>
  <si>
    <t>Part du chauffage
[35% par défaut]</t>
  </si>
  <si>
    <t>Cons. norm. 
[GJ]</t>
  </si>
  <si>
    <t>Coût unit. Brut
[$/m²]</t>
  </si>
  <si>
    <t>Consom. unit. brute 
[GJ/m²]</t>
  </si>
  <si>
    <t>Consom. unit. norm
[GJ/m²]</t>
  </si>
  <si>
    <t>Variation GJ norm./m2 p/r l'année précédente</t>
  </si>
  <si>
    <t>Variation GJ norm./m2 p/r 2012-2013
[%]</t>
  </si>
  <si>
    <t>TOTAL GES/m² 
[kg CO2 éq./m²]</t>
  </si>
  <si>
    <t>Date de réception des données/ date de compilation des données par le MO</t>
  </si>
  <si>
    <t>PARC 2</t>
  </si>
  <si>
    <t>Variation GJ norm./m2 p/r l'année précédente
[%]</t>
  </si>
  <si>
    <t>Sup_15_16</t>
  </si>
  <si>
    <t>Elec_kWh_15_16</t>
  </si>
  <si>
    <t>Elec_CAD_15_16</t>
  </si>
  <si>
    <t>GN_m³_15_16</t>
  </si>
  <si>
    <t>GN_CAD_15_16</t>
  </si>
  <si>
    <t>Ma2_l_15_16</t>
  </si>
  <si>
    <t>Ma2_CAD_15_16</t>
  </si>
  <si>
    <t>Ma6_l_15_16</t>
  </si>
  <si>
    <t>Ma6_CAD_15_16</t>
  </si>
  <si>
    <t>Prop_l_15_16</t>
  </si>
  <si>
    <t>Prop_CAD_15_16</t>
  </si>
  <si>
    <t>Bois20_1000kg_15_16</t>
  </si>
  <si>
    <t>Bois20_CAD_15_16</t>
  </si>
  <si>
    <t>Bois45_1000kg_15_16</t>
  </si>
  <si>
    <t>Bois45_CAD_15_16</t>
  </si>
  <si>
    <t>GJ_Tot_15_16</t>
  </si>
  <si>
    <t>CAD_Tot_15_16</t>
  </si>
  <si>
    <t>GJm²_15_16</t>
  </si>
  <si>
    <t>CAD/m²_15_16</t>
  </si>
  <si>
    <t>GES_ton_15_16</t>
  </si>
  <si>
    <t>GES_ton/m²_15_16</t>
  </si>
  <si>
    <t>DJC_tot_15_16</t>
  </si>
  <si>
    <t>Sup_16_17</t>
  </si>
  <si>
    <t>Elec_kWh_16_17</t>
  </si>
  <si>
    <t>Elec_CAD_16_17</t>
  </si>
  <si>
    <t>GN_m³_16_17</t>
  </si>
  <si>
    <t>GN_CAD_16_17</t>
  </si>
  <si>
    <t>Ma2_l_16_17</t>
  </si>
  <si>
    <t>Ma2_CAD_16_17</t>
  </si>
  <si>
    <t>Ma6_l_16_17</t>
  </si>
  <si>
    <t>Ma6_CAD_16_17</t>
  </si>
  <si>
    <t>Prop_l_16_17</t>
  </si>
  <si>
    <t>Prop_CAD_16_17</t>
  </si>
  <si>
    <t>Bois20_1000kg_16_17</t>
  </si>
  <si>
    <t>Bois20_CAD_16_17</t>
  </si>
  <si>
    <t>Bois45_1000kg_16_17</t>
  </si>
  <si>
    <t>Bois45_CAD_16_17</t>
  </si>
  <si>
    <t>GJ_Tot_16_17</t>
  </si>
  <si>
    <t>CAD_Tot_16_17</t>
  </si>
  <si>
    <t>GJm²_16_17</t>
  </si>
  <si>
    <t>CAD/m²_16_17</t>
  </si>
  <si>
    <t>GES_ton_16_17</t>
  </si>
  <si>
    <t>GES_ton/m²_16_17</t>
  </si>
  <si>
    <t>DJC_tot_16_17</t>
  </si>
  <si>
    <t>Sup_14_15</t>
  </si>
  <si>
    <t>Elec_kWh_14_15</t>
  </si>
  <si>
    <t>Elec_CAD_14_15</t>
  </si>
  <si>
    <t>GN_m³_14_15</t>
  </si>
  <si>
    <t>GN_CAD_14_15</t>
  </si>
  <si>
    <t>Ma2_l_14_15</t>
  </si>
  <si>
    <t>Ma2_CAD_14_15</t>
  </si>
  <si>
    <t>Ma6_l_14_15</t>
  </si>
  <si>
    <t>Ma6_CAD_14_15</t>
  </si>
  <si>
    <t>Prop_l_14_15</t>
  </si>
  <si>
    <t>Prop_CAD_14_15</t>
  </si>
  <si>
    <t>Bois20_1000kg_14_15</t>
  </si>
  <si>
    <t>Bois20_CAD_14_15</t>
  </si>
  <si>
    <t>Bois45_1000kg_14_15</t>
  </si>
  <si>
    <t>Bois45_CAD_14_15</t>
  </si>
  <si>
    <t>GJ_Tot_14_15</t>
  </si>
  <si>
    <t>CAD_Tot_14_15</t>
  </si>
  <si>
    <t>GJm²_14_15</t>
  </si>
  <si>
    <t>CAD/m²_14_15</t>
  </si>
  <si>
    <t>GES_ton_14_15</t>
  </si>
  <si>
    <t>GES_ton/m²_14_15</t>
  </si>
  <si>
    <t>DJC_tot_14_15</t>
  </si>
  <si>
    <t>Marge</t>
  </si>
  <si>
    <t>Année courante</t>
  </si>
  <si>
    <t>Année précédente</t>
  </si>
  <si>
    <t>Rapport de validation - Bâtiments</t>
  </si>
  <si>
    <t>Émis le :</t>
  </si>
  <si>
    <t>Données électricité</t>
  </si>
  <si>
    <t>Balises</t>
  </si>
  <si>
    <t>Coûts unitaires</t>
  </si>
  <si>
    <t>Calculs:</t>
  </si>
  <si>
    <t>→</t>
  </si>
  <si>
    <t>si(ET(( );))</t>
  </si>
  <si>
    <t>Minimum</t>
  </si>
  <si>
    <t>Maximum</t>
  </si>
  <si>
    <t>Résidus de bois (8% d'humidité) - 1000kg (MG)</t>
  </si>
  <si>
    <t>Résidus de bois (8% d'humidité) - 1000lbs</t>
  </si>
  <si>
    <t>Résidus de bois (35% d'humidité) - 1000kg (MG)</t>
  </si>
  <si>
    <t>Résidus de bois (35% d'humidité) - 1000lbs</t>
  </si>
  <si>
    <t>Janvier</t>
  </si>
  <si>
    <t>Février</t>
  </si>
  <si>
    <t>Mars</t>
  </si>
  <si>
    <t>Avril</t>
  </si>
  <si>
    <t>Mai</t>
  </si>
  <si>
    <t>Juin</t>
  </si>
  <si>
    <t>Juillet</t>
  </si>
  <si>
    <t>Août</t>
  </si>
  <si>
    <t>Septembre</t>
  </si>
  <si>
    <t>Octobre</t>
  </si>
  <si>
    <t>Novembre</t>
  </si>
  <si>
    <t>Décembre</t>
  </si>
  <si>
    <t>Ministère de l'Immigration, de la Diversité et de l'Inclusion</t>
  </si>
  <si>
    <t>Ministère du Tourisme</t>
  </si>
  <si>
    <t>Secrétariat du conseil du trésor</t>
  </si>
  <si>
    <t>0201</t>
  </si>
  <si>
    <t>Comité consultatif de lutte contre la pauvreté et l'exclusion sociale</t>
  </si>
  <si>
    <t>0272</t>
  </si>
  <si>
    <t>0274</t>
  </si>
  <si>
    <t>Ministère de l'Économie, de la Science et de l'Innovation</t>
  </si>
  <si>
    <t>Fonds de recherche du Québec - Société et culture</t>
  </si>
  <si>
    <t>Fonds de recherche du Québec - Santé</t>
  </si>
  <si>
    <t xml:space="preserve">Office Québec-Amériques pour la jeunesse </t>
  </si>
  <si>
    <t>0361</t>
  </si>
  <si>
    <t>Commission de toponymie du Québec</t>
  </si>
  <si>
    <t>0376</t>
  </si>
  <si>
    <t>Société du Plan Nord</t>
  </si>
  <si>
    <t>Ministère du Développement durable, de l'Environnement et de la Lutte contre les changements climatiques</t>
  </si>
  <si>
    <t>Ministère de la justice</t>
  </si>
  <si>
    <t>Commission d'accès à l'information</t>
  </si>
  <si>
    <t>Tribunal administratif du travail</t>
  </si>
  <si>
    <t>0486</t>
  </si>
  <si>
    <t>Commission de la qualité de l'environnement Kativik</t>
  </si>
  <si>
    <t>Société des traversiers du Québec</t>
  </si>
  <si>
    <t>Société des Alcools du Québec</t>
  </si>
  <si>
    <t>Société des loteries du Québec</t>
  </si>
  <si>
    <t>Ministère du Travail, de l'Emploi et de la Solidarité sociale</t>
  </si>
  <si>
    <t>Financement-Québec</t>
  </si>
  <si>
    <t>NA</t>
  </si>
  <si>
    <t>Bureau du forestier en chef</t>
  </si>
  <si>
    <t>Comité d'examen (COMEX) (Convention de la Baie-James et du Nord québécois)</t>
  </si>
  <si>
    <t>Secrétariat à la Capitale nationale</t>
  </si>
  <si>
    <t>L'année choisie lors de l'importation va ici:</t>
  </si>
  <si>
    <t>Résultats possibles que peut lire la macro: "OUI", "NON". La formule de validation peut donc seulement avoir ces deux valeurs comme résultats et à cette cellule:</t>
  </si>
  <si>
    <t>avril-mars</t>
  </si>
  <si>
    <t>0244</t>
  </si>
  <si>
    <t>Ministère des Relations internationales et de la Francophonie</t>
  </si>
  <si>
    <t>Ministère des Transports, de la Mobilité durable et de l'Électrification des transports</t>
  </si>
  <si>
    <t>Musées de la civilisation</t>
  </si>
  <si>
    <t>Régie du logement du Québec</t>
  </si>
  <si>
    <t>Réseau de transport métropolitain</t>
  </si>
  <si>
    <t>Société de développement de la Baie-James</t>
  </si>
  <si>
    <t>Gaz naturel : le facteur de conversion énergétique correspond à la valeur normalisée par les distributeurs de gaz naturel au Québec, soit Gaz Métro et Gazifère.
Résidus de bois : les facteurs de conversion énérgétique découlent du Règlement sur la déclaration obligatoire de certaines émissions de contaminants dans l'atmosphère [2].</t>
  </si>
  <si>
    <t>Pour les fins de TEQ, la saisie mensuelle des données est optionnelle. Les espaces pour saisir mensuellement les données sont mises à la disposition des MO afin de leur permettre de suivre périodiquement la consommation.</t>
  </si>
  <si>
    <r>
      <t xml:space="preserve">Pour les fins de TEQ, la saisie mensuelle des données est </t>
    </r>
    <r>
      <rPr>
        <b/>
        <u/>
        <sz val="12"/>
        <color indexed="13"/>
        <rFont val="Calibri"/>
        <family val="2"/>
      </rPr>
      <t>optionnelle</t>
    </r>
    <r>
      <rPr>
        <b/>
        <sz val="12"/>
        <color indexed="9"/>
        <rFont val="Calibri"/>
        <family val="2"/>
      </rPr>
      <t>. Les espaces pour saisir mensuellement les données sont mises à la disposition des MO afin de leur permettre de suivre périodiquement la consommation.</t>
    </r>
  </si>
  <si>
    <t>[t CO2 éq.]</t>
  </si>
  <si>
    <r>
      <t>[t éq. CO</t>
    </r>
    <r>
      <rPr>
        <vertAlign val="subscript"/>
        <sz val="11"/>
        <color indexed="9"/>
        <rFont val="Calibri"/>
        <family val="2"/>
      </rPr>
      <t>2</t>
    </r>
    <r>
      <rPr>
        <sz val="11"/>
        <color indexed="9"/>
        <rFont val="Calibri"/>
        <family val="2"/>
      </rPr>
      <t>]</t>
    </r>
  </si>
  <si>
    <t>Les facteurs de conversion énergétique (GJ) et d'émissions de gaz à effet de serre (GES) proviennent du National Inventory Report 1990-2016: Greenhouse Gas Sources and Sinks in Canada [1], sauf pour les formes d'énergies suivantes :</t>
  </si>
  <si>
    <t>1. Environment and Climate Change Canada. 2018. National Inventory Report 1990-2016: Greenhouse Gas Sources and Sinks in Canada.</t>
  </si>
  <si>
    <t>Dernière mise à jour : 2018-09-12</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</si>
</sst>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164" formatCode="_(&quot;$&quot;* #,##0.00_);_(&quot;$&quot;* \(#,##0.00\);_(&quot;$&quot;* &quot;-&quot;??_);_(@_)"/>
    <numFmt numFmtId="165" formatCode="&quot;$&quot;#,##0_);\(&quot;$&quot;#,##0\)"/>
    <numFmt numFmtId="166" formatCode="_(* #,##0.00_);_(* \(#,##0.00\);_(* &quot;-&quot;??_);_(@_)"/>
    <numFmt numFmtId="167" formatCode="0.000000"/>
    <numFmt numFmtId="168" formatCode="0.0000"/>
    <numFmt numFmtId="169" formatCode="0.0"/>
    <numFmt numFmtId="170" formatCode="0.000"/>
    <numFmt numFmtId="171" formatCode="#,##0.0"/>
    <numFmt numFmtId="172" formatCode="_ * #,##0_)\ _$_ ;_ * \(#,##0\)\ _$_ ;_ * &quot;-&quot;??_)\ _$_ ;_ @_ "/>
    <numFmt numFmtId="173" formatCode="0.0%"/>
    <numFmt numFmtId="174" formatCode="[$-C0C]d\ mmm\ yyyy;@"/>
    <numFmt numFmtId="175" formatCode="yyyy\-mm\-dd;@"/>
    <numFmt numFmtId="176" formatCode="_ * #,##0.00_ ;_ * \-#,##0.00_ ;_ * &quot;-&quot;??_ ;_ @_ "/>
    <numFmt numFmtId="177" formatCode="##0.##&quot; GJ/m²&quot;"/>
    <numFmt numFmtId="178" formatCode="#,##0.00\ [$$-C0C]"/>
    <numFmt numFmtId="179" formatCode="0.00000"/>
    <numFmt numFmtId="180" formatCode="#,##0&quot; m²&quot;"/>
    <numFmt numFmtId="181" formatCode="#,##0\ &quot;$&quot;"/>
    <numFmt numFmtId="182" formatCode="###,##0.####0&quot; GJ / m³&quot;"/>
    <numFmt numFmtId="183" formatCode="###,##0.####0&quot; GJ / l&quot;"/>
    <numFmt numFmtId="184" formatCode="#,##0.0000"/>
    <numFmt numFmtId="185" formatCode="0000"/>
    <numFmt numFmtId="186" formatCode="[$-F800]dddd\,\ mmmm\ dd\,\ yyyy"/>
    <numFmt numFmtId="187" formatCode="yyyy/mm/dd;@"/>
    <numFmt numFmtId="188" formatCode="0.00&quot; GJ/m²&quot;"/>
    <numFmt numFmtId="189" formatCode="#,##0_);\(#,##0\)"/>
    <numFmt numFmtId="190" formatCode="_(* #,##0_);_(* \(#,##0\);_(* &quot;-&quot;??_);_(@_)"/>
    <numFmt numFmtId="191" formatCode="_ * #,##0.00_)\ [$$-C0C]_ ;_ * \(#,##0.00\)\ [$$-C0C]_ ;_ * &quot;-&quot;??_)\ [$$-C0C]_ ;_ @_ "/>
  </numFmts>
  <fonts count="145">
    <font>
      <sz val="11"/>
      <color theme="1"/>
      <name val="Calibri"/>
      <family val="2"/>
      <scheme val="minor"/>
    </font>
    <font>
      <sz val="11"/>
      <color indexed="8"/>
      <name val="Calibri"/>
      <family val="2"/>
    </font>
    <font>
      <sz val="11"/>
      <color indexed="8"/>
      <name val="Calibri"/>
      <family val="2"/>
    </font>
    <font>
      <sz val="10"/>
      <name val="Arial"/>
      <family val="2"/>
    </font>
    <font>
      <u/>
      <sz val="10"/>
      <color indexed="12"/>
      <name val="Arial"/>
      <family val="2"/>
    </font>
    <font>
      <sz val="10.5"/>
      <name val="Arial Narrow"/>
      <family val="2"/>
    </font>
    <font>
      <b/>
      <sz val="10.5"/>
      <name val="Arial Narrow"/>
      <family val="2"/>
    </font>
    <font>
      <sz val="8"/>
      <color indexed="81"/>
      <name val="Tahoma"/>
      <family val="2"/>
    </font>
    <font>
      <b/>
      <sz val="8"/>
      <color indexed="81"/>
      <name val="Tahoma"/>
      <family val="2"/>
    </font>
    <font>
      <b/>
      <sz val="10"/>
      <name val="Arial"/>
      <family val="2"/>
    </font>
    <font>
      <sz val="11"/>
      <color indexed="8"/>
      <name val="Calibri"/>
      <family val="2"/>
    </font>
    <font>
      <sz val="11"/>
      <color indexed="8"/>
      <name val="Calibri"/>
      <family val="2"/>
      <charset val="177"/>
    </font>
    <font>
      <sz val="11"/>
      <color indexed="9"/>
      <name val="Calibri"/>
      <family val="2"/>
    </font>
    <font>
      <b/>
      <sz val="11"/>
      <color indexed="9"/>
      <name val="Calibri"/>
      <family val="2"/>
    </font>
    <font>
      <b/>
      <sz val="11"/>
      <color indexed="8"/>
      <name val="Calibri"/>
      <family val="2"/>
    </font>
    <font>
      <sz val="11"/>
      <color indexed="10"/>
      <name val="Calibri"/>
      <family val="2"/>
    </font>
    <font>
      <b/>
      <sz val="14"/>
      <color indexed="8"/>
      <name val="Calibri"/>
      <family val="2"/>
    </font>
    <font>
      <u/>
      <sz val="10"/>
      <color indexed="9"/>
      <name val="Arial"/>
      <family val="2"/>
    </font>
    <font>
      <sz val="11"/>
      <name val="Calibri"/>
      <family val="2"/>
    </font>
    <font>
      <sz val="11"/>
      <color indexed="43"/>
      <name val="Calibri"/>
      <family val="2"/>
    </font>
    <font>
      <b/>
      <sz val="11"/>
      <color indexed="8"/>
      <name val="Calibri"/>
      <family val="2"/>
    </font>
    <font>
      <b/>
      <sz val="10.5"/>
      <color indexed="9"/>
      <name val="Arial Narrow"/>
      <family val="2"/>
    </font>
    <font>
      <b/>
      <sz val="14"/>
      <color indexed="9"/>
      <name val="Calibri"/>
      <family val="2"/>
    </font>
    <font>
      <sz val="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9"/>
      <name val="Calibri"/>
      <family val="2"/>
    </font>
    <font>
      <sz val="10.5"/>
      <color indexed="9"/>
      <name val="Arial Narrow"/>
      <family val="2"/>
    </font>
    <font>
      <b/>
      <sz val="12"/>
      <color indexed="9"/>
      <name val="Arial"/>
      <family val="2"/>
    </font>
    <font>
      <b/>
      <sz val="11"/>
      <name val="Calibri"/>
      <family val="2"/>
    </font>
    <font>
      <b/>
      <sz val="11.5"/>
      <color indexed="8"/>
      <name val="Calibri"/>
      <family val="2"/>
    </font>
    <font>
      <b/>
      <sz val="15"/>
      <color indexed="8"/>
      <name val="Calibri"/>
      <family val="2"/>
    </font>
    <font>
      <sz val="10"/>
      <color indexed="9"/>
      <name val="Arial"/>
      <family val="2"/>
    </font>
    <font>
      <b/>
      <u/>
      <sz val="10"/>
      <color indexed="12"/>
      <name val="Arial"/>
      <family val="2"/>
    </font>
    <font>
      <b/>
      <sz val="10.5"/>
      <name val="Arial"/>
      <family val="2"/>
    </font>
    <font>
      <b/>
      <sz val="11"/>
      <color indexed="8"/>
      <name val="Arial"/>
      <family val="2"/>
    </font>
    <font>
      <sz val="10"/>
      <color indexed="81"/>
      <name val="Tahoma"/>
      <family val="2"/>
    </font>
    <font>
      <vertAlign val="subscript"/>
      <sz val="11"/>
      <color indexed="9"/>
      <name val="Calibri"/>
      <family val="2"/>
    </font>
    <font>
      <b/>
      <sz val="12"/>
      <name val="Calibri"/>
      <family val="2"/>
    </font>
    <font>
      <b/>
      <sz val="14"/>
      <name val="Calibri"/>
      <family val="2"/>
    </font>
    <font>
      <b/>
      <sz val="11.5"/>
      <name val="Calibri"/>
      <family val="2"/>
    </font>
    <font>
      <u/>
      <sz val="10"/>
      <name val="Arial"/>
      <family val="2"/>
    </font>
    <font>
      <b/>
      <u/>
      <sz val="12.5"/>
      <name val="Calibri"/>
      <family val="2"/>
    </font>
    <font>
      <b/>
      <u/>
      <sz val="12.5"/>
      <color indexed="8"/>
      <name val="Calibri"/>
      <family val="2"/>
    </font>
    <font>
      <b/>
      <u/>
      <sz val="14"/>
      <name val="Calibri"/>
      <family val="2"/>
    </font>
    <font>
      <sz val="14"/>
      <color indexed="8"/>
      <name val="Calibri"/>
      <family val="2"/>
    </font>
    <font>
      <b/>
      <sz val="13.5"/>
      <name val="Calibri"/>
      <family val="2"/>
    </font>
    <font>
      <b/>
      <u/>
      <sz val="13.5"/>
      <name val="Calibri"/>
      <family val="2"/>
    </font>
    <font>
      <b/>
      <sz val="8"/>
      <name val="Arial"/>
      <family val="2"/>
    </font>
    <font>
      <sz val="8"/>
      <name val="Arial"/>
      <family val="2"/>
    </font>
    <font>
      <vertAlign val="superscript"/>
      <sz val="8"/>
      <name val="Arial"/>
      <family val="2"/>
    </font>
    <font>
      <b/>
      <vertAlign val="superscript"/>
      <sz val="8"/>
      <name val="Arial"/>
      <family val="2"/>
    </font>
    <font>
      <b/>
      <sz val="12"/>
      <name val="Arial"/>
      <family val="2"/>
    </font>
    <font>
      <sz val="8"/>
      <color indexed="8"/>
      <name val="Calibri"/>
      <family val="2"/>
    </font>
    <font>
      <b/>
      <sz val="11"/>
      <color indexed="10"/>
      <name val="Arial"/>
      <family val="2"/>
    </font>
    <font>
      <vertAlign val="superscript"/>
      <sz val="11"/>
      <name val="Calibri"/>
      <family val="2"/>
    </font>
    <font>
      <sz val="14"/>
      <name val="Calibri"/>
      <family val="2"/>
    </font>
    <font>
      <sz val="9"/>
      <color indexed="81"/>
      <name val="Tahoma"/>
      <family val="2"/>
    </font>
    <font>
      <b/>
      <sz val="12"/>
      <color indexed="9"/>
      <name val="Calibri"/>
      <family val="2"/>
    </font>
    <font>
      <b/>
      <u/>
      <sz val="12"/>
      <color indexed="13"/>
      <name val="Calibri"/>
      <family val="2"/>
    </font>
    <font>
      <b/>
      <sz val="10"/>
      <color indexed="81"/>
      <name val="Tahoma"/>
      <family val="2"/>
    </font>
    <font>
      <b/>
      <sz val="10"/>
      <color indexed="8"/>
      <name val="Calibri"/>
      <family val="2"/>
    </font>
    <font>
      <b/>
      <sz val="10"/>
      <name val="Calibri"/>
      <family val="2"/>
    </font>
    <font>
      <b/>
      <sz val="9"/>
      <color indexed="81"/>
      <name val="Tahoma"/>
      <family val="2"/>
    </font>
    <font>
      <b/>
      <vertAlign val="subscript"/>
      <sz val="11"/>
      <name val="Calibri"/>
      <family val="2"/>
    </font>
    <font>
      <strike/>
      <sz val="10"/>
      <name val="Arial"/>
      <family val="2"/>
    </font>
    <font>
      <sz val="11"/>
      <name val="Arial"/>
      <family val="2"/>
    </font>
    <font>
      <sz val="16"/>
      <color indexed="10"/>
      <name val="Arial"/>
      <family val="2"/>
    </font>
    <font>
      <sz val="20"/>
      <name val="Arial Narrow"/>
      <family val="2"/>
    </font>
    <font>
      <b/>
      <sz val="16"/>
      <name val="Arial Narrow"/>
      <family val="2"/>
    </font>
    <font>
      <vertAlign val="superscript"/>
      <sz val="11"/>
      <color indexed="8"/>
      <name val="Calibri"/>
      <family val="2"/>
    </font>
    <font>
      <b/>
      <sz val="11"/>
      <name val="Arial"/>
      <family val="2"/>
    </font>
    <font>
      <b/>
      <u/>
      <sz val="11"/>
      <name val="Arial"/>
      <family val="2"/>
    </font>
    <font>
      <b/>
      <sz val="14"/>
      <color indexed="81"/>
      <name val="Tahoma"/>
      <family val="2"/>
    </font>
    <font>
      <sz val="14"/>
      <color indexed="81"/>
      <name val="Tahoma"/>
      <family val="2"/>
    </font>
    <font>
      <sz val="11"/>
      <color theme="1"/>
      <name val="Calibri"/>
      <family val="2"/>
      <scheme val="minor"/>
    </font>
    <font>
      <sz val="11"/>
      <color theme="1"/>
      <name val="Calibri"/>
      <family val="2"/>
      <charset val="177"/>
      <scheme val="minor"/>
    </font>
    <font>
      <sz val="11"/>
      <color theme="0"/>
      <name val="Calibri"/>
      <family val="2"/>
      <scheme val="minor"/>
    </font>
    <font>
      <sz val="11"/>
      <color theme="0"/>
      <name val="Calibri"/>
      <family val="2"/>
      <charset val="177"/>
      <scheme val="minor"/>
    </font>
    <font>
      <sz val="11"/>
      <color rgb="FF9C0006"/>
      <name val="Calibri"/>
      <family val="2"/>
      <charset val="177"/>
      <scheme val="minor"/>
    </font>
    <font>
      <b/>
      <sz val="11"/>
      <color rgb="FFFA7D00"/>
      <name val="Calibri"/>
      <family val="2"/>
      <charset val="177"/>
      <scheme val="minor"/>
    </font>
    <font>
      <b/>
      <sz val="11"/>
      <color theme="0"/>
      <name val="Calibri"/>
      <family val="2"/>
      <charset val="177"/>
      <scheme val="minor"/>
    </font>
    <font>
      <i/>
      <sz val="11"/>
      <color rgb="FF7F7F7F"/>
      <name val="Calibri"/>
      <family val="2"/>
      <charset val="177"/>
      <scheme val="minor"/>
    </font>
    <font>
      <sz val="11"/>
      <color rgb="FF006100"/>
      <name val="Calibri"/>
      <family val="2"/>
      <charset val="177"/>
      <scheme val="minor"/>
    </font>
    <font>
      <b/>
      <sz val="15"/>
      <color theme="3"/>
      <name val="Calibri"/>
      <family val="2"/>
      <charset val="177"/>
      <scheme val="minor"/>
    </font>
    <font>
      <b/>
      <sz val="13"/>
      <color theme="3"/>
      <name val="Calibri"/>
      <family val="2"/>
      <charset val="177"/>
      <scheme val="minor"/>
    </font>
    <font>
      <b/>
      <sz val="11"/>
      <color theme="3"/>
      <name val="Calibri"/>
      <family val="2"/>
      <charset val="177"/>
      <scheme val="minor"/>
    </font>
    <font>
      <u/>
      <sz val="11"/>
      <color theme="10"/>
      <name val="Calibri"/>
      <family val="2"/>
      <scheme val="minor"/>
    </font>
    <font>
      <sz val="11"/>
      <color rgb="FF3F3F76"/>
      <name val="Calibri"/>
      <family val="2"/>
      <charset val="177"/>
      <scheme val="minor"/>
    </font>
    <font>
      <sz val="11"/>
      <color rgb="FFFA7D00"/>
      <name val="Calibri"/>
      <family val="2"/>
      <charset val="177"/>
      <scheme val="minor"/>
    </font>
    <font>
      <sz val="11"/>
      <color rgb="FF9C6500"/>
      <name val="Calibri"/>
      <family val="2"/>
      <charset val="177"/>
      <scheme val="minor"/>
    </font>
    <font>
      <b/>
      <sz val="11"/>
      <color rgb="FF3F3F3F"/>
      <name val="Calibri"/>
      <family val="2"/>
      <charset val="177"/>
      <scheme val="minor"/>
    </font>
    <font>
      <b/>
      <sz val="18"/>
      <color theme="3"/>
      <name val="Cambria"/>
      <family val="2"/>
      <charset val="177"/>
    </font>
    <font>
      <b/>
      <sz val="11"/>
      <color theme="1"/>
      <name val="Calibri"/>
      <family val="2"/>
      <scheme val="minor"/>
    </font>
    <font>
      <b/>
      <sz val="11"/>
      <color theme="1"/>
      <name val="Calibri"/>
      <family val="2"/>
      <charset val="177"/>
      <scheme val="minor"/>
    </font>
    <font>
      <sz val="11"/>
      <color rgb="FFFF0000"/>
      <name val="Calibri"/>
      <family val="2"/>
      <scheme val="minor"/>
    </font>
    <font>
      <sz val="11"/>
      <color rgb="FFFF0000"/>
      <name val="Calibri"/>
      <family val="2"/>
      <charset val="177"/>
      <scheme val="minor"/>
    </font>
    <font>
      <sz val="11"/>
      <color theme="0"/>
      <name val="Calibri"/>
      <family val="2"/>
    </font>
    <font>
      <b/>
      <sz val="12"/>
      <color theme="0"/>
      <name val="Calibri"/>
      <family val="2"/>
    </font>
    <font>
      <sz val="11"/>
      <name val="Calibri"/>
      <family val="2"/>
      <scheme val="minor"/>
    </font>
    <font>
      <b/>
      <sz val="14"/>
      <color theme="6" tint="-0.249977111117893"/>
      <name val="Calibri"/>
      <family val="2"/>
    </font>
    <font>
      <b/>
      <sz val="16"/>
      <color theme="6" tint="-0.499984740745262"/>
      <name val="Calibri"/>
      <family val="2"/>
    </font>
    <font>
      <sz val="11"/>
      <color theme="6" tint="-0.249977111117893"/>
      <name val="Calibri"/>
      <family val="2"/>
      <scheme val="minor"/>
    </font>
    <font>
      <sz val="10"/>
      <color theme="0"/>
      <name val="Arial"/>
      <family val="2"/>
    </font>
    <font>
      <b/>
      <sz val="11"/>
      <name val="Calibri"/>
      <family val="2"/>
      <scheme val="minor"/>
    </font>
    <font>
      <sz val="10"/>
      <name val="Calibri"/>
      <family val="2"/>
      <scheme val="minor"/>
    </font>
    <font>
      <sz val="11"/>
      <color theme="8"/>
      <name val="Calibri"/>
      <family val="2"/>
    </font>
    <font>
      <sz val="11"/>
      <color theme="8"/>
      <name val="Calibri"/>
      <family val="2"/>
      <scheme val="minor"/>
    </font>
    <font>
      <sz val="6"/>
      <name val="Calibri"/>
      <family val="2"/>
      <scheme val="minor"/>
    </font>
    <font>
      <sz val="11"/>
      <color rgb="FFFF0000"/>
      <name val="Calibri"/>
      <family val="2"/>
    </font>
    <font>
      <b/>
      <sz val="12"/>
      <color theme="1"/>
      <name val="Calibri"/>
      <family val="2"/>
      <scheme val="minor"/>
    </font>
    <font>
      <sz val="20"/>
      <color theme="1"/>
      <name val="Calibri"/>
      <family val="2"/>
      <scheme val="minor"/>
    </font>
    <font>
      <b/>
      <sz val="14"/>
      <color theme="1"/>
      <name val="Calibri"/>
      <family val="2"/>
      <scheme val="minor"/>
    </font>
    <font>
      <b/>
      <sz val="11"/>
      <color rgb="FFFF0000"/>
      <name val="Calibri"/>
      <family val="2"/>
      <scheme val="minor"/>
    </font>
    <font>
      <sz val="8"/>
      <color theme="1"/>
      <name val="Calibri"/>
      <family val="2"/>
      <scheme val="minor"/>
    </font>
    <font>
      <sz val="11"/>
      <color theme="1"/>
      <name val="Calibri"/>
      <family val="2"/>
    </font>
    <font>
      <b/>
      <sz val="11"/>
      <color rgb="FFFF0000"/>
      <name val="Arial"/>
      <family val="2"/>
    </font>
    <font>
      <sz val="8"/>
      <color indexed="8"/>
      <name val="Calibri"/>
      <family val="2"/>
      <scheme val="minor"/>
    </font>
    <font>
      <b/>
      <sz val="10.5"/>
      <color rgb="FFFF0000"/>
      <name val="Arial"/>
      <family val="2"/>
    </font>
    <font>
      <sz val="11"/>
      <color theme="0" tint="-0.249977111117893"/>
      <name val="Calibri"/>
      <family val="2"/>
    </font>
    <font>
      <b/>
      <sz val="11"/>
      <color rgb="FFFF0000"/>
      <name val="Calibri"/>
      <family val="2"/>
    </font>
    <font>
      <b/>
      <sz val="11"/>
      <color rgb="FFFFFF00"/>
      <name val="Calibri"/>
      <family val="2"/>
    </font>
    <font>
      <b/>
      <sz val="11"/>
      <color theme="1"/>
      <name val="Arial"/>
      <family val="2"/>
    </font>
    <font>
      <b/>
      <sz val="10.5"/>
      <color theme="0"/>
      <name val="Arial"/>
      <family val="2"/>
    </font>
    <font>
      <b/>
      <sz val="16"/>
      <color theme="1"/>
      <name val="Calibri"/>
      <family val="2"/>
      <scheme val="minor"/>
    </font>
    <font>
      <sz val="14"/>
      <color theme="1"/>
      <name val="Calibri"/>
      <family val="2"/>
      <scheme val="minor"/>
    </font>
    <font>
      <b/>
      <sz val="18"/>
      <color theme="1"/>
      <name val="Calibri"/>
      <family val="2"/>
      <scheme val="minor"/>
    </font>
    <font>
      <sz val="12"/>
      <color theme="1"/>
      <name val="Calibri"/>
      <family val="2"/>
      <scheme val="minor"/>
    </font>
    <font>
      <b/>
      <sz val="14"/>
      <name val="Calibri"/>
      <family val="2"/>
      <scheme val="minor"/>
    </font>
    <font>
      <u/>
      <sz val="10"/>
      <color indexed="12"/>
      <name val="Calibri"/>
      <family val="2"/>
      <scheme val="minor"/>
    </font>
    <font>
      <b/>
      <sz val="11"/>
      <color theme="0"/>
      <name val="Calibri"/>
      <family val="2"/>
    </font>
    <font>
      <sz val="8"/>
      <color rgb="FF000000"/>
      <name val="Segoe UI"/>
      <family val="2"/>
    </font>
    <font>
      <sz val="8"/>
      <color rgb="FF000000"/>
      <name val="Tahoma"/>
      <family val="2"/>
    </font>
    <font>
      <sz val="9"/>
      <color theme="0"/>
      <name val="Calibri"/>
      <family val="2"/>
    </font>
  </fonts>
  <fills count="7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indexed="62"/>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7"/>
        <bgColor indexed="64"/>
      </patternFill>
    </fill>
    <fill>
      <patternFill patternType="solid">
        <fgColor theme="2" tint="-9.9978637043366805E-2"/>
        <bgColor indexed="64"/>
      </patternFill>
    </fill>
    <fill>
      <patternFill patternType="solid">
        <fgColor theme="0"/>
        <bgColor indexed="64"/>
      </patternFill>
    </fill>
    <fill>
      <patternFill patternType="solid">
        <fgColor theme="6"/>
        <bgColor indexed="64"/>
      </patternFill>
    </fill>
    <fill>
      <patternFill patternType="solid">
        <fgColor theme="6" tint="-0.49998474074526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rgb="FFFFFF66"/>
        <bgColor indexed="64"/>
      </patternFill>
    </fill>
    <fill>
      <patternFill patternType="solid">
        <fgColor rgb="FFFFC000"/>
        <bgColor indexed="64"/>
      </patternFill>
    </fill>
    <fill>
      <patternFill patternType="solid">
        <fgColor rgb="FFCCFFFF"/>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rgb="FFDA9694"/>
        <bgColor indexed="64"/>
      </patternFill>
    </fill>
  </fills>
  <borders count="108">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ck">
        <color indexed="9"/>
      </left>
      <right style="thick">
        <color indexed="9"/>
      </right>
      <top style="thick">
        <color indexed="9"/>
      </top>
      <bottom/>
      <diagonal/>
    </border>
    <border>
      <left style="thick">
        <color indexed="9"/>
      </left>
      <right/>
      <top/>
      <bottom/>
      <diagonal/>
    </border>
    <border>
      <left/>
      <right style="thick">
        <color indexed="9"/>
      </right>
      <top/>
      <bottom style="thick">
        <color indexed="9"/>
      </bottom>
      <diagonal/>
    </border>
    <border>
      <left style="thick">
        <color indexed="9"/>
      </left>
      <right/>
      <top/>
      <bottom style="thick">
        <color indexed="9"/>
      </bottom>
      <diagonal/>
    </border>
    <border>
      <left style="thick">
        <color indexed="9"/>
      </left>
      <right style="thick">
        <color indexed="9"/>
      </right>
      <top/>
      <bottom style="thick">
        <color indexed="9"/>
      </bottom>
      <diagonal/>
    </border>
    <border>
      <left/>
      <right/>
      <top/>
      <bottom style="thick">
        <color indexed="9"/>
      </bottom>
      <diagonal/>
    </border>
    <border>
      <left style="thick">
        <color indexed="9"/>
      </left>
      <right style="thick">
        <color indexed="9"/>
      </right>
      <top style="thick">
        <color indexed="9"/>
      </top>
      <bottom style="thick">
        <color indexed="9"/>
      </bottom>
      <diagonal/>
    </border>
    <border>
      <left style="thick">
        <color indexed="9"/>
      </left>
      <right/>
      <top style="thick">
        <color indexed="9"/>
      </top>
      <bottom/>
      <diagonal/>
    </border>
    <border>
      <left style="thick">
        <color indexed="9"/>
      </left>
      <right style="thick">
        <color indexed="9"/>
      </right>
      <top/>
      <bottom/>
      <diagonal/>
    </border>
    <border>
      <left/>
      <right style="thick">
        <color indexed="9"/>
      </right>
      <top/>
      <bottom/>
      <diagonal/>
    </border>
    <border>
      <left/>
      <right style="thick">
        <color indexed="9"/>
      </right>
      <top style="thick">
        <color indexed="9"/>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ck">
        <color indexed="9"/>
      </left>
      <right/>
      <top style="thick">
        <color indexed="9"/>
      </top>
      <bottom style="thick">
        <color indexed="9"/>
      </bottom>
      <diagonal/>
    </border>
    <border>
      <left/>
      <right/>
      <top style="thick">
        <color indexed="9"/>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dashed">
        <color indexed="64"/>
      </right>
      <top style="hair">
        <color indexed="64"/>
      </top>
      <bottom style="medium">
        <color indexed="64"/>
      </bottom>
      <diagonal/>
    </border>
    <border>
      <left style="dashed">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ck">
        <color indexed="9"/>
      </top>
      <bottom style="thick">
        <color indexed="9"/>
      </bottom>
      <diagonal/>
    </border>
    <border>
      <left/>
      <right style="thick">
        <color indexed="9"/>
      </right>
      <top style="thick">
        <color indexed="9"/>
      </top>
      <bottom style="thick">
        <color indexed="9"/>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theme="0"/>
      </left>
      <right style="medium">
        <color theme="0"/>
      </right>
      <top style="medium">
        <color theme="0"/>
      </top>
      <bottom style="thin">
        <color theme="0"/>
      </bottom>
      <diagonal/>
    </border>
    <border>
      <left style="medium">
        <color theme="0"/>
      </left>
      <right style="medium">
        <color theme="0"/>
      </right>
      <top style="thin">
        <color theme="0"/>
      </top>
      <bottom style="thin">
        <color theme="0"/>
      </bottom>
      <diagonal/>
    </border>
    <border>
      <left style="medium">
        <color theme="0"/>
      </left>
      <right style="medium">
        <color theme="0"/>
      </right>
      <top style="thin">
        <color theme="0"/>
      </top>
      <bottom style="medium">
        <color theme="0"/>
      </bottom>
      <diagonal/>
    </border>
    <border>
      <left style="medium">
        <color theme="0"/>
      </left>
      <right style="medium">
        <color theme="0"/>
      </right>
      <top style="medium">
        <color theme="0"/>
      </top>
      <bottom style="medium">
        <color theme="0"/>
      </bottom>
      <diagonal/>
    </border>
    <border>
      <left style="thick">
        <color indexed="9"/>
      </left>
      <right style="thick">
        <color indexed="9"/>
      </right>
      <top style="thick">
        <color indexed="9"/>
      </top>
      <bottom style="thin">
        <color theme="0"/>
      </bottom>
      <diagonal/>
    </border>
    <border>
      <left style="thick">
        <color indexed="9"/>
      </left>
      <right style="thin">
        <color theme="0"/>
      </right>
      <top style="thick">
        <color indexed="9"/>
      </top>
      <bottom style="thin">
        <color theme="0"/>
      </bottom>
      <diagonal/>
    </border>
    <border>
      <left style="thin">
        <color theme="0"/>
      </left>
      <right style="thick">
        <color indexed="9"/>
      </right>
      <top style="thick">
        <color indexed="9"/>
      </top>
      <bottom style="thin">
        <color theme="0"/>
      </bottom>
      <diagonal/>
    </border>
    <border>
      <left style="medium">
        <color theme="0"/>
      </left>
      <right/>
      <top style="medium">
        <color theme="0"/>
      </top>
      <bottom style="thin">
        <color theme="0"/>
      </bottom>
      <diagonal/>
    </border>
    <border>
      <left style="medium">
        <color theme="0"/>
      </left>
      <right/>
      <top style="thin">
        <color theme="0"/>
      </top>
      <bottom style="thin">
        <color theme="0"/>
      </bottom>
      <diagonal/>
    </border>
    <border>
      <left style="medium">
        <color theme="0"/>
      </left>
      <right/>
      <top style="thin">
        <color theme="0"/>
      </top>
      <bottom style="medium">
        <color theme="0"/>
      </bottom>
      <diagonal/>
    </border>
    <border>
      <left/>
      <right style="medium">
        <color theme="0"/>
      </right>
      <top style="medium">
        <color theme="0"/>
      </top>
      <bottom style="thin">
        <color theme="0"/>
      </bottom>
      <diagonal/>
    </border>
    <border>
      <left/>
      <right style="medium">
        <color theme="0"/>
      </right>
      <top style="thin">
        <color theme="0"/>
      </top>
      <bottom style="thin">
        <color theme="0"/>
      </bottom>
      <diagonal/>
    </border>
    <border>
      <left/>
      <right style="medium">
        <color theme="0"/>
      </right>
      <top style="thin">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right style="double">
        <color theme="0"/>
      </right>
      <top/>
      <bottom style="double">
        <color theme="0"/>
      </bottom>
      <diagonal/>
    </border>
    <border>
      <left style="double">
        <color theme="0"/>
      </left>
      <right style="double">
        <color theme="0"/>
      </right>
      <top/>
      <bottom style="double">
        <color theme="0"/>
      </bottom>
      <diagonal/>
    </border>
    <border>
      <left style="double">
        <color theme="0"/>
      </left>
      <right/>
      <top/>
      <bottom style="double">
        <color theme="0"/>
      </bottom>
      <diagonal/>
    </border>
    <border>
      <left/>
      <right style="double">
        <color theme="0"/>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style="double">
        <color theme="0"/>
      </bottom>
      <diagonal/>
    </border>
    <border>
      <left style="double">
        <color theme="0"/>
      </left>
      <right style="double">
        <color theme="0"/>
      </right>
      <top style="double">
        <color theme="0"/>
      </top>
      <bottom/>
      <diagonal/>
    </border>
    <border>
      <left style="double">
        <color theme="0"/>
      </left>
      <right/>
      <top style="double">
        <color theme="0"/>
      </top>
      <bottom/>
      <diagonal/>
    </border>
    <border>
      <left style="thin">
        <color theme="9"/>
      </left>
      <right style="thin">
        <color theme="9"/>
      </right>
      <top style="thin">
        <color theme="9"/>
      </top>
      <bottom style="thin">
        <color theme="9"/>
      </bottom>
      <diagonal/>
    </border>
    <border>
      <left/>
      <right/>
      <top style="thick">
        <color indexed="9"/>
      </top>
      <bottom style="thin">
        <color theme="0"/>
      </bottom>
      <diagonal/>
    </border>
    <border>
      <left/>
      <right/>
      <top style="thin">
        <color auto="1"/>
      </top>
      <bottom style="thin">
        <color auto="1"/>
      </bottom>
      <diagonal/>
    </border>
    <border>
      <left style="medium">
        <color indexed="64"/>
      </left>
      <right style="thin">
        <color indexed="64"/>
      </right>
      <top style="medium">
        <color indexed="64"/>
      </top>
      <bottom style="medium">
        <color indexed="64"/>
      </bottom>
      <diagonal/>
    </border>
  </borders>
  <cellStyleXfs count="11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87" fillId="32" borderId="0" applyNumberFormat="0" applyBorder="0" applyAlignment="0" applyProtection="0"/>
    <xf numFmtId="0" fontId="87" fillId="33"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7" fillId="34" borderId="0" applyNumberFormat="0" applyBorder="0" applyAlignment="0" applyProtection="0"/>
    <xf numFmtId="0" fontId="87" fillId="35" borderId="0" applyNumberFormat="0" applyBorder="0" applyAlignment="0" applyProtection="0"/>
    <xf numFmtId="0" fontId="87" fillId="36" borderId="0" applyNumberFormat="0" applyBorder="0" applyAlignment="0" applyProtection="0"/>
    <xf numFmtId="0" fontId="87" fillId="37" borderId="0" applyNumberFormat="0" applyBorder="0" applyAlignment="0" applyProtection="0"/>
    <xf numFmtId="0" fontId="87" fillId="38" borderId="0" applyNumberFormat="0" applyBorder="0" applyAlignment="0" applyProtection="0"/>
    <xf numFmtId="0" fontId="87" fillId="39"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89" fillId="42" borderId="0" applyNumberFormat="0" applyBorder="0" applyAlignment="0" applyProtection="0"/>
    <xf numFmtId="0" fontId="89" fillId="43" borderId="0" applyNumberFormat="0" applyBorder="0" applyAlignment="0" applyProtection="0"/>
    <xf numFmtId="0" fontId="89" fillId="44" borderId="0" applyNumberFormat="0" applyBorder="0" applyAlignment="0" applyProtection="0"/>
    <xf numFmtId="0" fontId="89" fillId="45" borderId="0" applyNumberFormat="0" applyBorder="0" applyAlignment="0" applyProtection="0"/>
    <xf numFmtId="0" fontId="89" fillId="46" borderId="0" applyNumberFormat="0" applyBorder="0" applyAlignment="0" applyProtection="0"/>
    <xf numFmtId="0" fontId="89" fillId="47" borderId="0" applyNumberFormat="0" applyBorder="0" applyAlignment="0" applyProtection="0"/>
    <xf numFmtId="0" fontId="89" fillId="48" borderId="0" applyNumberFormat="0" applyBorder="0" applyAlignment="0" applyProtection="0"/>
    <xf numFmtId="0" fontId="89" fillId="49" borderId="0" applyNumberFormat="0" applyBorder="0" applyAlignment="0" applyProtection="0"/>
    <xf numFmtId="0" fontId="89" fillId="50" borderId="0" applyNumberFormat="0" applyBorder="0" applyAlignment="0" applyProtection="0"/>
    <xf numFmtId="0" fontId="89" fillId="51" borderId="0" applyNumberFormat="0" applyBorder="0" applyAlignment="0" applyProtection="0"/>
    <xf numFmtId="0" fontId="15" fillId="0" borderId="0" applyNumberFormat="0" applyFill="0" applyBorder="0" applyAlignment="0" applyProtection="0"/>
    <xf numFmtId="0" fontId="90" fillId="52" borderId="0" applyNumberFormat="0" applyBorder="0" applyAlignment="0" applyProtection="0"/>
    <xf numFmtId="0" fontId="26" fillId="16" borderId="1" applyNumberFormat="0" applyAlignment="0" applyProtection="0"/>
    <xf numFmtId="0" fontId="91" fillId="53" borderId="72" applyNumberFormat="0" applyAlignment="0" applyProtection="0"/>
    <xf numFmtId="0" fontId="33" fillId="0" borderId="2" applyNumberFormat="0" applyFill="0" applyAlignment="0" applyProtection="0"/>
    <xf numFmtId="0" fontId="92" fillId="54" borderId="73" applyNumberFormat="0" applyAlignment="0" applyProtection="0"/>
    <xf numFmtId="166" fontId="3" fillId="0" borderId="0" applyFont="0" applyFill="0" applyBorder="0" applyAlignment="0" applyProtection="0"/>
    <xf numFmtId="176" fontId="10" fillId="0" borderId="0" applyFont="0" applyFill="0" applyBorder="0" applyAlignment="0" applyProtection="0"/>
    <xf numFmtId="176" fontId="1" fillId="0" borderId="0" applyFont="0" applyFill="0" applyBorder="0" applyAlignment="0" applyProtection="0"/>
    <xf numFmtId="166" fontId="3" fillId="0" borderId="0" applyFont="0" applyFill="0" applyBorder="0" applyAlignment="0" applyProtection="0"/>
    <xf numFmtId="166" fontId="1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18" borderId="4" applyNumberFormat="0" applyFont="0" applyAlignment="0" applyProtection="0"/>
    <xf numFmtId="164" fontId="3" fillId="0" borderId="0" applyFont="0" applyFill="0" applyBorder="0" applyAlignment="0" applyProtection="0"/>
    <xf numFmtId="0" fontId="32" fillId="7" borderId="1" applyNumberFormat="0" applyAlignment="0" applyProtection="0"/>
    <xf numFmtId="0" fontId="93" fillId="0" borderId="0" applyNumberFormat="0" applyFill="0" applyBorder="0" applyAlignment="0" applyProtection="0"/>
    <xf numFmtId="0" fontId="94" fillId="55" borderId="0" applyNumberFormat="0" applyBorder="0" applyAlignment="0" applyProtection="0"/>
    <xf numFmtId="0" fontId="95" fillId="0" borderId="74" applyNumberFormat="0" applyFill="0" applyAlignment="0" applyProtection="0"/>
    <xf numFmtId="0" fontId="96" fillId="0" borderId="75" applyNumberFormat="0" applyFill="0" applyAlignment="0" applyProtection="0"/>
    <xf numFmtId="0" fontId="97" fillId="0" borderId="76" applyNumberFormat="0" applyFill="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56" borderId="72" applyNumberFormat="0" applyAlignment="0" applyProtection="0"/>
    <xf numFmtId="0" fontId="25" fillId="3" borderId="0" applyNumberFormat="0" applyBorder="0" applyAlignment="0" applyProtection="0"/>
    <xf numFmtId="0" fontId="4" fillId="0" borderId="0" applyNumberFormat="0" applyFill="0" applyBorder="0" applyAlignment="0" applyProtection="0">
      <alignment vertical="top"/>
      <protection locked="0"/>
    </xf>
    <xf numFmtId="0" fontId="100" fillId="0" borderId="77" applyNumberFormat="0" applyFill="0" applyAlignment="0" applyProtection="0"/>
    <xf numFmtId="166" fontId="1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0" fontId="101" fillId="57" borderId="0" applyNumberFormat="0" applyBorder="0" applyAlignment="0" applyProtection="0"/>
    <xf numFmtId="0" fontId="34" fillId="19" borderId="0" applyNumberFormat="0" applyBorder="0" applyAlignment="0" applyProtection="0"/>
    <xf numFmtId="0" fontId="3" fillId="0" borderId="0"/>
    <xf numFmtId="0" fontId="86" fillId="0" borderId="0"/>
    <xf numFmtId="0" fontId="3" fillId="0" borderId="0"/>
    <xf numFmtId="0" fontId="86" fillId="0" borderId="0"/>
    <xf numFmtId="0" fontId="3" fillId="0" borderId="0"/>
    <xf numFmtId="0" fontId="1" fillId="0" borderId="0"/>
    <xf numFmtId="0" fontId="87" fillId="0" borderId="0"/>
    <xf numFmtId="0" fontId="11" fillId="58" borderId="78" applyNumberFormat="0" applyFont="0" applyAlignment="0" applyProtection="0"/>
    <xf numFmtId="0" fontId="102" fillId="53" borderId="79" applyNumberFormat="0" applyAlignment="0" applyProtection="0"/>
    <xf numFmtId="9" fontId="3"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0" fontId="28" fillId="4" borderId="0" applyNumberFormat="0" applyBorder="0" applyAlignment="0" applyProtection="0"/>
    <xf numFmtId="0" fontId="35" fillId="16" borderId="8" applyNumberFormat="0" applyAlignment="0" applyProtection="0"/>
    <xf numFmtId="0" fontId="27" fillId="0" borderId="0" applyNumberFormat="0" applyFill="0" applyBorder="0" applyAlignment="0" applyProtection="0"/>
    <xf numFmtId="0" fontId="103" fillId="0" borderId="0" applyNumberFormat="0" applyFill="0" applyBorder="0" applyAlignment="0" applyProtection="0"/>
    <xf numFmtId="0" fontId="36"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105" fillId="0" borderId="80" applyNumberFormat="0" applyFill="0" applyAlignment="0" applyProtection="0"/>
    <xf numFmtId="0" fontId="13" fillId="17" borderId="3" applyNumberFormat="0" applyAlignment="0" applyProtection="0"/>
    <xf numFmtId="0" fontId="107" fillId="0" borderId="0" applyNumberFormat="0" applyFill="0" applyBorder="0" applyAlignment="0" applyProtection="0"/>
  </cellStyleXfs>
  <cellXfs count="590">
    <xf numFmtId="0" fontId="0" fillId="0" borderId="0" xfId="0"/>
    <xf numFmtId="0" fontId="0" fillId="20" borderId="0" xfId="0" applyFill="1"/>
    <xf numFmtId="0" fontId="16" fillId="20" borderId="0" xfId="0" applyFont="1" applyFill="1"/>
    <xf numFmtId="0" fontId="13" fillId="21" borderId="0" xfId="0" applyFont="1" applyFill="1" applyAlignment="1">
      <alignment horizontal="center" vertical="center"/>
    </xf>
    <xf numFmtId="0" fontId="13" fillId="21" borderId="9" xfId="0" applyFont="1" applyFill="1" applyBorder="1" applyAlignment="1">
      <alignment horizontal="center" vertical="center" wrapText="1"/>
    </xf>
    <xf numFmtId="0" fontId="86" fillId="22" borderId="10" xfId="85" applyFill="1" applyBorder="1" applyAlignment="1">
      <alignment horizontal="center" vertical="center"/>
    </xf>
    <xf numFmtId="0" fontId="12" fillId="21" borderId="11" xfId="0" applyFont="1" applyFill="1" applyBorder="1" applyAlignment="1">
      <alignment horizontal="center"/>
    </xf>
    <xf numFmtId="0" fontId="12" fillId="21" borderId="12" xfId="0" applyFont="1" applyFill="1" applyBorder="1" applyAlignment="1">
      <alignment horizontal="center"/>
    </xf>
    <xf numFmtId="0" fontId="12" fillId="21" borderId="13" xfId="0" applyFont="1" applyFill="1" applyBorder="1" applyAlignment="1">
      <alignment horizontal="center" vertical="center"/>
    </xf>
    <xf numFmtId="0" fontId="12" fillId="21" borderId="13" xfId="0" applyFont="1" applyFill="1" applyBorder="1" applyAlignment="1">
      <alignment horizontal="center"/>
    </xf>
    <xf numFmtId="0" fontId="13" fillId="21" borderId="9" xfId="0" applyFont="1" applyFill="1" applyBorder="1" applyAlignment="1">
      <alignment horizontal="center" wrapText="1"/>
    </xf>
    <xf numFmtId="0" fontId="12" fillId="21" borderId="14" xfId="0" applyFont="1" applyFill="1" applyBorder="1" applyAlignment="1">
      <alignment horizontal="center"/>
    </xf>
    <xf numFmtId="0" fontId="13" fillId="21" borderId="15" xfId="0" applyFont="1" applyFill="1" applyBorder="1" applyAlignment="1">
      <alignment horizontal="center" vertical="center" wrapText="1"/>
    </xf>
    <xf numFmtId="0" fontId="0" fillId="20" borderId="0" xfId="0" applyFill="1" applyAlignment="1">
      <alignment horizontal="center" vertical="center"/>
    </xf>
    <xf numFmtId="17" fontId="12" fillId="21" borderId="9" xfId="0" applyNumberFormat="1" applyFont="1" applyFill="1" applyBorder="1"/>
    <xf numFmtId="17" fontId="12" fillId="21" borderId="17" xfId="0" applyNumberFormat="1" applyFont="1" applyFill="1" applyBorder="1"/>
    <xf numFmtId="17" fontId="12" fillId="21" borderId="13" xfId="0" applyNumberFormat="1" applyFont="1" applyFill="1" applyBorder="1"/>
    <xf numFmtId="168" fontId="0" fillId="22" borderId="10" xfId="0" applyNumberFormat="1" applyFill="1" applyBorder="1" applyAlignment="1">
      <alignment horizontal="center"/>
    </xf>
    <xf numFmtId="2" fontId="0" fillId="22" borderId="18" xfId="0" applyNumberFormat="1" applyFill="1" applyBorder="1" applyAlignment="1">
      <alignment horizontal="center"/>
    </xf>
    <xf numFmtId="172" fontId="10" fillId="22" borderId="15" xfId="71" applyNumberFormat="1" applyFont="1" applyFill="1" applyBorder="1" applyAlignment="1">
      <alignment horizontal="center"/>
    </xf>
    <xf numFmtId="2" fontId="0" fillId="22" borderId="15" xfId="0" applyNumberFormat="1" applyFill="1" applyBorder="1" applyAlignment="1">
      <alignment horizontal="center"/>
    </xf>
    <xf numFmtId="172" fontId="20" fillId="22" borderId="15" xfId="71" applyNumberFormat="1" applyFont="1" applyFill="1" applyBorder="1" applyAlignment="1">
      <alignment horizontal="center"/>
    </xf>
    <xf numFmtId="0" fontId="12" fillId="21" borderId="12" xfId="0" applyFont="1" applyFill="1" applyBorder="1" applyAlignment="1">
      <alignment horizontal="left"/>
    </xf>
    <xf numFmtId="0" fontId="0" fillId="20" borderId="0" xfId="0" applyFill="1" applyAlignment="1">
      <alignment horizontal="center"/>
    </xf>
    <xf numFmtId="0" fontId="0" fillId="20" borderId="0" xfId="0" applyNumberFormat="1" applyFill="1" applyAlignment="1">
      <alignment horizontal="center"/>
    </xf>
    <xf numFmtId="0" fontId="1" fillId="20" borderId="0" xfId="0" applyFont="1" applyFill="1"/>
    <xf numFmtId="0" fontId="18" fillId="20" borderId="0" xfId="0" applyFont="1" applyFill="1"/>
    <xf numFmtId="0" fontId="37" fillId="20" borderId="0" xfId="0" applyFont="1" applyFill="1"/>
    <xf numFmtId="0" fontId="37" fillId="20" borderId="0" xfId="0" applyFont="1" applyFill="1" applyAlignment="1">
      <alignment horizontal="center"/>
    </xf>
    <xf numFmtId="0" fontId="24" fillId="20" borderId="0" xfId="0" applyFont="1" applyFill="1"/>
    <xf numFmtId="0" fontId="24" fillId="20" borderId="0" xfId="0" applyFont="1" applyFill="1" applyAlignment="1">
      <alignment horizontal="center"/>
    </xf>
    <xf numFmtId="3" fontId="0" fillId="23" borderId="17" xfId="0" applyNumberFormat="1" applyFill="1" applyBorder="1" applyProtection="1">
      <protection locked="0"/>
    </xf>
    <xf numFmtId="3" fontId="3" fillId="23" borderId="20" xfId="82" applyNumberFormat="1" applyFont="1" applyFill="1" applyBorder="1" applyAlignment="1" applyProtection="1">
      <alignment horizontal="center"/>
      <protection locked="0"/>
    </xf>
    <xf numFmtId="178" fontId="3" fillId="23" borderId="19" xfId="82" applyNumberFormat="1" applyFill="1" applyBorder="1" applyAlignment="1" applyProtection="1">
      <alignment horizontal="center"/>
      <protection locked="0"/>
    </xf>
    <xf numFmtId="178" fontId="3" fillId="23" borderId="18" xfId="82" applyNumberFormat="1" applyFill="1" applyBorder="1" applyAlignment="1" applyProtection="1">
      <alignment horizontal="center"/>
      <protection locked="0"/>
    </xf>
    <xf numFmtId="172" fontId="14" fillId="23" borderId="16" xfId="71" applyNumberFormat="1" applyFont="1" applyFill="1" applyBorder="1" applyAlignment="1" applyProtection="1">
      <alignment horizontal="center" vertical="center"/>
      <protection locked="0"/>
    </xf>
    <xf numFmtId="0" fontId="0" fillId="23" borderId="18" xfId="0" applyFill="1" applyBorder="1" applyAlignment="1" applyProtection="1">
      <alignment horizontal="center"/>
      <protection locked="0"/>
    </xf>
    <xf numFmtId="17" fontId="0" fillId="23" borderId="18" xfId="0" applyNumberFormat="1" applyFill="1" applyBorder="1" applyAlignment="1" applyProtection="1">
      <alignment horizontal="center"/>
      <protection locked="0"/>
    </xf>
    <xf numFmtId="2" fontId="0" fillId="24" borderId="18" xfId="0" applyNumberFormat="1" applyFill="1" applyBorder="1" applyAlignment="1" applyProtection="1">
      <alignment horizontal="center"/>
      <protection locked="0"/>
    </xf>
    <xf numFmtId="3" fontId="38" fillId="20" borderId="0" xfId="82" applyNumberFormat="1" applyFont="1" applyFill="1" applyBorder="1" applyAlignment="1" applyProtection="1">
      <alignment horizontal="center"/>
      <protection hidden="1"/>
    </xf>
    <xf numFmtId="0" fontId="17" fillId="21" borderId="0" xfId="69" applyFont="1" applyFill="1" applyAlignment="1" applyProtection="1">
      <protection locked="0"/>
    </xf>
    <xf numFmtId="0" fontId="40" fillId="20" borderId="0" xfId="0" applyFont="1" applyFill="1"/>
    <xf numFmtId="0" fontId="40" fillId="20" borderId="0" xfId="0" quotePrefix="1" applyFont="1" applyFill="1"/>
    <xf numFmtId="169" fontId="18" fillId="20" borderId="10" xfId="0" applyNumberFormat="1" applyFont="1" applyFill="1" applyBorder="1"/>
    <xf numFmtId="173" fontId="18" fillId="20" borderId="18" xfId="97" applyNumberFormat="1" applyFont="1" applyFill="1" applyBorder="1"/>
    <xf numFmtId="2" fontId="18" fillId="20" borderId="10" xfId="0" applyNumberFormat="1" applyFont="1" applyFill="1" applyBorder="1"/>
    <xf numFmtId="0" fontId="18" fillId="20" borderId="0" xfId="0" applyFont="1" applyFill="1" applyAlignment="1">
      <alignment horizontal="center"/>
    </xf>
    <xf numFmtId="0" fontId="12" fillId="20" borderId="0" xfId="0" applyFont="1" applyFill="1" applyAlignment="1">
      <alignment horizontal="center"/>
    </xf>
    <xf numFmtId="3" fontId="12" fillId="20" borderId="0" xfId="0" applyNumberFormat="1" applyFont="1" applyFill="1" applyAlignment="1">
      <alignment horizontal="center"/>
    </xf>
    <xf numFmtId="0" fontId="12" fillId="20" borderId="0" xfId="0" applyFont="1" applyFill="1"/>
    <xf numFmtId="3" fontId="3" fillId="23" borderId="21" xfId="82" applyNumberFormat="1" applyFont="1" applyFill="1" applyBorder="1" applyAlignment="1" applyProtection="1">
      <alignment horizontal="center"/>
      <protection locked="0"/>
    </xf>
    <xf numFmtId="3" fontId="3" fillId="0" borderId="22" xfId="82" applyNumberFormat="1" applyFont="1" applyFill="1" applyBorder="1" applyAlignment="1" applyProtection="1">
      <alignment horizontal="center"/>
      <protection locked="0"/>
    </xf>
    <xf numFmtId="0" fontId="41" fillId="20" borderId="0" xfId="0" applyFont="1" applyFill="1"/>
    <xf numFmtId="0" fontId="42" fillId="20" borderId="0" xfId="0" applyFont="1" applyFill="1" applyAlignment="1">
      <alignment horizontal="left"/>
    </xf>
    <xf numFmtId="0" fontId="0" fillId="24" borderId="18" xfId="0" applyFill="1" applyBorder="1" applyAlignment="1" applyProtection="1">
      <alignment horizontal="left"/>
      <protection locked="0"/>
    </xf>
    <xf numFmtId="3" fontId="0" fillId="23" borderId="18" xfId="0" applyNumberFormat="1" applyFill="1" applyBorder="1" applyAlignment="1" applyProtection="1">
      <alignment horizontal="right"/>
      <protection locked="0"/>
    </xf>
    <xf numFmtId="2" fontId="12" fillId="20" borderId="0" xfId="0" applyNumberFormat="1" applyFont="1" applyFill="1" applyAlignment="1">
      <alignment horizontal="center"/>
    </xf>
    <xf numFmtId="0" fontId="12" fillId="20" borderId="0" xfId="0" applyFont="1" applyFill="1" applyAlignment="1">
      <alignment horizontal="center" wrapText="1"/>
    </xf>
    <xf numFmtId="0" fontId="12" fillId="20" borderId="0" xfId="0" applyFont="1" applyFill="1" applyAlignment="1">
      <alignment horizontal="right" wrapText="1"/>
    </xf>
    <xf numFmtId="2" fontId="12" fillId="20" borderId="0" xfId="0" applyNumberFormat="1" applyFont="1" applyFill="1"/>
    <xf numFmtId="167" fontId="12" fillId="20" borderId="0" xfId="0" applyNumberFormat="1" applyFont="1" applyFill="1"/>
    <xf numFmtId="172" fontId="12" fillId="20" borderId="0" xfId="71" applyNumberFormat="1" applyFont="1" applyFill="1" applyAlignment="1">
      <alignment horizontal="center"/>
    </xf>
    <xf numFmtId="3" fontId="3" fillId="20" borderId="0" xfId="82" applyNumberFormat="1" applyFont="1" applyFill="1" applyBorder="1" applyAlignment="1" applyProtection="1">
      <alignment horizontal="center"/>
      <protection locked="0"/>
    </xf>
    <xf numFmtId="0" fontId="0" fillId="20" borderId="0" xfId="0" applyFill="1" applyBorder="1" applyAlignment="1">
      <alignment horizontal="center"/>
    </xf>
    <xf numFmtId="0" fontId="0" fillId="20" borderId="0" xfId="0" applyFill="1" applyBorder="1"/>
    <xf numFmtId="0" fontId="13" fillId="21" borderId="15" xfId="0" applyFont="1" applyFill="1" applyBorder="1" applyAlignment="1" applyProtection="1">
      <alignment horizontal="center" vertical="center" wrapText="1"/>
      <protection hidden="1"/>
    </xf>
    <xf numFmtId="0" fontId="17" fillId="21" borderId="0" xfId="69" applyFont="1" applyFill="1" applyAlignment="1" applyProtection="1">
      <protection hidden="1"/>
    </xf>
    <xf numFmtId="2" fontId="0" fillId="24" borderId="17" xfId="0" applyNumberFormat="1" applyFill="1" applyBorder="1" applyAlignment="1" applyProtection="1">
      <alignment horizontal="center"/>
      <protection hidden="1"/>
    </xf>
    <xf numFmtId="2" fontId="0" fillId="24" borderId="0" xfId="0" applyNumberFormat="1" applyFill="1" applyAlignment="1" applyProtection="1">
      <alignment horizontal="center"/>
      <protection hidden="1"/>
    </xf>
    <xf numFmtId="2" fontId="0" fillId="24" borderId="13" xfId="0" applyNumberFormat="1" applyFill="1" applyBorder="1" applyAlignment="1" applyProtection="1">
      <alignment horizontal="center"/>
      <protection hidden="1"/>
    </xf>
    <xf numFmtId="0" fontId="12" fillId="20" borderId="0" xfId="0" applyFont="1" applyFill="1" applyProtection="1"/>
    <xf numFmtId="0" fontId="0" fillId="20" borderId="0" xfId="0" applyFill="1" applyProtection="1"/>
    <xf numFmtId="3" fontId="43" fillId="20" borderId="0" xfId="82" applyNumberFormat="1" applyFont="1" applyFill="1" applyBorder="1" applyAlignment="1" applyProtection="1">
      <alignment horizontal="center"/>
    </xf>
    <xf numFmtId="178" fontId="43" fillId="20" borderId="0" xfId="82" applyNumberFormat="1" applyFont="1" applyFill="1" applyBorder="1" applyAlignment="1" applyProtection="1">
      <alignment horizontal="center"/>
    </xf>
    <xf numFmtId="0" fontId="12" fillId="20" borderId="0" xfId="0" applyFont="1" applyFill="1" applyBorder="1" applyAlignment="1" applyProtection="1">
      <alignment horizontal="center"/>
    </xf>
    <xf numFmtId="0" fontId="12" fillId="20" borderId="0" xfId="0" applyFont="1" applyFill="1" applyAlignment="1" applyProtection="1">
      <alignment horizontal="center"/>
    </xf>
    <xf numFmtId="0" fontId="0" fillId="20" borderId="0" xfId="0" applyFill="1" applyAlignment="1" applyProtection="1">
      <alignment horizontal="center"/>
    </xf>
    <xf numFmtId="0" fontId="4" fillId="0" borderId="0" xfId="69" applyAlignment="1" applyProtection="1"/>
    <xf numFmtId="0" fontId="0" fillId="20" borderId="0" xfId="0" applyFill="1" applyAlignment="1" applyProtection="1">
      <alignment horizontal="center" vertical="center"/>
    </xf>
    <xf numFmtId="0" fontId="0" fillId="20" borderId="0" xfId="0" applyFill="1" applyBorder="1" applyProtection="1"/>
    <xf numFmtId="49" fontId="45" fillId="23" borderId="23" xfId="82" applyNumberFormat="1" applyFont="1" applyFill="1" applyBorder="1" applyAlignment="1" applyProtection="1">
      <alignment horizontal="left" vertical="top" wrapText="1" indent="1" shrinkToFit="1"/>
      <protection locked="0"/>
    </xf>
    <xf numFmtId="0" fontId="50" fillId="20" borderId="0" xfId="0" applyFont="1" applyFill="1"/>
    <xf numFmtId="0" fontId="49" fillId="20" borderId="0" xfId="0" applyFont="1" applyFill="1" applyProtection="1"/>
    <xf numFmtId="3" fontId="18" fillId="20" borderId="0" xfId="0" applyNumberFormat="1" applyFont="1" applyFill="1" applyAlignment="1">
      <alignment horizontal="center"/>
    </xf>
    <xf numFmtId="0" fontId="18" fillId="20" borderId="0" xfId="0" applyFont="1" applyFill="1" applyProtection="1"/>
    <xf numFmtId="3" fontId="18" fillId="23" borderId="17" xfId="0" applyNumberFormat="1" applyFont="1" applyFill="1" applyBorder="1" applyProtection="1">
      <protection locked="0"/>
    </xf>
    <xf numFmtId="178" fontId="3" fillId="23" borderId="19" xfId="82" applyNumberFormat="1" applyFont="1" applyFill="1" applyBorder="1" applyAlignment="1" applyProtection="1">
      <alignment horizontal="center"/>
      <protection locked="0"/>
    </xf>
    <xf numFmtId="178" fontId="3" fillId="23" borderId="18" xfId="82" applyNumberFormat="1" applyFont="1" applyFill="1" applyBorder="1" applyAlignment="1" applyProtection="1">
      <alignment horizontal="center"/>
      <protection locked="0"/>
    </xf>
    <xf numFmtId="172" fontId="40" fillId="23" borderId="16" xfId="71" applyNumberFormat="1" applyFont="1" applyFill="1" applyBorder="1" applyAlignment="1" applyProtection="1">
      <alignment horizontal="center" vertical="center"/>
      <protection locked="0"/>
    </xf>
    <xf numFmtId="0" fontId="1" fillId="20" borderId="0" xfId="0" applyFont="1" applyFill="1" applyAlignment="1">
      <alignment horizontal="center"/>
    </xf>
    <xf numFmtId="0" fontId="18" fillId="23" borderId="18" xfId="0" applyFont="1" applyFill="1" applyBorder="1" applyAlignment="1" applyProtection="1">
      <alignment horizontal="center"/>
      <protection locked="0"/>
    </xf>
    <xf numFmtId="3" fontId="18" fillId="23" borderId="18" xfId="0" applyNumberFormat="1" applyFont="1" applyFill="1" applyBorder="1" applyAlignment="1" applyProtection="1">
      <alignment horizontal="right"/>
      <protection locked="0"/>
    </xf>
    <xf numFmtId="0" fontId="18" fillId="24" borderId="18" xfId="0" applyFont="1" applyFill="1" applyBorder="1" applyAlignment="1" applyProtection="1">
      <alignment horizontal="left"/>
    </xf>
    <xf numFmtId="17" fontId="18" fillId="23" borderId="18" xfId="0" applyNumberFormat="1" applyFont="1" applyFill="1" applyBorder="1" applyAlignment="1" applyProtection="1">
      <alignment horizontal="center"/>
      <protection locked="0"/>
    </xf>
    <xf numFmtId="2" fontId="18" fillId="24" borderId="18" xfId="0" applyNumberFormat="1" applyFont="1" applyFill="1" applyBorder="1" applyAlignment="1" applyProtection="1">
      <alignment horizontal="center"/>
    </xf>
    <xf numFmtId="172" fontId="40" fillId="22" borderId="15" xfId="71" applyNumberFormat="1" applyFont="1" applyFill="1" applyBorder="1" applyAlignment="1">
      <alignment horizontal="center"/>
    </xf>
    <xf numFmtId="172" fontId="18" fillId="22" borderId="15" xfId="71" applyNumberFormat="1" applyFont="1" applyFill="1" applyBorder="1" applyAlignment="1">
      <alignment horizontal="center"/>
    </xf>
    <xf numFmtId="172" fontId="18" fillId="22" borderId="15" xfId="71" applyNumberFormat="1" applyFont="1" applyFill="1" applyBorder="1" applyAlignment="1" applyProtection="1">
      <alignment horizontal="center"/>
    </xf>
    <xf numFmtId="2" fontId="18" fillId="22" borderId="15" xfId="0" applyNumberFormat="1" applyFont="1" applyFill="1" applyBorder="1" applyAlignment="1" applyProtection="1">
      <alignment horizontal="center"/>
    </xf>
    <xf numFmtId="1" fontId="18" fillId="22" borderId="10" xfId="0" applyNumberFormat="1" applyFont="1" applyFill="1" applyBorder="1" applyAlignment="1">
      <alignment horizontal="center"/>
    </xf>
    <xf numFmtId="168" fontId="18" fillId="22" borderId="10" xfId="0" applyNumberFormat="1" applyFont="1" applyFill="1" applyBorder="1" applyAlignment="1">
      <alignment horizontal="center"/>
    </xf>
    <xf numFmtId="2" fontId="18" fillId="22" borderId="18" xfId="0" applyNumberFormat="1" applyFont="1" applyFill="1" applyBorder="1" applyAlignment="1">
      <alignment horizontal="center"/>
    </xf>
    <xf numFmtId="172" fontId="18" fillId="22" borderId="10" xfId="71" applyNumberFormat="1" applyFont="1" applyFill="1" applyBorder="1" applyAlignment="1">
      <alignment horizontal="center"/>
    </xf>
    <xf numFmtId="169" fontId="18" fillId="22" borderId="18" xfId="71" applyNumberFormat="1" applyFont="1" applyFill="1" applyBorder="1" applyAlignment="1">
      <alignment horizontal="center"/>
    </xf>
    <xf numFmtId="0" fontId="18" fillId="22" borderId="10" xfId="85" applyFont="1" applyFill="1" applyBorder="1" applyAlignment="1">
      <alignment horizontal="center" vertical="center"/>
    </xf>
    <xf numFmtId="172" fontId="18" fillId="22" borderId="16" xfId="71" applyNumberFormat="1" applyFont="1" applyFill="1" applyBorder="1"/>
    <xf numFmtId="0" fontId="52" fillId="21" borderId="0" xfId="69" applyFont="1" applyFill="1" applyAlignment="1" applyProtection="1"/>
    <xf numFmtId="172" fontId="18" fillId="22" borderId="19" xfId="71" applyNumberFormat="1" applyFont="1" applyFill="1" applyBorder="1"/>
    <xf numFmtId="166" fontId="18" fillId="22" borderId="16" xfId="71" applyNumberFormat="1" applyFont="1" applyFill="1" applyBorder="1"/>
    <xf numFmtId="166" fontId="18" fillId="22" borderId="19" xfId="71" applyNumberFormat="1" applyFont="1" applyFill="1" applyBorder="1"/>
    <xf numFmtId="0" fontId="52" fillId="21" borderId="19" xfId="69" applyFont="1" applyFill="1" applyBorder="1" applyAlignment="1" applyProtection="1"/>
    <xf numFmtId="0" fontId="52" fillId="21" borderId="24" xfId="69" applyFont="1" applyFill="1" applyBorder="1" applyAlignment="1" applyProtection="1"/>
    <xf numFmtId="172" fontId="18" fillId="22" borderId="9" xfId="71" applyNumberFormat="1" applyFont="1" applyFill="1" applyBorder="1"/>
    <xf numFmtId="172" fontId="18" fillId="22" borderId="17" xfId="71" applyNumberFormat="1" applyFont="1" applyFill="1" applyBorder="1"/>
    <xf numFmtId="172" fontId="18" fillId="22" borderId="10" xfId="71" applyNumberFormat="1" applyFont="1" applyFill="1" applyBorder="1"/>
    <xf numFmtId="172" fontId="18" fillId="22" borderId="18" xfId="71" applyNumberFormat="1" applyFont="1" applyFill="1" applyBorder="1"/>
    <xf numFmtId="166" fontId="18" fillId="22" borderId="10" xfId="71" applyNumberFormat="1" applyFont="1" applyFill="1" applyBorder="1"/>
    <xf numFmtId="166" fontId="18" fillId="22" borderId="18" xfId="71" applyNumberFormat="1" applyFont="1" applyFill="1" applyBorder="1"/>
    <xf numFmtId="0" fontId="52" fillId="21" borderId="18" xfId="69" applyFont="1" applyFill="1" applyBorder="1" applyAlignment="1" applyProtection="1"/>
    <xf numFmtId="0" fontId="52" fillId="21" borderId="0" xfId="69" applyFont="1" applyFill="1" applyBorder="1" applyAlignment="1" applyProtection="1"/>
    <xf numFmtId="168" fontId="18" fillId="22" borderId="10" xfId="0" applyNumberFormat="1" applyFont="1" applyFill="1" applyBorder="1"/>
    <xf numFmtId="173" fontId="18" fillId="22" borderId="18" xfId="97" applyNumberFormat="1" applyFont="1" applyFill="1" applyBorder="1"/>
    <xf numFmtId="2" fontId="18" fillId="22" borderId="10" xfId="0" applyNumberFormat="1" applyFont="1" applyFill="1" applyBorder="1"/>
    <xf numFmtId="0" fontId="53" fillId="20" borderId="0" xfId="0" applyFont="1" applyFill="1"/>
    <xf numFmtId="0" fontId="54" fillId="20" borderId="0" xfId="0" applyFont="1" applyFill="1"/>
    <xf numFmtId="0" fontId="50" fillId="23" borderId="0" xfId="0" applyFont="1" applyFill="1" applyProtection="1"/>
    <xf numFmtId="0" fontId="0" fillId="23" borderId="0" xfId="0" applyFill="1" applyAlignment="1" applyProtection="1">
      <alignment horizontal="center" vertical="center"/>
    </xf>
    <xf numFmtId="0" fontId="15" fillId="23" borderId="0" xfId="0" applyFont="1" applyFill="1" applyBorder="1" applyProtection="1"/>
    <xf numFmtId="0" fontId="0" fillId="23" borderId="0" xfId="0" applyFill="1" applyProtection="1"/>
    <xf numFmtId="0" fontId="19" fillId="23" borderId="0" xfId="0" applyFont="1" applyFill="1" applyProtection="1"/>
    <xf numFmtId="0" fontId="56" fillId="20" borderId="0" xfId="0" applyFont="1" applyFill="1"/>
    <xf numFmtId="0" fontId="50" fillId="0" borderId="0" xfId="82" applyFont="1" applyFill="1" applyBorder="1" applyAlignment="1" applyProtection="1">
      <alignment horizontal="left" indent="1"/>
      <protection hidden="1"/>
    </xf>
    <xf numFmtId="1" fontId="59" fillId="0" borderId="0" xfId="0" applyNumberFormat="1" applyFont="1" applyBorder="1" applyAlignment="1">
      <alignment horizontal="center"/>
    </xf>
    <xf numFmtId="0" fontId="59" fillId="0" borderId="0" xfId="0" applyFont="1" applyBorder="1" applyAlignment="1">
      <alignment horizontal="center"/>
    </xf>
    <xf numFmtId="0" fontId="60" fillId="0" borderId="0" xfId="0" applyFont="1" applyBorder="1" applyAlignment="1">
      <alignment wrapText="1"/>
    </xf>
    <xf numFmtId="180" fontId="9" fillId="0" borderId="0" xfId="0" applyNumberFormat="1" applyFont="1" applyBorder="1"/>
    <xf numFmtId="180" fontId="59" fillId="0" borderId="0" xfId="0" applyNumberFormat="1" applyFont="1" applyBorder="1"/>
    <xf numFmtId="180" fontId="60" fillId="0" borderId="0" xfId="0" applyNumberFormat="1" applyFont="1" applyBorder="1" applyAlignment="1">
      <alignment horizontal="center"/>
    </xf>
    <xf numFmtId="4" fontId="60" fillId="0" borderId="0" xfId="0" applyNumberFormat="1" applyFont="1" applyBorder="1"/>
    <xf numFmtId="3" fontId="60" fillId="0" borderId="0" xfId="0" applyNumberFormat="1" applyFont="1" applyBorder="1"/>
    <xf numFmtId="0" fontId="0" fillId="0" borderId="0" xfId="0" applyBorder="1"/>
    <xf numFmtId="0" fontId="59" fillId="0" borderId="0" xfId="0" applyFont="1" applyBorder="1"/>
    <xf numFmtId="0" fontId="60" fillId="25" borderId="25" xfId="0" applyFont="1" applyFill="1" applyBorder="1" applyAlignment="1">
      <alignment vertical="center"/>
    </xf>
    <xf numFmtId="1" fontId="60" fillId="25" borderId="26" xfId="0" applyNumberFormat="1" applyFont="1" applyFill="1" applyBorder="1" applyAlignment="1">
      <alignment horizontal="center" vertical="center"/>
    </xf>
    <xf numFmtId="0" fontId="60" fillId="25" borderId="26" xfId="0" applyFont="1" applyFill="1" applyBorder="1" applyAlignment="1">
      <alignment horizontal="left" vertical="center"/>
    </xf>
    <xf numFmtId="3" fontId="60" fillId="25" borderId="26" xfId="0" applyNumberFormat="1" applyFont="1" applyFill="1" applyBorder="1" applyAlignment="1">
      <alignment horizontal="left" vertical="center" wrapText="1"/>
    </xf>
    <xf numFmtId="180" fontId="60" fillId="25" borderId="26" xfId="0" applyNumberFormat="1" applyFont="1" applyFill="1" applyBorder="1" applyAlignment="1">
      <alignment horizontal="center" vertical="center" wrapText="1"/>
    </xf>
    <xf numFmtId="180" fontId="60" fillId="25" borderId="26" xfId="0" applyNumberFormat="1" applyFont="1" applyFill="1" applyBorder="1" applyAlignment="1">
      <alignment horizontal="left" vertical="center" wrapText="1"/>
    </xf>
    <xf numFmtId="180" fontId="60" fillId="25" borderId="27" xfId="0" applyNumberFormat="1" applyFont="1" applyFill="1" applyBorder="1" applyAlignment="1">
      <alignment horizontal="left" vertical="center" wrapText="1"/>
    </xf>
    <xf numFmtId="180" fontId="60" fillId="25" borderId="28" xfId="0" applyNumberFormat="1" applyFont="1" applyFill="1" applyBorder="1" applyAlignment="1">
      <alignment horizontal="left" vertical="center" wrapText="1"/>
    </xf>
    <xf numFmtId="0" fontId="60" fillId="0" borderId="0" xfId="0" applyFont="1" applyBorder="1" applyAlignment="1">
      <alignment horizontal="right"/>
    </xf>
    <xf numFmtId="0" fontId="60" fillId="0" borderId="0" xfId="0" applyFont="1" applyBorder="1"/>
    <xf numFmtId="180" fontId="59" fillId="25" borderId="29" xfId="0" applyNumberFormat="1" applyFont="1" applyFill="1" applyBorder="1" applyAlignment="1">
      <alignment horizontal="center" vertical="center" wrapText="1"/>
    </xf>
    <xf numFmtId="180" fontId="59" fillId="25" borderId="30" xfId="0" applyNumberFormat="1" applyFont="1" applyFill="1" applyBorder="1" applyAlignment="1">
      <alignment horizontal="center" vertical="center" wrapText="1"/>
    </xf>
    <xf numFmtId="0" fontId="63" fillId="0" borderId="0" xfId="0" applyFont="1" applyBorder="1" applyAlignment="1">
      <alignment vertical="center"/>
    </xf>
    <xf numFmtId="4" fontId="0" fillId="0" borderId="0" xfId="0" applyNumberFormat="1" applyBorder="1"/>
    <xf numFmtId="181" fontId="0" fillId="0" borderId="0" xfId="0" applyNumberFormat="1" applyBorder="1"/>
    <xf numFmtId="171" fontId="60" fillId="26" borderId="0" xfId="97" applyNumberFormat="1" applyFont="1" applyFill="1" applyBorder="1"/>
    <xf numFmtId="2" fontId="60" fillId="0" borderId="0" xfId="0" applyNumberFormat="1" applyFont="1" applyBorder="1"/>
    <xf numFmtId="49" fontId="45" fillId="23" borderId="0" xfId="82" applyNumberFormat="1" applyFont="1" applyFill="1" applyBorder="1" applyAlignment="1" applyProtection="1">
      <alignment horizontal="left" vertical="top" wrapText="1" shrinkToFit="1"/>
      <protection locked="0"/>
    </xf>
    <xf numFmtId="172" fontId="0" fillId="0" borderId="0" xfId="0" applyNumberFormat="1" applyBorder="1"/>
    <xf numFmtId="49" fontId="44" fillId="23" borderId="0" xfId="69" applyNumberFormat="1" applyFont="1" applyFill="1" applyBorder="1" applyAlignment="1" applyProtection="1">
      <alignment horizontal="left" vertical="top" wrapText="1" shrinkToFit="1"/>
      <protection locked="0"/>
    </xf>
    <xf numFmtId="49" fontId="9" fillId="23" borderId="0" xfId="69" applyNumberFormat="1" applyFont="1" applyFill="1" applyBorder="1" applyAlignment="1" applyProtection="1">
      <alignment horizontal="left" vertical="center" wrapText="1" shrinkToFit="1"/>
    </xf>
    <xf numFmtId="173" fontId="18" fillId="22" borderId="0" xfId="97" applyNumberFormat="1" applyFont="1" applyFill="1" applyBorder="1" applyAlignment="1" applyProtection="1">
      <alignment horizontal="left"/>
      <protection locked="0"/>
    </xf>
    <xf numFmtId="177" fontId="18" fillId="22" borderId="0" xfId="0" applyNumberFormat="1" applyFont="1" applyFill="1" applyBorder="1" applyAlignment="1">
      <alignment horizontal="left"/>
    </xf>
    <xf numFmtId="170" fontId="60" fillId="0" borderId="0" xfId="97" applyNumberFormat="1" applyFont="1" applyBorder="1"/>
    <xf numFmtId="166" fontId="0" fillId="0" borderId="0" xfId="0" applyNumberFormat="1" applyBorder="1"/>
    <xf numFmtId="173" fontId="60" fillId="0" borderId="0" xfId="97" applyNumberFormat="1" applyFont="1" applyBorder="1"/>
    <xf numFmtId="172" fontId="12" fillId="20" borderId="0" xfId="0" applyNumberFormat="1" applyFont="1" applyFill="1" applyAlignment="1">
      <alignment horizontal="center"/>
    </xf>
    <xf numFmtId="0" fontId="12" fillId="20" borderId="0" xfId="0" applyFont="1" applyFill="1" applyAlignment="1">
      <alignment horizontal="left"/>
    </xf>
    <xf numFmtId="0" fontId="12" fillId="20" borderId="0" xfId="0" quotePrefix="1" applyFont="1" applyFill="1" applyAlignment="1">
      <alignment horizontal="left"/>
    </xf>
    <xf numFmtId="0" fontId="12" fillId="20" borderId="0" xfId="0" applyFont="1" applyFill="1" applyAlignment="1">
      <alignment horizontal="right"/>
    </xf>
    <xf numFmtId="0" fontId="45" fillId="23" borderId="0" xfId="82" applyNumberFormat="1" applyFont="1" applyFill="1" applyBorder="1" applyAlignment="1" applyProtection="1">
      <alignment horizontal="left" vertical="top" wrapText="1" shrinkToFit="1"/>
      <protection locked="0"/>
    </xf>
    <xf numFmtId="0" fontId="45" fillId="23" borderId="0" xfId="82" applyNumberFormat="1" applyFont="1" applyFill="1" applyBorder="1" applyAlignment="1" applyProtection="1">
      <alignment horizontal="left" vertical="center"/>
      <protection locked="0"/>
    </xf>
    <xf numFmtId="177" fontId="18" fillId="22" borderId="23" xfId="0" applyNumberFormat="1" applyFont="1" applyFill="1" applyBorder="1" applyAlignment="1">
      <alignment horizontal="left"/>
    </xf>
    <xf numFmtId="173" fontId="18" fillId="22" borderId="23" xfId="97" applyNumberFormat="1" applyFont="1" applyFill="1" applyBorder="1" applyAlignment="1" applyProtection="1">
      <alignment horizontal="left"/>
      <protection locked="0"/>
    </xf>
    <xf numFmtId="0" fontId="9" fillId="23" borderId="31" xfId="0" applyFont="1" applyFill="1" applyBorder="1" applyAlignment="1">
      <alignment vertical="center"/>
    </xf>
    <xf numFmtId="0" fontId="0" fillId="0" borderId="21" xfId="0" applyFill="1" applyBorder="1" applyAlignment="1">
      <alignment vertical="top"/>
    </xf>
    <xf numFmtId="0" fontId="0" fillId="0" borderId="32" xfId="0" applyFill="1" applyBorder="1" applyAlignment="1">
      <alignment horizontal="center" vertical="top" wrapText="1"/>
    </xf>
    <xf numFmtId="0" fontId="0" fillId="0" borderId="32" xfId="0" quotePrefix="1" applyFill="1" applyBorder="1" applyAlignment="1">
      <alignment horizontal="center" vertical="top" wrapText="1"/>
    </xf>
    <xf numFmtId="0" fontId="3" fillId="0" borderId="21" xfId="0" applyFont="1" applyFill="1" applyBorder="1" applyAlignment="1">
      <alignment vertical="top"/>
    </xf>
    <xf numFmtId="185" fontId="0" fillId="0" borderId="32" xfId="0" quotePrefix="1" applyNumberFormat="1" applyFill="1" applyBorder="1" applyAlignment="1">
      <alignment horizontal="center" vertical="top" wrapText="1"/>
    </xf>
    <xf numFmtId="49" fontId="45" fillId="23" borderId="23" xfId="82" applyNumberFormat="1" applyFont="1" applyFill="1" applyBorder="1" applyAlignment="1" applyProtection="1">
      <alignment vertical="top" wrapText="1" shrinkToFit="1"/>
      <protection locked="0"/>
    </xf>
    <xf numFmtId="0" fontId="45" fillId="23" borderId="23" xfId="82" applyFont="1" applyFill="1" applyBorder="1" applyAlignment="1" applyProtection="1">
      <alignment vertical="center"/>
      <protection locked="0"/>
    </xf>
    <xf numFmtId="174" fontId="45" fillId="23" borderId="23" xfId="82" applyNumberFormat="1" applyFont="1" applyFill="1" applyBorder="1" applyAlignment="1" applyProtection="1">
      <alignment vertical="top" wrapText="1" shrinkToFit="1"/>
      <protection locked="0"/>
    </xf>
    <xf numFmtId="0" fontId="46" fillId="20" borderId="33" xfId="0" applyFont="1" applyFill="1" applyBorder="1" applyAlignment="1" applyProtection="1">
      <protection locked="0"/>
    </xf>
    <xf numFmtId="0" fontId="46" fillId="20" borderId="34" xfId="0" applyFont="1" applyFill="1" applyBorder="1" applyAlignment="1" applyProtection="1">
      <protection locked="0"/>
    </xf>
    <xf numFmtId="49" fontId="45" fillId="20" borderId="33" xfId="82" applyNumberFormat="1" applyFont="1" applyFill="1" applyBorder="1" applyAlignment="1" applyProtection="1">
      <alignment horizontal="left" vertical="top" wrapText="1" indent="1" shrinkToFit="1"/>
      <protection locked="0"/>
    </xf>
    <xf numFmtId="49" fontId="45" fillId="20" borderId="34" xfId="82" applyNumberFormat="1" applyFont="1" applyFill="1" applyBorder="1" applyAlignment="1" applyProtection="1">
      <alignment horizontal="left" vertical="top" wrapText="1" indent="1" shrinkToFit="1"/>
      <protection locked="0"/>
    </xf>
    <xf numFmtId="49" fontId="45" fillId="20" borderId="33" xfId="82" applyNumberFormat="1" applyFont="1" applyFill="1" applyBorder="1" applyAlignment="1" applyProtection="1">
      <alignment vertical="top" wrapText="1" shrinkToFit="1"/>
      <protection locked="0"/>
    </xf>
    <xf numFmtId="49" fontId="45" fillId="20" borderId="34" xfId="82" applyNumberFormat="1" applyFont="1" applyFill="1" applyBorder="1" applyAlignment="1" applyProtection="1">
      <alignment vertical="top" wrapText="1" shrinkToFit="1"/>
      <protection locked="0"/>
    </xf>
    <xf numFmtId="0" fontId="45" fillId="20" borderId="33" xfId="82" applyFont="1" applyFill="1" applyBorder="1" applyAlignment="1" applyProtection="1">
      <alignment vertical="center"/>
      <protection locked="0"/>
    </xf>
    <xf numFmtId="0" fontId="45" fillId="20" borderId="34" xfId="82" applyFont="1" applyFill="1" applyBorder="1" applyAlignment="1" applyProtection="1">
      <alignment vertical="center"/>
      <protection locked="0"/>
    </xf>
    <xf numFmtId="49" fontId="44" fillId="20" borderId="33" xfId="69" applyNumberFormat="1" applyFont="1" applyFill="1" applyBorder="1" applyAlignment="1" applyProtection="1">
      <alignment vertical="top" wrapText="1" shrinkToFit="1"/>
      <protection locked="0"/>
    </xf>
    <xf numFmtId="49" fontId="44" fillId="20" borderId="34" xfId="69" applyNumberFormat="1" applyFont="1" applyFill="1" applyBorder="1" applyAlignment="1" applyProtection="1">
      <alignment vertical="top" wrapText="1" shrinkToFit="1"/>
      <protection locked="0"/>
    </xf>
    <xf numFmtId="49" fontId="9" fillId="20" borderId="33" xfId="69" applyNumberFormat="1" applyFont="1" applyFill="1" applyBorder="1" applyAlignment="1" applyProtection="1">
      <alignment vertical="center" wrapText="1" shrinkToFit="1"/>
    </xf>
    <xf numFmtId="49" fontId="9" fillId="20" borderId="34" xfId="69" applyNumberFormat="1" applyFont="1" applyFill="1" applyBorder="1" applyAlignment="1" applyProtection="1">
      <alignment vertical="center" wrapText="1" shrinkToFit="1"/>
    </xf>
    <xf numFmtId="173" fontId="18" fillId="20" borderId="33" xfId="97" applyNumberFormat="1" applyFont="1" applyFill="1" applyBorder="1" applyAlignment="1" applyProtection="1">
      <protection locked="0"/>
    </xf>
    <xf numFmtId="177" fontId="18" fillId="20" borderId="33" xfId="0" applyNumberFormat="1" applyFont="1" applyFill="1" applyBorder="1" applyAlignment="1">
      <alignment horizontal="left"/>
    </xf>
    <xf numFmtId="177" fontId="18" fillId="20" borderId="34" xfId="0" applyNumberFormat="1" applyFont="1" applyFill="1" applyBorder="1" applyAlignment="1">
      <alignment horizontal="left"/>
    </xf>
    <xf numFmtId="0" fontId="0" fillId="0" borderId="0" xfId="0" applyAlignment="1">
      <alignment horizontal="center"/>
    </xf>
    <xf numFmtId="172" fontId="18" fillId="22" borderId="19" xfId="71" applyNumberFormat="1" applyFont="1" applyFill="1" applyBorder="1" applyAlignment="1">
      <alignment horizontal="center"/>
    </xf>
    <xf numFmtId="172" fontId="18" fillId="22" borderId="18" xfId="71" applyNumberFormat="1" applyFont="1" applyFill="1" applyBorder="1" applyAlignment="1">
      <alignment horizontal="center"/>
    </xf>
    <xf numFmtId="0" fontId="50" fillId="23" borderId="0" xfId="0" applyFont="1" applyFill="1"/>
    <xf numFmtId="0" fontId="0" fillId="23" borderId="0" xfId="0" applyFill="1" applyAlignment="1">
      <alignment horizontal="center" vertical="center"/>
    </xf>
    <xf numFmtId="0" fontId="15" fillId="23" borderId="0" xfId="0" applyFont="1" applyFill="1"/>
    <xf numFmtId="0" fontId="0" fillId="23" borderId="0" xfId="0" applyFill="1"/>
    <xf numFmtId="0" fontId="19" fillId="23" borderId="0" xfId="0" applyFont="1" applyFill="1"/>
    <xf numFmtId="0" fontId="49" fillId="20" borderId="0" xfId="0" applyFont="1" applyFill="1"/>
    <xf numFmtId="0" fontId="19" fillId="20" borderId="0" xfId="0" applyFont="1" applyFill="1"/>
    <xf numFmtId="49" fontId="4" fillId="23" borderId="23" xfId="69" applyNumberFormat="1" applyFill="1" applyBorder="1" applyAlignment="1" applyProtection="1">
      <alignment vertical="top" wrapText="1" shrinkToFit="1"/>
      <protection locked="0"/>
    </xf>
    <xf numFmtId="0" fontId="18" fillId="23" borderId="0" xfId="0" applyFont="1" applyFill="1" applyBorder="1" applyAlignment="1">
      <alignment vertical="center"/>
    </xf>
    <xf numFmtId="0" fontId="50" fillId="0" borderId="0" xfId="82" applyFont="1" applyFill="1" applyBorder="1" applyAlignment="1" applyProtection="1">
      <alignment horizontal="center"/>
      <protection hidden="1"/>
    </xf>
    <xf numFmtId="0" fontId="65" fillId="20" borderId="33" xfId="0" applyFont="1" applyFill="1" applyBorder="1" applyAlignment="1" applyProtection="1">
      <protection locked="0"/>
    </xf>
    <xf numFmtId="1" fontId="6" fillId="20" borderId="23" xfId="82" applyNumberFormat="1" applyFont="1" applyFill="1" applyBorder="1" applyAlignment="1" applyProtection="1">
      <alignment horizontal="left" vertical="top" wrapText="1" indent="1" shrinkToFit="1"/>
      <protection hidden="1"/>
    </xf>
    <xf numFmtId="187" fontId="45" fillId="23" borderId="23" xfId="82" applyNumberFormat="1" applyFont="1" applyFill="1" applyBorder="1" applyAlignment="1" applyProtection="1">
      <alignment horizontal="left" vertical="top" wrapText="1" shrinkToFit="1"/>
      <protection locked="0"/>
    </xf>
    <xf numFmtId="0" fontId="12" fillId="21" borderId="12" xfId="0" applyFont="1" applyFill="1" applyBorder="1" applyAlignment="1" applyProtection="1">
      <alignment horizontal="center"/>
    </xf>
    <xf numFmtId="178" fontId="18" fillId="22" borderId="18" xfId="71" applyNumberFormat="1" applyFont="1" applyFill="1" applyBorder="1" applyAlignment="1"/>
    <xf numFmtId="0" fontId="0" fillId="0" borderId="0" xfId="0" applyFill="1"/>
    <xf numFmtId="0" fontId="0" fillId="0" borderId="0" xfId="0" applyFill="1" applyBorder="1" applyAlignment="1">
      <alignment vertical="center"/>
    </xf>
    <xf numFmtId="0" fontId="108" fillId="20" borderId="0" xfId="0" applyFont="1" applyFill="1" applyAlignment="1">
      <alignment horizontal="center"/>
    </xf>
    <xf numFmtId="0" fontId="108" fillId="20" borderId="0" xfId="0" applyFont="1" applyFill="1" applyAlignment="1">
      <alignment horizontal="center" wrapText="1"/>
    </xf>
    <xf numFmtId="172" fontId="108" fillId="20" borderId="0" xfId="71" applyNumberFormat="1" applyFont="1" applyFill="1" applyAlignment="1">
      <alignment horizontal="center"/>
    </xf>
    <xf numFmtId="0" fontId="108" fillId="20" borderId="0" xfId="0" applyFont="1" applyFill="1"/>
    <xf numFmtId="0" fontId="108" fillId="20" borderId="0" xfId="0" applyFont="1" applyFill="1" applyAlignment="1">
      <alignment horizontal="right" wrapText="1"/>
    </xf>
    <xf numFmtId="2" fontId="108" fillId="20" borderId="0" xfId="0" applyNumberFormat="1" applyFont="1" applyFill="1"/>
    <xf numFmtId="167" fontId="108" fillId="20" borderId="0" xfId="0" applyNumberFormat="1" applyFont="1" applyFill="1"/>
    <xf numFmtId="0" fontId="0" fillId="59" borderId="0" xfId="0" applyFill="1" applyAlignment="1" applyProtection="1">
      <alignment horizontal="center" vertical="center"/>
    </xf>
    <xf numFmtId="0" fontId="0" fillId="59" borderId="0" xfId="0" applyFill="1" applyBorder="1" applyProtection="1"/>
    <xf numFmtId="49" fontId="45" fillId="60" borderId="14" xfId="82" applyNumberFormat="1" applyFont="1" applyFill="1" applyBorder="1" applyAlignment="1" applyProtection="1">
      <alignment horizontal="right" vertical="top" wrapText="1" shrinkToFit="1"/>
      <protection locked="0"/>
    </xf>
    <xf numFmtId="0" fontId="0" fillId="61" borderId="0" xfId="0" applyFill="1" applyAlignment="1">
      <alignment horizontal="center"/>
    </xf>
    <xf numFmtId="49" fontId="45" fillId="61" borderId="14" xfId="82" applyNumberFormat="1" applyFont="1" applyFill="1" applyBorder="1" applyAlignment="1" applyProtection="1">
      <alignment horizontal="right" vertical="top" wrapText="1" shrinkToFit="1"/>
      <protection locked="0"/>
    </xf>
    <xf numFmtId="49" fontId="45" fillId="60" borderId="14" xfId="82" applyNumberFormat="1" applyFont="1" applyFill="1" applyBorder="1" applyAlignment="1" applyProtection="1">
      <alignment horizontal="center" vertical="top" wrapText="1" shrinkToFit="1"/>
      <protection locked="0"/>
    </xf>
    <xf numFmtId="0" fontId="109" fillId="59" borderId="0" xfId="0" applyFont="1" applyFill="1" applyAlignment="1" applyProtection="1">
      <alignment vertical="center"/>
    </xf>
    <xf numFmtId="177" fontId="18" fillId="20" borderId="0" xfId="0" applyNumberFormat="1" applyFont="1" applyFill="1"/>
    <xf numFmtId="0" fontId="110" fillId="20" borderId="0" xfId="0" applyFont="1" applyFill="1"/>
    <xf numFmtId="0" fontId="111" fillId="20" borderId="0" xfId="0" applyFont="1" applyFill="1"/>
    <xf numFmtId="0" fontId="112" fillId="20" borderId="0" xfId="0" applyFont="1" applyFill="1"/>
    <xf numFmtId="0" fontId="67" fillId="20" borderId="0" xfId="0" applyFont="1" applyFill="1"/>
    <xf numFmtId="0" fontId="113" fillId="20" borderId="0" xfId="0" applyFont="1" applyFill="1"/>
    <xf numFmtId="49" fontId="57" fillId="61" borderId="33" xfId="82" applyNumberFormat="1" applyFont="1" applyFill="1" applyBorder="1" applyAlignment="1" applyProtection="1">
      <alignment vertical="top" wrapText="1" shrinkToFit="1"/>
      <protection locked="0"/>
    </xf>
    <xf numFmtId="49" fontId="57" fillId="61" borderId="34" xfId="82" applyNumberFormat="1" applyFont="1" applyFill="1" applyBorder="1" applyAlignment="1" applyProtection="1">
      <alignment vertical="top" wrapText="1" shrinkToFit="1"/>
      <protection locked="0"/>
    </xf>
    <xf numFmtId="49" fontId="57" fillId="23" borderId="23" xfId="82" applyNumberFormat="1" applyFont="1" applyFill="1" applyBorder="1" applyAlignment="1" applyProtection="1">
      <alignment vertical="top" shrinkToFit="1"/>
      <protection locked="0"/>
    </xf>
    <xf numFmtId="17" fontId="13" fillId="59" borderId="9" xfId="0" applyNumberFormat="1" applyFont="1" applyFill="1" applyBorder="1"/>
    <xf numFmtId="17" fontId="13" fillId="59" borderId="17" xfId="0" applyNumberFormat="1" applyFont="1" applyFill="1" applyBorder="1"/>
    <xf numFmtId="17" fontId="13" fillId="59" borderId="13" xfId="0" applyNumberFormat="1" applyFont="1" applyFill="1" applyBorder="1"/>
    <xf numFmtId="0" fontId="18" fillId="62" borderId="81" xfId="0" applyFont="1" applyFill="1" applyBorder="1" applyAlignment="1">
      <alignment horizontal="left" wrapText="1"/>
    </xf>
    <xf numFmtId="0" fontId="18" fillId="62" borderId="82" xfId="0" applyFont="1" applyFill="1" applyBorder="1" applyAlignment="1">
      <alignment horizontal="left" wrapText="1"/>
    </xf>
    <xf numFmtId="0" fontId="110" fillId="62" borderId="82" xfId="0" applyFont="1" applyFill="1" applyBorder="1" applyAlignment="1">
      <alignment horizontal="left" wrapText="1"/>
    </xf>
    <xf numFmtId="0" fontId="110" fillId="62" borderId="83" xfId="0" applyFont="1" applyFill="1" applyBorder="1" applyAlignment="1">
      <alignment horizontal="left" wrapText="1"/>
    </xf>
    <xf numFmtId="0" fontId="109" fillId="63" borderId="84" xfId="0" applyFont="1" applyFill="1" applyBorder="1"/>
    <xf numFmtId="0" fontId="19" fillId="59" borderId="0" xfId="0" applyFont="1" applyFill="1" applyProtection="1"/>
    <xf numFmtId="0" fontId="0" fillId="59" borderId="0" xfId="0" applyFill="1" applyProtection="1"/>
    <xf numFmtId="0" fontId="18" fillId="59" borderId="0" xfId="0" applyFont="1" applyFill="1"/>
    <xf numFmtId="3" fontId="88" fillId="59" borderId="85" xfId="0" applyNumberFormat="1" applyFont="1" applyFill="1" applyBorder="1" applyProtection="1">
      <protection locked="0"/>
    </xf>
    <xf numFmtId="3" fontId="88" fillId="59" borderId="86" xfId="0" applyNumberFormat="1" applyFont="1" applyFill="1" applyBorder="1" applyProtection="1">
      <protection locked="0"/>
    </xf>
    <xf numFmtId="178" fontId="114" fillId="59" borderId="87" xfId="82" applyNumberFormat="1" applyFont="1" applyFill="1" applyBorder="1" applyAlignment="1" applyProtection="1">
      <alignment horizontal="center"/>
      <protection locked="0"/>
    </xf>
    <xf numFmtId="0" fontId="18" fillId="61" borderId="0" xfId="0" applyFont="1" applyFill="1"/>
    <xf numFmtId="178" fontId="10" fillId="22" borderId="18" xfId="71" applyNumberFormat="1" applyFont="1" applyFill="1" applyBorder="1" applyAlignment="1"/>
    <xf numFmtId="178" fontId="9" fillId="23" borderId="18" xfId="82" applyNumberFormat="1" applyFont="1" applyFill="1" applyBorder="1" applyAlignment="1" applyProtection="1">
      <alignment horizontal="center" vertical="center"/>
      <protection locked="0"/>
    </xf>
    <xf numFmtId="164" fontId="9" fillId="23" borderId="18" xfId="82" applyNumberFormat="1" applyFont="1" applyFill="1" applyBorder="1" applyAlignment="1" applyProtection="1">
      <alignment horizontal="center" vertical="center"/>
      <protection locked="0"/>
    </xf>
    <xf numFmtId="164" fontId="72" fillId="23" borderId="19" xfId="71" applyNumberFormat="1" applyFont="1" applyFill="1" applyBorder="1" applyAlignment="1" applyProtection="1">
      <alignment horizontal="center" vertical="center"/>
      <protection locked="0"/>
    </xf>
    <xf numFmtId="164" fontId="73" fillId="23" borderId="19" xfId="71" applyNumberFormat="1" applyFont="1" applyFill="1" applyBorder="1" applyAlignment="1" applyProtection="1">
      <alignment horizontal="center" vertical="center"/>
      <protection locked="0"/>
    </xf>
    <xf numFmtId="3" fontId="50" fillId="22" borderId="16" xfId="0" applyNumberFormat="1" applyFont="1" applyFill="1" applyBorder="1" applyAlignment="1">
      <alignment horizontal="center" vertical="center"/>
    </xf>
    <xf numFmtId="3" fontId="16" fillId="22" borderId="19" xfId="0" applyNumberFormat="1" applyFont="1" applyFill="1" applyBorder="1" applyAlignment="1">
      <alignment horizontal="center" vertical="center"/>
    </xf>
    <xf numFmtId="168" fontId="16" fillId="22" borderId="16" xfId="0" applyNumberFormat="1" applyFont="1" applyFill="1" applyBorder="1" applyAlignment="1">
      <alignment horizontal="center" vertical="center"/>
    </xf>
    <xf numFmtId="2" fontId="16" fillId="22" borderId="19" xfId="0" applyNumberFormat="1" applyFont="1" applyFill="1" applyBorder="1" applyAlignment="1">
      <alignment horizontal="center" vertical="center"/>
    </xf>
    <xf numFmtId="171" fontId="50" fillId="22" borderId="19" xfId="0" applyNumberFormat="1" applyFont="1" applyFill="1" applyBorder="1" applyAlignment="1">
      <alignment horizontal="center" vertical="center"/>
    </xf>
    <xf numFmtId="0" fontId="14" fillId="22" borderId="16" xfId="0" applyFont="1" applyFill="1" applyBorder="1" applyAlignment="1">
      <alignment horizontal="center" vertical="center"/>
    </xf>
    <xf numFmtId="0" fontId="115" fillId="23" borderId="35" xfId="86" applyFont="1" applyFill="1" applyBorder="1" applyAlignment="1">
      <alignment horizontal="center" vertical="center"/>
    </xf>
    <xf numFmtId="0" fontId="115" fillId="23" borderId="36" xfId="86" applyFont="1" applyFill="1" applyBorder="1" applyAlignment="1">
      <alignment horizontal="center" vertical="center"/>
    </xf>
    <xf numFmtId="0" fontId="116" fillId="23" borderId="37" xfId="86" applyFont="1" applyFill="1" applyBorder="1" applyAlignment="1">
      <alignment horizontal="left"/>
    </xf>
    <xf numFmtId="0" fontId="116" fillId="23" borderId="31" xfId="86" applyFont="1" applyFill="1" applyBorder="1" applyAlignment="1">
      <alignment horizontal="center"/>
    </xf>
    <xf numFmtId="0" fontId="116" fillId="23" borderId="32" xfId="86" applyFont="1" applyFill="1" applyBorder="1" applyAlignment="1">
      <alignment horizontal="left"/>
    </xf>
    <xf numFmtId="0" fontId="116" fillId="23" borderId="21" xfId="86" applyFont="1" applyFill="1" applyBorder="1" applyAlignment="1">
      <alignment horizontal="center"/>
    </xf>
    <xf numFmtId="0" fontId="116" fillId="23" borderId="38" xfId="86" applyFont="1" applyFill="1" applyBorder="1" applyAlignment="1">
      <alignment horizontal="left"/>
    </xf>
    <xf numFmtId="0" fontId="116" fillId="23" borderId="39" xfId="86" applyFont="1" applyFill="1" applyBorder="1" applyAlignment="1">
      <alignment horizontal="center"/>
    </xf>
    <xf numFmtId="2" fontId="116" fillId="23" borderId="39" xfId="86" applyNumberFormat="1" applyFont="1" applyFill="1" applyBorder="1" applyAlignment="1">
      <alignment horizontal="center"/>
    </xf>
    <xf numFmtId="0" fontId="13" fillId="21" borderId="16" xfId="0" applyFont="1" applyFill="1" applyBorder="1" applyAlignment="1">
      <alignment horizontal="center" vertical="center" wrapText="1"/>
    </xf>
    <xf numFmtId="0" fontId="117" fillId="20" borderId="0" xfId="0" applyFont="1" applyFill="1"/>
    <xf numFmtId="0" fontId="117" fillId="20" borderId="0" xfId="0" applyFont="1" applyFill="1" applyAlignment="1">
      <alignment horizontal="left"/>
    </xf>
    <xf numFmtId="0" fontId="118" fillId="20" borderId="0" xfId="0" applyFont="1" applyFill="1"/>
    <xf numFmtId="0" fontId="118" fillId="20" borderId="0" xfId="0" applyFont="1" applyFill="1" applyAlignment="1">
      <alignment horizontal="left"/>
    </xf>
    <xf numFmtId="0" fontId="119" fillId="23" borderId="40" xfId="86" applyFont="1" applyFill="1" applyBorder="1" applyAlignment="1">
      <alignment horizontal="center" vertical="center" wrapText="1"/>
    </xf>
    <xf numFmtId="0" fontId="119" fillId="23" borderId="41" xfId="86" applyFont="1" applyFill="1" applyBorder="1" applyAlignment="1">
      <alignment horizontal="center" vertical="center" wrapText="1"/>
    </xf>
    <xf numFmtId="0" fontId="18" fillId="62" borderId="88" xfId="0" applyFont="1" applyFill="1" applyBorder="1" applyAlignment="1">
      <alignment horizontal="left" wrapText="1"/>
    </xf>
    <xf numFmtId="0" fontId="18" fillId="62" borderId="89" xfId="0" applyFont="1" applyFill="1" applyBorder="1" applyAlignment="1">
      <alignment horizontal="left" wrapText="1"/>
    </xf>
    <xf numFmtId="0" fontId="110" fillId="62" borderId="89" xfId="0" applyFont="1" applyFill="1" applyBorder="1" applyAlignment="1">
      <alignment horizontal="left" wrapText="1"/>
    </xf>
    <xf numFmtId="0" fontId="110" fillId="62" borderId="90" xfId="0" applyFont="1" applyFill="1" applyBorder="1" applyAlignment="1">
      <alignment horizontal="left" wrapText="1"/>
    </xf>
    <xf numFmtId="0" fontId="18" fillId="62" borderId="91" xfId="0" applyFont="1" applyFill="1" applyBorder="1" applyAlignment="1">
      <alignment horizontal="left" wrapText="1"/>
    </xf>
    <xf numFmtId="0" fontId="18" fillId="62" borderId="92" xfId="0" applyFont="1" applyFill="1" applyBorder="1" applyAlignment="1">
      <alignment horizontal="left" wrapText="1"/>
    </xf>
    <xf numFmtId="0" fontId="110" fillId="62" borderId="92" xfId="0" applyFont="1" applyFill="1" applyBorder="1" applyAlignment="1">
      <alignment horizontal="left" wrapText="1"/>
    </xf>
    <xf numFmtId="0" fontId="110" fillId="62" borderId="93" xfId="0" applyFont="1" applyFill="1" applyBorder="1" applyAlignment="1">
      <alignment horizontal="left" wrapText="1"/>
    </xf>
    <xf numFmtId="0" fontId="109" fillId="63" borderId="94" xfId="0" applyFont="1" applyFill="1" applyBorder="1"/>
    <xf numFmtId="0" fontId="109" fillId="63" borderId="95" xfId="0" applyFont="1" applyFill="1" applyBorder="1"/>
    <xf numFmtId="0" fontId="106" fillId="20" borderId="0" xfId="0" applyFont="1" applyFill="1" applyAlignment="1">
      <alignment horizontal="center"/>
    </xf>
    <xf numFmtId="0" fontId="120" fillId="20" borderId="0" xfId="0" applyFont="1" applyFill="1" applyAlignment="1">
      <alignment horizontal="center"/>
    </xf>
    <xf numFmtId="0" fontId="120" fillId="20" borderId="0" xfId="0" applyFont="1" applyFill="1"/>
    <xf numFmtId="0" fontId="110" fillId="20" borderId="21" xfId="0" applyFont="1" applyFill="1" applyBorder="1" applyAlignment="1">
      <alignment horizontal="center" vertical="center"/>
    </xf>
    <xf numFmtId="0" fontId="18" fillId="20" borderId="21" xfId="0" applyFont="1" applyFill="1" applyBorder="1" applyAlignment="1">
      <alignment horizontal="center" vertical="center"/>
    </xf>
    <xf numFmtId="1" fontId="18" fillId="20" borderId="21" xfId="0" applyNumberFormat="1" applyFont="1" applyFill="1" applyBorder="1"/>
    <xf numFmtId="0" fontId="0" fillId="20" borderId="21" xfId="0" applyFill="1" applyBorder="1"/>
    <xf numFmtId="0" fontId="0" fillId="20" borderId="21" xfId="0" applyFill="1" applyBorder="1" applyAlignment="1">
      <alignment horizontal="center"/>
    </xf>
    <xf numFmtId="0" fontId="0" fillId="20" borderId="21" xfId="0" applyFill="1" applyBorder="1" applyAlignment="1">
      <alignment horizontal="right"/>
    </xf>
    <xf numFmtId="0" fontId="121" fillId="0" borderId="0" xfId="0" applyFont="1" applyAlignment="1">
      <alignment horizontal="center" vertical="center" wrapText="1"/>
    </xf>
    <xf numFmtId="0" fontId="121" fillId="0" borderId="96" xfId="0" applyFont="1" applyBorder="1" applyAlignment="1">
      <alignment vertical="top" wrapText="1"/>
    </xf>
    <xf numFmtId="0" fontId="122" fillId="0" borderId="97" xfId="0" applyFont="1" applyBorder="1" applyAlignment="1">
      <alignment horizontal="center" vertical="center" wrapText="1"/>
    </xf>
    <xf numFmtId="0" fontId="122" fillId="0" borderId="98" xfId="0" applyFont="1" applyBorder="1" applyAlignment="1">
      <alignment horizontal="center" vertical="center" wrapText="1"/>
    </xf>
    <xf numFmtId="0" fontId="121" fillId="0" borderId="99" xfId="0" applyFont="1" applyBorder="1" applyAlignment="1">
      <alignment vertical="top" wrapText="1"/>
    </xf>
    <xf numFmtId="0" fontId="122" fillId="0" borderId="100" xfId="0" applyFont="1" applyBorder="1" applyAlignment="1">
      <alignment horizontal="center" vertical="center" wrapText="1"/>
    </xf>
    <xf numFmtId="0" fontId="122" fillId="0" borderId="101" xfId="0" applyFont="1" applyBorder="1" applyAlignment="1">
      <alignment horizontal="center" vertical="center" wrapText="1"/>
    </xf>
    <xf numFmtId="0" fontId="122" fillId="0" borderId="102" xfId="0" applyFont="1" applyBorder="1" applyAlignment="1">
      <alignment horizontal="center" vertical="center" wrapText="1"/>
    </xf>
    <xf numFmtId="0" fontId="122" fillId="0" borderId="103" xfId="0" applyFont="1" applyBorder="1" applyAlignment="1">
      <alignment horizontal="center" vertical="center" wrapText="1"/>
    </xf>
    <xf numFmtId="0" fontId="0" fillId="61" borderId="0" xfId="0" applyFill="1" applyAlignment="1">
      <alignment vertical="top" wrapText="1"/>
    </xf>
    <xf numFmtId="0" fontId="0" fillId="61" borderId="0" xfId="0" applyFont="1" applyFill="1" applyAlignment="1">
      <alignment vertical="top" wrapText="1"/>
    </xf>
    <xf numFmtId="0" fontId="0" fillId="61" borderId="0" xfId="0" applyFill="1" applyProtection="1"/>
    <xf numFmtId="0" fontId="0" fillId="0" borderId="42" xfId="0" applyFill="1" applyBorder="1" applyAlignment="1">
      <alignment vertical="top"/>
    </xf>
    <xf numFmtId="0" fontId="3" fillId="0" borderId="32" xfId="0" applyFont="1" applyFill="1" applyBorder="1" applyAlignment="1">
      <alignment horizontal="center" vertical="top" wrapText="1"/>
    </xf>
    <xf numFmtId="0" fontId="0" fillId="0" borderId="43" xfId="0" applyFill="1" applyBorder="1" applyAlignment="1">
      <alignment vertical="top"/>
    </xf>
    <xf numFmtId="0" fontId="0" fillId="0" borderId="44" xfId="0" applyFill="1" applyBorder="1" applyAlignment="1">
      <alignment vertical="top"/>
    </xf>
    <xf numFmtId="0" fontId="3" fillId="26" borderId="21" xfId="0" applyFont="1" applyFill="1" applyBorder="1" applyAlignment="1">
      <alignment vertical="center"/>
    </xf>
    <xf numFmtId="0" fontId="76" fillId="0" borderId="21" xfId="0" applyFont="1" applyFill="1" applyBorder="1" applyAlignment="1">
      <alignment vertical="top"/>
    </xf>
    <xf numFmtId="0" fontId="76" fillId="0" borderId="32" xfId="0" applyFont="1" applyFill="1" applyBorder="1" applyAlignment="1">
      <alignment horizontal="center" vertical="top" wrapText="1"/>
    </xf>
    <xf numFmtId="0" fontId="3" fillId="0" borderId="32" xfId="0" quotePrefix="1" applyFont="1" applyFill="1" applyBorder="1" applyAlignment="1">
      <alignment horizontal="center" vertical="top" wrapText="1"/>
    </xf>
    <xf numFmtId="0" fontId="0" fillId="0" borderId="45" xfId="0" applyFill="1" applyBorder="1" applyAlignment="1">
      <alignment horizontal="center" vertical="top" wrapText="1"/>
    </xf>
    <xf numFmtId="0" fontId="0" fillId="0" borderId="22" xfId="0" applyFill="1" applyBorder="1" applyAlignment="1">
      <alignment horizontal="center" vertical="top" wrapText="1"/>
    </xf>
    <xf numFmtId="0" fontId="0" fillId="0" borderId="50" xfId="0" applyFill="1" applyBorder="1" applyAlignment="1">
      <alignment horizontal="center" vertical="top" wrapText="1"/>
    </xf>
    <xf numFmtId="0" fontId="121" fillId="61" borderId="99" xfId="0" applyFont="1" applyFill="1" applyBorder="1" applyAlignment="1">
      <alignment vertical="top" wrapText="1"/>
    </xf>
    <xf numFmtId="0" fontId="122" fillId="61" borderId="100" xfId="0" applyFont="1" applyFill="1" applyBorder="1" applyAlignment="1">
      <alignment horizontal="center" vertical="center" wrapText="1"/>
    </xf>
    <xf numFmtId="0" fontId="122" fillId="61" borderId="101" xfId="0" applyFont="1" applyFill="1" applyBorder="1" applyAlignment="1">
      <alignment horizontal="center" vertical="center" wrapText="1"/>
    </xf>
    <xf numFmtId="0" fontId="0" fillId="61" borderId="0" xfId="0" applyFill="1" applyAlignment="1">
      <alignment horizontal="center" vertical="top" wrapText="1"/>
    </xf>
    <xf numFmtId="177" fontId="40" fillId="22" borderId="23" xfId="0" applyNumberFormat="1" applyFont="1" applyFill="1" applyBorder="1" applyAlignment="1">
      <alignment horizontal="left"/>
    </xf>
    <xf numFmtId="0" fontId="24" fillId="20" borderId="0" xfId="0" applyFont="1" applyFill="1" applyProtection="1"/>
    <xf numFmtId="0" fontId="0" fillId="0" borderId="0" xfId="0" applyProtection="1"/>
    <xf numFmtId="0" fontId="37" fillId="20" borderId="0" xfId="85" applyFont="1" applyFill="1" applyBorder="1" applyAlignment="1" applyProtection="1">
      <alignment horizontal="center" vertical="center"/>
    </xf>
    <xf numFmtId="175" fontId="37" fillId="20" borderId="0" xfId="85" applyNumberFormat="1" applyFont="1" applyFill="1" applyBorder="1" applyAlignment="1" applyProtection="1">
      <alignment horizontal="center" vertical="center"/>
    </xf>
    <xf numFmtId="0" fontId="37" fillId="20" borderId="0" xfId="0" applyFont="1" applyFill="1" applyBorder="1" applyAlignment="1" applyProtection="1">
      <alignment horizontal="center" vertical="center"/>
    </xf>
    <xf numFmtId="0" fontId="37" fillId="20" borderId="0" xfId="0" applyFont="1" applyFill="1" applyBorder="1" applyProtection="1"/>
    <xf numFmtId="175" fontId="86" fillId="20" borderId="21" xfId="85" applyNumberFormat="1" applyFill="1" applyBorder="1" applyAlignment="1" applyProtection="1">
      <alignment horizontal="center" vertical="center"/>
    </xf>
    <xf numFmtId="0" fontId="18" fillId="20" borderId="21" xfId="85" applyFont="1" applyFill="1" applyBorder="1" applyAlignment="1" applyProtection="1">
      <alignment horizontal="center" vertical="center"/>
    </xf>
    <xf numFmtId="0" fontId="10" fillId="20" borderId="21" xfId="85" quotePrefix="1" applyFont="1" applyFill="1" applyBorder="1" applyAlignment="1" applyProtection="1">
      <alignment horizontal="center" vertical="center"/>
    </xf>
    <xf numFmtId="0" fontId="37" fillId="20" borderId="0" xfId="0" applyFont="1" applyFill="1" applyAlignment="1" applyProtection="1">
      <alignment horizontal="center" vertical="center"/>
    </xf>
    <xf numFmtId="0" fontId="37" fillId="20" borderId="0" xfId="0" applyFont="1" applyFill="1" applyProtection="1"/>
    <xf numFmtId="175" fontId="86" fillId="0" borderId="51" xfId="85" applyNumberFormat="1" applyFill="1" applyBorder="1" applyAlignment="1" applyProtection="1">
      <alignment horizontal="left" vertical="center"/>
    </xf>
    <xf numFmtId="175" fontId="86" fillId="0" borderId="51" xfId="85" applyNumberFormat="1" applyFill="1" applyBorder="1" applyAlignment="1" applyProtection="1">
      <alignment horizontal="center" vertical="center"/>
    </xf>
    <xf numFmtId="0" fontId="86" fillId="0" borderId="51" xfId="85" applyFill="1" applyBorder="1" applyAlignment="1" applyProtection="1">
      <alignment horizontal="center" vertical="center"/>
    </xf>
    <xf numFmtId="175" fontId="86" fillId="0" borderId="21" xfId="85" applyNumberFormat="1" applyFill="1" applyBorder="1" applyAlignment="1" applyProtection="1">
      <alignment horizontal="center" vertical="center"/>
    </xf>
    <xf numFmtId="0" fontId="86" fillId="0" borderId="21" xfId="85" applyFill="1" applyBorder="1" applyAlignment="1" applyProtection="1">
      <alignment horizontal="center" vertical="center"/>
    </xf>
    <xf numFmtId="172" fontId="18" fillId="22" borderId="17" xfId="71" applyNumberFormat="1" applyFont="1" applyFill="1" applyBorder="1" applyProtection="1">
      <protection locked="0"/>
    </xf>
    <xf numFmtId="185" fontId="0" fillId="20" borderId="0" xfId="0" applyNumberFormat="1" applyFill="1" applyAlignment="1">
      <alignment horizontal="left"/>
    </xf>
    <xf numFmtId="185" fontId="40" fillId="20" borderId="0" xfId="0" applyNumberFormat="1" applyFont="1" applyFill="1" applyAlignment="1">
      <alignment horizontal="left"/>
    </xf>
    <xf numFmtId="185" fontId="18" fillId="20" borderId="0" xfId="0" applyNumberFormat="1" applyFont="1" applyFill="1" applyAlignment="1">
      <alignment horizontal="left"/>
    </xf>
    <xf numFmtId="185" fontId="0" fillId="20" borderId="0" xfId="0" applyNumberFormat="1" applyFill="1" applyAlignment="1">
      <alignment horizontal="center"/>
    </xf>
    <xf numFmtId="0" fontId="104" fillId="20" borderId="0" xfId="0" applyFont="1" applyFill="1" applyBorder="1" applyAlignment="1">
      <alignment horizontal="left"/>
    </xf>
    <xf numFmtId="0" fontId="24" fillId="20" borderId="0" xfId="0" applyFont="1" applyFill="1" applyBorder="1"/>
    <xf numFmtId="172" fontId="18" fillId="22" borderId="10" xfId="71" applyNumberFormat="1" applyFont="1" applyFill="1" applyBorder="1" applyAlignment="1">
      <alignment horizontal="left" indent="12"/>
    </xf>
    <xf numFmtId="177" fontId="18" fillId="20" borderId="104" xfId="0" applyNumberFormat="1" applyFont="1" applyFill="1" applyBorder="1"/>
    <xf numFmtId="0" fontId="13" fillId="21" borderId="21" xfId="0" applyFont="1" applyFill="1" applyBorder="1" applyAlignment="1" applyProtection="1">
      <alignment horizontal="center" vertical="center" wrapText="1"/>
    </xf>
    <xf numFmtId="0" fontId="18" fillId="62" borderId="81" xfId="0" applyFont="1" applyFill="1" applyBorder="1" applyAlignment="1">
      <alignment horizontal="left"/>
    </xf>
    <xf numFmtId="0" fontId="124" fillId="20" borderId="0" xfId="0" applyFont="1" applyFill="1"/>
    <xf numFmtId="2" fontId="116" fillId="23" borderId="53" xfId="86" applyNumberFormat="1" applyFont="1" applyFill="1" applyBorder="1" applyAlignment="1">
      <alignment horizontal="center"/>
    </xf>
    <xf numFmtId="0" fontId="0" fillId="61" borderId="0" xfId="0" applyFill="1"/>
    <xf numFmtId="184" fontId="0" fillId="61" borderId="0" xfId="0" applyNumberFormat="1" applyFill="1"/>
    <xf numFmtId="0" fontId="125" fillId="61" borderId="0" xfId="0" applyFont="1" applyFill="1"/>
    <xf numFmtId="184" fontId="125" fillId="61" borderId="0" xfId="0" applyNumberFormat="1" applyFont="1" applyFill="1"/>
    <xf numFmtId="0" fontId="0" fillId="61" borderId="0" xfId="0" applyFill="1" applyBorder="1"/>
    <xf numFmtId="0" fontId="64" fillId="61" borderId="0" xfId="0" applyFont="1" applyFill="1" applyAlignment="1">
      <alignment horizontal="center"/>
    </xf>
    <xf numFmtId="3" fontId="5" fillId="61" borderId="0" xfId="82" applyNumberFormat="1" applyFont="1" applyFill="1" applyBorder="1" applyAlignment="1" applyProtection="1">
      <alignment vertical="center" wrapText="1"/>
      <protection hidden="1"/>
    </xf>
    <xf numFmtId="3" fontId="5" fillId="61" borderId="0" xfId="82" applyNumberFormat="1" applyFont="1" applyFill="1" applyBorder="1" applyAlignment="1" applyProtection="1">
      <alignment horizontal="left"/>
      <protection hidden="1"/>
    </xf>
    <xf numFmtId="168" fontId="5" fillId="61" borderId="0" xfId="82" applyNumberFormat="1" applyFont="1" applyFill="1" applyBorder="1" applyProtection="1">
      <protection hidden="1"/>
    </xf>
    <xf numFmtId="0" fontId="0" fillId="61" borderId="0" xfId="0" applyFill="1" applyBorder="1" applyAlignment="1">
      <alignment horizontal="left"/>
    </xf>
    <xf numFmtId="2" fontId="5" fillId="61" borderId="0" xfId="82" applyNumberFormat="1" applyFont="1" applyFill="1" applyBorder="1" applyProtection="1">
      <protection hidden="1"/>
    </xf>
    <xf numFmtId="0" fontId="0" fillId="61" borderId="0" xfId="0" applyFill="1" applyBorder="1" applyAlignment="1">
      <alignment horizontal="center"/>
    </xf>
    <xf numFmtId="0" fontId="12" fillId="61" borderId="0" xfId="0" applyFont="1" applyFill="1" applyBorder="1" applyProtection="1"/>
    <xf numFmtId="0" fontId="5" fillId="61" borderId="0" xfId="82" applyFont="1" applyFill="1" applyBorder="1" applyAlignment="1" applyProtection="1">
      <alignment horizontal="left"/>
      <protection hidden="1"/>
    </xf>
    <xf numFmtId="0" fontId="9" fillId="23" borderId="54" xfId="0" applyFont="1" applyFill="1" applyBorder="1" applyAlignment="1">
      <alignment horizontal="center" vertical="center" wrapText="1"/>
    </xf>
    <xf numFmtId="0" fontId="0" fillId="0" borderId="21" xfId="0" applyFill="1" applyBorder="1" applyAlignment="1">
      <alignment vertical="top" wrapText="1"/>
    </xf>
    <xf numFmtId="0" fontId="0" fillId="0" borderId="56" xfId="0" quotePrefix="1" applyFill="1" applyBorder="1" applyAlignment="1">
      <alignment horizontal="center" vertical="top" wrapText="1"/>
    </xf>
    <xf numFmtId="172" fontId="126" fillId="22" borderId="17" xfId="71" applyNumberFormat="1" applyFont="1" applyFill="1" applyBorder="1" applyProtection="1">
      <protection locked="0"/>
    </xf>
    <xf numFmtId="0" fontId="0" fillId="20" borderId="0" xfId="0" applyFill="1" applyProtection="1">
      <protection locked="0"/>
    </xf>
    <xf numFmtId="0" fontId="127" fillId="20" borderId="33" xfId="0" applyFont="1" applyFill="1" applyBorder="1" applyAlignment="1" applyProtection="1">
      <protection locked="0"/>
    </xf>
    <xf numFmtId="172" fontId="18" fillId="22" borderId="10" xfId="71" applyNumberFormat="1" applyFont="1" applyFill="1" applyBorder="1" applyAlignment="1">
      <alignment horizontal="center" vertical="center"/>
    </xf>
    <xf numFmtId="0" fontId="79" fillId="20" borderId="0" xfId="0" applyFont="1" applyFill="1" applyAlignment="1">
      <alignment vertical="center"/>
    </xf>
    <xf numFmtId="0" fontId="80" fillId="20" borderId="0" xfId="0" applyFont="1" applyFill="1"/>
    <xf numFmtId="0" fontId="0" fillId="61" borderId="0" xfId="0" applyFill="1" applyAlignment="1">
      <alignment vertical="center" wrapText="1"/>
    </xf>
    <xf numFmtId="0" fontId="0" fillId="61" borderId="0" xfId="0" applyFont="1" applyFill="1"/>
    <xf numFmtId="0" fontId="116" fillId="61" borderId="0" xfId="86" applyFont="1" applyFill="1" applyBorder="1"/>
    <xf numFmtId="0" fontId="128" fillId="61" borderId="0" xfId="0" applyFont="1" applyFill="1" applyAlignment="1">
      <alignment horizontal="center"/>
    </xf>
    <xf numFmtId="0" fontId="0" fillId="61" borderId="0" xfId="0" applyFont="1" applyFill="1" applyBorder="1"/>
    <xf numFmtId="0" fontId="128" fillId="61" borderId="0" xfId="0" applyFont="1" applyFill="1" applyBorder="1" applyAlignment="1">
      <alignment horizontal="center"/>
    </xf>
    <xf numFmtId="3" fontId="6" fillId="61" borderId="0" xfId="82" applyNumberFormat="1" applyFont="1" applyFill="1" applyBorder="1" applyAlignment="1" applyProtection="1">
      <alignment vertical="center"/>
      <protection hidden="1"/>
    </xf>
    <xf numFmtId="3" fontId="6" fillId="61" borderId="0" xfId="82" applyNumberFormat="1" applyFont="1" applyFill="1" applyBorder="1" applyAlignment="1" applyProtection="1">
      <alignment horizontal="center" vertical="center"/>
      <protection hidden="1"/>
    </xf>
    <xf numFmtId="3" fontId="6" fillId="61" borderId="0" xfId="82" applyNumberFormat="1" applyFont="1" applyFill="1" applyBorder="1" applyAlignment="1" applyProtection="1">
      <alignment horizontal="center" vertical="center" wrapText="1"/>
      <protection hidden="1"/>
    </xf>
    <xf numFmtId="184" fontId="6" fillId="61" borderId="0" xfId="82" applyNumberFormat="1" applyFont="1" applyFill="1" applyBorder="1" applyAlignment="1" applyProtection="1">
      <alignment vertical="center" wrapText="1"/>
      <protection hidden="1"/>
    </xf>
    <xf numFmtId="3" fontId="6" fillId="61" borderId="0" xfId="82" applyNumberFormat="1" applyFont="1" applyFill="1" applyBorder="1" applyAlignment="1" applyProtection="1">
      <alignment vertical="center" wrapText="1"/>
      <protection hidden="1"/>
    </xf>
    <xf numFmtId="182" fontId="0" fillId="61" borderId="0" xfId="0" applyNumberFormat="1" applyFill="1" applyBorder="1"/>
    <xf numFmtId="183" fontId="0" fillId="61" borderId="0" xfId="0" applyNumberFormat="1" applyFill="1" applyBorder="1"/>
    <xf numFmtId="2" fontId="0" fillId="61" borderId="0" xfId="0" applyNumberFormat="1" applyFill="1" applyBorder="1"/>
    <xf numFmtId="168" fontId="0" fillId="61" borderId="0" xfId="0" applyNumberFormat="1" applyFill="1" applyBorder="1"/>
    <xf numFmtId="184" fontId="0" fillId="61" borderId="0" xfId="0" applyNumberFormat="1" applyFill="1" applyBorder="1"/>
    <xf numFmtId="0" fontId="116" fillId="61" borderId="0" xfId="86" applyFont="1" applyFill="1" applyBorder="1" applyAlignment="1">
      <alignment vertical="top"/>
    </xf>
    <xf numFmtId="0" fontId="116" fillId="61" borderId="0" xfId="86" applyFont="1" applyFill="1" applyBorder="1" applyAlignment="1">
      <alignment horizontal="left" vertical="top"/>
    </xf>
    <xf numFmtId="179" fontId="116" fillId="61" borderId="0" xfId="86" applyNumberFormat="1" applyFont="1" applyFill="1" applyBorder="1" applyAlignment="1">
      <alignment vertical="top"/>
    </xf>
    <xf numFmtId="0" fontId="0" fillId="61" borderId="0" xfId="0" applyFont="1" applyFill="1" applyBorder="1" applyAlignment="1">
      <alignment vertical="top"/>
    </xf>
    <xf numFmtId="0" fontId="128" fillId="61" borderId="0" xfId="0" applyFont="1" applyFill="1" applyBorder="1" applyAlignment="1">
      <alignment horizontal="center" vertical="top"/>
    </xf>
    <xf numFmtId="170" fontId="116" fillId="23" borderId="53" xfId="86" applyNumberFormat="1" applyFont="1" applyFill="1" applyBorder="1" applyAlignment="1">
      <alignment horizontal="center"/>
    </xf>
    <xf numFmtId="2" fontId="116" fillId="23" borderId="58" xfId="86" applyNumberFormat="1" applyFont="1" applyFill="1" applyBorder="1" applyAlignment="1">
      <alignment horizontal="center"/>
    </xf>
    <xf numFmtId="49" fontId="129" fillId="61" borderId="14" xfId="82" applyNumberFormat="1" applyFont="1" applyFill="1" applyBorder="1" applyAlignment="1" applyProtection="1">
      <alignment horizontal="right" vertical="top" wrapText="1" shrinkToFit="1"/>
      <protection locked="0"/>
    </xf>
    <xf numFmtId="0" fontId="108" fillId="61" borderId="0" xfId="0" applyFont="1" applyFill="1" applyAlignment="1">
      <alignment horizontal="center"/>
    </xf>
    <xf numFmtId="177" fontId="130" fillId="22" borderId="23" xfId="0" applyNumberFormat="1" applyFont="1" applyFill="1" applyBorder="1" applyAlignment="1" applyProtection="1">
      <alignment horizontal="left"/>
      <protection locked="0"/>
    </xf>
    <xf numFmtId="0" fontId="0" fillId="61" borderId="55" xfId="0" applyFill="1" applyBorder="1"/>
    <xf numFmtId="0" fontId="0" fillId="61" borderId="59" xfId="0" applyFill="1" applyBorder="1"/>
    <xf numFmtId="184" fontId="0" fillId="61" borderId="59" xfId="0" applyNumberFormat="1" applyFill="1" applyBorder="1"/>
    <xf numFmtId="0" fontId="0" fillId="61" borderId="60" xfId="0" applyFill="1" applyBorder="1"/>
    <xf numFmtId="0" fontId="0" fillId="61" borderId="56" xfId="0" applyFill="1" applyBorder="1"/>
    <xf numFmtId="0" fontId="0" fillId="61" borderId="49" xfId="0" applyFill="1" applyBorder="1"/>
    <xf numFmtId="0" fontId="0" fillId="61" borderId="57" xfId="0" applyFill="1" applyBorder="1"/>
    <xf numFmtId="0" fontId="0" fillId="61" borderId="40" xfId="0" applyFill="1" applyBorder="1"/>
    <xf numFmtId="184" fontId="0" fillId="61" borderId="40" xfId="0" applyNumberFormat="1" applyFill="1" applyBorder="1"/>
    <xf numFmtId="0" fontId="0" fillId="61" borderId="41" xfId="0" applyFill="1" applyBorder="1"/>
    <xf numFmtId="178" fontId="114" fillId="59" borderId="105" xfId="82" applyNumberFormat="1" applyFont="1" applyFill="1" applyBorder="1" applyAlignment="1" applyProtection="1">
      <alignment horizontal="center"/>
      <protection locked="0"/>
    </xf>
    <xf numFmtId="172" fontId="18" fillId="22" borderId="24" xfId="71" applyNumberFormat="1" applyFont="1" applyFill="1" applyBorder="1"/>
    <xf numFmtId="172" fontId="18" fillId="22" borderId="0" xfId="71" applyNumberFormat="1" applyFont="1" applyFill="1" applyBorder="1"/>
    <xf numFmtId="0" fontId="59" fillId="25" borderId="61" xfId="0" applyFont="1" applyFill="1" applyBorder="1" applyAlignment="1">
      <alignment horizontal="center" vertical="center" wrapText="1"/>
    </xf>
    <xf numFmtId="0" fontId="59" fillId="25" borderId="45" xfId="0" applyFont="1" applyFill="1" applyBorder="1" applyAlignment="1">
      <alignment horizontal="center" vertical="center" wrapText="1"/>
    </xf>
    <xf numFmtId="180" fontId="59" fillId="25" borderId="62" xfId="0" applyNumberFormat="1" applyFont="1" applyFill="1" applyBorder="1" applyAlignment="1">
      <alignment horizontal="center" vertical="center"/>
    </xf>
    <xf numFmtId="180" fontId="59" fillId="25" borderId="63" xfId="0" applyNumberFormat="1" applyFont="1" applyFill="1" applyBorder="1" applyAlignment="1">
      <alignment horizontal="center" vertical="center"/>
    </xf>
    <xf numFmtId="180" fontId="59" fillId="25" borderId="62" xfId="0" applyNumberFormat="1" applyFont="1" applyFill="1" applyBorder="1" applyAlignment="1">
      <alignment horizontal="center" vertical="center" wrapText="1"/>
    </xf>
    <xf numFmtId="180" fontId="59" fillId="25" borderId="63" xfId="0" applyNumberFormat="1" applyFont="1" applyFill="1" applyBorder="1" applyAlignment="1">
      <alignment horizontal="center" vertical="center" wrapText="1"/>
    </xf>
    <xf numFmtId="180" fontId="59" fillId="25" borderId="64" xfId="0" applyNumberFormat="1" applyFont="1" applyFill="1" applyBorder="1" applyAlignment="1">
      <alignment horizontal="center" vertical="center" wrapText="1"/>
    </xf>
    <xf numFmtId="180" fontId="59" fillId="25" borderId="65" xfId="0" applyNumberFormat="1" applyFont="1" applyFill="1" applyBorder="1" applyAlignment="1">
      <alignment horizontal="center" vertical="center" wrapText="1"/>
    </xf>
    <xf numFmtId="1" fontId="59" fillId="25" borderId="62" xfId="0" applyNumberFormat="1" applyFont="1" applyFill="1" applyBorder="1" applyAlignment="1">
      <alignment horizontal="center" vertical="center"/>
    </xf>
    <xf numFmtId="1" fontId="59" fillId="25" borderId="63" xfId="0" applyNumberFormat="1" applyFont="1" applyFill="1" applyBorder="1" applyAlignment="1">
      <alignment horizontal="center" vertical="center"/>
    </xf>
    <xf numFmtId="0" fontId="59" fillId="25" borderId="62" xfId="0" applyFont="1" applyFill="1" applyBorder="1" applyAlignment="1">
      <alignment horizontal="center" vertical="center" wrapText="1"/>
    </xf>
    <xf numFmtId="0" fontId="59" fillId="25" borderId="63" xfId="0" applyFont="1" applyFill="1" applyBorder="1" applyAlignment="1">
      <alignment horizontal="center" vertical="center" wrapText="1"/>
    </xf>
    <xf numFmtId="3" fontId="59" fillId="25" borderId="62" xfId="0" applyNumberFormat="1" applyFont="1" applyFill="1" applyBorder="1" applyAlignment="1">
      <alignment horizontal="center" vertical="center" wrapText="1"/>
    </xf>
    <xf numFmtId="3" fontId="59" fillId="25" borderId="63" xfId="0" applyNumberFormat="1" applyFont="1" applyFill="1" applyBorder="1" applyAlignment="1">
      <alignment horizontal="center" vertical="center" wrapText="1"/>
    </xf>
    <xf numFmtId="180" fontId="59" fillId="25" borderId="66" xfId="0" applyNumberFormat="1" applyFont="1" applyFill="1" applyBorder="1" applyAlignment="1">
      <alignment horizontal="center"/>
    </xf>
    <xf numFmtId="180" fontId="59" fillId="25" borderId="67" xfId="0" applyNumberFormat="1" applyFont="1" applyFill="1" applyBorder="1" applyAlignment="1">
      <alignment horizontal="center"/>
    </xf>
    <xf numFmtId="0" fontId="59" fillId="25" borderId="47" xfId="0" applyFont="1" applyFill="1" applyBorder="1" applyAlignment="1">
      <alignment horizontal="center" vertical="center" wrapText="1"/>
    </xf>
    <xf numFmtId="0" fontId="59" fillId="25" borderId="48" xfId="0" applyFont="1" applyFill="1" applyBorder="1" applyAlignment="1">
      <alignment horizontal="center" vertical="center" wrapText="1"/>
    </xf>
    <xf numFmtId="0" fontId="0" fillId="22" borderId="0" xfId="0" applyFill="1"/>
    <xf numFmtId="0" fontId="131" fillId="21" borderId="9" xfId="0" applyFont="1" applyFill="1" applyBorder="1" applyAlignment="1">
      <alignment horizontal="center" vertical="center" wrapText="1"/>
    </xf>
    <xf numFmtId="0" fontId="132" fillId="21" borderId="9" xfId="0" applyFont="1" applyFill="1" applyBorder="1" applyAlignment="1">
      <alignment horizontal="center" vertical="center" wrapText="1"/>
    </xf>
    <xf numFmtId="0" fontId="82" fillId="27" borderId="21" xfId="0" applyFont="1" applyFill="1" applyBorder="1" applyAlignment="1" applyProtection="1">
      <alignment horizontal="center" vertical="center"/>
      <protection hidden="1"/>
    </xf>
    <xf numFmtId="0" fontId="131" fillId="21" borderId="9" xfId="0" applyFont="1" applyFill="1" applyBorder="1" applyAlignment="1">
      <alignment horizontal="center" vertical="center"/>
    </xf>
    <xf numFmtId="0" fontId="0" fillId="64" borderId="0" xfId="0" applyFill="1"/>
    <xf numFmtId="190" fontId="82" fillId="65" borderId="21" xfId="71" applyNumberFormat="1" applyFont="1" applyFill="1" applyBorder="1" applyAlignment="1">
      <alignment horizontal="center" vertical="center"/>
    </xf>
    <xf numFmtId="169" fontId="82" fillId="23" borderId="21" xfId="0" applyNumberFormat="1" applyFont="1" applyFill="1" applyBorder="1" applyAlignment="1">
      <alignment horizontal="center" vertical="center"/>
    </xf>
    <xf numFmtId="0" fontId="82" fillId="25" borderId="21" xfId="0" applyFont="1" applyFill="1" applyBorder="1" applyAlignment="1">
      <alignment horizontal="center" vertical="center"/>
    </xf>
    <xf numFmtId="0" fontId="82" fillId="27" borderId="21" xfId="0" applyFont="1" applyFill="1" applyBorder="1" applyAlignment="1">
      <alignment horizontal="center" vertical="center"/>
    </xf>
    <xf numFmtId="3" fontId="82" fillId="25" borderId="68" xfId="0" applyNumberFormat="1" applyFont="1" applyFill="1" applyBorder="1" applyAlignment="1">
      <alignment horizontal="center" vertical="center"/>
    </xf>
    <xf numFmtId="180" fontId="82" fillId="25" borderId="21" xfId="0" applyNumberFormat="1" applyFont="1" applyFill="1" applyBorder="1" applyAlignment="1">
      <alignment horizontal="center" vertical="center"/>
    </xf>
    <xf numFmtId="0" fontId="82" fillId="25" borderId="21" xfId="0" applyNumberFormat="1" applyFont="1" applyFill="1" applyBorder="1" applyAlignment="1">
      <alignment horizontal="center" vertical="center"/>
    </xf>
    <xf numFmtId="188" fontId="82" fillId="25" borderId="21" xfId="0" applyNumberFormat="1" applyFont="1" applyFill="1" applyBorder="1" applyAlignment="1">
      <alignment horizontal="center" vertical="center"/>
    </xf>
    <xf numFmtId="0" fontId="82" fillId="64" borderId="21" xfId="0" applyFont="1" applyFill="1" applyBorder="1" applyAlignment="1" applyProtection="1">
      <alignment horizontal="center" vertical="center"/>
      <protection hidden="1"/>
    </xf>
    <xf numFmtId="169" fontId="82" fillId="64" borderId="21" xfId="0" applyNumberFormat="1" applyFont="1" applyFill="1" applyBorder="1" applyAlignment="1">
      <alignment horizontal="center" vertical="center"/>
    </xf>
    <xf numFmtId="169" fontId="82" fillId="64" borderId="21" xfId="0" applyNumberFormat="1" applyFont="1" applyFill="1" applyBorder="1" applyAlignment="1" applyProtection="1">
      <alignment horizontal="center" vertical="center"/>
      <protection hidden="1"/>
    </xf>
    <xf numFmtId="0" fontId="13" fillId="21" borderId="19" xfId="0" applyFont="1" applyFill="1" applyBorder="1" applyAlignment="1">
      <alignment horizontal="center" vertical="center" wrapText="1"/>
    </xf>
    <xf numFmtId="0" fontId="13" fillId="64" borderId="24" xfId="0" applyFont="1" applyFill="1" applyBorder="1" applyAlignment="1">
      <alignment horizontal="center" vertical="center" wrapText="1"/>
    </xf>
    <xf numFmtId="0" fontId="12" fillId="64" borderId="14" xfId="0" applyFont="1" applyFill="1" applyBorder="1" applyAlignment="1">
      <alignment horizontal="center"/>
    </xf>
    <xf numFmtId="0" fontId="13" fillId="64" borderId="19" xfId="0" applyFont="1" applyFill="1" applyBorder="1" applyAlignment="1">
      <alignment horizontal="center" vertical="center" wrapText="1"/>
    </xf>
    <xf numFmtId="0" fontId="12" fillId="64" borderId="11" xfId="0" applyFont="1" applyFill="1" applyBorder="1" applyAlignment="1">
      <alignment horizontal="center"/>
    </xf>
    <xf numFmtId="17" fontId="0" fillId="20" borderId="0" xfId="0" applyNumberFormat="1" applyFill="1"/>
    <xf numFmtId="0" fontId="104" fillId="0" borderId="0" xfId="0" applyFont="1"/>
    <xf numFmtId="169" fontId="82" fillId="66" borderId="21" xfId="0" applyNumberFormat="1" applyFont="1" applyFill="1" applyBorder="1" applyAlignment="1">
      <alignment horizontal="center" vertical="center"/>
    </xf>
    <xf numFmtId="169" fontId="82" fillId="67" borderId="21" xfId="0" applyNumberFormat="1" applyFont="1" applyFill="1" applyBorder="1" applyAlignment="1" applyProtection="1">
      <alignment horizontal="center" vertical="center"/>
      <protection hidden="1"/>
    </xf>
    <xf numFmtId="169" fontId="82" fillId="67" borderId="21" xfId="0" applyNumberFormat="1" applyFont="1" applyFill="1" applyBorder="1" applyAlignment="1">
      <alignment horizontal="center" vertical="center"/>
    </xf>
    <xf numFmtId="169" fontId="83" fillId="23" borderId="21" xfId="0" applyNumberFormat="1" applyFont="1" applyFill="1" applyBorder="1" applyAlignment="1">
      <alignment horizontal="center" vertical="center"/>
    </xf>
    <xf numFmtId="169" fontId="82" fillId="27" borderId="21" xfId="0" applyNumberFormat="1" applyFont="1" applyFill="1" applyBorder="1" applyAlignment="1">
      <alignment horizontal="center" vertical="center"/>
    </xf>
    <xf numFmtId="169" fontId="83" fillId="66" borderId="21" xfId="0" applyNumberFormat="1" applyFont="1" applyFill="1" applyBorder="1" applyAlignment="1">
      <alignment horizontal="center" vertical="center"/>
    </xf>
    <xf numFmtId="169" fontId="83" fillId="67" borderId="21" xfId="0" applyNumberFormat="1" applyFont="1" applyFill="1" applyBorder="1" applyAlignment="1" applyProtection="1">
      <alignment horizontal="center" vertical="center"/>
      <protection hidden="1"/>
    </xf>
    <xf numFmtId="169" fontId="83" fillId="67" borderId="21" xfId="0" applyNumberFormat="1" applyFont="1" applyFill="1" applyBorder="1" applyAlignment="1">
      <alignment horizontal="center" vertical="center"/>
    </xf>
    <xf numFmtId="169" fontId="82" fillId="68" borderId="21" xfId="0" applyNumberFormat="1" applyFont="1" applyFill="1" applyBorder="1" applyAlignment="1">
      <alignment horizontal="center" vertical="center"/>
    </xf>
    <xf numFmtId="2" fontId="82" fillId="68" borderId="21" xfId="0" quotePrefix="1" applyNumberFormat="1" applyFont="1" applyFill="1" applyBorder="1" applyAlignment="1">
      <alignment horizontal="center" vertical="center"/>
    </xf>
    <xf numFmtId="2" fontId="82" fillId="69" borderId="21" xfId="0" quotePrefix="1" applyNumberFormat="1" applyFont="1" applyFill="1" applyBorder="1" applyAlignment="1">
      <alignment horizontal="center" vertical="center"/>
    </xf>
    <xf numFmtId="168" fontId="83" fillId="68" borderId="21" xfId="0" applyNumberFormat="1" applyFont="1" applyFill="1" applyBorder="1" applyAlignment="1">
      <alignment horizontal="center" vertical="center"/>
    </xf>
    <xf numFmtId="180" fontId="133" fillId="70" borderId="21" xfId="0" applyNumberFormat="1" applyFont="1" applyFill="1" applyBorder="1" applyAlignment="1">
      <alignment horizontal="center" vertical="center"/>
    </xf>
    <xf numFmtId="169" fontId="83" fillId="71" borderId="21" xfId="0" applyNumberFormat="1" applyFont="1" applyFill="1" applyBorder="1" applyAlignment="1">
      <alignment horizontal="center" vertical="center"/>
    </xf>
    <xf numFmtId="180" fontId="133" fillId="71" borderId="69" xfId="0" applyNumberFormat="1" applyFont="1" applyFill="1" applyBorder="1" applyAlignment="1">
      <alignment horizontal="center" vertical="center"/>
    </xf>
    <xf numFmtId="0" fontId="0" fillId="0" borderId="0" xfId="0" applyAlignment="1"/>
    <xf numFmtId="1" fontId="82" fillId="25" borderId="21" xfId="0" applyNumberFormat="1" applyFont="1" applyFill="1" applyBorder="1" applyAlignment="1">
      <alignment horizontal="center" vertical="center"/>
    </xf>
    <xf numFmtId="3" fontId="82" fillId="25" borderId="68" xfId="0" applyNumberFormat="1" applyFont="1" applyFill="1" applyBorder="1" applyAlignment="1">
      <alignment horizontal="left" vertical="center"/>
    </xf>
    <xf numFmtId="3" fontId="120" fillId="20" borderId="0" xfId="0" applyNumberFormat="1" applyFont="1" applyFill="1" applyAlignment="1">
      <alignment horizontal="center"/>
    </xf>
    <xf numFmtId="189" fontId="16" fillId="22" borderId="19" xfId="0" applyNumberFormat="1" applyFont="1" applyFill="1" applyBorder="1" applyAlignment="1">
      <alignment horizontal="center" vertical="center"/>
    </xf>
    <xf numFmtId="165" fontId="16" fillId="22" borderId="19" xfId="0" applyNumberFormat="1" applyFont="1" applyFill="1" applyBorder="1" applyAlignment="1">
      <alignment horizontal="center" vertical="center"/>
    </xf>
    <xf numFmtId="181" fontId="16" fillId="22" borderId="19" xfId="0" applyNumberFormat="1" applyFont="1" applyFill="1" applyBorder="1" applyAlignment="1">
      <alignment horizontal="center" vertical="center"/>
    </xf>
    <xf numFmtId="0" fontId="88" fillId="20" borderId="0" xfId="0" applyFont="1" applyFill="1" applyAlignment="1">
      <alignment horizontal="center"/>
    </xf>
    <xf numFmtId="49" fontId="134" fillId="61" borderId="14" xfId="82" applyNumberFormat="1" applyFont="1" applyFill="1" applyBorder="1" applyAlignment="1" applyProtection="1">
      <alignment horizontal="right" vertical="top" wrapText="1" shrinkToFit="1"/>
      <protection locked="0"/>
    </xf>
    <xf numFmtId="0" fontId="88" fillId="61" borderId="0" xfId="0" applyFont="1" applyFill="1" applyAlignment="1">
      <alignment horizontal="center"/>
    </xf>
    <xf numFmtId="0" fontId="108" fillId="61" borderId="0" xfId="0" applyFont="1" applyFill="1"/>
    <xf numFmtId="49" fontId="134" fillId="61" borderId="14" xfId="82" applyNumberFormat="1" applyFont="1" applyFill="1" applyBorder="1" applyAlignment="1" applyProtection="1">
      <alignment horizontal="right" vertical="top" shrinkToFit="1"/>
      <protection locked="0"/>
    </xf>
    <xf numFmtId="0" fontId="108" fillId="61" borderId="0" xfId="0" applyFont="1" applyFill="1" applyAlignment="1">
      <alignment horizontal="center" wrapText="1"/>
    </xf>
    <xf numFmtId="172" fontId="108" fillId="61" borderId="0" xfId="71" applyNumberFormat="1" applyFont="1" applyFill="1" applyAlignment="1">
      <alignment horizontal="center"/>
    </xf>
    <xf numFmtId="0" fontId="108" fillId="61" borderId="0" xfId="0" applyFont="1" applyFill="1" applyAlignment="1">
      <alignment horizontal="right" wrapText="1"/>
    </xf>
    <xf numFmtId="2" fontId="108" fillId="61" borderId="0" xfId="0" applyNumberFormat="1" applyFont="1" applyFill="1"/>
    <xf numFmtId="167" fontId="108" fillId="61" borderId="0" xfId="0" applyNumberFormat="1" applyFont="1" applyFill="1"/>
    <xf numFmtId="0" fontId="104" fillId="72" borderId="0" xfId="0" applyFont="1" applyFill="1"/>
    <xf numFmtId="0" fontId="104" fillId="73" borderId="0" xfId="0" applyFont="1" applyFill="1"/>
    <xf numFmtId="0" fontId="123" fillId="0" borderId="0" xfId="0" applyFont="1"/>
    <xf numFmtId="0" fontId="135" fillId="0" borderId="0" xfId="0" applyFont="1"/>
    <xf numFmtId="14" fontId="0" fillId="0" borderId="0" xfId="0" applyNumberFormat="1"/>
    <xf numFmtId="186" fontId="0" fillId="0" borderId="0" xfId="0" applyNumberFormat="1"/>
    <xf numFmtId="14" fontId="104" fillId="0" borderId="0" xfId="0" applyNumberFormat="1" applyFont="1" applyAlignment="1">
      <alignment horizontal="left" vertical="center"/>
    </xf>
    <xf numFmtId="0" fontId="136" fillId="0" borderId="0" xfId="0" applyFont="1"/>
    <xf numFmtId="0" fontId="0" fillId="0" borderId="0" xfId="0" applyAlignment="1">
      <alignment horizontal="right"/>
    </xf>
    <xf numFmtId="0" fontId="104" fillId="73" borderId="70" xfId="0" applyFont="1" applyFill="1" applyBorder="1" applyAlignment="1">
      <alignment horizontal="right"/>
    </xf>
    <xf numFmtId="0" fontId="104" fillId="72" borderId="70" xfId="0" applyFont="1" applyFill="1" applyBorder="1" applyAlignment="1">
      <alignment horizontal="right"/>
    </xf>
    <xf numFmtId="49" fontId="0" fillId="0" borderId="0" xfId="0" applyNumberFormat="1"/>
    <xf numFmtId="14" fontId="0" fillId="0" borderId="0" xfId="0" applyNumberFormat="1" applyFont="1" applyAlignment="1">
      <alignment horizontal="left" vertical="center"/>
    </xf>
    <xf numFmtId="1" fontId="0" fillId="0" borderId="0" xfId="0" applyNumberFormat="1"/>
    <xf numFmtId="0" fontId="77" fillId="0" borderId="21" xfId="0" applyFont="1" applyBorder="1" applyAlignment="1">
      <alignment horizontal="left"/>
    </xf>
    <xf numFmtId="0" fontId="0" fillId="0" borderId="49" xfId="0" applyFill="1" applyBorder="1" applyAlignment="1">
      <alignment vertical="top"/>
    </xf>
    <xf numFmtId="0" fontId="0" fillId="0" borderId="47" xfId="0" applyFill="1" applyBorder="1" applyAlignment="1">
      <alignment vertical="top"/>
    </xf>
    <xf numFmtId="0" fontId="3" fillId="0" borderId="41" xfId="0" applyFont="1" applyFill="1" applyBorder="1" applyAlignment="1">
      <alignment vertical="top"/>
    </xf>
    <xf numFmtId="0" fontId="0" fillId="0" borderId="39" xfId="0" applyFill="1" applyBorder="1" applyAlignment="1">
      <alignment vertical="top"/>
    </xf>
    <xf numFmtId="0" fontId="0" fillId="0" borderId="46" xfId="0" applyFill="1" applyBorder="1" applyAlignment="1">
      <alignment vertical="top"/>
    </xf>
    <xf numFmtId="0" fontId="0" fillId="0" borderId="48" xfId="0" applyFill="1" applyBorder="1" applyAlignment="1">
      <alignment vertical="top"/>
    </xf>
    <xf numFmtId="0" fontId="0" fillId="0" borderId="56" xfId="0" applyFill="1" applyBorder="1" applyAlignment="1">
      <alignment horizontal="center" vertical="top" wrapText="1"/>
    </xf>
    <xf numFmtId="0" fontId="0" fillId="0" borderId="55" xfId="0" applyFill="1" applyBorder="1" applyAlignment="1">
      <alignment horizontal="center" vertical="top" wrapText="1"/>
    </xf>
    <xf numFmtId="0" fontId="0" fillId="0" borderId="57" xfId="0" applyFill="1" applyBorder="1" applyAlignment="1">
      <alignment horizontal="center" vertical="top" wrapText="1"/>
    </xf>
    <xf numFmtId="0" fontId="0" fillId="64" borderId="0" xfId="0" applyFill="1" applyAlignment="1">
      <alignment horizontal="right"/>
    </xf>
    <xf numFmtId="0" fontId="0" fillId="0" borderId="0" xfId="0" applyAlignment="1">
      <alignment horizontal="left"/>
    </xf>
    <xf numFmtId="0" fontId="12" fillId="61" borderId="0" xfId="0" applyFont="1" applyFill="1" applyAlignment="1">
      <alignment horizontal="center"/>
    </xf>
    <xf numFmtId="0" fontId="37" fillId="61" borderId="0" xfId="0" applyFont="1" applyFill="1" applyAlignment="1">
      <alignment horizontal="center"/>
    </xf>
    <xf numFmtId="0" fontId="126" fillId="61" borderId="0" xfId="0" applyFont="1" applyFill="1"/>
    <xf numFmtId="3" fontId="5" fillId="61" borderId="106" xfId="82" applyNumberFormat="1" applyFont="1" applyFill="1" applyBorder="1" applyAlignment="1" applyProtection="1">
      <alignment horizontal="left"/>
      <protection hidden="1"/>
    </xf>
    <xf numFmtId="4" fontId="5" fillId="61" borderId="106" xfId="82" applyNumberFormat="1" applyFont="1" applyFill="1" applyBorder="1" applyProtection="1">
      <protection hidden="1"/>
    </xf>
    <xf numFmtId="168" fontId="5" fillId="61" borderId="106" xfId="82" applyNumberFormat="1" applyFont="1" applyFill="1" applyBorder="1" applyProtection="1">
      <protection hidden="1"/>
    </xf>
    <xf numFmtId="2" fontId="5" fillId="61" borderId="106" xfId="82" applyNumberFormat="1" applyFont="1" applyFill="1" applyBorder="1" applyProtection="1">
      <protection hidden="1"/>
    </xf>
    <xf numFmtId="0" fontId="5" fillId="61" borderId="106" xfId="82" applyFont="1" applyFill="1" applyBorder="1" applyAlignment="1" applyProtection="1">
      <alignment horizontal="left"/>
      <protection hidden="1"/>
    </xf>
    <xf numFmtId="168" fontId="5" fillId="64" borderId="106" xfId="82" applyNumberFormat="1" applyFont="1" applyFill="1" applyBorder="1" applyProtection="1">
      <protection hidden="1"/>
    </xf>
    <xf numFmtId="168" fontId="116" fillId="23" borderId="31" xfId="86" applyNumberFormat="1" applyFont="1" applyFill="1" applyBorder="1" applyAlignment="1">
      <alignment horizontal="center"/>
    </xf>
    <xf numFmtId="0" fontId="144" fillId="20" borderId="0" xfId="0" applyFont="1" applyFill="1"/>
    <xf numFmtId="0" fontId="119" fillId="23" borderId="57" xfId="86" applyFont="1" applyFill="1" applyBorder="1" applyAlignment="1">
      <alignment horizontal="center" vertical="center" wrapText="1"/>
    </xf>
    <xf numFmtId="0" fontId="115" fillId="23" borderId="107" xfId="86" applyFont="1" applyFill="1" applyBorder="1" applyAlignment="1">
      <alignment horizontal="center" vertical="center"/>
    </xf>
    <xf numFmtId="164" fontId="72" fillId="23" borderId="19" xfId="71" applyNumberFormat="1" applyFont="1" applyFill="1" applyBorder="1" applyAlignment="1" applyProtection="1">
      <alignment horizontal="center" vertical="center"/>
      <protection locked="0"/>
    </xf>
    <xf numFmtId="164" fontId="16" fillId="22" borderId="19" xfId="0" applyNumberFormat="1" applyFont="1" applyFill="1" applyBorder="1" applyAlignment="1">
      <alignment horizontal="center" vertical="center"/>
    </xf>
    <xf numFmtId="168" fontId="116" fillId="23" borderId="21" xfId="86" applyNumberFormat="1" applyFont="1" applyFill="1" applyBorder="1" applyAlignment="1">
      <alignment horizontal="center"/>
    </xf>
    <xf numFmtId="179" fontId="116" fillId="23" borderId="31" xfId="86" applyNumberFormat="1" applyFont="1" applyFill="1" applyBorder="1" applyAlignment="1">
      <alignment horizontal="center"/>
    </xf>
    <xf numFmtId="179" fontId="116" fillId="23" borderId="21" xfId="86" applyNumberFormat="1" applyFont="1" applyFill="1" applyBorder="1" applyAlignment="1">
      <alignment horizontal="center"/>
    </xf>
    <xf numFmtId="179" fontId="116" fillId="23" borderId="39" xfId="86" applyNumberFormat="1" applyFont="1" applyFill="1" applyBorder="1" applyAlignment="1">
      <alignment horizontal="center"/>
    </xf>
    <xf numFmtId="169" fontId="116" fillId="23" borderId="31" xfId="86" applyNumberFormat="1" applyFont="1" applyFill="1" applyBorder="1" applyAlignment="1">
      <alignment horizontal="center"/>
    </xf>
    <xf numFmtId="1" fontId="116" fillId="23" borderId="21" xfId="86" applyNumberFormat="1" applyFont="1" applyFill="1" applyBorder="1" applyAlignment="1">
      <alignment horizontal="center"/>
    </xf>
    <xf numFmtId="169" fontId="116" fillId="23" borderId="21" xfId="86" applyNumberFormat="1" applyFont="1" applyFill="1" applyBorder="1" applyAlignment="1">
      <alignment horizontal="center"/>
    </xf>
    <xf numFmtId="169" fontId="116" fillId="23" borderId="39" xfId="86" applyNumberFormat="1" applyFont="1" applyFill="1" applyBorder="1" applyAlignment="1">
      <alignment horizontal="center"/>
    </xf>
    <xf numFmtId="168" fontId="116" fillId="23" borderId="52" xfId="86" applyNumberFormat="1" applyFont="1" applyFill="1" applyBorder="1" applyAlignment="1">
      <alignment horizontal="center"/>
    </xf>
    <xf numFmtId="168" fontId="116" fillId="23" borderId="53" xfId="86" applyNumberFormat="1" applyFont="1" applyFill="1" applyBorder="1" applyAlignment="1">
      <alignment horizontal="center"/>
    </xf>
    <xf numFmtId="0" fontId="126" fillId="0" borderId="0" xfId="0" applyFont="1" applyFill="1"/>
    <xf numFmtId="172" fontId="18" fillId="61" borderId="10" xfId="71" applyNumberFormat="1" applyFont="1" applyFill="1" applyBorder="1" applyAlignment="1">
      <alignment horizontal="center"/>
    </xf>
    <xf numFmtId="172" fontId="120" fillId="61" borderId="10" xfId="71" applyNumberFormat="1" applyFont="1" applyFill="1" applyBorder="1" applyAlignment="1">
      <alignment horizontal="center"/>
    </xf>
    <xf numFmtId="191" fontId="72" fillId="23" borderId="19" xfId="71" applyNumberFormat="1" applyFont="1" applyFill="1" applyBorder="1" applyAlignment="1" applyProtection="1">
      <alignment horizontal="center" vertical="center"/>
      <protection locked="0"/>
    </xf>
    <xf numFmtId="0" fontId="137" fillId="0" borderId="0" xfId="0" applyFont="1" applyAlignment="1">
      <alignment horizontal="left" vertical="center" wrapText="1"/>
    </xf>
    <xf numFmtId="0" fontId="138" fillId="0" borderId="0" xfId="0" applyFont="1" applyAlignment="1">
      <alignment vertical="top" wrapText="1"/>
    </xf>
    <xf numFmtId="0" fontId="18" fillId="20" borderId="69" xfId="0" applyFont="1" applyFill="1" applyBorder="1" applyAlignment="1">
      <alignment horizontal="center"/>
    </xf>
    <xf numFmtId="0" fontId="18" fillId="20" borderId="71" xfId="0" applyFont="1" applyFill="1" applyBorder="1" applyAlignment="1">
      <alignment horizontal="center"/>
    </xf>
    <xf numFmtId="0" fontId="13" fillId="21" borderId="16" xfId="0" applyFont="1" applyFill="1" applyBorder="1" applyAlignment="1">
      <alignment horizontal="center" vertical="center" wrapText="1"/>
    </xf>
    <xf numFmtId="0" fontId="13" fillId="21" borderId="19" xfId="0" applyFont="1" applyFill="1" applyBorder="1" applyAlignment="1">
      <alignment horizontal="center" vertical="center" wrapText="1"/>
    </xf>
    <xf numFmtId="3" fontId="21" fillId="21" borderId="16" xfId="82" applyNumberFormat="1" applyFont="1" applyFill="1" applyBorder="1" applyAlignment="1" applyProtection="1">
      <alignment horizontal="center" vertical="center" wrapText="1"/>
      <protection hidden="1"/>
    </xf>
    <xf numFmtId="3" fontId="21" fillId="21" borderId="19" xfId="82" applyNumberFormat="1" applyFont="1" applyFill="1" applyBorder="1" applyAlignment="1" applyProtection="1">
      <alignment horizontal="center" vertical="center" wrapText="1"/>
      <protection hidden="1"/>
    </xf>
    <xf numFmtId="168" fontId="16" fillId="74" borderId="16" xfId="0" applyNumberFormat="1" applyFont="1" applyFill="1" applyBorder="1" applyAlignment="1">
      <alignment horizontal="left"/>
    </xf>
    <xf numFmtId="168" fontId="16" fillId="74" borderId="24" xfId="0" applyNumberFormat="1" applyFont="1" applyFill="1" applyBorder="1" applyAlignment="1">
      <alignment horizontal="left"/>
    </xf>
    <xf numFmtId="168" fontId="16" fillId="74" borderId="19" xfId="0" applyNumberFormat="1" applyFont="1" applyFill="1" applyBorder="1" applyAlignment="1">
      <alignment horizontal="left"/>
    </xf>
    <xf numFmtId="0" fontId="4" fillId="22" borderId="18" xfId="69" applyFill="1" applyBorder="1" applyAlignment="1" applyProtection="1">
      <alignment horizontal="center" vertical="center"/>
    </xf>
    <xf numFmtId="0" fontId="18" fillId="24" borderId="0" xfId="0" applyFont="1" applyFill="1" applyAlignment="1">
      <alignment horizontal="left" vertical="center" wrapText="1"/>
    </xf>
    <xf numFmtId="3" fontId="5" fillId="20" borderId="0" xfId="82" applyNumberFormat="1" applyFont="1" applyFill="1" applyBorder="1" applyAlignment="1" applyProtection="1">
      <alignment horizontal="center"/>
      <protection hidden="1"/>
    </xf>
    <xf numFmtId="168" fontId="16" fillId="74" borderId="10" xfId="0" applyNumberFormat="1" applyFont="1" applyFill="1" applyBorder="1" applyAlignment="1">
      <alignment horizontal="left"/>
    </xf>
    <xf numFmtId="168" fontId="16" fillId="74" borderId="0" xfId="0" applyNumberFormat="1" applyFont="1" applyFill="1" applyBorder="1" applyAlignment="1">
      <alignment horizontal="left"/>
    </xf>
    <xf numFmtId="0" fontId="37" fillId="20" borderId="0" xfId="85" applyFont="1" applyFill="1" applyBorder="1" applyAlignment="1" applyProtection="1">
      <alignment horizontal="center" vertical="center"/>
    </xf>
    <xf numFmtId="0" fontId="39" fillId="20" borderId="0" xfId="82" applyFont="1" applyFill="1" applyBorder="1" applyAlignment="1" applyProtection="1">
      <alignment horizontal="center" vertical="center" wrapText="1"/>
    </xf>
    <xf numFmtId="0" fontId="13" fillId="21" borderId="21" xfId="0" applyFont="1" applyFill="1" applyBorder="1" applyAlignment="1" applyProtection="1">
      <alignment horizontal="center" vertical="center" wrapText="1"/>
    </xf>
    <xf numFmtId="0" fontId="22" fillId="21" borderId="21" xfId="0" applyFont="1" applyFill="1" applyBorder="1" applyAlignment="1" applyProtection="1">
      <alignment horizontal="center" vertical="center"/>
    </xf>
    <xf numFmtId="0" fontId="141" fillId="21" borderId="16" xfId="0" applyFont="1" applyFill="1" applyBorder="1" applyAlignment="1">
      <alignment horizontal="center" vertical="center" wrapText="1"/>
    </xf>
    <xf numFmtId="0" fontId="141" fillId="21" borderId="19" xfId="0" applyFont="1" applyFill="1" applyBorder="1" applyAlignment="1">
      <alignment horizontal="center" vertical="center" wrapText="1"/>
    </xf>
    <xf numFmtId="0" fontId="13" fillId="21" borderId="24" xfId="0" applyFont="1" applyFill="1" applyBorder="1" applyAlignment="1">
      <alignment horizontal="center" vertical="center" wrapText="1"/>
    </xf>
    <xf numFmtId="0" fontId="139" fillId="23" borderId="55" xfId="86" applyFont="1" applyFill="1" applyBorder="1" applyAlignment="1">
      <alignment horizontal="center" vertical="center" wrapText="1"/>
    </xf>
    <xf numFmtId="0" fontId="139" fillId="23" borderId="59" xfId="86" applyFont="1" applyFill="1" applyBorder="1" applyAlignment="1">
      <alignment horizontal="center" vertical="center" wrapText="1"/>
    </xf>
    <xf numFmtId="0" fontId="139" fillId="23" borderId="60" xfId="86" applyFont="1" applyFill="1" applyBorder="1" applyAlignment="1">
      <alignment horizontal="center" vertical="center" wrapText="1"/>
    </xf>
    <xf numFmtId="0" fontId="139" fillId="23" borderId="56" xfId="86" applyFont="1" applyFill="1" applyBorder="1" applyAlignment="1">
      <alignment horizontal="center" vertical="center" wrapText="1"/>
    </xf>
    <xf numFmtId="0" fontId="139" fillId="23" borderId="0" xfId="86" applyFont="1" applyFill="1" applyBorder="1" applyAlignment="1">
      <alignment horizontal="center" vertical="center" wrapText="1"/>
    </xf>
    <xf numFmtId="0" fontId="139" fillId="23" borderId="49" xfId="86" applyFont="1" applyFill="1" applyBorder="1" applyAlignment="1">
      <alignment horizontal="center" vertical="center" wrapText="1"/>
    </xf>
    <xf numFmtId="0" fontId="116" fillId="61" borderId="0" xfId="86" applyFont="1" applyFill="1" applyBorder="1" applyAlignment="1">
      <alignment horizontal="left" vertical="top" wrapText="1" shrinkToFit="1"/>
    </xf>
    <xf numFmtId="0" fontId="116" fillId="61" borderId="0" xfId="86" applyFont="1" applyFill="1" applyBorder="1" applyAlignment="1">
      <alignment horizontal="left" vertical="top" wrapText="1"/>
    </xf>
    <xf numFmtId="0" fontId="4" fillId="61" borderId="0" xfId="69" applyFill="1" applyBorder="1" applyAlignment="1" applyProtection="1">
      <alignment horizontal="left" vertical="top" wrapText="1"/>
    </xf>
    <xf numFmtId="0" fontId="140" fillId="61" borderId="0" xfId="69" applyFont="1" applyFill="1" applyBorder="1" applyAlignment="1" applyProtection="1">
      <alignment horizontal="left" vertical="top" wrapText="1"/>
    </xf>
    <xf numFmtId="0" fontId="104" fillId="0" borderId="40" xfId="0" applyFont="1" applyBorder="1" applyAlignment="1">
      <alignment horizontal="center" vertical="center"/>
    </xf>
    <xf numFmtId="3" fontId="59" fillId="25" borderId="62" xfId="0" applyNumberFormat="1" applyFont="1" applyFill="1" applyBorder="1" applyAlignment="1">
      <alignment horizontal="center" vertical="center" wrapText="1"/>
    </xf>
    <xf numFmtId="3" fontId="59" fillId="25" borderId="63" xfId="0" applyNumberFormat="1" applyFont="1" applyFill="1" applyBorder="1" applyAlignment="1">
      <alignment horizontal="center" vertical="center" wrapText="1"/>
    </xf>
    <xf numFmtId="0" fontId="59" fillId="25" borderId="61" xfId="0" applyFont="1" applyFill="1" applyBorder="1" applyAlignment="1">
      <alignment horizontal="center" vertical="center" wrapText="1"/>
    </xf>
    <xf numFmtId="0" fontId="59" fillId="25" borderId="45" xfId="0" applyFont="1" applyFill="1" applyBorder="1" applyAlignment="1">
      <alignment horizontal="center" vertical="center" wrapText="1"/>
    </xf>
  </cellXfs>
  <cellStyles count="111">
    <cellStyle name="20 % - Accent1" xfId="1"/>
    <cellStyle name="20 % - Accent2" xfId="2"/>
    <cellStyle name="20 % - Accent3" xfId="3"/>
    <cellStyle name="20 % - Accent4" xfId="4"/>
    <cellStyle name="20 % - Accent5" xfId="5"/>
    <cellStyle name="20 % - Accent6" xfId="6"/>
    <cellStyle name="20% - Accent1 2" xfId="7"/>
    <cellStyle name="20% - Accent2 2" xfId="8"/>
    <cellStyle name="20% - Accent3 2" xfId="9"/>
    <cellStyle name="20% - Accent4 2" xfId="10"/>
    <cellStyle name="20% - Accent5 2" xfId="11"/>
    <cellStyle name="20% - Accent6 2" xfId="12"/>
    <cellStyle name="40 % - Accent1" xfId="13"/>
    <cellStyle name="40 % - Accent2" xfId="14"/>
    <cellStyle name="40 % - Accent3" xfId="15"/>
    <cellStyle name="40 % - Accent4" xfId="16"/>
    <cellStyle name="40 % - Accent5" xfId="17"/>
    <cellStyle name="40 % - Accent6" xfId="18"/>
    <cellStyle name="40% - Accent1 2" xfId="19"/>
    <cellStyle name="40% - Accent2 2" xfId="20"/>
    <cellStyle name="40% - Accent3 2" xfId="21"/>
    <cellStyle name="40% - Accent4 2" xfId="22"/>
    <cellStyle name="40% - Accent5 2" xfId="23"/>
    <cellStyle name="40% - Accent6 2" xfId="24"/>
    <cellStyle name="60 % - Accent1" xfId="25"/>
    <cellStyle name="60 % - Accent2" xfId="26"/>
    <cellStyle name="60 % - Accent3" xfId="27"/>
    <cellStyle name="60 % - Accent4" xfId="28"/>
    <cellStyle name="60 % - Accent5" xfId="29"/>
    <cellStyle name="60 % - Accent6" xfId="30"/>
    <cellStyle name="60% - Accent1 2" xfId="31"/>
    <cellStyle name="60% - Accent2 2" xfId="32"/>
    <cellStyle name="60% - Accent3 2" xfId="33"/>
    <cellStyle name="60% - Accent4 2" xfId="34"/>
    <cellStyle name="60% - Accent5 2" xfId="35"/>
    <cellStyle name="60% - Accent6 2" xfId="36"/>
    <cellStyle name="Accent1 2" xfId="37"/>
    <cellStyle name="Accent2 2" xfId="38"/>
    <cellStyle name="Accent3 2" xfId="39"/>
    <cellStyle name="Accent4 2" xfId="40"/>
    <cellStyle name="Accent5 2" xfId="41"/>
    <cellStyle name="Accent6 2" xfId="42"/>
    <cellStyle name="Avertissement" xfId="43"/>
    <cellStyle name="Bad 2" xfId="44"/>
    <cellStyle name="Calcul" xfId="45"/>
    <cellStyle name="Calculation 2" xfId="46"/>
    <cellStyle name="Cellule liée" xfId="47"/>
    <cellStyle name="Check Cell 2" xfId="48"/>
    <cellStyle name="Comma 2" xfId="49"/>
    <cellStyle name="Comma 2 2" xfId="50"/>
    <cellStyle name="Comma 2 2 2" xfId="51"/>
    <cellStyle name="Comma 2 3" xfId="52"/>
    <cellStyle name="Comma 3" xfId="53"/>
    <cellStyle name="Comma 3 2" xfId="54"/>
    <cellStyle name="Comma 4" xfId="55"/>
    <cellStyle name="Comma 5" xfId="56"/>
    <cellStyle name="Commentaire" xfId="57"/>
    <cellStyle name="Currency 2" xfId="58"/>
    <cellStyle name="Entrée" xfId="59"/>
    <cellStyle name="Explanatory Text 2" xfId="60"/>
    <cellStyle name="Good 2" xfId="61"/>
    <cellStyle name="Heading 1 2" xfId="62"/>
    <cellStyle name="Heading 2 2" xfId="63"/>
    <cellStyle name="Heading 3 2" xfId="64"/>
    <cellStyle name="Heading 4 2" xfId="65"/>
    <cellStyle name="Hyperlink 2" xfId="66"/>
    <cellStyle name="Input 2" xfId="67"/>
    <cellStyle name="Insatisfaisant" xfId="68"/>
    <cellStyle name="Lien hypertexte" xfId="69" builtinId="8"/>
    <cellStyle name="Linked Cell 2" xfId="70"/>
    <cellStyle name="Milliers" xfId="71" builtinId="3"/>
    <cellStyle name="Milliers 2" xfId="72"/>
    <cellStyle name="Milliers 2 2" xfId="73"/>
    <cellStyle name="Milliers 2_BLANC2_TA_saisie_transport_2013 V14 (version 1)" xfId="74"/>
    <cellStyle name="Milliers 3" xfId="75"/>
    <cellStyle name="Monétaire 2" xfId="76"/>
    <cellStyle name="Monétaire 2 2" xfId="77"/>
    <cellStyle name="Monétaire 2_BLANC2_TA_saisie_transport_2013 V14 (version 1)" xfId="78"/>
    <cellStyle name="Monétaire 3" xfId="79"/>
    <cellStyle name="Neutral 2" xfId="80"/>
    <cellStyle name="Neutre" xfId="81"/>
    <cellStyle name="Normal" xfId="0" builtinId="0"/>
    <cellStyle name="Normal 2" xfId="82"/>
    <cellStyle name="Normal 2 2" xfId="83"/>
    <cellStyle name="Normal 2 3" xfId="84"/>
    <cellStyle name="Normal 3" xfId="85"/>
    <cellStyle name="Normal 3 2" xfId="86"/>
    <cellStyle name="Normal 3_BLANC2_TA_saisie_transport_2013 V14 (version 1)" xfId="87"/>
    <cellStyle name="Normal 4" xfId="88"/>
    <cellStyle name="Note 2" xfId="89"/>
    <cellStyle name="Output 2" xfId="90"/>
    <cellStyle name="Percent 2" xfId="91"/>
    <cellStyle name="Percent 2 2" xfId="92"/>
    <cellStyle name="Percent 2 2 2" xfId="93"/>
    <cellStyle name="Percent 2 3" xfId="94"/>
    <cellStyle name="Percent 3" xfId="95"/>
    <cellStyle name="Percent 4" xfId="96"/>
    <cellStyle name="Pourcentage" xfId="97" builtinId="5"/>
    <cellStyle name="Pourcentage 2" xfId="98"/>
    <cellStyle name="Satisfaisant" xfId="99"/>
    <cellStyle name="Sortie" xfId="100"/>
    <cellStyle name="Texte explicatif" xfId="101"/>
    <cellStyle name="Title 2" xfId="102"/>
    <cellStyle name="Titre" xfId="103"/>
    <cellStyle name="Titre 1" xfId="104"/>
    <cellStyle name="Titre 2" xfId="105"/>
    <cellStyle name="Titre 3" xfId="106"/>
    <cellStyle name="Titre 4" xfId="107"/>
    <cellStyle name="Total 2" xfId="108"/>
    <cellStyle name="Vérification" xfId="109"/>
    <cellStyle name="Warning Text 2" xfId="110"/>
  </cellStyles>
  <dxfs count="67">
    <dxf>
      <font>
        <color theme="0" tint="-0.24994659260841701"/>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strike val="0"/>
        <outline val="0"/>
        <shadow val="0"/>
        <u val="none"/>
        <vertAlign val="baseline"/>
        <sz val="20"/>
        <color theme="1"/>
        <name val="Calibri"/>
        <scheme val="minor"/>
      </font>
      <alignment horizontal="center" vertical="center" textRotation="0" wrapText="1" indent="0" justifyLastLine="0" shrinkToFit="0" readingOrder="0"/>
      <border diagonalUp="0" diagonalDown="0">
        <left style="double">
          <color theme="0"/>
        </left>
        <right/>
        <top style="double">
          <color theme="0"/>
        </top>
        <bottom style="double">
          <color theme="0"/>
        </bottom>
      </border>
    </dxf>
    <dxf>
      <font>
        <b val="0"/>
        <strike val="0"/>
        <outline val="0"/>
        <shadow val="0"/>
        <u val="none"/>
        <vertAlign val="baseline"/>
        <sz val="20"/>
        <color theme="1"/>
        <name val="Calibri"/>
        <scheme val="minor"/>
      </font>
      <alignment horizontal="center" vertical="center" textRotation="0" wrapText="1" indent="0" justifyLastLine="0" shrinkToFit="0" readingOrder="0"/>
      <border diagonalUp="0" diagonalDown="0">
        <left style="double">
          <color theme="0"/>
        </left>
        <right style="double">
          <color theme="0"/>
        </right>
        <top style="double">
          <color theme="0"/>
        </top>
        <bottom style="double">
          <color theme="0"/>
        </bottom>
      </border>
    </dxf>
    <dxf>
      <font>
        <b/>
        <strike val="0"/>
        <outline val="0"/>
        <shadow val="0"/>
        <u val="none"/>
        <vertAlign val="baseline"/>
        <sz val="12"/>
        <color theme="1"/>
        <name val="Calibri"/>
        <scheme val="minor"/>
      </font>
      <alignment horizontal="general" vertical="top" textRotation="0" wrapText="1" indent="0" justifyLastLine="0" shrinkToFit="0" readingOrder="0"/>
      <border diagonalUp="0" diagonalDown="0">
        <left/>
        <right style="double">
          <color theme="0"/>
        </right>
        <top style="double">
          <color theme="0"/>
        </top>
        <bottom style="double">
          <color theme="0"/>
        </bottom>
      </border>
    </dxf>
    <dxf>
      <alignment horizontal="general" vertical="top" textRotation="0" wrapText="1" indent="0" justifyLastLine="0" shrinkToFit="0" readingOrder="0"/>
    </dxf>
    <dxf>
      <font>
        <b/>
        <strike val="0"/>
        <outline val="0"/>
        <shadow val="0"/>
        <u val="none"/>
        <vertAlign val="baseline"/>
        <sz val="12"/>
        <color theme="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 Id="rId30" Type="http://schemas.openxmlformats.org/officeDocument/2006/relationships/customXml" Target="../customXml/item4.xml"/></Relationships>
</file>

<file path=xl/ctrlProps/ctrlProp1.xml><?xml version="1.0" encoding="utf-8"?>
<formControlPr xmlns="http://schemas.microsoft.com/office/spreadsheetml/2009/9/main" objectType="CheckBox" fmlaLink="$H$44" lockText="1" noThreeD="1"/>
</file>

<file path=xl/ctrlProps/ctrlProp10.xml><?xml version="1.0" encoding="utf-8"?>
<formControlPr xmlns="http://schemas.microsoft.com/office/spreadsheetml/2009/9/main" objectType="CheckBox" fmlaLink="$I$46" lockText="1" noThreeD="1"/>
</file>

<file path=xl/ctrlProps/ctrlProp100.xml><?xml version="1.0" encoding="utf-8"?>
<formControlPr xmlns="http://schemas.microsoft.com/office/spreadsheetml/2009/9/main" objectType="CheckBox" fmlaLink="RÉSUMÉ!$AP$18" lockText="1" noThreeD="1"/>
</file>

<file path=xl/ctrlProps/ctrlProp101.xml><?xml version="1.0" encoding="utf-8"?>
<formControlPr xmlns="http://schemas.microsoft.com/office/spreadsheetml/2009/9/main" objectType="CheckBox" fmlaLink="RÉSUMÉ!$AQ$18" lockText="1" noThreeD="1"/>
</file>

<file path=xl/ctrlProps/ctrlProp102.xml><?xml version="1.0" encoding="utf-8"?>
<formControlPr xmlns="http://schemas.microsoft.com/office/spreadsheetml/2009/9/main" objectType="CheckBox" fmlaLink="RÉSUMÉ!$AR$18" lockText="1" noThreeD="1"/>
</file>

<file path=xl/ctrlProps/ctrlProp103.xml><?xml version="1.0" encoding="utf-8"?>
<formControlPr xmlns="http://schemas.microsoft.com/office/spreadsheetml/2009/9/main" objectType="CheckBox" fmlaLink="RÉSUMÉ!$AN$19" lockText="1" noThreeD="1"/>
</file>

<file path=xl/ctrlProps/ctrlProp104.xml><?xml version="1.0" encoding="utf-8"?>
<formControlPr xmlns="http://schemas.microsoft.com/office/spreadsheetml/2009/9/main" objectType="CheckBox" fmlaLink="RÉSUMÉ!$AO$19" lockText="1" noThreeD="1"/>
</file>

<file path=xl/ctrlProps/ctrlProp105.xml><?xml version="1.0" encoding="utf-8"?>
<formControlPr xmlns="http://schemas.microsoft.com/office/spreadsheetml/2009/9/main" objectType="CheckBox" fmlaLink="RÉSUMÉ!$AP$19" lockText="1" noThreeD="1"/>
</file>

<file path=xl/ctrlProps/ctrlProp106.xml><?xml version="1.0" encoding="utf-8"?>
<formControlPr xmlns="http://schemas.microsoft.com/office/spreadsheetml/2009/9/main" objectType="CheckBox" fmlaLink="RÉSUMÉ!$AQ$19" lockText="1" noThreeD="1"/>
</file>

<file path=xl/ctrlProps/ctrlProp107.xml><?xml version="1.0" encoding="utf-8"?>
<formControlPr xmlns="http://schemas.microsoft.com/office/spreadsheetml/2009/9/main" objectType="CheckBox" fmlaLink="RÉSUMÉ!$AR$19" lockText="1" noThreeD="1"/>
</file>

<file path=xl/ctrlProps/ctrlProp108.xml><?xml version="1.0" encoding="utf-8"?>
<formControlPr xmlns="http://schemas.microsoft.com/office/spreadsheetml/2009/9/main" objectType="CheckBox" fmlaLink="RÉSUMÉ!$AN$20" lockText="1" noThreeD="1"/>
</file>

<file path=xl/ctrlProps/ctrlProp109.xml><?xml version="1.0" encoding="utf-8"?>
<formControlPr xmlns="http://schemas.microsoft.com/office/spreadsheetml/2009/9/main" objectType="CheckBox" fmlaLink="RÉSUMÉ!$AO$20" lockText="1" noThreeD="1"/>
</file>

<file path=xl/ctrlProps/ctrlProp11.xml><?xml version="1.0" encoding="utf-8"?>
<formControlPr xmlns="http://schemas.microsoft.com/office/spreadsheetml/2009/9/main" objectType="CheckBox" fmlaLink="$J$46" lockText="1" noThreeD="1"/>
</file>

<file path=xl/ctrlProps/ctrlProp110.xml><?xml version="1.0" encoding="utf-8"?>
<formControlPr xmlns="http://schemas.microsoft.com/office/spreadsheetml/2009/9/main" objectType="CheckBox" fmlaLink="RÉSUMÉ!$AP$20" lockText="1" noThreeD="1"/>
</file>

<file path=xl/ctrlProps/ctrlProp111.xml><?xml version="1.0" encoding="utf-8"?>
<formControlPr xmlns="http://schemas.microsoft.com/office/spreadsheetml/2009/9/main" objectType="CheckBox" fmlaLink="RÉSUMÉ!$AQ$20" lockText="1" noThreeD="1"/>
</file>

<file path=xl/ctrlProps/ctrlProp112.xml><?xml version="1.0" encoding="utf-8"?>
<formControlPr xmlns="http://schemas.microsoft.com/office/spreadsheetml/2009/9/main" objectType="CheckBox" fmlaLink="RÉSUMÉ!$AR$20" lockText="1" noThreeD="1"/>
</file>

<file path=xl/ctrlProps/ctrlProp113.xml><?xml version="1.0" encoding="utf-8"?>
<formControlPr xmlns="http://schemas.microsoft.com/office/spreadsheetml/2009/9/main" objectType="CheckBox" fmlaLink="RÉSUMÉ!$AN$21" lockText="1" noThreeD="1"/>
</file>

<file path=xl/ctrlProps/ctrlProp114.xml><?xml version="1.0" encoding="utf-8"?>
<formControlPr xmlns="http://schemas.microsoft.com/office/spreadsheetml/2009/9/main" objectType="CheckBox" fmlaLink="RÉSUMÉ!$AO$21" lockText="1" noThreeD="1"/>
</file>

<file path=xl/ctrlProps/ctrlProp115.xml><?xml version="1.0" encoding="utf-8"?>
<formControlPr xmlns="http://schemas.microsoft.com/office/spreadsheetml/2009/9/main" objectType="CheckBox" fmlaLink="RÉSUMÉ!$AP$21" lockText="1" noThreeD="1"/>
</file>

<file path=xl/ctrlProps/ctrlProp116.xml><?xml version="1.0" encoding="utf-8"?>
<formControlPr xmlns="http://schemas.microsoft.com/office/spreadsheetml/2009/9/main" objectType="CheckBox" fmlaLink="RÉSUMÉ!$AQ$21" lockText="1" noThreeD="1"/>
</file>

<file path=xl/ctrlProps/ctrlProp117.xml><?xml version="1.0" encoding="utf-8"?>
<formControlPr xmlns="http://schemas.microsoft.com/office/spreadsheetml/2009/9/main" objectType="CheckBox" fmlaLink="RÉSUMÉ!$AR$21" lockText="1" noThreeD="1"/>
</file>

<file path=xl/ctrlProps/ctrlProp12.xml><?xml version="1.0" encoding="utf-8"?>
<formControlPr xmlns="http://schemas.microsoft.com/office/spreadsheetml/2009/9/main" objectType="CheckBox" fmlaLink="$K$46" lockText="1" noThreeD="1"/>
</file>

<file path=xl/ctrlProps/ctrlProp13.xml><?xml version="1.0" encoding="utf-8"?>
<formControlPr xmlns="http://schemas.microsoft.com/office/spreadsheetml/2009/9/main" objectType="CheckBox" fmlaLink="$H$47" lockText="1" noThreeD="1"/>
</file>

<file path=xl/ctrlProps/ctrlProp14.xml><?xml version="1.0" encoding="utf-8"?>
<formControlPr xmlns="http://schemas.microsoft.com/office/spreadsheetml/2009/9/main" objectType="CheckBox" fmlaLink="$I$47" lockText="1" noThreeD="1"/>
</file>

<file path=xl/ctrlProps/ctrlProp15.xml><?xml version="1.0" encoding="utf-8"?>
<formControlPr xmlns="http://schemas.microsoft.com/office/spreadsheetml/2009/9/main" objectType="CheckBox" fmlaLink="$J$47" lockText="1" noThreeD="1"/>
</file>

<file path=xl/ctrlProps/ctrlProp16.xml><?xml version="1.0" encoding="utf-8"?>
<formControlPr xmlns="http://schemas.microsoft.com/office/spreadsheetml/2009/9/main" objectType="CheckBox" fmlaLink="$K$47" lockText="1" noThreeD="1"/>
</file>

<file path=xl/ctrlProps/ctrlProp17.xml><?xml version="1.0" encoding="utf-8"?>
<formControlPr xmlns="http://schemas.microsoft.com/office/spreadsheetml/2009/9/main" objectType="CheckBox" fmlaLink="$H$48" lockText="1" noThreeD="1"/>
</file>

<file path=xl/ctrlProps/ctrlProp18.xml><?xml version="1.0" encoding="utf-8"?>
<formControlPr xmlns="http://schemas.microsoft.com/office/spreadsheetml/2009/9/main" objectType="CheckBox" fmlaLink="$I$48" lockText="1" noThreeD="1"/>
</file>

<file path=xl/ctrlProps/ctrlProp19.xml><?xml version="1.0" encoding="utf-8"?>
<formControlPr xmlns="http://schemas.microsoft.com/office/spreadsheetml/2009/9/main" objectType="CheckBox" fmlaLink="$J$48" lockText="1" noThreeD="1"/>
</file>

<file path=xl/ctrlProps/ctrlProp2.xml><?xml version="1.0" encoding="utf-8"?>
<formControlPr xmlns="http://schemas.microsoft.com/office/spreadsheetml/2009/9/main" objectType="CheckBox" fmlaLink="$I$44" lockText="1" noThreeD="1"/>
</file>

<file path=xl/ctrlProps/ctrlProp20.xml><?xml version="1.0" encoding="utf-8"?>
<formControlPr xmlns="http://schemas.microsoft.com/office/spreadsheetml/2009/9/main" objectType="CheckBox" fmlaLink="$K$48" lockText="1" noThreeD="1"/>
</file>

<file path=xl/ctrlProps/ctrlProp21.xml><?xml version="1.0" encoding="utf-8"?>
<formControlPr xmlns="http://schemas.microsoft.com/office/spreadsheetml/2009/9/main" objectType="CheckBox" fmlaLink="$H$49" lockText="1" noThreeD="1"/>
</file>

<file path=xl/ctrlProps/ctrlProp22.xml><?xml version="1.0" encoding="utf-8"?>
<formControlPr xmlns="http://schemas.microsoft.com/office/spreadsheetml/2009/9/main" objectType="CheckBox" fmlaLink="$I$49" lockText="1" noThreeD="1"/>
</file>

<file path=xl/ctrlProps/ctrlProp23.xml><?xml version="1.0" encoding="utf-8"?>
<formControlPr xmlns="http://schemas.microsoft.com/office/spreadsheetml/2009/9/main" objectType="CheckBox" fmlaLink="$J$49" lockText="1" noThreeD="1"/>
</file>

<file path=xl/ctrlProps/ctrlProp24.xml><?xml version="1.0" encoding="utf-8"?>
<formControlPr xmlns="http://schemas.microsoft.com/office/spreadsheetml/2009/9/main" objectType="CheckBox" fmlaLink="$K$49" lockText="1" noThreeD="1"/>
</file>

<file path=xl/ctrlProps/ctrlProp25.xml><?xml version="1.0" encoding="utf-8"?>
<formControlPr xmlns="http://schemas.microsoft.com/office/spreadsheetml/2009/9/main" objectType="CheckBox" fmlaLink="$H$50" lockText="1" noThreeD="1"/>
</file>

<file path=xl/ctrlProps/ctrlProp26.xml><?xml version="1.0" encoding="utf-8"?>
<formControlPr xmlns="http://schemas.microsoft.com/office/spreadsheetml/2009/9/main" objectType="CheckBox" fmlaLink="$I$50" lockText="1" noThreeD="1"/>
</file>

<file path=xl/ctrlProps/ctrlProp27.xml><?xml version="1.0" encoding="utf-8"?>
<formControlPr xmlns="http://schemas.microsoft.com/office/spreadsheetml/2009/9/main" objectType="CheckBox" fmlaLink="$J$50" lockText="1" noThreeD="1"/>
</file>

<file path=xl/ctrlProps/ctrlProp28.xml><?xml version="1.0" encoding="utf-8"?>
<formControlPr xmlns="http://schemas.microsoft.com/office/spreadsheetml/2009/9/main" objectType="CheckBox" fmlaLink="$K$50" lockText="1" noThreeD="1"/>
</file>

<file path=xl/ctrlProps/ctrlProp29.xml><?xml version="1.0" encoding="utf-8"?>
<formControlPr xmlns="http://schemas.microsoft.com/office/spreadsheetml/2009/9/main" objectType="CheckBox" fmlaLink="$H$51" lockText="1" noThreeD="1"/>
</file>

<file path=xl/ctrlProps/ctrlProp3.xml><?xml version="1.0" encoding="utf-8"?>
<formControlPr xmlns="http://schemas.microsoft.com/office/spreadsheetml/2009/9/main" objectType="CheckBox" fmlaLink="$J$44" lockText="1" noThreeD="1"/>
</file>

<file path=xl/ctrlProps/ctrlProp30.xml><?xml version="1.0" encoding="utf-8"?>
<formControlPr xmlns="http://schemas.microsoft.com/office/spreadsheetml/2009/9/main" objectType="CheckBox" fmlaLink="$I$51" lockText="1" noThreeD="1"/>
</file>

<file path=xl/ctrlProps/ctrlProp31.xml><?xml version="1.0" encoding="utf-8"?>
<formControlPr xmlns="http://schemas.microsoft.com/office/spreadsheetml/2009/9/main" objectType="CheckBox" fmlaLink="$J$51" lockText="1" noThreeD="1"/>
</file>

<file path=xl/ctrlProps/ctrlProp32.xml><?xml version="1.0" encoding="utf-8"?>
<formControlPr xmlns="http://schemas.microsoft.com/office/spreadsheetml/2009/9/main" objectType="CheckBox" fmlaLink="$K$51" lockText="1" noThreeD="1"/>
</file>

<file path=xl/ctrlProps/ctrlProp33.xml><?xml version="1.0" encoding="utf-8"?>
<formControlPr xmlns="http://schemas.microsoft.com/office/spreadsheetml/2009/9/main" objectType="CheckBox" fmlaLink="$H$52" lockText="1" noThreeD="1"/>
</file>

<file path=xl/ctrlProps/ctrlProp34.xml><?xml version="1.0" encoding="utf-8"?>
<formControlPr xmlns="http://schemas.microsoft.com/office/spreadsheetml/2009/9/main" objectType="CheckBox" fmlaLink="$I$52" lockText="1" noThreeD="1"/>
</file>

<file path=xl/ctrlProps/ctrlProp35.xml><?xml version="1.0" encoding="utf-8"?>
<formControlPr xmlns="http://schemas.microsoft.com/office/spreadsheetml/2009/9/main" objectType="CheckBox" fmlaLink="$J$52" lockText="1" noThreeD="1"/>
</file>

<file path=xl/ctrlProps/ctrlProp36.xml><?xml version="1.0" encoding="utf-8"?>
<formControlPr xmlns="http://schemas.microsoft.com/office/spreadsheetml/2009/9/main" objectType="CheckBox" fmlaLink="$K$52" lockText="1" noThreeD="1"/>
</file>

<file path=xl/ctrlProps/ctrlProp37.xml><?xml version="1.0" encoding="utf-8"?>
<formControlPr xmlns="http://schemas.microsoft.com/office/spreadsheetml/2009/9/main" objectType="CheckBox" fmlaLink="$H$53" lockText="1" noThreeD="1"/>
</file>

<file path=xl/ctrlProps/ctrlProp38.xml><?xml version="1.0" encoding="utf-8"?>
<formControlPr xmlns="http://schemas.microsoft.com/office/spreadsheetml/2009/9/main" objectType="CheckBox" fmlaLink="$I$53" lockText="1" noThreeD="1"/>
</file>

<file path=xl/ctrlProps/ctrlProp39.xml><?xml version="1.0" encoding="utf-8"?>
<formControlPr xmlns="http://schemas.microsoft.com/office/spreadsheetml/2009/9/main" objectType="CheckBox" fmlaLink="$J$53" lockText="1" noThreeD="1"/>
</file>

<file path=xl/ctrlProps/ctrlProp4.xml><?xml version="1.0" encoding="utf-8"?>
<formControlPr xmlns="http://schemas.microsoft.com/office/spreadsheetml/2009/9/main" objectType="CheckBox" fmlaLink="$K$44" lockText="1" noThreeD="1"/>
</file>

<file path=xl/ctrlProps/ctrlProp40.xml><?xml version="1.0" encoding="utf-8"?>
<formControlPr xmlns="http://schemas.microsoft.com/office/spreadsheetml/2009/9/main" objectType="CheckBox" fmlaLink="$K$53" lockText="1" noThreeD="1"/>
</file>

<file path=xl/ctrlProps/ctrlProp41.xml><?xml version="1.0" encoding="utf-8"?>
<formControlPr xmlns="http://schemas.microsoft.com/office/spreadsheetml/2009/9/main" objectType="CheckBox" fmlaLink="$N$44" lockText="1" noThreeD="1"/>
</file>

<file path=xl/ctrlProps/ctrlProp42.xml><?xml version="1.0" encoding="utf-8"?>
<formControlPr xmlns="http://schemas.microsoft.com/office/spreadsheetml/2009/9/main" objectType="CheckBox" fmlaLink="$O$44" lockText="1" noThreeD="1"/>
</file>

<file path=xl/ctrlProps/ctrlProp43.xml><?xml version="1.0" encoding="utf-8"?>
<formControlPr xmlns="http://schemas.microsoft.com/office/spreadsheetml/2009/9/main" objectType="CheckBox" fmlaLink="$N$45" lockText="1" noThreeD="1"/>
</file>

<file path=xl/ctrlProps/ctrlProp44.xml><?xml version="1.0" encoding="utf-8"?>
<formControlPr xmlns="http://schemas.microsoft.com/office/spreadsheetml/2009/9/main" objectType="CheckBox" fmlaLink="$O$45" lockText="1" noThreeD="1"/>
</file>

<file path=xl/ctrlProps/ctrlProp45.xml><?xml version="1.0" encoding="utf-8"?>
<formControlPr xmlns="http://schemas.microsoft.com/office/spreadsheetml/2009/9/main" objectType="CheckBox" fmlaLink="$N$46" lockText="1" noThreeD="1"/>
</file>

<file path=xl/ctrlProps/ctrlProp46.xml><?xml version="1.0" encoding="utf-8"?>
<formControlPr xmlns="http://schemas.microsoft.com/office/spreadsheetml/2009/9/main" objectType="CheckBox" fmlaLink="$O$46" lockText="1" noThreeD="1"/>
</file>

<file path=xl/ctrlProps/ctrlProp47.xml><?xml version="1.0" encoding="utf-8"?>
<formControlPr xmlns="http://schemas.microsoft.com/office/spreadsheetml/2009/9/main" objectType="CheckBox" fmlaLink="$N$47" lockText="1" noThreeD="1"/>
</file>

<file path=xl/ctrlProps/ctrlProp48.xml><?xml version="1.0" encoding="utf-8"?>
<formControlPr xmlns="http://schemas.microsoft.com/office/spreadsheetml/2009/9/main" objectType="CheckBox" fmlaLink="$O$47" lockText="1" noThreeD="1"/>
</file>

<file path=xl/ctrlProps/ctrlProp49.xml><?xml version="1.0" encoding="utf-8"?>
<formControlPr xmlns="http://schemas.microsoft.com/office/spreadsheetml/2009/9/main" objectType="CheckBox" fmlaLink="$N$48" lockText="1" noThreeD="1"/>
</file>

<file path=xl/ctrlProps/ctrlProp5.xml><?xml version="1.0" encoding="utf-8"?>
<formControlPr xmlns="http://schemas.microsoft.com/office/spreadsheetml/2009/9/main" objectType="CheckBox" fmlaLink="$H$45" lockText="1" noThreeD="1"/>
</file>

<file path=xl/ctrlProps/ctrlProp50.xml><?xml version="1.0" encoding="utf-8"?>
<formControlPr xmlns="http://schemas.microsoft.com/office/spreadsheetml/2009/9/main" objectType="CheckBox" fmlaLink="$O$48" lockText="1" noThreeD="1"/>
</file>

<file path=xl/ctrlProps/ctrlProp51.xml><?xml version="1.0" encoding="utf-8"?>
<formControlPr xmlns="http://schemas.microsoft.com/office/spreadsheetml/2009/9/main" objectType="CheckBox" fmlaLink="$N$49" lockText="1" noThreeD="1"/>
</file>

<file path=xl/ctrlProps/ctrlProp52.xml><?xml version="1.0" encoding="utf-8"?>
<formControlPr xmlns="http://schemas.microsoft.com/office/spreadsheetml/2009/9/main" objectType="CheckBox" fmlaLink="$O$49" lockText="1" noThreeD="1"/>
</file>

<file path=xl/ctrlProps/ctrlProp53.xml><?xml version="1.0" encoding="utf-8"?>
<formControlPr xmlns="http://schemas.microsoft.com/office/spreadsheetml/2009/9/main" objectType="CheckBox" fmlaLink="$N$50" lockText="1" noThreeD="1"/>
</file>

<file path=xl/ctrlProps/ctrlProp54.xml><?xml version="1.0" encoding="utf-8"?>
<formControlPr xmlns="http://schemas.microsoft.com/office/spreadsheetml/2009/9/main" objectType="CheckBox" fmlaLink="$O$50" lockText="1" noThreeD="1"/>
</file>

<file path=xl/ctrlProps/ctrlProp55.xml><?xml version="1.0" encoding="utf-8"?>
<formControlPr xmlns="http://schemas.microsoft.com/office/spreadsheetml/2009/9/main" objectType="CheckBox" fmlaLink="$N$51" lockText="1" noThreeD="1"/>
</file>

<file path=xl/ctrlProps/ctrlProp56.xml><?xml version="1.0" encoding="utf-8"?>
<formControlPr xmlns="http://schemas.microsoft.com/office/spreadsheetml/2009/9/main" objectType="CheckBox" fmlaLink="$O$51" lockText="1" noThreeD="1"/>
</file>

<file path=xl/ctrlProps/ctrlProp57.xml><?xml version="1.0" encoding="utf-8"?>
<formControlPr xmlns="http://schemas.microsoft.com/office/spreadsheetml/2009/9/main" objectType="CheckBox" fmlaLink="$N$52" lockText="1" noThreeD="1"/>
</file>

<file path=xl/ctrlProps/ctrlProp58.xml><?xml version="1.0" encoding="utf-8"?>
<formControlPr xmlns="http://schemas.microsoft.com/office/spreadsheetml/2009/9/main" objectType="CheckBox" fmlaLink="$O$52" lockText="1" noThreeD="1"/>
</file>

<file path=xl/ctrlProps/ctrlProp59.xml><?xml version="1.0" encoding="utf-8"?>
<formControlPr xmlns="http://schemas.microsoft.com/office/spreadsheetml/2009/9/main" objectType="CheckBox" fmlaLink="$N$53" lockText="1" noThreeD="1"/>
</file>

<file path=xl/ctrlProps/ctrlProp6.xml><?xml version="1.0" encoding="utf-8"?>
<formControlPr xmlns="http://schemas.microsoft.com/office/spreadsheetml/2009/9/main" objectType="CheckBox" fmlaLink="$I$45" lockText="1" noThreeD="1"/>
</file>

<file path=xl/ctrlProps/ctrlProp60.xml><?xml version="1.0" encoding="utf-8"?>
<formControlPr xmlns="http://schemas.microsoft.com/office/spreadsheetml/2009/9/main" objectType="CheckBox" fmlaLink="$O$53" lockText="1" noThreeD="1"/>
</file>

<file path=xl/ctrlProps/ctrlProp61.xml><?xml version="1.0" encoding="utf-8"?>
<formControlPr xmlns="http://schemas.microsoft.com/office/spreadsheetml/2009/9/main" objectType="CheckBox" fmlaLink="$L$44" lockText="1" noThreeD="1"/>
</file>

<file path=xl/ctrlProps/ctrlProp62.xml><?xml version="1.0" encoding="utf-8"?>
<formControlPr xmlns="http://schemas.microsoft.com/office/spreadsheetml/2009/9/main" objectType="CheckBox" fmlaLink="$L$45" lockText="1" noThreeD="1"/>
</file>

<file path=xl/ctrlProps/ctrlProp63.xml><?xml version="1.0" encoding="utf-8"?>
<formControlPr xmlns="http://schemas.microsoft.com/office/spreadsheetml/2009/9/main" objectType="CheckBox" fmlaLink="$L$46" lockText="1" noThreeD="1"/>
</file>

<file path=xl/ctrlProps/ctrlProp64.xml><?xml version="1.0" encoding="utf-8"?>
<formControlPr xmlns="http://schemas.microsoft.com/office/spreadsheetml/2009/9/main" objectType="CheckBox" fmlaLink="$L$47" lockText="1" noThreeD="1"/>
</file>

<file path=xl/ctrlProps/ctrlProp65.xml><?xml version="1.0" encoding="utf-8"?>
<formControlPr xmlns="http://schemas.microsoft.com/office/spreadsheetml/2009/9/main" objectType="CheckBox" fmlaLink="$L$48" lockText="1" noThreeD="1"/>
</file>

<file path=xl/ctrlProps/ctrlProp66.xml><?xml version="1.0" encoding="utf-8"?>
<formControlPr xmlns="http://schemas.microsoft.com/office/spreadsheetml/2009/9/main" objectType="CheckBox" fmlaLink="$L$49" lockText="1" noThreeD="1"/>
</file>

<file path=xl/ctrlProps/ctrlProp67.xml><?xml version="1.0" encoding="utf-8"?>
<formControlPr xmlns="http://schemas.microsoft.com/office/spreadsheetml/2009/9/main" objectType="CheckBox" fmlaLink="$L$50" lockText="1" noThreeD="1"/>
</file>

<file path=xl/ctrlProps/ctrlProp68.xml><?xml version="1.0" encoding="utf-8"?>
<formControlPr xmlns="http://schemas.microsoft.com/office/spreadsheetml/2009/9/main" objectType="CheckBox" fmlaLink="$L$51" lockText="1" noThreeD="1"/>
</file>

<file path=xl/ctrlProps/ctrlProp69.xml><?xml version="1.0" encoding="utf-8"?>
<formControlPr xmlns="http://schemas.microsoft.com/office/spreadsheetml/2009/9/main" objectType="CheckBox" fmlaLink="$L$52" lockText="1" noThreeD="1"/>
</file>

<file path=xl/ctrlProps/ctrlProp7.xml><?xml version="1.0" encoding="utf-8"?>
<formControlPr xmlns="http://schemas.microsoft.com/office/spreadsheetml/2009/9/main" objectType="CheckBox" fmlaLink="$J$45" lockText="1" noThreeD="1"/>
</file>

<file path=xl/ctrlProps/ctrlProp70.xml><?xml version="1.0" encoding="utf-8"?>
<formControlPr xmlns="http://schemas.microsoft.com/office/spreadsheetml/2009/9/main" objectType="CheckBox" fmlaLink="$L$53" lockText="1" noThreeD="1"/>
</file>

<file path=xl/ctrlProps/ctrlProp71.xml><?xml version="1.0" encoding="utf-8"?>
<formControlPr xmlns="http://schemas.microsoft.com/office/spreadsheetml/2009/9/main" objectType="CheckBox" fmlaLink="$M$44" lockText="1" noThreeD="1"/>
</file>

<file path=xl/ctrlProps/ctrlProp72.xml><?xml version="1.0" encoding="utf-8"?>
<formControlPr xmlns="http://schemas.microsoft.com/office/spreadsheetml/2009/9/main" objectType="CheckBox" fmlaLink="$M$45" lockText="1" noThreeD="1"/>
</file>

<file path=xl/ctrlProps/ctrlProp73.xml><?xml version="1.0" encoding="utf-8"?>
<formControlPr xmlns="http://schemas.microsoft.com/office/spreadsheetml/2009/9/main" objectType="CheckBox" fmlaLink="$M$46" lockText="1" noThreeD="1"/>
</file>

<file path=xl/ctrlProps/ctrlProp74.xml><?xml version="1.0" encoding="utf-8"?>
<formControlPr xmlns="http://schemas.microsoft.com/office/spreadsheetml/2009/9/main" objectType="CheckBox" fmlaLink="$M$47" lockText="1" noThreeD="1"/>
</file>

<file path=xl/ctrlProps/ctrlProp75.xml><?xml version="1.0" encoding="utf-8"?>
<formControlPr xmlns="http://schemas.microsoft.com/office/spreadsheetml/2009/9/main" objectType="CheckBox" fmlaLink="$M$48" lockText="1" noThreeD="1"/>
</file>

<file path=xl/ctrlProps/ctrlProp76.xml><?xml version="1.0" encoding="utf-8"?>
<formControlPr xmlns="http://schemas.microsoft.com/office/spreadsheetml/2009/9/main" objectType="CheckBox" fmlaLink="$M$49" lockText="1" noThreeD="1"/>
</file>

<file path=xl/ctrlProps/ctrlProp77.xml><?xml version="1.0" encoding="utf-8"?>
<formControlPr xmlns="http://schemas.microsoft.com/office/spreadsheetml/2009/9/main" objectType="CheckBox" fmlaLink="$M$50" lockText="1" noThreeD="1"/>
</file>

<file path=xl/ctrlProps/ctrlProp78.xml><?xml version="1.0" encoding="utf-8"?>
<formControlPr xmlns="http://schemas.microsoft.com/office/spreadsheetml/2009/9/main" objectType="CheckBox" fmlaLink="$M$51" lockText="1" noThreeD="1"/>
</file>

<file path=xl/ctrlProps/ctrlProp79.xml><?xml version="1.0" encoding="utf-8"?>
<formControlPr xmlns="http://schemas.microsoft.com/office/spreadsheetml/2009/9/main" objectType="CheckBox" fmlaLink="$M$52" lockText="1" noThreeD="1"/>
</file>

<file path=xl/ctrlProps/ctrlProp8.xml><?xml version="1.0" encoding="utf-8"?>
<formControlPr xmlns="http://schemas.microsoft.com/office/spreadsheetml/2009/9/main" objectType="CheckBox" fmlaLink="$K$45" lockText="1" noThreeD="1"/>
</file>

<file path=xl/ctrlProps/ctrlProp80.xml><?xml version="1.0" encoding="utf-8"?>
<formControlPr xmlns="http://schemas.microsoft.com/office/spreadsheetml/2009/9/main" objectType="CheckBox" fmlaLink="$M$53" lockText="1" noThreeD="1"/>
</file>

<file path=xl/ctrlProps/ctrlProp81.xml><?xml version="1.0" encoding="utf-8"?>
<formControlPr xmlns="http://schemas.microsoft.com/office/spreadsheetml/2009/9/main" objectType="Radio" firstButton="1" fmlaLink="B27" lockText="1" noThreeD="1"/>
</file>

<file path=xl/ctrlProps/ctrlProp82.xml><?xml version="1.0" encoding="utf-8"?>
<formControlPr xmlns="http://schemas.microsoft.com/office/spreadsheetml/2009/9/main" objectType="Radio" checked="Checked" lockText="1" noThreeD="1"/>
</file>

<file path=xl/ctrlProps/ctrlProp83.xml><?xml version="1.0" encoding="utf-8"?>
<formControlPr xmlns="http://schemas.microsoft.com/office/spreadsheetml/2009/9/main" objectType="CheckBox" fmlaLink="RÉSUMÉ!$AN$17" lockText="1" noThreeD="1"/>
</file>

<file path=xl/ctrlProps/ctrlProp84.xml><?xml version="1.0" encoding="utf-8"?>
<formControlPr xmlns="http://schemas.microsoft.com/office/spreadsheetml/2009/9/main" objectType="CheckBox" fmlaLink="RÉSUMÉ!$AO$17" lockText="1" noThreeD="1"/>
</file>

<file path=xl/ctrlProps/ctrlProp85.xml><?xml version="1.0" encoding="utf-8"?>
<formControlPr xmlns="http://schemas.microsoft.com/office/spreadsheetml/2009/9/main" objectType="CheckBox" fmlaLink="RÉSUMÉ!$AP$17" lockText="1" noThreeD="1"/>
</file>

<file path=xl/ctrlProps/ctrlProp86.xml><?xml version="1.0" encoding="utf-8"?>
<formControlPr xmlns="http://schemas.microsoft.com/office/spreadsheetml/2009/9/main" objectType="CheckBox" fmlaLink="RÉSUMÉ!$AQ$17" lockText="1" noThreeD="1"/>
</file>

<file path=xl/ctrlProps/ctrlProp87.xml><?xml version="1.0" encoding="utf-8"?>
<formControlPr xmlns="http://schemas.microsoft.com/office/spreadsheetml/2009/9/main" objectType="CheckBox" fmlaLink="RÉSUMÉ!$AR$17" lockText="1" noThreeD="1"/>
</file>

<file path=xl/ctrlProps/ctrlProp88.xml><?xml version="1.0" encoding="utf-8"?>
<formControlPr xmlns="http://schemas.microsoft.com/office/spreadsheetml/2009/9/main" objectType="CheckBox" fmlaLink="RÉSUMÉ!$AN$17" lockText="1" noThreeD="1"/>
</file>

<file path=xl/ctrlProps/ctrlProp89.xml><?xml version="1.0" encoding="utf-8"?>
<formControlPr xmlns="http://schemas.microsoft.com/office/spreadsheetml/2009/9/main" objectType="CheckBox" fmlaLink="RÉSUMÉ!$AO$17" lockText="1" noThreeD="1"/>
</file>

<file path=xl/ctrlProps/ctrlProp9.xml><?xml version="1.0" encoding="utf-8"?>
<formControlPr xmlns="http://schemas.microsoft.com/office/spreadsheetml/2009/9/main" objectType="CheckBox" fmlaLink="$H$46" lockText="1" noThreeD="1"/>
</file>

<file path=xl/ctrlProps/ctrlProp90.xml><?xml version="1.0" encoding="utf-8"?>
<formControlPr xmlns="http://schemas.microsoft.com/office/spreadsheetml/2009/9/main" objectType="CheckBox" fmlaLink="RÉSUMÉ!$AP$17" lockText="1" noThreeD="1"/>
</file>

<file path=xl/ctrlProps/ctrlProp91.xml><?xml version="1.0" encoding="utf-8"?>
<formControlPr xmlns="http://schemas.microsoft.com/office/spreadsheetml/2009/9/main" objectType="CheckBox" fmlaLink="RÉSUMÉ!$AQ$17" lockText="1" noThreeD="1"/>
</file>

<file path=xl/ctrlProps/ctrlProp92.xml><?xml version="1.0" encoding="utf-8"?>
<formControlPr xmlns="http://schemas.microsoft.com/office/spreadsheetml/2009/9/main" objectType="CheckBox" fmlaLink="RÉSUMÉ!$AR$17" lockText="1" noThreeD="1"/>
</file>

<file path=xl/ctrlProps/ctrlProp93.xml><?xml version="1.0" encoding="utf-8"?>
<formControlPr xmlns="http://schemas.microsoft.com/office/spreadsheetml/2009/9/main" objectType="CheckBox" fmlaLink="RÉSUMÉ!$AN$17" lockText="1" noThreeD="1"/>
</file>

<file path=xl/ctrlProps/ctrlProp94.xml><?xml version="1.0" encoding="utf-8"?>
<formControlPr xmlns="http://schemas.microsoft.com/office/spreadsheetml/2009/9/main" objectType="CheckBox" fmlaLink="RÉSUMÉ!$AO$17" lockText="1" noThreeD="1"/>
</file>

<file path=xl/ctrlProps/ctrlProp95.xml><?xml version="1.0" encoding="utf-8"?>
<formControlPr xmlns="http://schemas.microsoft.com/office/spreadsheetml/2009/9/main" objectType="CheckBox" fmlaLink="RÉSUMÉ!$AP$17" lockText="1" noThreeD="1"/>
</file>

<file path=xl/ctrlProps/ctrlProp96.xml><?xml version="1.0" encoding="utf-8"?>
<formControlPr xmlns="http://schemas.microsoft.com/office/spreadsheetml/2009/9/main" objectType="CheckBox" fmlaLink="RÉSUMÉ!$AQ$17" lockText="1" noThreeD="1"/>
</file>

<file path=xl/ctrlProps/ctrlProp97.xml><?xml version="1.0" encoding="utf-8"?>
<formControlPr xmlns="http://schemas.microsoft.com/office/spreadsheetml/2009/9/main" objectType="CheckBox" fmlaLink="RÉSUMÉ!$AR$17" lockText="1" noThreeD="1"/>
</file>

<file path=xl/ctrlProps/ctrlProp98.xml><?xml version="1.0" encoding="utf-8"?>
<formControlPr xmlns="http://schemas.microsoft.com/office/spreadsheetml/2009/9/main" objectType="CheckBox" fmlaLink="RÉSUMÉ!$AN$18" lockText="1" noThreeD="1"/>
</file>

<file path=xl/ctrlProps/ctrlProp99.xml><?xml version="1.0" encoding="utf-8"?>
<formControlPr xmlns="http://schemas.microsoft.com/office/spreadsheetml/2009/9/main" objectType="CheckBox" fmlaLink="RÉSUMÉ!$AO$1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514350</xdr:rowOff>
    </xdr:from>
    <xdr:to>
      <xdr:col>0</xdr:col>
      <xdr:colOff>2038350</xdr:colOff>
      <xdr:row>1</xdr:row>
      <xdr:rowOff>914400</xdr:rowOff>
    </xdr:to>
    <xdr:pic>
      <xdr:nvPicPr>
        <xdr:cNvPr id="31035" name="Imag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383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723900</xdr:colOff>
          <xdr:row>27</xdr:row>
          <xdr:rowOff>220980</xdr:rowOff>
        </xdr:from>
        <xdr:to>
          <xdr:col>7</xdr:col>
          <xdr:colOff>487680</xdr:colOff>
          <xdr:row>29</xdr:row>
          <xdr:rowOff>0</xdr:rowOff>
        </xdr:to>
        <xdr:sp macro="" textlink="">
          <xdr:nvSpPr>
            <xdr:cNvPr id="19639" name="Check Box 183" hidden="1">
              <a:extLst>
                <a:ext uri="{63B3BB69-23CF-44E3-9099-C40C66FF867C}">
                  <a14:compatExt spid="_x0000_s19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 La valeur de superficie qui est transmise a TEQ contient des surfaces louées.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723900</xdr:colOff>
          <xdr:row>29</xdr:row>
          <xdr:rowOff>22860</xdr:rowOff>
        </xdr:from>
        <xdr:to>
          <xdr:col>5</xdr:col>
          <xdr:colOff>198120</xdr:colOff>
          <xdr:row>30</xdr:row>
          <xdr:rowOff>7620</xdr:rowOff>
        </xdr:to>
        <xdr:sp macro="" textlink="">
          <xdr:nvSpPr>
            <xdr:cNvPr id="19640" name="Check Box 184" hidden="1">
              <a:extLst>
                <a:ext uri="{63B3BB69-23CF-44E3-9099-C40C66FF867C}">
                  <a14:compatExt spid="_x0000_s19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 Les valeurs de consommation transmises a TEQ proviennent totalement ou en partie de surfaces louées.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723900</xdr:colOff>
          <xdr:row>30</xdr:row>
          <xdr:rowOff>30480</xdr:rowOff>
        </xdr:from>
        <xdr:to>
          <xdr:col>5</xdr:col>
          <xdr:colOff>220980</xdr:colOff>
          <xdr:row>31</xdr:row>
          <xdr:rowOff>22860</xdr:rowOff>
        </xdr:to>
        <xdr:sp macro="" textlink="">
          <xdr:nvSpPr>
            <xdr:cNvPr id="19641" name="Check Box 185" hidden="1">
              <a:extLst>
                <a:ext uri="{63B3BB69-23CF-44E3-9099-C40C66FF867C}">
                  <a14:compatExt spid="_x0000_s19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 Un ou des projets modifiant la superficie de votre parc de bâtiments a été fait lors de l'année de suivi.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723900</xdr:colOff>
          <xdr:row>31</xdr:row>
          <xdr:rowOff>45720</xdr:rowOff>
        </xdr:from>
        <xdr:to>
          <xdr:col>5</xdr:col>
          <xdr:colOff>350520</xdr:colOff>
          <xdr:row>31</xdr:row>
          <xdr:rowOff>198120</xdr:rowOff>
        </xdr:to>
        <xdr:sp macro="" textlink="">
          <xdr:nvSpPr>
            <xdr:cNvPr id="19642" name="Check Box 186" hidden="1">
              <a:extLst>
                <a:ext uri="{63B3BB69-23CF-44E3-9099-C40C66FF867C}">
                  <a14:compatExt spid="_x0000_s19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 Les taxes de ventes sont inclues totalement ou en partie dans le montant dépensé en énergie.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723900</xdr:colOff>
          <xdr:row>32</xdr:row>
          <xdr:rowOff>7620</xdr:rowOff>
        </xdr:from>
        <xdr:to>
          <xdr:col>4</xdr:col>
          <xdr:colOff>922020</xdr:colOff>
          <xdr:row>33</xdr:row>
          <xdr:rowOff>0</xdr:rowOff>
        </xdr:to>
        <xdr:sp macro="" textlink="">
          <xdr:nvSpPr>
            <xdr:cNvPr id="19643" name="Check Box 187" hidden="1">
              <a:extLst>
                <a:ext uri="{63B3BB69-23CF-44E3-9099-C40C66FF867C}">
                  <a14:compatExt spid="_x0000_s19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 Les murs extérieurs sont exclus de la valeur de superficie. </a:t>
              </a:r>
            </a:p>
          </xdr:txBody>
        </xdr:sp>
        <xdr:clientData/>
      </xdr:twoCellAnchor>
    </mc:Choice>
    <mc:Fallback/>
  </mc:AlternateContent>
  <xdr:twoCellAnchor editAs="oneCell">
    <xdr:from>
      <xdr:col>0</xdr:col>
      <xdr:colOff>0</xdr:colOff>
      <xdr:row>0</xdr:row>
      <xdr:rowOff>0</xdr:rowOff>
    </xdr:from>
    <xdr:to>
      <xdr:col>1</xdr:col>
      <xdr:colOff>942975</xdr:colOff>
      <xdr:row>0</xdr:row>
      <xdr:rowOff>914400</xdr:rowOff>
    </xdr:to>
    <xdr:pic>
      <xdr:nvPicPr>
        <xdr:cNvPr id="20463"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478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476250</xdr:colOff>
      <xdr:row>4</xdr:row>
      <xdr:rowOff>161925</xdr:rowOff>
    </xdr:to>
    <xdr:pic>
      <xdr:nvPicPr>
        <xdr:cNvPr id="21487" name="Picture 26" descr="MERN_Nouveau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479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723900</xdr:colOff>
          <xdr:row>27</xdr:row>
          <xdr:rowOff>220980</xdr:rowOff>
        </xdr:from>
        <xdr:to>
          <xdr:col>7</xdr:col>
          <xdr:colOff>259080</xdr:colOff>
          <xdr:row>29</xdr:row>
          <xdr:rowOff>0</xdr:rowOff>
        </xdr:to>
        <xdr:sp macro="" textlink="">
          <xdr:nvSpPr>
            <xdr:cNvPr id="20662" name="Check Box 182" hidden="1">
              <a:extLst>
                <a:ext uri="{63B3BB69-23CF-44E3-9099-C40C66FF867C}">
                  <a14:compatExt spid="_x0000_s20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 La valeur de superficie qui est transmise au BEIE contient des surfaces louées.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723900</xdr:colOff>
          <xdr:row>29</xdr:row>
          <xdr:rowOff>22860</xdr:rowOff>
        </xdr:from>
        <xdr:to>
          <xdr:col>5</xdr:col>
          <xdr:colOff>68580</xdr:colOff>
          <xdr:row>30</xdr:row>
          <xdr:rowOff>7620</xdr:rowOff>
        </xdr:to>
        <xdr:sp macro="" textlink="">
          <xdr:nvSpPr>
            <xdr:cNvPr id="20663" name="Check Box 183" hidden="1">
              <a:extLst>
                <a:ext uri="{63B3BB69-23CF-44E3-9099-C40C66FF867C}">
                  <a14:compatExt spid="_x0000_s20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 Les valeurs de consommation transmises au BEIE proviennent totalement ou en partie de surfaces louées.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723900</xdr:colOff>
          <xdr:row>30</xdr:row>
          <xdr:rowOff>30480</xdr:rowOff>
        </xdr:from>
        <xdr:to>
          <xdr:col>5</xdr:col>
          <xdr:colOff>99060</xdr:colOff>
          <xdr:row>31</xdr:row>
          <xdr:rowOff>7620</xdr:rowOff>
        </xdr:to>
        <xdr:sp macro="" textlink="">
          <xdr:nvSpPr>
            <xdr:cNvPr id="20664" name="Check Box 184" hidden="1">
              <a:extLst>
                <a:ext uri="{63B3BB69-23CF-44E3-9099-C40C66FF867C}">
                  <a14:compatExt spid="_x0000_s20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 Un ou des projets modifiant la superficie de votre parc de bâtiments a été fait lors de l'année de suivi.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723900</xdr:colOff>
          <xdr:row>31</xdr:row>
          <xdr:rowOff>45720</xdr:rowOff>
        </xdr:from>
        <xdr:to>
          <xdr:col>5</xdr:col>
          <xdr:colOff>220980</xdr:colOff>
          <xdr:row>31</xdr:row>
          <xdr:rowOff>198120</xdr:rowOff>
        </xdr:to>
        <xdr:sp macro="" textlink="">
          <xdr:nvSpPr>
            <xdr:cNvPr id="20665" name="Check Box 185" hidden="1">
              <a:extLst>
                <a:ext uri="{63B3BB69-23CF-44E3-9099-C40C66FF867C}">
                  <a14:compatExt spid="_x0000_s20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 Les taxes de ventes sont inclues totalement ou en partie dans le montant dépensé en énergie.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723900</xdr:colOff>
          <xdr:row>32</xdr:row>
          <xdr:rowOff>7620</xdr:rowOff>
        </xdr:from>
        <xdr:to>
          <xdr:col>4</xdr:col>
          <xdr:colOff>792480</xdr:colOff>
          <xdr:row>33</xdr:row>
          <xdr:rowOff>0</xdr:rowOff>
        </xdr:to>
        <xdr:sp macro="" textlink="">
          <xdr:nvSpPr>
            <xdr:cNvPr id="20666" name="Check Box 186" hidden="1">
              <a:extLst>
                <a:ext uri="{63B3BB69-23CF-44E3-9099-C40C66FF867C}">
                  <a14:compatExt spid="_x0000_s20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 Les murs extérieurs sont exclus de la valeur de superficie. </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476250</xdr:colOff>
      <xdr:row>4</xdr:row>
      <xdr:rowOff>190500</xdr:rowOff>
    </xdr:to>
    <xdr:pic>
      <xdr:nvPicPr>
        <xdr:cNvPr id="22510" name="Picture 26" descr="MERN_Nouveau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479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723900</xdr:colOff>
          <xdr:row>27</xdr:row>
          <xdr:rowOff>220980</xdr:rowOff>
        </xdr:from>
        <xdr:to>
          <xdr:col>7</xdr:col>
          <xdr:colOff>350520</xdr:colOff>
          <xdr:row>29</xdr:row>
          <xdr:rowOff>0</xdr:rowOff>
        </xdr:to>
        <xdr:sp macro="" textlink="">
          <xdr:nvSpPr>
            <xdr:cNvPr id="21685" name="Check Box 181" hidden="1">
              <a:extLst>
                <a:ext uri="{63B3BB69-23CF-44E3-9099-C40C66FF867C}">
                  <a14:compatExt spid="_x0000_s21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 La valeur de superficie qui est transmise au BEIE contient des surfaces louées.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723900</xdr:colOff>
          <xdr:row>29</xdr:row>
          <xdr:rowOff>22860</xdr:rowOff>
        </xdr:from>
        <xdr:to>
          <xdr:col>5</xdr:col>
          <xdr:colOff>121920</xdr:colOff>
          <xdr:row>30</xdr:row>
          <xdr:rowOff>0</xdr:rowOff>
        </xdr:to>
        <xdr:sp macro="" textlink="">
          <xdr:nvSpPr>
            <xdr:cNvPr id="21686" name="Check Box 182" hidden="1">
              <a:extLst>
                <a:ext uri="{63B3BB69-23CF-44E3-9099-C40C66FF867C}">
                  <a14:compatExt spid="_x0000_s21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 Les valeurs de consommation transmises au BEIE proviennent totalement ou en partie de surfaces louées.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723900</xdr:colOff>
          <xdr:row>30</xdr:row>
          <xdr:rowOff>30480</xdr:rowOff>
        </xdr:from>
        <xdr:to>
          <xdr:col>5</xdr:col>
          <xdr:colOff>152400</xdr:colOff>
          <xdr:row>31</xdr:row>
          <xdr:rowOff>0</xdr:rowOff>
        </xdr:to>
        <xdr:sp macro="" textlink="">
          <xdr:nvSpPr>
            <xdr:cNvPr id="21687" name="Check Box 183" hidden="1">
              <a:extLst>
                <a:ext uri="{63B3BB69-23CF-44E3-9099-C40C66FF867C}">
                  <a14:compatExt spid="_x0000_s21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 Un ou des projets modifiant la superficie de votre parc de bâtiments a été fait lors de l'année de suivi.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723900</xdr:colOff>
          <xdr:row>31</xdr:row>
          <xdr:rowOff>45720</xdr:rowOff>
        </xdr:from>
        <xdr:to>
          <xdr:col>5</xdr:col>
          <xdr:colOff>274320</xdr:colOff>
          <xdr:row>31</xdr:row>
          <xdr:rowOff>198120</xdr:rowOff>
        </xdr:to>
        <xdr:sp macro="" textlink="">
          <xdr:nvSpPr>
            <xdr:cNvPr id="21688" name="Check Box 184" hidden="1">
              <a:extLst>
                <a:ext uri="{63B3BB69-23CF-44E3-9099-C40C66FF867C}">
                  <a14:compatExt spid="_x0000_s21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 Les taxes de ventes sont inclues totalement ou en partie dans le montant dépensé en énergie.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723900</xdr:colOff>
          <xdr:row>32</xdr:row>
          <xdr:rowOff>7620</xdr:rowOff>
        </xdr:from>
        <xdr:to>
          <xdr:col>4</xdr:col>
          <xdr:colOff>845820</xdr:colOff>
          <xdr:row>33</xdr:row>
          <xdr:rowOff>0</xdr:rowOff>
        </xdr:to>
        <xdr:sp macro="" textlink="">
          <xdr:nvSpPr>
            <xdr:cNvPr id="21689" name="Check Box 185" hidden="1">
              <a:extLst>
                <a:ext uri="{63B3BB69-23CF-44E3-9099-C40C66FF867C}">
                  <a14:compatExt spid="_x0000_s21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 Les murs extérieurs sont exclus de la valeur de superficie. </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476250</xdr:colOff>
      <xdr:row>4</xdr:row>
      <xdr:rowOff>152400</xdr:rowOff>
    </xdr:to>
    <xdr:pic>
      <xdr:nvPicPr>
        <xdr:cNvPr id="23535" name="Picture 26" descr="MERN_Nouveau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479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723900</xdr:colOff>
          <xdr:row>27</xdr:row>
          <xdr:rowOff>220980</xdr:rowOff>
        </xdr:from>
        <xdr:to>
          <xdr:col>7</xdr:col>
          <xdr:colOff>342900</xdr:colOff>
          <xdr:row>29</xdr:row>
          <xdr:rowOff>0</xdr:rowOff>
        </xdr:to>
        <xdr:sp macro="" textlink="">
          <xdr:nvSpPr>
            <xdr:cNvPr id="22711" name="Check Box 183" hidden="1">
              <a:extLst>
                <a:ext uri="{63B3BB69-23CF-44E3-9099-C40C66FF867C}">
                  <a14:compatExt spid="_x0000_s22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 La valeur de superficie qui est transmise au BEIE contient des surfaces louées.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723900</xdr:colOff>
          <xdr:row>29</xdr:row>
          <xdr:rowOff>22860</xdr:rowOff>
        </xdr:from>
        <xdr:to>
          <xdr:col>5</xdr:col>
          <xdr:colOff>106680</xdr:colOff>
          <xdr:row>30</xdr:row>
          <xdr:rowOff>0</xdr:rowOff>
        </xdr:to>
        <xdr:sp macro="" textlink="">
          <xdr:nvSpPr>
            <xdr:cNvPr id="22712" name="Check Box 184" hidden="1">
              <a:extLst>
                <a:ext uri="{63B3BB69-23CF-44E3-9099-C40C66FF867C}">
                  <a14:compatExt spid="_x0000_s22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 Les valeurs de consommation transmises au BEIE proviennent totalement ou en partie de surfaces louées.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723900</xdr:colOff>
          <xdr:row>30</xdr:row>
          <xdr:rowOff>30480</xdr:rowOff>
        </xdr:from>
        <xdr:to>
          <xdr:col>5</xdr:col>
          <xdr:colOff>114300</xdr:colOff>
          <xdr:row>31</xdr:row>
          <xdr:rowOff>0</xdr:rowOff>
        </xdr:to>
        <xdr:sp macro="" textlink="">
          <xdr:nvSpPr>
            <xdr:cNvPr id="22713" name="Check Box 185" hidden="1">
              <a:extLst>
                <a:ext uri="{63B3BB69-23CF-44E3-9099-C40C66FF867C}">
                  <a14:compatExt spid="_x0000_s22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 Un ou des projets modifiant la superficie de votre parc de bâtiments a été fait lors de l'année de suivi.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723900</xdr:colOff>
          <xdr:row>31</xdr:row>
          <xdr:rowOff>45720</xdr:rowOff>
        </xdr:from>
        <xdr:to>
          <xdr:col>5</xdr:col>
          <xdr:colOff>251460</xdr:colOff>
          <xdr:row>32</xdr:row>
          <xdr:rowOff>0</xdr:rowOff>
        </xdr:to>
        <xdr:sp macro="" textlink="">
          <xdr:nvSpPr>
            <xdr:cNvPr id="22714" name="Check Box 186" hidden="1">
              <a:extLst>
                <a:ext uri="{63B3BB69-23CF-44E3-9099-C40C66FF867C}">
                  <a14:compatExt spid="_x0000_s22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 Les taxes de ventes sont inclues totalement ou en partie dans le montant dépensé en énergie.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723900</xdr:colOff>
          <xdr:row>32</xdr:row>
          <xdr:rowOff>7620</xdr:rowOff>
        </xdr:from>
        <xdr:to>
          <xdr:col>4</xdr:col>
          <xdr:colOff>822960</xdr:colOff>
          <xdr:row>33</xdr:row>
          <xdr:rowOff>0</xdr:rowOff>
        </xdr:to>
        <xdr:sp macro="" textlink="">
          <xdr:nvSpPr>
            <xdr:cNvPr id="22715" name="Check Box 187" hidden="1">
              <a:extLst>
                <a:ext uri="{63B3BB69-23CF-44E3-9099-C40C66FF867C}">
                  <a14:compatExt spid="_x0000_s22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 Les murs extérieurs sont exclus de la valeur de superficie. </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476250</xdr:colOff>
      <xdr:row>4</xdr:row>
      <xdr:rowOff>190500</xdr:rowOff>
    </xdr:to>
    <xdr:pic>
      <xdr:nvPicPr>
        <xdr:cNvPr id="24561" name="Picture 29" descr="MERN_Nouveau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479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723900</xdr:colOff>
          <xdr:row>27</xdr:row>
          <xdr:rowOff>220980</xdr:rowOff>
        </xdr:from>
        <xdr:to>
          <xdr:col>7</xdr:col>
          <xdr:colOff>335280</xdr:colOff>
          <xdr:row>29</xdr:row>
          <xdr:rowOff>0</xdr:rowOff>
        </xdr:to>
        <xdr:sp macro="" textlink="">
          <xdr:nvSpPr>
            <xdr:cNvPr id="23740" name="Check Box 188" hidden="1">
              <a:extLst>
                <a:ext uri="{63B3BB69-23CF-44E3-9099-C40C66FF867C}">
                  <a14:compatExt spid="_x0000_s23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 La valeur de superficie qui est transmise au BEIE contient des surfaces louées.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723900</xdr:colOff>
          <xdr:row>29</xdr:row>
          <xdr:rowOff>22860</xdr:rowOff>
        </xdr:from>
        <xdr:to>
          <xdr:col>4</xdr:col>
          <xdr:colOff>1021080</xdr:colOff>
          <xdr:row>30</xdr:row>
          <xdr:rowOff>7620</xdr:rowOff>
        </xdr:to>
        <xdr:sp macro="" textlink="">
          <xdr:nvSpPr>
            <xdr:cNvPr id="23741" name="Check Box 189" hidden="1">
              <a:extLst>
                <a:ext uri="{63B3BB69-23CF-44E3-9099-C40C66FF867C}">
                  <a14:compatExt spid="_x0000_s23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 Les valeurs de consommation transmises au BEIE proviennent totalement ou en partie de surfaces louées.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723900</xdr:colOff>
          <xdr:row>30</xdr:row>
          <xdr:rowOff>30480</xdr:rowOff>
        </xdr:from>
        <xdr:to>
          <xdr:col>4</xdr:col>
          <xdr:colOff>1036320</xdr:colOff>
          <xdr:row>31</xdr:row>
          <xdr:rowOff>7620</xdr:rowOff>
        </xdr:to>
        <xdr:sp macro="" textlink="">
          <xdr:nvSpPr>
            <xdr:cNvPr id="23742" name="Check Box 190" hidden="1">
              <a:extLst>
                <a:ext uri="{63B3BB69-23CF-44E3-9099-C40C66FF867C}">
                  <a14:compatExt spid="_x0000_s23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 Un ou des projets modifiant la superficie de votre parc de bâtiments a été fait lors de l'année de suivi.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723900</xdr:colOff>
          <xdr:row>31</xdr:row>
          <xdr:rowOff>45720</xdr:rowOff>
        </xdr:from>
        <xdr:to>
          <xdr:col>5</xdr:col>
          <xdr:colOff>106680</xdr:colOff>
          <xdr:row>31</xdr:row>
          <xdr:rowOff>198120</xdr:rowOff>
        </xdr:to>
        <xdr:sp macro="" textlink="">
          <xdr:nvSpPr>
            <xdr:cNvPr id="23743" name="Check Box 191" hidden="1">
              <a:extLst>
                <a:ext uri="{63B3BB69-23CF-44E3-9099-C40C66FF867C}">
                  <a14:compatExt spid="_x0000_s23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 Les taxes de ventes sont inclues totalement ou en partie dans le montant dépensé en énergie.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723900</xdr:colOff>
          <xdr:row>32</xdr:row>
          <xdr:rowOff>7620</xdr:rowOff>
        </xdr:from>
        <xdr:to>
          <xdr:col>4</xdr:col>
          <xdr:colOff>678180</xdr:colOff>
          <xdr:row>33</xdr:row>
          <xdr:rowOff>7620</xdr:rowOff>
        </xdr:to>
        <xdr:sp macro="" textlink="">
          <xdr:nvSpPr>
            <xdr:cNvPr id="23744" name="Check Box 192" hidden="1">
              <a:extLst>
                <a:ext uri="{63B3BB69-23CF-44E3-9099-C40C66FF867C}">
                  <a14:compatExt spid="_x0000_s23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 Les murs extérieurs sont exclus de la valeur de superficie. </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2047875</xdr:colOff>
      <xdr:row>0</xdr:row>
      <xdr:rowOff>914400</xdr:rowOff>
    </xdr:to>
    <xdr:pic>
      <xdr:nvPicPr>
        <xdr:cNvPr id="27637"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478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1276350</xdr:colOff>
      <xdr:row>0</xdr:row>
      <xdr:rowOff>914400</xdr:rowOff>
    </xdr:to>
    <xdr:pic>
      <xdr:nvPicPr>
        <xdr:cNvPr id="2545"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478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161925</xdr:colOff>
      <xdr:row>0</xdr:row>
      <xdr:rowOff>47625</xdr:rowOff>
    </xdr:from>
    <xdr:to>
      <xdr:col>1</xdr:col>
      <xdr:colOff>0</xdr:colOff>
      <xdr:row>0</xdr:row>
      <xdr:rowOff>1238250</xdr:rowOff>
    </xdr:to>
    <xdr:pic>
      <xdr:nvPicPr>
        <xdr:cNvPr id="37918"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47625"/>
          <a:ext cx="2419350"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42</xdr:row>
          <xdr:rowOff>190500</xdr:rowOff>
        </xdr:from>
        <xdr:to>
          <xdr:col>1</xdr:col>
          <xdr:colOff>1165860</xdr:colOff>
          <xdr:row>43</xdr:row>
          <xdr:rowOff>190500</xdr:rowOff>
        </xdr:to>
        <xdr:sp macro="" textlink="">
          <xdr:nvSpPr>
            <xdr:cNvPr id="1593" name="Check Box 569" hidden="1">
              <a:extLst>
                <a:ext uri="{63B3BB69-23CF-44E3-9099-C40C66FF867C}">
                  <a14:compatExt spid="_x0000_s1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d'éclairage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1188720</xdr:colOff>
          <xdr:row>42</xdr:row>
          <xdr:rowOff>190500</xdr:rowOff>
        </xdr:from>
        <xdr:to>
          <xdr:col>1</xdr:col>
          <xdr:colOff>2560320</xdr:colOff>
          <xdr:row>43</xdr:row>
          <xdr:rowOff>190500</xdr:rowOff>
        </xdr:to>
        <xdr:sp macro="" textlink="">
          <xdr:nvSpPr>
            <xdr:cNvPr id="1594" name="Check Box 570" hidden="1">
              <a:extLst>
                <a:ext uri="{63B3BB69-23CF-44E3-9099-C40C66FF867C}">
                  <a14:compatExt spid="_x0000_s1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de ventilation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2590800</xdr:colOff>
          <xdr:row>42</xdr:row>
          <xdr:rowOff>190500</xdr:rowOff>
        </xdr:from>
        <xdr:to>
          <xdr:col>1</xdr:col>
          <xdr:colOff>3810000</xdr:colOff>
          <xdr:row>43</xdr:row>
          <xdr:rowOff>182880</xdr:rowOff>
        </xdr:to>
        <xdr:sp macro="" textlink="">
          <xdr:nvSpPr>
            <xdr:cNvPr id="1595" name="Check Box 571" hidden="1">
              <a:extLst>
                <a:ext uri="{63B3BB69-23CF-44E3-9099-C40C66FF867C}">
                  <a14:compatExt spid="_x0000_s1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de chauffage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3848100</xdr:colOff>
          <xdr:row>42</xdr:row>
          <xdr:rowOff>190500</xdr:rowOff>
        </xdr:from>
        <xdr:to>
          <xdr:col>1</xdr:col>
          <xdr:colOff>5676900</xdr:colOff>
          <xdr:row>43</xdr:row>
          <xdr:rowOff>190500</xdr:rowOff>
        </xdr:to>
        <xdr:sp macro="" textlink="">
          <xdr:nvSpPr>
            <xdr:cNvPr id="1596" name="Check Box 572" hidden="1">
              <a:extLst>
                <a:ext uri="{63B3BB69-23CF-44E3-9099-C40C66FF867C}">
                  <a14:compatExt spid="_x0000_s1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de récupération d'énergie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43</xdr:row>
          <xdr:rowOff>175260</xdr:rowOff>
        </xdr:from>
        <xdr:to>
          <xdr:col>1</xdr:col>
          <xdr:colOff>1165860</xdr:colOff>
          <xdr:row>44</xdr:row>
          <xdr:rowOff>182880</xdr:rowOff>
        </xdr:to>
        <xdr:sp macro="" textlink="">
          <xdr:nvSpPr>
            <xdr:cNvPr id="1598" name="Check Box 574" hidden="1">
              <a:extLst>
                <a:ext uri="{63B3BB69-23CF-44E3-9099-C40C66FF867C}">
                  <a14:compatExt spid="_x0000_s1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d'éclairage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1188720</xdr:colOff>
          <xdr:row>43</xdr:row>
          <xdr:rowOff>175260</xdr:rowOff>
        </xdr:from>
        <xdr:to>
          <xdr:col>1</xdr:col>
          <xdr:colOff>2560320</xdr:colOff>
          <xdr:row>44</xdr:row>
          <xdr:rowOff>182880</xdr:rowOff>
        </xdr:to>
        <xdr:sp macro="" textlink="">
          <xdr:nvSpPr>
            <xdr:cNvPr id="1599" name="Check Box 575" hidden="1">
              <a:extLst>
                <a:ext uri="{63B3BB69-23CF-44E3-9099-C40C66FF867C}">
                  <a14:compatExt spid="_x0000_s1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de ventilation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2590800</xdr:colOff>
          <xdr:row>43</xdr:row>
          <xdr:rowOff>175260</xdr:rowOff>
        </xdr:from>
        <xdr:to>
          <xdr:col>1</xdr:col>
          <xdr:colOff>3810000</xdr:colOff>
          <xdr:row>44</xdr:row>
          <xdr:rowOff>175260</xdr:rowOff>
        </xdr:to>
        <xdr:sp macro="" textlink="">
          <xdr:nvSpPr>
            <xdr:cNvPr id="1600" name="Check Box 576" hidden="1">
              <a:extLst>
                <a:ext uri="{63B3BB69-23CF-44E3-9099-C40C66FF867C}">
                  <a14:compatExt spid="_x0000_s1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de chauffage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3848100</xdr:colOff>
          <xdr:row>43</xdr:row>
          <xdr:rowOff>175260</xdr:rowOff>
        </xdr:from>
        <xdr:to>
          <xdr:col>1</xdr:col>
          <xdr:colOff>5676900</xdr:colOff>
          <xdr:row>44</xdr:row>
          <xdr:rowOff>182880</xdr:rowOff>
        </xdr:to>
        <xdr:sp macro="" textlink="">
          <xdr:nvSpPr>
            <xdr:cNvPr id="1601" name="Check Box 577" hidden="1">
              <a:extLst>
                <a:ext uri="{63B3BB69-23CF-44E3-9099-C40C66FF867C}">
                  <a14:compatExt spid="_x0000_s1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de récupération d'énergie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44</xdr:row>
          <xdr:rowOff>175260</xdr:rowOff>
        </xdr:from>
        <xdr:to>
          <xdr:col>1</xdr:col>
          <xdr:colOff>1165860</xdr:colOff>
          <xdr:row>45</xdr:row>
          <xdr:rowOff>182880</xdr:rowOff>
        </xdr:to>
        <xdr:sp macro="" textlink="">
          <xdr:nvSpPr>
            <xdr:cNvPr id="1602" name="Check Box 578" hidden="1">
              <a:extLst>
                <a:ext uri="{63B3BB69-23CF-44E3-9099-C40C66FF867C}">
                  <a14:compatExt spid="_x0000_s1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d'éclairage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1188720</xdr:colOff>
          <xdr:row>44</xdr:row>
          <xdr:rowOff>175260</xdr:rowOff>
        </xdr:from>
        <xdr:to>
          <xdr:col>1</xdr:col>
          <xdr:colOff>2560320</xdr:colOff>
          <xdr:row>45</xdr:row>
          <xdr:rowOff>182880</xdr:rowOff>
        </xdr:to>
        <xdr:sp macro="" textlink="">
          <xdr:nvSpPr>
            <xdr:cNvPr id="1603" name="Check Box 579" hidden="1">
              <a:extLst>
                <a:ext uri="{63B3BB69-23CF-44E3-9099-C40C66FF867C}">
                  <a14:compatExt spid="_x0000_s1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de ventilation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2590800</xdr:colOff>
          <xdr:row>44</xdr:row>
          <xdr:rowOff>175260</xdr:rowOff>
        </xdr:from>
        <xdr:to>
          <xdr:col>1</xdr:col>
          <xdr:colOff>3810000</xdr:colOff>
          <xdr:row>45</xdr:row>
          <xdr:rowOff>175260</xdr:rowOff>
        </xdr:to>
        <xdr:sp macro="" textlink="">
          <xdr:nvSpPr>
            <xdr:cNvPr id="1604" name="Check Box 580" hidden="1">
              <a:extLst>
                <a:ext uri="{63B3BB69-23CF-44E3-9099-C40C66FF867C}">
                  <a14:compatExt spid="_x0000_s1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de chauffage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3848100</xdr:colOff>
          <xdr:row>44</xdr:row>
          <xdr:rowOff>175260</xdr:rowOff>
        </xdr:from>
        <xdr:to>
          <xdr:col>1</xdr:col>
          <xdr:colOff>5676900</xdr:colOff>
          <xdr:row>45</xdr:row>
          <xdr:rowOff>182880</xdr:rowOff>
        </xdr:to>
        <xdr:sp macro="" textlink="">
          <xdr:nvSpPr>
            <xdr:cNvPr id="1605" name="Check Box 581" hidden="1">
              <a:extLst>
                <a:ext uri="{63B3BB69-23CF-44E3-9099-C40C66FF867C}">
                  <a14:compatExt spid="_x0000_s1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de récupération d'énergie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45</xdr:row>
          <xdr:rowOff>175260</xdr:rowOff>
        </xdr:from>
        <xdr:to>
          <xdr:col>1</xdr:col>
          <xdr:colOff>1165860</xdr:colOff>
          <xdr:row>46</xdr:row>
          <xdr:rowOff>182880</xdr:rowOff>
        </xdr:to>
        <xdr:sp macro="" textlink="">
          <xdr:nvSpPr>
            <xdr:cNvPr id="1606" name="Check Box 582" hidden="1">
              <a:extLst>
                <a:ext uri="{63B3BB69-23CF-44E3-9099-C40C66FF867C}">
                  <a14:compatExt spid="_x0000_s1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d'éclairage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1188720</xdr:colOff>
          <xdr:row>45</xdr:row>
          <xdr:rowOff>175260</xdr:rowOff>
        </xdr:from>
        <xdr:to>
          <xdr:col>1</xdr:col>
          <xdr:colOff>2560320</xdr:colOff>
          <xdr:row>46</xdr:row>
          <xdr:rowOff>182880</xdr:rowOff>
        </xdr:to>
        <xdr:sp macro="" textlink="">
          <xdr:nvSpPr>
            <xdr:cNvPr id="1607" name="Check Box 583" hidden="1">
              <a:extLst>
                <a:ext uri="{63B3BB69-23CF-44E3-9099-C40C66FF867C}">
                  <a14:compatExt spid="_x0000_s1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de ventilation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2590800</xdr:colOff>
          <xdr:row>45</xdr:row>
          <xdr:rowOff>175260</xdr:rowOff>
        </xdr:from>
        <xdr:to>
          <xdr:col>1</xdr:col>
          <xdr:colOff>3810000</xdr:colOff>
          <xdr:row>46</xdr:row>
          <xdr:rowOff>175260</xdr:rowOff>
        </xdr:to>
        <xdr:sp macro="" textlink="">
          <xdr:nvSpPr>
            <xdr:cNvPr id="1608" name="Check Box 584" hidden="1">
              <a:extLst>
                <a:ext uri="{63B3BB69-23CF-44E3-9099-C40C66FF867C}">
                  <a14:compatExt spid="_x0000_s1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de chauffage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3848100</xdr:colOff>
          <xdr:row>45</xdr:row>
          <xdr:rowOff>175260</xdr:rowOff>
        </xdr:from>
        <xdr:to>
          <xdr:col>1</xdr:col>
          <xdr:colOff>5676900</xdr:colOff>
          <xdr:row>46</xdr:row>
          <xdr:rowOff>182880</xdr:rowOff>
        </xdr:to>
        <xdr:sp macro="" textlink="">
          <xdr:nvSpPr>
            <xdr:cNvPr id="1609" name="Check Box 585" hidden="1">
              <a:extLst>
                <a:ext uri="{63B3BB69-23CF-44E3-9099-C40C66FF867C}">
                  <a14:compatExt spid="_x0000_s1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de récupération d'énergie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46</xdr:row>
          <xdr:rowOff>175260</xdr:rowOff>
        </xdr:from>
        <xdr:to>
          <xdr:col>1</xdr:col>
          <xdr:colOff>1165860</xdr:colOff>
          <xdr:row>47</xdr:row>
          <xdr:rowOff>182880</xdr:rowOff>
        </xdr:to>
        <xdr:sp macro="" textlink="">
          <xdr:nvSpPr>
            <xdr:cNvPr id="1610" name="Check Box 586" hidden="1">
              <a:extLst>
                <a:ext uri="{63B3BB69-23CF-44E3-9099-C40C66FF867C}">
                  <a14:compatExt spid="_x0000_s1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d'éclairage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1188720</xdr:colOff>
          <xdr:row>46</xdr:row>
          <xdr:rowOff>175260</xdr:rowOff>
        </xdr:from>
        <xdr:to>
          <xdr:col>1</xdr:col>
          <xdr:colOff>2560320</xdr:colOff>
          <xdr:row>47</xdr:row>
          <xdr:rowOff>182880</xdr:rowOff>
        </xdr:to>
        <xdr:sp macro="" textlink="">
          <xdr:nvSpPr>
            <xdr:cNvPr id="1611" name="Check Box 587" hidden="1">
              <a:extLst>
                <a:ext uri="{63B3BB69-23CF-44E3-9099-C40C66FF867C}">
                  <a14:compatExt spid="_x0000_s1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de ventilation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2590800</xdr:colOff>
          <xdr:row>46</xdr:row>
          <xdr:rowOff>175260</xdr:rowOff>
        </xdr:from>
        <xdr:to>
          <xdr:col>1</xdr:col>
          <xdr:colOff>3810000</xdr:colOff>
          <xdr:row>47</xdr:row>
          <xdr:rowOff>175260</xdr:rowOff>
        </xdr:to>
        <xdr:sp macro="" textlink="">
          <xdr:nvSpPr>
            <xdr:cNvPr id="1612" name="Check Box 588" hidden="1">
              <a:extLst>
                <a:ext uri="{63B3BB69-23CF-44E3-9099-C40C66FF867C}">
                  <a14:compatExt spid="_x0000_s1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de chauffage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3848100</xdr:colOff>
          <xdr:row>46</xdr:row>
          <xdr:rowOff>175260</xdr:rowOff>
        </xdr:from>
        <xdr:to>
          <xdr:col>1</xdr:col>
          <xdr:colOff>5676900</xdr:colOff>
          <xdr:row>47</xdr:row>
          <xdr:rowOff>182880</xdr:rowOff>
        </xdr:to>
        <xdr:sp macro="" textlink="">
          <xdr:nvSpPr>
            <xdr:cNvPr id="1613" name="Check Box 589" hidden="1">
              <a:extLst>
                <a:ext uri="{63B3BB69-23CF-44E3-9099-C40C66FF867C}">
                  <a14:compatExt spid="_x0000_s1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de récupération d'énergie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47</xdr:row>
          <xdr:rowOff>175260</xdr:rowOff>
        </xdr:from>
        <xdr:to>
          <xdr:col>1</xdr:col>
          <xdr:colOff>1165860</xdr:colOff>
          <xdr:row>48</xdr:row>
          <xdr:rowOff>182880</xdr:rowOff>
        </xdr:to>
        <xdr:sp macro="" textlink="">
          <xdr:nvSpPr>
            <xdr:cNvPr id="1614" name="Check Box 590" hidden="1">
              <a:extLst>
                <a:ext uri="{63B3BB69-23CF-44E3-9099-C40C66FF867C}">
                  <a14:compatExt spid="_x0000_s1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d'éclairage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1188720</xdr:colOff>
          <xdr:row>47</xdr:row>
          <xdr:rowOff>175260</xdr:rowOff>
        </xdr:from>
        <xdr:to>
          <xdr:col>1</xdr:col>
          <xdr:colOff>2560320</xdr:colOff>
          <xdr:row>48</xdr:row>
          <xdr:rowOff>182880</xdr:rowOff>
        </xdr:to>
        <xdr:sp macro="" textlink="">
          <xdr:nvSpPr>
            <xdr:cNvPr id="1615" name="Check Box 591" hidden="1">
              <a:extLst>
                <a:ext uri="{63B3BB69-23CF-44E3-9099-C40C66FF867C}">
                  <a14:compatExt spid="_x0000_s1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de ventilation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2590800</xdr:colOff>
          <xdr:row>47</xdr:row>
          <xdr:rowOff>175260</xdr:rowOff>
        </xdr:from>
        <xdr:to>
          <xdr:col>1</xdr:col>
          <xdr:colOff>3810000</xdr:colOff>
          <xdr:row>48</xdr:row>
          <xdr:rowOff>175260</xdr:rowOff>
        </xdr:to>
        <xdr:sp macro="" textlink="">
          <xdr:nvSpPr>
            <xdr:cNvPr id="1616" name="Check Box 592" hidden="1">
              <a:extLst>
                <a:ext uri="{63B3BB69-23CF-44E3-9099-C40C66FF867C}">
                  <a14:compatExt spid="_x0000_s1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de chauffage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3848100</xdr:colOff>
          <xdr:row>47</xdr:row>
          <xdr:rowOff>175260</xdr:rowOff>
        </xdr:from>
        <xdr:to>
          <xdr:col>1</xdr:col>
          <xdr:colOff>5676900</xdr:colOff>
          <xdr:row>48</xdr:row>
          <xdr:rowOff>182880</xdr:rowOff>
        </xdr:to>
        <xdr:sp macro="" textlink="">
          <xdr:nvSpPr>
            <xdr:cNvPr id="1617" name="Check Box 593" hidden="1">
              <a:extLst>
                <a:ext uri="{63B3BB69-23CF-44E3-9099-C40C66FF867C}">
                  <a14:compatExt spid="_x0000_s1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de récupération d'énergie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48</xdr:row>
          <xdr:rowOff>175260</xdr:rowOff>
        </xdr:from>
        <xdr:to>
          <xdr:col>1</xdr:col>
          <xdr:colOff>1165860</xdr:colOff>
          <xdr:row>49</xdr:row>
          <xdr:rowOff>182880</xdr:rowOff>
        </xdr:to>
        <xdr:sp macro="" textlink="">
          <xdr:nvSpPr>
            <xdr:cNvPr id="1618" name="Check Box 594" hidden="1">
              <a:extLst>
                <a:ext uri="{63B3BB69-23CF-44E3-9099-C40C66FF867C}">
                  <a14:compatExt spid="_x0000_s1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d'éclairage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1188720</xdr:colOff>
          <xdr:row>48</xdr:row>
          <xdr:rowOff>175260</xdr:rowOff>
        </xdr:from>
        <xdr:to>
          <xdr:col>1</xdr:col>
          <xdr:colOff>2560320</xdr:colOff>
          <xdr:row>49</xdr:row>
          <xdr:rowOff>182880</xdr:rowOff>
        </xdr:to>
        <xdr:sp macro="" textlink="">
          <xdr:nvSpPr>
            <xdr:cNvPr id="1619" name="Check Box 595" hidden="1">
              <a:extLst>
                <a:ext uri="{63B3BB69-23CF-44E3-9099-C40C66FF867C}">
                  <a14:compatExt spid="_x0000_s1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de ventilation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2590800</xdr:colOff>
          <xdr:row>48</xdr:row>
          <xdr:rowOff>175260</xdr:rowOff>
        </xdr:from>
        <xdr:to>
          <xdr:col>1</xdr:col>
          <xdr:colOff>3810000</xdr:colOff>
          <xdr:row>49</xdr:row>
          <xdr:rowOff>175260</xdr:rowOff>
        </xdr:to>
        <xdr:sp macro="" textlink="">
          <xdr:nvSpPr>
            <xdr:cNvPr id="1620" name="Check Box 596" hidden="1">
              <a:extLst>
                <a:ext uri="{63B3BB69-23CF-44E3-9099-C40C66FF867C}">
                  <a14:compatExt spid="_x0000_s1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de chauffage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3848100</xdr:colOff>
          <xdr:row>48</xdr:row>
          <xdr:rowOff>175260</xdr:rowOff>
        </xdr:from>
        <xdr:to>
          <xdr:col>1</xdr:col>
          <xdr:colOff>5676900</xdr:colOff>
          <xdr:row>49</xdr:row>
          <xdr:rowOff>182880</xdr:rowOff>
        </xdr:to>
        <xdr:sp macro="" textlink="">
          <xdr:nvSpPr>
            <xdr:cNvPr id="1621" name="Check Box 597" hidden="1">
              <a:extLst>
                <a:ext uri="{63B3BB69-23CF-44E3-9099-C40C66FF867C}">
                  <a14:compatExt spid="_x0000_s1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de récupération d'énergie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49</xdr:row>
          <xdr:rowOff>175260</xdr:rowOff>
        </xdr:from>
        <xdr:to>
          <xdr:col>1</xdr:col>
          <xdr:colOff>1165860</xdr:colOff>
          <xdr:row>50</xdr:row>
          <xdr:rowOff>182880</xdr:rowOff>
        </xdr:to>
        <xdr:sp macro="" textlink="">
          <xdr:nvSpPr>
            <xdr:cNvPr id="1622" name="Check Box 598" hidden="1">
              <a:extLst>
                <a:ext uri="{63B3BB69-23CF-44E3-9099-C40C66FF867C}">
                  <a14:compatExt spid="_x0000_s1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d'éclairage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1188720</xdr:colOff>
          <xdr:row>49</xdr:row>
          <xdr:rowOff>175260</xdr:rowOff>
        </xdr:from>
        <xdr:to>
          <xdr:col>1</xdr:col>
          <xdr:colOff>2560320</xdr:colOff>
          <xdr:row>50</xdr:row>
          <xdr:rowOff>182880</xdr:rowOff>
        </xdr:to>
        <xdr:sp macro="" textlink="">
          <xdr:nvSpPr>
            <xdr:cNvPr id="1623" name="Check Box 599" hidden="1">
              <a:extLst>
                <a:ext uri="{63B3BB69-23CF-44E3-9099-C40C66FF867C}">
                  <a14:compatExt spid="_x0000_s1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de ventilation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2590800</xdr:colOff>
          <xdr:row>49</xdr:row>
          <xdr:rowOff>175260</xdr:rowOff>
        </xdr:from>
        <xdr:to>
          <xdr:col>1</xdr:col>
          <xdr:colOff>3810000</xdr:colOff>
          <xdr:row>50</xdr:row>
          <xdr:rowOff>175260</xdr:rowOff>
        </xdr:to>
        <xdr:sp macro="" textlink="">
          <xdr:nvSpPr>
            <xdr:cNvPr id="1624" name="Check Box 600" hidden="1">
              <a:extLst>
                <a:ext uri="{63B3BB69-23CF-44E3-9099-C40C66FF867C}">
                  <a14:compatExt spid="_x0000_s1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de chauffage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3848100</xdr:colOff>
          <xdr:row>49</xdr:row>
          <xdr:rowOff>175260</xdr:rowOff>
        </xdr:from>
        <xdr:to>
          <xdr:col>1</xdr:col>
          <xdr:colOff>5676900</xdr:colOff>
          <xdr:row>50</xdr:row>
          <xdr:rowOff>182880</xdr:rowOff>
        </xdr:to>
        <xdr:sp macro="" textlink="">
          <xdr:nvSpPr>
            <xdr:cNvPr id="1625" name="Check Box 601" hidden="1">
              <a:extLst>
                <a:ext uri="{63B3BB69-23CF-44E3-9099-C40C66FF867C}">
                  <a14:compatExt spid="_x0000_s1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de récupération d'énergie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50</xdr:row>
          <xdr:rowOff>175260</xdr:rowOff>
        </xdr:from>
        <xdr:to>
          <xdr:col>1</xdr:col>
          <xdr:colOff>1165860</xdr:colOff>
          <xdr:row>51</xdr:row>
          <xdr:rowOff>182880</xdr:rowOff>
        </xdr:to>
        <xdr:sp macro="" textlink="">
          <xdr:nvSpPr>
            <xdr:cNvPr id="1626" name="Check Box 602" hidden="1">
              <a:extLst>
                <a:ext uri="{63B3BB69-23CF-44E3-9099-C40C66FF867C}">
                  <a14:compatExt spid="_x0000_s1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d'éclairage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1188720</xdr:colOff>
          <xdr:row>50</xdr:row>
          <xdr:rowOff>175260</xdr:rowOff>
        </xdr:from>
        <xdr:to>
          <xdr:col>1</xdr:col>
          <xdr:colOff>2560320</xdr:colOff>
          <xdr:row>51</xdr:row>
          <xdr:rowOff>182880</xdr:rowOff>
        </xdr:to>
        <xdr:sp macro="" textlink="">
          <xdr:nvSpPr>
            <xdr:cNvPr id="1627" name="Check Box 603" hidden="1">
              <a:extLst>
                <a:ext uri="{63B3BB69-23CF-44E3-9099-C40C66FF867C}">
                  <a14:compatExt spid="_x0000_s1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de ventilation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2590800</xdr:colOff>
          <xdr:row>50</xdr:row>
          <xdr:rowOff>175260</xdr:rowOff>
        </xdr:from>
        <xdr:to>
          <xdr:col>1</xdr:col>
          <xdr:colOff>3810000</xdr:colOff>
          <xdr:row>51</xdr:row>
          <xdr:rowOff>175260</xdr:rowOff>
        </xdr:to>
        <xdr:sp macro="" textlink="">
          <xdr:nvSpPr>
            <xdr:cNvPr id="1628" name="Check Box 604" hidden="1">
              <a:extLst>
                <a:ext uri="{63B3BB69-23CF-44E3-9099-C40C66FF867C}">
                  <a14:compatExt spid="_x0000_s1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de chauffage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3848100</xdr:colOff>
          <xdr:row>50</xdr:row>
          <xdr:rowOff>175260</xdr:rowOff>
        </xdr:from>
        <xdr:to>
          <xdr:col>1</xdr:col>
          <xdr:colOff>5676900</xdr:colOff>
          <xdr:row>51</xdr:row>
          <xdr:rowOff>182880</xdr:rowOff>
        </xdr:to>
        <xdr:sp macro="" textlink="">
          <xdr:nvSpPr>
            <xdr:cNvPr id="1629" name="Check Box 605" hidden="1">
              <a:extLst>
                <a:ext uri="{63B3BB69-23CF-44E3-9099-C40C66FF867C}">
                  <a14:compatExt spid="_x0000_s1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de récupération d'énergie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51</xdr:row>
          <xdr:rowOff>175260</xdr:rowOff>
        </xdr:from>
        <xdr:to>
          <xdr:col>1</xdr:col>
          <xdr:colOff>1165860</xdr:colOff>
          <xdr:row>52</xdr:row>
          <xdr:rowOff>182880</xdr:rowOff>
        </xdr:to>
        <xdr:sp macro="" textlink="">
          <xdr:nvSpPr>
            <xdr:cNvPr id="1630" name="Check Box 606" hidden="1">
              <a:extLst>
                <a:ext uri="{63B3BB69-23CF-44E3-9099-C40C66FF867C}">
                  <a14:compatExt spid="_x0000_s1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d'éclairage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1188720</xdr:colOff>
          <xdr:row>51</xdr:row>
          <xdr:rowOff>175260</xdr:rowOff>
        </xdr:from>
        <xdr:to>
          <xdr:col>1</xdr:col>
          <xdr:colOff>2560320</xdr:colOff>
          <xdr:row>52</xdr:row>
          <xdr:rowOff>182880</xdr:rowOff>
        </xdr:to>
        <xdr:sp macro="" textlink="">
          <xdr:nvSpPr>
            <xdr:cNvPr id="1631" name="Check Box 607" hidden="1">
              <a:extLst>
                <a:ext uri="{63B3BB69-23CF-44E3-9099-C40C66FF867C}">
                  <a14:compatExt spid="_x0000_s1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de ventilation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2590800</xdr:colOff>
          <xdr:row>51</xdr:row>
          <xdr:rowOff>182880</xdr:rowOff>
        </xdr:from>
        <xdr:to>
          <xdr:col>1</xdr:col>
          <xdr:colOff>3810000</xdr:colOff>
          <xdr:row>52</xdr:row>
          <xdr:rowOff>182880</xdr:rowOff>
        </xdr:to>
        <xdr:sp macro="" textlink="">
          <xdr:nvSpPr>
            <xdr:cNvPr id="1632" name="Check Box 608" hidden="1">
              <a:extLst>
                <a:ext uri="{63B3BB69-23CF-44E3-9099-C40C66FF867C}">
                  <a14:compatExt spid="_x0000_s1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de chauffage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3848100</xdr:colOff>
          <xdr:row>51</xdr:row>
          <xdr:rowOff>175260</xdr:rowOff>
        </xdr:from>
        <xdr:to>
          <xdr:col>1</xdr:col>
          <xdr:colOff>5676900</xdr:colOff>
          <xdr:row>52</xdr:row>
          <xdr:rowOff>182880</xdr:rowOff>
        </xdr:to>
        <xdr:sp macro="" textlink="">
          <xdr:nvSpPr>
            <xdr:cNvPr id="1633" name="Check Box 609" hidden="1">
              <a:extLst>
                <a:ext uri="{63B3BB69-23CF-44E3-9099-C40C66FF867C}">
                  <a14:compatExt spid="_x0000_s1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de récupération d'énergie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42</xdr:row>
          <xdr:rowOff>198120</xdr:rowOff>
        </xdr:from>
        <xdr:to>
          <xdr:col>4</xdr:col>
          <xdr:colOff>1584960</xdr:colOff>
          <xdr:row>44</xdr:row>
          <xdr:rowOff>0</xdr:rowOff>
        </xdr:to>
        <xdr:sp macro="" textlink="">
          <xdr:nvSpPr>
            <xdr:cNvPr id="1672" name="Check Box 648" hidden="1">
              <a:extLst>
                <a:ext uri="{63B3BB69-23CF-44E3-9099-C40C66FF867C}">
                  <a14:compatExt spid="_x0000_s1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Campagne de sensibilisation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1592580</xdr:colOff>
          <xdr:row>42</xdr:row>
          <xdr:rowOff>198120</xdr:rowOff>
        </xdr:from>
        <xdr:to>
          <xdr:col>4</xdr:col>
          <xdr:colOff>2179320</xdr:colOff>
          <xdr:row>44</xdr:row>
          <xdr:rowOff>7620</xdr:rowOff>
        </xdr:to>
        <xdr:sp macro="" textlink="">
          <xdr:nvSpPr>
            <xdr:cNvPr id="1674" name="Check Box 650" hidden="1">
              <a:extLst>
                <a:ext uri="{63B3BB69-23CF-44E3-9099-C40C66FF867C}">
                  <a14:compatExt spid="_x0000_s1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Autres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43</xdr:row>
          <xdr:rowOff>182880</xdr:rowOff>
        </xdr:from>
        <xdr:to>
          <xdr:col>4</xdr:col>
          <xdr:colOff>1584960</xdr:colOff>
          <xdr:row>44</xdr:row>
          <xdr:rowOff>190500</xdr:rowOff>
        </xdr:to>
        <xdr:sp macro="" textlink="">
          <xdr:nvSpPr>
            <xdr:cNvPr id="1675" name="Check Box 651" hidden="1">
              <a:extLst>
                <a:ext uri="{63B3BB69-23CF-44E3-9099-C40C66FF867C}">
                  <a14:compatExt spid="_x0000_s1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Campagne de sensibilisation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1592580</xdr:colOff>
          <xdr:row>43</xdr:row>
          <xdr:rowOff>182880</xdr:rowOff>
        </xdr:from>
        <xdr:to>
          <xdr:col>4</xdr:col>
          <xdr:colOff>2179320</xdr:colOff>
          <xdr:row>45</xdr:row>
          <xdr:rowOff>0</xdr:rowOff>
        </xdr:to>
        <xdr:sp macro="" textlink="">
          <xdr:nvSpPr>
            <xdr:cNvPr id="1676" name="Check Box 652" hidden="1">
              <a:extLst>
                <a:ext uri="{63B3BB69-23CF-44E3-9099-C40C66FF867C}">
                  <a14:compatExt spid="_x0000_s1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Autres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44</xdr:row>
          <xdr:rowOff>182880</xdr:rowOff>
        </xdr:from>
        <xdr:to>
          <xdr:col>4</xdr:col>
          <xdr:colOff>1584960</xdr:colOff>
          <xdr:row>45</xdr:row>
          <xdr:rowOff>190500</xdr:rowOff>
        </xdr:to>
        <xdr:sp macro="" textlink="">
          <xdr:nvSpPr>
            <xdr:cNvPr id="1677" name="Check Box 653" hidden="1">
              <a:extLst>
                <a:ext uri="{63B3BB69-23CF-44E3-9099-C40C66FF867C}">
                  <a14:compatExt spid="_x0000_s1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Campagne de sensibilisation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1592580</xdr:colOff>
          <xdr:row>44</xdr:row>
          <xdr:rowOff>182880</xdr:rowOff>
        </xdr:from>
        <xdr:to>
          <xdr:col>4</xdr:col>
          <xdr:colOff>2179320</xdr:colOff>
          <xdr:row>46</xdr:row>
          <xdr:rowOff>0</xdr:rowOff>
        </xdr:to>
        <xdr:sp macro="" textlink="">
          <xdr:nvSpPr>
            <xdr:cNvPr id="1678" name="Check Box 654" hidden="1">
              <a:extLst>
                <a:ext uri="{63B3BB69-23CF-44E3-9099-C40C66FF867C}">
                  <a14:compatExt spid="_x0000_s1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Autres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45</xdr:row>
          <xdr:rowOff>182880</xdr:rowOff>
        </xdr:from>
        <xdr:to>
          <xdr:col>4</xdr:col>
          <xdr:colOff>1584960</xdr:colOff>
          <xdr:row>46</xdr:row>
          <xdr:rowOff>190500</xdr:rowOff>
        </xdr:to>
        <xdr:sp macro="" textlink="">
          <xdr:nvSpPr>
            <xdr:cNvPr id="1679" name="Check Box 655" hidden="1">
              <a:extLst>
                <a:ext uri="{63B3BB69-23CF-44E3-9099-C40C66FF867C}">
                  <a14:compatExt spid="_x0000_s1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Campagne de sensibilisation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1592580</xdr:colOff>
          <xdr:row>45</xdr:row>
          <xdr:rowOff>182880</xdr:rowOff>
        </xdr:from>
        <xdr:to>
          <xdr:col>4</xdr:col>
          <xdr:colOff>2179320</xdr:colOff>
          <xdr:row>47</xdr:row>
          <xdr:rowOff>0</xdr:rowOff>
        </xdr:to>
        <xdr:sp macro="" textlink="">
          <xdr:nvSpPr>
            <xdr:cNvPr id="1680" name="Check Box 656" hidden="1">
              <a:extLst>
                <a:ext uri="{63B3BB69-23CF-44E3-9099-C40C66FF867C}">
                  <a14:compatExt spid="_x0000_s1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Autres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46</xdr:row>
          <xdr:rowOff>182880</xdr:rowOff>
        </xdr:from>
        <xdr:to>
          <xdr:col>4</xdr:col>
          <xdr:colOff>1584960</xdr:colOff>
          <xdr:row>47</xdr:row>
          <xdr:rowOff>190500</xdr:rowOff>
        </xdr:to>
        <xdr:sp macro="" textlink="">
          <xdr:nvSpPr>
            <xdr:cNvPr id="1681" name="Check Box 657" hidden="1">
              <a:extLst>
                <a:ext uri="{63B3BB69-23CF-44E3-9099-C40C66FF867C}">
                  <a14:compatExt spid="_x0000_s1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Campagne de sensibilisation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1592580</xdr:colOff>
          <xdr:row>46</xdr:row>
          <xdr:rowOff>182880</xdr:rowOff>
        </xdr:from>
        <xdr:to>
          <xdr:col>4</xdr:col>
          <xdr:colOff>2179320</xdr:colOff>
          <xdr:row>48</xdr:row>
          <xdr:rowOff>0</xdr:rowOff>
        </xdr:to>
        <xdr:sp macro="" textlink="">
          <xdr:nvSpPr>
            <xdr:cNvPr id="1682" name="Check Box 658" hidden="1">
              <a:extLst>
                <a:ext uri="{63B3BB69-23CF-44E3-9099-C40C66FF867C}">
                  <a14:compatExt spid="_x0000_s1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Autres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47</xdr:row>
          <xdr:rowOff>182880</xdr:rowOff>
        </xdr:from>
        <xdr:to>
          <xdr:col>4</xdr:col>
          <xdr:colOff>1584960</xdr:colOff>
          <xdr:row>48</xdr:row>
          <xdr:rowOff>190500</xdr:rowOff>
        </xdr:to>
        <xdr:sp macro="" textlink="">
          <xdr:nvSpPr>
            <xdr:cNvPr id="1683" name="Check Box 659" hidden="1">
              <a:extLst>
                <a:ext uri="{63B3BB69-23CF-44E3-9099-C40C66FF867C}">
                  <a14:compatExt spid="_x0000_s1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Campagne de sensibilisation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1592580</xdr:colOff>
          <xdr:row>47</xdr:row>
          <xdr:rowOff>182880</xdr:rowOff>
        </xdr:from>
        <xdr:to>
          <xdr:col>4</xdr:col>
          <xdr:colOff>2179320</xdr:colOff>
          <xdr:row>49</xdr:row>
          <xdr:rowOff>0</xdr:rowOff>
        </xdr:to>
        <xdr:sp macro="" textlink="">
          <xdr:nvSpPr>
            <xdr:cNvPr id="1684" name="Check Box 660" hidden="1">
              <a:extLst>
                <a:ext uri="{63B3BB69-23CF-44E3-9099-C40C66FF867C}">
                  <a14:compatExt spid="_x0000_s1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Autres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48</xdr:row>
          <xdr:rowOff>175260</xdr:rowOff>
        </xdr:from>
        <xdr:to>
          <xdr:col>4</xdr:col>
          <xdr:colOff>1584960</xdr:colOff>
          <xdr:row>49</xdr:row>
          <xdr:rowOff>182880</xdr:rowOff>
        </xdr:to>
        <xdr:sp macro="" textlink="">
          <xdr:nvSpPr>
            <xdr:cNvPr id="1685" name="Check Box 661" hidden="1">
              <a:extLst>
                <a:ext uri="{63B3BB69-23CF-44E3-9099-C40C66FF867C}">
                  <a14:compatExt spid="_x0000_s1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Campagne de sensibilisation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1592580</xdr:colOff>
          <xdr:row>48</xdr:row>
          <xdr:rowOff>175260</xdr:rowOff>
        </xdr:from>
        <xdr:to>
          <xdr:col>4</xdr:col>
          <xdr:colOff>2179320</xdr:colOff>
          <xdr:row>49</xdr:row>
          <xdr:rowOff>190500</xdr:rowOff>
        </xdr:to>
        <xdr:sp macro="" textlink="">
          <xdr:nvSpPr>
            <xdr:cNvPr id="1686" name="Check Box 662" hidden="1">
              <a:extLst>
                <a:ext uri="{63B3BB69-23CF-44E3-9099-C40C66FF867C}">
                  <a14:compatExt spid="_x0000_s1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Autres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49</xdr:row>
          <xdr:rowOff>175260</xdr:rowOff>
        </xdr:from>
        <xdr:to>
          <xdr:col>4</xdr:col>
          <xdr:colOff>1584960</xdr:colOff>
          <xdr:row>50</xdr:row>
          <xdr:rowOff>182880</xdr:rowOff>
        </xdr:to>
        <xdr:sp macro="" textlink="">
          <xdr:nvSpPr>
            <xdr:cNvPr id="1687" name="Check Box 663" hidden="1">
              <a:extLst>
                <a:ext uri="{63B3BB69-23CF-44E3-9099-C40C66FF867C}">
                  <a14:compatExt spid="_x0000_s1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Campagne de sensibilisation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1592580</xdr:colOff>
          <xdr:row>49</xdr:row>
          <xdr:rowOff>175260</xdr:rowOff>
        </xdr:from>
        <xdr:to>
          <xdr:col>4</xdr:col>
          <xdr:colOff>2179320</xdr:colOff>
          <xdr:row>50</xdr:row>
          <xdr:rowOff>190500</xdr:rowOff>
        </xdr:to>
        <xdr:sp macro="" textlink="">
          <xdr:nvSpPr>
            <xdr:cNvPr id="1688" name="Check Box 664" hidden="1">
              <a:extLst>
                <a:ext uri="{63B3BB69-23CF-44E3-9099-C40C66FF867C}">
                  <a14:compatExt spid="_x0000_s1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Autres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50</xdr:row>
          <xdr:rowOff>175260</xdr:rowOff>
        </xdr:from>
        <xdr:to>
          <xdr:col>4</xdr:col>
          <xdr:colOff>1584960</xdr:colOff>
          <xdr:row>51</xdr:row>
          <xdr:rowOff>182880</xdr:rowOff>
        </xdr:to>
        <xdr:sp macro="" textlink="">
          <xdr:nvSpPr>
            <xdr:cNvPr id="1689" name="Check Box 665" hidden="1">
              <a:extLst>
                <a:ext uri="{63B3BB69-23CF-44E3-9099-C40C66FF867C}">
                  <a14:compatExt spid="_x0000_s1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Campagne de sensibilisation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1592580</xdr:colOff>
          <xdr:row>50</xdr:row>
          <xdr:rowOff>175260</xdr:rowOff>
        </xdr:from>
        <xdr:to>
          <xdr:col>4</xdr:col>
          <xdr:colOff>2179320</xdr:colOff>
          <xdr:row>51</xdr:row>
          <xdr:rowOff>190500</xdr:rowOff>
        </xdr:to>
        <xdr:sp macro="" textlink="">
          <xdr:nvSpPr>
            <xdr:cNvPr id="1690" name="Check Box 666" hidden="1">
              <a:extLst>
                <a:ext uri="{63B3BB69-23CF-44E3-9099-C40C66FF867C}">
                  <a14:compatExt spid="_x0000_s1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Autres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51</xdr:row>
          <xdr:rowOff>175260</xdr:rowOff>
        </xdr:from>
        <xdr:to>
          <xdr:col>4</xdr:col>
          <xdr:colOff>1584960</xdr:colOff>
          <xdr:row>52</xdr:row>
          <xdr:rowOff>182880</xdr:rowOff>
        </xdr:to>
        <xdr:sp macro="" textlink="">
          <xdr:nvSpPr>
            <xdr:cNvPr id="1691" name="Check Box 667" hidden="1">
              <a:extLst>
                <a:ext uri="{63B3BB69-23CF-44E3-9099-C40C66FF867C}">
                  <a14:compatExt spid="_x0000_s1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Campagne de sensibilisation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1592580</xdr:colOff>
          <xdr:row>51</xdr:row>
          <xdr:rowOff>175260</xdr:rowOff>
        </xdr:from>
        <xdr:to>
          <xdr:col>4</xdr:col>
          <xdr:colOff>2179320</xdr:colOff>
          <xdr:row>52</xdr:row>
          <xdr:rowOff>190500</xdr:rowOff>
        </xdr:to>
        <xdr:sp macro="" textlink="">
          <xdr:nvSpPr>
            <xdr:cNvPr id="1692" name="Check Box 668" hidden="1">
              <a:extLst>
                <a:ext uri="{63B3BB69-23CF-44E3-9099-C40C66FF867C}">
                  <a14:compatExt spid="_x0000_s1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Autres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5669280</xdr:colOff>
          <xdr:row>42</xdr:row>
          <xdr:rowOff>182880</xdr:rowOff>
        </xdr:from>
        <xdr:to>
          <xdr:col>3</xdr:col>
          <xdr:colOff>487680</xdr:colOff>
          <xdr:row>44</xdr:row>
          <xdr:rowOff>0</xdr:rowOff>
        </xdr:to>
        <xdr:sp macro="" textlink="">
          <xdr:nvSpPr>
            <xdr:cNvPr id="1709" name="Check Box 685" hidden="1">
              <a:extLst>
                <a:ext uri="{63B3BB69-23CF-44E3-9099-C40C66FF867C}">
                  <a14:compatExt spid="_x0000_s1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de contrôles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5669280</xdr:colOff>
          <xdr:row>43</xdr:row>
          <xdr:rowOff>160020</xdr:rowOff>
        </xdr:from>
        <xdr:to>
          <xdr:col>3</xdr:col>
          <xdr:colOff>495300</xdr:colOff>
          <xdr:row>44</xdr:row>
          <xdr:rowOff>190500</xdr:rowOff>
        </xdr:to>
        <xdr:sp macro="" textlink="">
          <xdr:nvSpPr>
            <xdr:cNvPr id="1710" name="Check Box 686" hidden="1">
              <a:extLst>
                <a:ext uri="{63B3BB69-23CF-44E3-9099-C40C66FF867C}">
                  <a14:compatExt spid="_x0000_s1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de contrôles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5669280</xdr:colOff>
          <xdr:row>44</xdr:row>
          <xdr:rowOff>160020</xdr:rowOff>
        </xdr:from>
        <xdr:to>
          <xdr:col>3</xdr:col>
          <xdr:colOff>495300</xdr:colOff>
          <xdr:row>45</xdr:row>
          <xdr:rowOff>190500</xdr:rowOff>
        </xdr:to>
        <xdr:sp macro="" textlink="">
          <xdr:nvSpPr>
            <xdr:cNvPr id="1711" name="Check Box 687" hidden="1">
              <a:extLst>
                <a:ext uri="{63B3BB69-23CF-44E3-9099-C40C66FF867C}">
                  <a14:compatExt spid="_x0000_s1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de contrôles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5669280</xdr:colOff>
          <xdr:row>45</xdr:row>
          <xdr:rowOff>160020</xdr:rowOff>
        </xdr:from>
        <xdr:to>
          <xdr:col>3</xdr:col>
          <xdr:colOff>495300</xdr:colOff>
          <xdr:row>46</xdr:row>
          <xdr:rowOff>190500</xdr:rowOff>
        </xdr:to>
        <xdr:sp macro="" textlink="">
          <xdr:nvSpPr>
            <xdr:cNvPr id="1712" name="Check Box 688" hidden="1">
              <a:extLst>
                <a:ext uri="{63B3BB69-23CF-44E3-9099-C40C66FF867C}">
                  <a14:compatExt spid="_x0000_s1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de contrôles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5669280</xdr:colOff>
          <xdr:row>46</xdr:row>
          <xdr:rowOff>160020</xdr:rowOff>
        </xdr:from>
        <xdr:to>
          <xdr:col>3</xdr:col>
          <xdr:colOff>495300</xdr:colOff>
          <xdr:row>47</xdr:row>
          <xdr:rowOff>190500</xdr:rowOff>
        </xdr:to>
        <xdr:sp macro="" textlink="">
          <xdr:nvSpPr>
            <xdr:cNvPr id="1713" name="Check Box 689" hidden="1">
              <a:extLst>
                <a:ext uri="{63B3BB69-23CF-44E3-9099-C40C66FF867C}">
                  <a14:compatExt spid="_x0000_s1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de contrôles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5669280</xdr:colOff>
          <xdr:row>47</xdr:row>
          <xdr:rowOff>152400</xdr:rowOff>
        </xdr:from>
        <xdr:to>
          <xdr:col>3</xdr:col>
          <xdr:colOff>495300</xdr:colOff>
          <xdr:row>48</xdr:row>
          <xdr:rowOff>182880</xdr:rowOff>
        </xdr:to>
        <xdr:sp macro="" textlink="">
          <xdr:nvSpPr>
            <xdr:cNvPr id="1714" name="Check Box 690" hidden="1">
              <a:extLst>
                <a:ext uri="{63B3BB69-23CF-44E3-9099-C40C66FF867C}">
                  <a14:compatExt spid="_x0000_s1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de contrôles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5669280</xdr:colOff>
          <xdr:row>48</xdr:row>
          <xdr:rowOff>152400</xdr:rowOff>
        </xdr:from>
        <xdr:to>
          <xdr:col>3</xdr:col>
          <xdr:colOff>495300</xdr:colOff>
          <xdr:row>49</xdr:row>
          <xdr:rowOff>182880</xdr:rowOff>
        </xdr:to>
        <xdr:sp macro="" textlink="">
          <xdr:nvSpPr>
            <xdr:cNvPr id="1715" name="Check Box 691" hidden="1">
              <a:extLst>
                <a:ext uri="{63B3BB69-23CF-44E3-9099-C40C66FF867C}">
                  <a14:compatExt spid="_x0000_s1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de contrôles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5669280</xdr:colOff>
          <xdr:row>49</xdr:row>
          <xdr:rowOff>152400</xdr:rowOff>
        </xdr:from>
        <xdr:to>
          <xdr:col>3</xdr:col>
          <xdr:colOff>495300</xdr:colOff>
          <xdr:row>50</xdr:row>
          <xdr:rowOff>182880</xdr:rowOff>
        </xdr:to>
        <xdr:sp macro="" textlink="">
          <xdr:nvSpPr>
            <xdr:cNvPr id="1716" name="Check Box 692" hidden="1">
              <a:extLst>
                <a:ext uri="{63B3BB69-23CF-44E3-9099-C40C66FF867C}">
                  <a14:compatExt spid="_x0000_s1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de contrôles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5669280</xdr:colOff>
          <xdr:row>50</xdr:row>
          <xdr:rowOff>152400</xdr:rowOff>
        </xdr:from>
        <xdr:to>
          <xdr:col>3</xdr:col>
          <xdr:colOff>495300</xdr:colOff>
          <xdr:row>51</xdr:row>
          <xdr:rowOff>182880</xdr:rowOff>
        </xdr:to>
        <xdr:sp macro="" textlink="">
          <xdr:nvSpPr>
            <xdr:cNvPr id="1717" name="Check Box 693" hidden="1">
              <a:extLst>
                <a:ext uri="{63B3BB69-23CF-44E3-9099-C40C66FF867C}">
                  <a14:compatExt spid="_x0000_s1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de contrôles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5669280</xdr:colOff>
          <xdr:row>51</xdr:row>
          <xdr:rowOff>152400</xdr:rowOff>
        </xdr:from>
        <xdr:to>
          <xdr:col>3</xdr:col>
          <xdr:colOff>495300</xdr:colOff>
          <xdr:row>52</xdr:row>
          <xdr:rowOff>182880</xdr:rowOff>
        </xdr:to>
        <xdr:sp macro="" textlink="">
          <xdr:nvSpPr>
            <xdr:cNvPr id="1718" name="Check Box 694" hidden="1">
              <a:extLst>
                <a:ext uri="{63B3BB69-23CF-44E3-9099-C40C66FF867C}">
                  <a14:compatExt spid="_x0000_s1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Système de contrôles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5669280</xdr:colOff>
          <xdr:row>42</xdr:row>
          <xdr:rowOff>182880</xdr:rowOff>
        </xdr:from>
        <xdr:to>
          <xdr:col>3</xdr:col>
          <xdr:colOff>1821180</xdr:colOff>
          <xdr:row>44</xdr:row>
          <xdr:rowOff>0</xdr:rowOff>
        </xdr:to>
        <xdr:sp macro="" textlink="">
          <xdr:nvSpPr>
            <xdr:cNvPr id="1722" name="Check Box 698" hidden="1">
              <a:extLst>
                <a:ext uri="{63B3BB69-23CF-44E3-9099-C40C66FF867C}">
                  <a14:compatExt spid="_x0000_s1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Murs, portes, fenêtres, toits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5669280</xdr:colOff>
          <xdr:row>43</xdr:row>
          <xdr:rowOff>160020</xdr:rowOff>
        </xdr:from>
        <xdr:to>
          <xdr:col>3</xdr:col>
          <xdr:colOff>1828800</xdr:colOff>
          <xdr:row>44</xdr:row>
          <xdr:rowOff>190500</xdr:rowOff>
        </xdr:to>
        <xdr:sp macro="" textlink="">
          <xdr:nvSpPr>
            <xdr:cNvPr id="1723" name="Check Box 699" hidden="1">
              <a:extLst>
                <a:ext uri="{63B3BB69-23CF-44E3-9099-C40C66FF867C}">
                  <a14:compatExt spid="_x0000_s1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Murs, portes, fenêtres, toits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5669280</xdr:colOff>
          <xdr:row>44</xdr:row>
          <xdr:rowOff>160020</xdr:rowOff>
        </xdr:from>
        <xdr:to>
          <xdr:col>3</xdr:col>
          <xdr:colOff>1828800</xdr:colOff>
          <xdr:row>45</xdr:row>
          <xdr:rowOff>190500</xdr:rowOff>
        </xdr:to>
        <xdr:sp macro="" textlink="">
          <xdr:nvSpPr>
            <xdr:cNvPr id="1724" name="Check Box 700" hidden="1">
              <a:extLst>
                <a:ext uri="{63B3BB69-23CF-44E3-9099-C40C66FF867C}">
                  <a14:compatExt spid="_x0000_s1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Murs, portes, fenêtres, toits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5669280</xdr:colOff>
          <xdr:row>45</xdr:row>
          <xdr:rowOff>160020</xdr:rowOff>
        </xdr:from>
        <xdr:to>
          <xdr:col>3</xdr:col>
          <xdr:colOff>1828800</xdr:colOff>
          <xdr:row>46</xdr:row>
          <xdr:rowOff>190500</xdr:rowOff>
        </xdr:to>
        <xdr:sp macro="" textlink="">
          <xdr:nvSpPr>
            <xdr:cNvPr id="1725" name="Check Box 701" hidden="1">
              <a:extLst>
                <a:ext uri="{63B3BB69-23CF-44E3-9099-C40C66FF867C}">
                  <a14:compatExt spid="_x0000_s1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Murs, portes, fenêtres, toits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5669280</xdr:colOff>
          <xdr:row>46</xdr:row>
          <xdr:rowOff>160020</xdr:rowOff>
        </xdr:from>
        <xdr:to>
          <xdr:col>3</xdr:col>
          <xdr:colOff>1828800</xdr:colOff>
          <xdr:row>47</xdr:row>
          <xdr:rowOff>190500</xdr:rowOff>
        </xdr:to>
        <xdr:sp macro="" textlink="">
          <xdr:nvSpPr>
            <xdr:cNvPr id="1726" name="Check Box 702" hidden="1">
              <a:extLst>
                <a:ext uri="{63B3BB69-23CF-44E3-9099-C40C66FF867C}">
                  <a14:compatExt spid="_x0000_s1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Murs, portes, fenêtres, toits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5669280</xdr:colOff>
          <xdr:row>47</xdr:row>
          <xdr:rowOff>152400</xdr:rowOff>
        </xdr:from>
        <xdr:to>
          <xdr:col>3</xdr:col>
          <xdr:colOff>1828800</xdr:colOff>
          <xdr:row>48</xdr:row>
          <xdr:rowOff>182880</xdr:rowOff>
        </xdr:to>
        <xdr:sp macro="" textlink="">
          <xdr:nvSpPr>
            <xdr:cNvPr id="1727" name="Check Box 703" hidden="1">
              <a:extLst>
                <a:ext uri="{63B3BB69-23CF-44E3-9099-C40C66FF867C}">
                  <a14:compatExt spid="_x0000_s1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Murs, portes, fenêtres, toits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5669280</xdr:colOff>
          <xdr:row>48</xdr:row>
          <xdr:rowOff>152400</xdr:rowOff>
        </xdr:from>
        <xdr:to>
          <xdr:col>3</xdr:col>
          <xdr:colOff>1828800</xdr:colOff>
          <xdr:row>49</xdr:row>
          <xdr:rowOff>182880</xdr:rowOff>
        </xdr:to>
        <xdr:sp macro="" textlink="">
          <xdr:nvSpPr>
            <xdr:cNvPr id="1728" name="Check Box 704" hidden="1">
              <a:extLst>
                <a:ext uri="{63B3BB69-23CF-44E3-9099-C40C66FF867C}">
                  <a14:compatExt spid="_x0000_s1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Murs, portes, fenêtres, toits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5669280</xdr:colOff>
          <xdr:row>49</xdr:row>
          <xdr:rowOff>152400</xdr:rowOff>
        </xdr:from>
        <xdr:to>
          <xdr:col>3</xdr:col>
          <xdr:colOff>1828800</xdr:colOff>
          <xdr:row>50</xdr:row>
          <xdr:rowOff>182880</xdr:rowOff>
        </xdr:to>
        <xdr:sp macro="" textlink="">
          <xdr:nvSpPr>
            <xdr:cNvPr id="1729" name="Check Box 705" hidden="1">
              <a:extLst>
                <a:ext uri="{63B3BB69-23CF-44E3-9099-C40C66FF867C}">
                  <a14:compatExt spid="_x0000_s1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Murs, portes, fenêtres, toits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5669280</xdr:colOff>
          <xdr:row>50</xdr:row>
          <xdr:rowOff>152400</xdr:rowOff>
        </xdr:from>
        <xdr:to>
          <xdr:col>3</xdr:col>
          <xdr:colOff>1828800</xdr:colOff>
          <xdr:row>51</xdr:row>
          <xdr:rowOff>182880</xdr:rowOff>
        </xdr:to>
        <xdr:sp macro="" textlink="">
          <xdr:nvSpPr>
            <xdr:cNvPr id="1730" name="Check Box 706" hidden="1">
              <a:extLst>
                <a:ext uri="{63B3BB69-23CF-44E3-9099-C40C66FF867C}">
                  <a14:compatExt spid="_x0000_s1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Murs, portes, fenêtres, toits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5669280</xdr:colOff>
          <xdr:row>51</xdr:row>
          <xdr:rowOff>152400</xdr:rowOff>
        </xdr:from>
        <xdr:to>
          <xdr:col>3</xdr:col>
          <xdr:colOff>1828800</xdr:colOff>
          <xdr:row>52</xdr:row>
          <xdr:rowOff>182880</xdr:rowOff>
        </xdr:to>
        <xdr:sp macro="" textlink="">
          <xdr:nvSpPr>
            <xdr:cNvPr id="1731" name="Check Box 707" hidden="1">
              <a:extLst>
                <a:ext uri="{63B3BB69-23CF-44E3-9099-C40C66FF867C}">
                  <a14:compatExt spid="_x0000_s1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Murs, portes, fenêtres, toits</a:t>
              </a:r>
            </a:p>
          </xdr:txBody>
        </xdr:sp>
        <xdr:clientData/>
      </xdr:twoCellAnchor>
    </mc:Choice>
    <mc:Fallback/>
  </mc:AlternateContent>
  <xdr:twoCellAnchor editAs="oneCell">
    <xdr:from>
      <xdr:col>0</xdr:col>
      <xdr:colOff>0</xdr:colOff>
      <xdr:row>0</xdr:row>
      <xdr:rowOff>695325</xdr:rowOff>
    </xdr:from>
    <xdr:to>
      <xdr:col>0</xdr:col>
      <xdr:colOff>2038350</xdr:colOff>
      <xdr:row>4</xdr:row>
      <xdr:rowOff>28575</xdr:rowOff>
    </xdr:to>
    <xdr:pic>
      <xdr:nvPicPr>
        <xdr:cNvPr id="33087" name="Image 8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383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4107180</xdr:colOff>
          <xdr:row>26</xdr:row>
          <xdr:rowOff>0</xdr:rowOff>
        </xdr:from>
        <xdr:to>
          <xdr:col>1</xdr:col>
          <xdr:colOff>5113020</xdr:colOff>
          <xdr:row>27</xdr:row>
          <xdr:rowOff>22860</xdr:rowOff>
        </xdr:to>
        <xdr:sp macro="" textlink="">
          <xdr:nvSpPr>
            <xdr:cNvPr id="32791" name="Option Button 1047" hidden="1">
              <a:extLst>
                <a:ext uri="{63B3BB69-23CF-44E3-9099-C40C66FF867C}">
                  <a14:compatExt spid="_x0000_s32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800" b="0" i="0" u="none" strike="noStrike" baseline="0">
                  <a:solidFill>
                    <a:srgbClr val="000000"/>
                  </a:solidFill>
                  <a:latin typeface="Tahoma"/>
                  <a:ea typeface="Tahoma"/>
                  <a:cs typeface="Tahoma"/>
                </a:rPr>
                <a:t>Ne pas afficher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26</xdr:row>
          <xdr:rowOff>0</xdr:rowOff>
        </xdr:from>
        <xdr:to>
          <xdr:col>1</xdr:col>
          <xdr:colOff>3947160</xdr:colOff>
          <xdr:row>27</xdr:row>
          <xdr:rowOff>22860</xdr:rowOff>
        </xdr:to>
        <xdr:sp macro="" textlink="">
          <xdr:nvSpPr>
            <xdr:cNvPr id="32792" name="Option Button 1048" hidden="1">
              <a:extLst>
                <a:ext uri="{63B3BB69-23CF-44E3-9099-C40C66FF867C}">
                  <a14:compatExt spid="_x0000_s32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800" b="0" i="0" u="none" strike="noStrike" baseline="0">
                  <a:solidFill>
                    <a:srgbClr val="000000"/>
                  </a:solidFill>
                  <a:latin typeface="Tahoma"/>
                  <a:ea typeface="Tahoma"/>
                  <a:cs typeface="Tahoma"/>
                </a:rPr>
                <a:t>Afficher les autres types d'énergie (biomasse, vapeur, eau refroidie, eau chaude)</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942975</xdr:colOff>
      <xdr:row>0</xdr:row>
      <xdr:rowOff>914400</xdr:rowOff>
    </xdr:to>
    <xdr:pic>
      <xdr:nvPicPr>
        <xdr:cNvPr id="13274"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478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704850</xdr:colOff>
      <xdr:row>0</xdr:row>
      <xdr:rowOff>914400</xdr:rowOff>
    </xdr:to>
    <xdr:pic>
      <xdr:nvPicPr>
        <xdr:cNvPr id="14320"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383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942975</xdr:colOff>
      <xdr:row>0</xdr:row>
      <xdr:rowOff>914400</xdr:rowOff>
    </xdr:to>
    <xdr:pic>
      <xdr:nvPicPr>
        <xdr:cNvPr id="15337"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478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942975</xdr:colOff>
      <xdr:row>0</xdr:row>
      <xdr:rowOff>914400</xdr:rowOff>
    </xdr:to>
    <xdr:pic>
      <xdr:nvPicPr>
        <xdr:cNvPr id="16349"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478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523875</xdr:colOff>
      <xdr:row>0</xdr:row>
      <xdr:rowOff>914400</xdr:rowOff>
    </xdr:to>
    <xdr:pic>
      <xdr:nvPicPr>
        <xdr:cNvPr id="17369"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383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723900</xdr:colOff>
          <xdr:row>27</xdr:row>
          <xdr:rowOff>220980</xdr:rowOff>
        </xdr:from>
        <xdr:to>
          <xdr:col>7</xdr:col>
          <xdr:colOff>487680</xdr:colOff>
          <xdr:row>29</xdr:row>
          <xdr:rowOff>0</xdr:rowOff>
        </xdr:to>
        <xdr:sp macro="" textlink="">
          <xdr:nvSpPr>
            <xdr:cNvPr id="35841" name="Check Box 1" hidden="1">
              <a:extLst>
                <a:ext uri="{63B3BB69-23CF-44E3-9099-C40C66FF867C}">
                  <a14:compatExt spid="_x0000_s35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 La valeur de superficie qui est transmise a TEQ contient des surfaces louées.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723900</xdr:colOff>
          <xdr:row>29</xdr:row>
          <xdr:rowOff>22860</xdr:rowOff>
        </xdr:from>
        <xdr:to>
          <xdr:col>5</xdr:col>
          <xdr:colOff>198120</xdr:colOff>
          <xdr:row>30</xdr:row>
          <xdr:rowOff>7620</xdr:rowOff>
        </xdr:to>
        <xdr:sp macro="" textlink="">
          <xdr:nvSpPr>
            <xdr:cNvPr id="35842" name="Check Box 2" hidden="1">
              <a:extLst>
                <a:ext uri="{63B3BB69-23CF-44E3-9099-C40C66FF867C}">
                  <a14:compatExt spid="_x0000_s35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 Les valeurs de consommation transmises a TEQ proviennent totalement ou en partie de surfaces louées.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723900</xdr:colOff>
          <xdr:row>30</xdr:row>
          <xdr:rowOff>30480</xdr:rowOff>
        </xdr:from>
        <xdr:to>
          <xdr:col>5</xdr:col>
          <xdr:colOff>220980</xdr:colOff>
          <xdr:row>31</xdr:row>
          <xdr:rowOff>22860</xdr:rowOff>
        </xdr:to>
        <xdr:sp macro="" textlink="">
          <xdr:nvSpPr>
            <xdr:cNvPr id="35843" name="Check Box 3" hidden="1">
              <a:extLst>
                <a:ext uri="{63B3BB69-23CF-44E3-9099-C40C66FF867C}">
                  <a14:compatExt spid="_x0000_s35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 Un ou des projets modifiant la superficie de votre parc de bâtiments a été fait lors de l'année de suivi.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723900</xdr:colOff>
          <xdr:row>31</xdr:row>
          <xdr:rowOff>45720</xdr:rowOff>
        </xdr:from>
        <xdr:to>
          <xdr:col>5</xdr:col>
          <xdr:colOff>350520</xdr:colOff>
          <xdr:row>31</xdr:row>
          <xdr:rowOff>198120</xdr:rowOff>
        </xdr:to>
        <xdr:sp macro="" textlink="">
          <xdr:nvSpPr>
            <xdr:cNvPr id="35844" name="Check Box 4" hidden="1">
              <a:extLst>
                <a:ext uri="{63B3BB69-23CF-44E3-9099-C40C66FF867C}">
                  <a14:compatExt spid="_x0000_s35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 Les taxes de ventes sont inclues totalement ou en partie dans le montant dépensé en énergie.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723900</xdr:colOff>
          <xdr:row>32</xdr:row>
          <xdr:rowOff>7620</xdr:rowOff>
        </xdr:from>
        <xdr:to>
          <xdr:col>4</xdr:col>
          <xdr:colOff>922020</xdr:colOff>
          <xdr:row>33</xdr:row>
          <xdr:rowOff>0</xdr:rowOff>
        </xdr:to>
        <xdr:sp macro="" textlink="">
          <xdr:nvSpPr>
            <xdr:cNvPr id="35845" name="Check Box 5" hidden="1">
              <a:extLst>
                <a:ext uri="{63B3BB69-23CF-44E3-9099-C40C66FF867C}">
                  <a14:compatExt spid="_x0000_s35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 Les murs extérieurs sont exclus de la valeur de superficie. </a:t>
              </a:r>
            </a:p>
          </xdr:txBody>
        </xdr:sp>
        <xdr:clientData/>
      </xdr:twoCellAnchor>
    </mc:Choice>
    <mc:Fallback/>
  </mc:AlternateContent>
  <xdr:twoCellAnchor editAs="oneCell">
    <xdr:from>
      <xdr:col>0</xdr:col>
      <xdr:colOff>0</xdr:colOff>
      <xdr:row>0</xdr:row>
      <xdr:rowOff>0</xdr:rowOff>
    </xdr:from>
    <xdr:to>
      <xdr:col>1</xdr:col>
      <xdr:colOff>942975</xdr:colOff>
      <xdr:row>0</xdr:row>
      <xdr:rowOff>914400</xdr:rowOff>
    </xdr:to>
    <xdr:pic>
      <xdr:nvPicPr>
        <xdr:cNvPr id="35940"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478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723900</xdr:colOff>
          <xdr:row>27</xdr:row>
          <xdr:rowOff>220980</xdr:rowOff>
        </xdr:from>
        <xdr:to>
          <xdr:col>7</xdr:col>
          <xdr:colOff>487680</xdr:colOff>
          <xdr:row>29</xdr:row>
          <xdr:rowOff>0</xdr:rowOff>
        </xdr:to>
        <xdr:sp macro="" textlink="">
          <xdr:nvSpPr>
            <xdr:cNvPr id="34817" name="Check Box 1" hidden="1">
              <a:extLst>
                <a:ext uri="{63B3BB69-23CF-44E3-9099-C40C66FF867C}">
                  <a14:compatExt spid="_x0000_s34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 La valeur de superficie qui est transmise a TEQ contient des surfaces louées.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723900</xdr:colOff>
          <xdr:row>29</xdr:row>
          <xdr:rowOff>22860</xdr:rowOff>
        </xdr:from>
        <xdr:to>
          <xdr:col>5</xdr:col>
          <xdr:colOff>198120</xdr:colOff>
          <xdr:row>30</xdr:row>
          <xdr:rowOff>7620</xdr:rowOff>
        </xdr:to>
        <xdr:sp macro="" textlink="">
          <xdr:nvSpPr>
            <xdr:cNvPr id="34818" name="Check Box 2" hidden="1">
              <a:extLst>
                <a:ext uri="{63B3BB69-23CF-44E3-9099-C40C66FF867C}">
                  <a14:compatExt spid="_x0000_s34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 Les valeurs de consommation transmises a TEQ proviennent totalement ou en partie de surfaces louées.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723900</xdr:colOff>
          <xdr:row>30</xdr:row>
          <xdr:rowOff>30480</xdr:rowOff>
        </xdr:from>
        <xdr:to>
          <xdr:col>5</xdr:col>
          <xdr:colOff>220980</xdr:colOff>
          <xdr:row>31</xdr:row>
          <xdr:rowOff>22860</xdr:rowOff>
        </xdr:to>
        <xdr:sp macro="" textlink="">
          <xdr:nvSpPr>
            <xdr:cNvPr id="34819" name="Check Box 3" hidden="1">
              <a:extLst>
                <a:ext uri="{63B3BB69-23CF-44E3-9099-C40C66FF867C}">
                  <a14:compatExt spid="_x0000_s34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 Un ou des projets modifiant la superficie de votre parc de bâtiments a été fait lors de l'année de suivi.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723900</xdr:colOff>
          <xdr:row>31</xdr:row>
          <xdr:rowOff>45720</xdr:rowOff>
        </xdr:from>
        <xdr:to>
          <xdr:col>5</xdr:col>
          <xdr:colOff>350520</xdr:colOff>
          <xdr:row>31</xdr:row>
          <xdr:rowOff>198120</xdr:rowOff>
        </xdr:to>
        <xdr:sp macro="" textlink="">
          <xdr:nvSpPr>
            <xdr:cNvPr id="34820" name="Check Box 4" hidden="1">
              <a:extLst>
                <a:ext uri="{63B3BB69-23CF-44E3-9099-C40C66FF867C}">
                  <a14:compatExt spid="_x0000_s34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 Les taxes de ventes sont inclues totalement ou en partie dans le montant dépensé en énergie.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723900</xdr:colOff>
          <xdr:row>32</xdr:row>
          <xdr:rowOff>7620</xdr:rowOff>
        </xdr:from>
        <xdr:to>
          <xdr:col>4</xdr:col>
          <xdr:colOff>922020</xdr:colOff>
          <xdr:row>33</xdr:row>
          <xdr:rowOff>0</xdr:rowOff>
        </xdr:to>
        <xdr:sp macro="" textlink="">
          <xdr:nvSpPr>
            <xdr:cNvPr id="34821" name="Check Box 5" hidden="1">
              <a:extLst>
                <a:ext uri="{63B3BB69-23CF-44E3-9099-C40C66FF867C}">
                  <a14:compatExt spid="_x0000_s34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ea typeface="Segoe UI"/>
                  <a:cs typeface="Segoe UI"/>
                </a:rPr>
                <a:t> Les murs extérieurs sont exclus de la valeur de superficie. </a:t>
              </a:r>
            </a:p>
          </xdr:txBody>
        </xdr:sp>
        <xdr:clientData/>
      </xdr:twoCellAnchor>
    </mc:Choice>
    <mc:Fallback/>
  </mc:AlternateContent>
  <xdr:twoCellAnchor editAs="oneCell">
    <xdr:from>
      <xdr:col>0</xdr:col>
      <xdr:colOff>0</xdr:colOff>
      <xdr:row>0</xdr:row>
      <xdr:rowOff>0</xdr:rowOff>
    </xdr:from>
    <xdr:to>
      <xdr:col>1</xdr:col>
      <xdr:colOff>942975</xdr:colOff>
      <xdr:row>0</xdr:row>
      <xdr:rowOff>914400</xdr:rowOff>
    </xdr:to>
    <xdr:pic>
      <xdr:nvPicPr>
        <xdr:cNvPr id="34916"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478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fficaciteenergetique.gouv.qc.ca/H1152ae/RN_Energie/Affaires/Institutionnel/12.RedditionCompte/DonneesEnergetiques/CompilationEnergetiqueM-Ov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erations"/>
      <sheetName val="Critère 5"/>
      <sheetName val="Critères"/>
      <sheetName val="BilansBât"/>
      <sheetName val="Bâtiments"/>
      <sheetName val="topoVéhicules"/>
      <sheetName val="TransportDonnees"/>
      <sheetName val="BilansTransport"/>
      <sheetName val="PrixEssence"/>
      <sheetName val="Bilan09-10"/>
      <sheetName val="TransportModele"/>
      <sheetName val="DJC"/>
      <sheetName val="Transition_Bâtiment"/>
      <sheetName val="Table de conversion"/>
      <sheetName val="Désuet(double)"/>
    </sheetNames>
    <sheetDataSet>
      <sheetData sheetId="0"/>
      <sheetData sheetId="1"/>
      <sheetData sheetId="2"/>
      <sheetData sheetId="3"/>
      <sheetData sheetId="4"/>
      <sheetData sheetId="5"/>
      <sheetData sheetId="6"/>
      <sheetData sheetId="7"/>
      <sheetData sheetId="8"/>
      <sheetData sheetId="9"/>
      <sheetData sheetId="10"/>
      <sheetData sheetId="11">
        <row r="8">
          <cell r="B8" t="str">
            <v>2000-2001</v>
          </cell>
          <cell r="C8">
            <v>5169.4000000000005</v>
          </cell>
          <cell r="D8">
            <v>5208</v>
          </cell>
          <cell r="E8">
            <v>4938.57</v>
          </cell>
          <cell r="F8">
            <v>-4.3553878034339778E-2</v>
          </cell>
          <cell r="G8">
            <v>4.6740250720350394E-2</v>
          </cell>
          <cell r="H8">
            <v>-7.4116743471581131E-3</v>
          </cell>
        </row>
        <row r="9">
          <cell r="B9" t="str">
            <v>2001-2002</v>
          </cell>
          <cell r="C9">
            <v>4549.4999999999991</v>
          </cell>
          <cell r="D9">
            <v>5208</v>
          </cell>
          <cell r="E9">
            <v>4938.57</v>
          </cell>
          <cell r="F9">
            <v>-0.15824822380106593</v>
          </cell>
          <cell r="G9">
            <v>-7.8781914602810255E-2</v>
          </cell>
          <cell r="H9">
            <v>-0.1264400921658988</v>
          </cell>
        </row>
        <row r="10">
          <cell r="B10" t="str">
            <v>2002-2003</v>
          </cell>
          <cell r="C10">
            <v>5404.8</v>
          </cell>
          <cell r="D10">
            <v>5208</v>
          </cell>
          <cell r="E10">
            <v>4938.57</v>
          </cell>
          <cell r="F10">
            <v>0</v>
          </cell>
          <cell r="G10">
            <v>9.4405870525273605E-2</v>
          </cell>
          <cell r="H10">
            <v>3.7788018433179756E-2</v>
          </cell>
        </row>
        <row r="11">
          <cell r="B11" t="str">
            <v>2003-2004</v>
          </cell>
          <cell r="C11">
            <v>5154.3</v>
          </cell>
          <cell r="D11">
            <v>5208</v>
          </cell>
          <cell r="E11">
            <v>4938.57</v>
          </cell>
          <cell r="F11">
            <v>-4.6347690941385432E-2</v>
          </cell>
          <cell r="G11">
            <v>4.3682685473730345E-2</v>
          </cell>
          <cell r="H11">
            <v>-1.0311059907834066E-2</v>
          </cell>
        </row>
        <row r="12">
          <cell r="B12" t="str">
            <v>2004-2005</v>
          </cell>
          <cell r="C12">
            <v>5117.8999999999996</v>
          </cell>
          <cell r="D12">
            <v>5208</v>
          </cell>
          <cell r="E12">
            <v>4938.57</v>
          </cell>
          <cell r="F12">
            <v>-5.3082445233866293E-2</v>
          </cell>
          <cell r="G12">
            <v>3.6312130839494014E-2</v>
          </cell>
          <cell r="H12">
            <v>-1.730030721966213E-2</v>
          </cell>
        </row>
        <row r="13">
          <cell r="B13" t="str">
            <v>2005-2006</v>
          </cell>
          <cell r="C13">
            <v>4672.3</v>
          </cell>
          <cell r="D13">
            <v>5208</v>
          </cell>
          <cell r="E13">
            <v>4938.57</v>
          </cell>
          <cell r="F13">
            <v>-0.1355276791000592</v>
          </cell>
          <cell r="G13">
            <v>-5.3916417100496612E-2</v>
          </cell>
          <cell r="H13">
            <v>-0.10286098310291855</v>
          </cell>
        </row>
        <row r="14">
          <cell r="B14" t="str">
            <v>2006-2007</v>
          </cell>
          <cell r="C14">
            <v>4766.7</v>
          </cell>
          <cell r="D14">
            <v>5208</v>
          </cell>
          <cell r="E14">
            <v>4938.57</v>
          </cell>
          <cell r="F14">
            <v>-0.11806172291296632</v>
          </cell>
          <cell r="G14">
            <v>-3.4801572115004932E-2</v>
          </cell>
          <cell r="H14">
            <v>-8.4735023041474691E-2</v>
          </cell>
        </row>
        <row r="15">
          <cell r="B15" t="str">
            <v>2007-2008</v>
          </cell>
          <cell r="C15">
            <v>4997.2</v>
          </cell>
          <cell r="D15">
            <v>5208</v>
          </cell>
          <cell r="E15">
            <v>4938.57</v>
          </cell>
          <cell r="F15">
            <v>-7.5414446417998882E-2</v>
          </cell>
          <cell r="G15">
            <v>1.1871857643001945E-2</v>
          </cell>
          <cell r="H15">
            <v>-4.0476190476190513E-2</v>
          </cell>
        </row>
        <row r="16">
          <cell r="B16" t="str">
            <v>2008-2009</v>
          </cell>
          <cell r="C16">
            <v>5050.1000000000004</v>
          </cell>
          <cell r="D16">
            <v>5208</v>
          </cell>
          <cell r="E16">
            <v>4938.57</v>
          </cell>
          <cell r="F16">
            <v>-6.562685020722317E-2</v>
          </cell>
          <cell r="G16">
            <v>2.2583460394405803E-2</v>
          </cell>
          <cell r="H16">
            <v>-3.031874039938549E-2</v>
          </cell>
        </row>
        <row r="17">
          <cell r="B17" t="str">
            <v>2009-2010</v>
          </cell>
          <cell r="C17">
            <v>4503.5</v>
          </cell>
          <cell r="D17">
            <v>5208</v>
          </cell>
          <cell r="E17">
            <v>4938.57</v>
          </cell>
          <cell r="F17">
            <v>-0.16675917702782714</v>
          </cell>
          <cell r="G17">
            <v>-8.8096351777943768E-2</v>
          </cell>
          <cell r="H17">
            <v>-0.1352726574500768</v>
          </cell>
        </row>
        <row r="18">
          <cell r="B18" t="str">
            <v>2010-2011</v>
          </cell>
          <cell r="C18">
            <v>4708.2</v>
          </cell>
          <cell r="D18">
            <v>5208</v>
          </cell>
          <cell r="E18">
            <v>4938.57</v>
          </cell>
          <cell r="F18">
            <v>-0.12888543516873896</v>
          </cell>
          <cell r="G18">
            <v>-4.6647106348598866E-2</v>
          </cell>
          <cell r="H18">
            <v>-9.5967741935483908E-2</v>
          </cell>
        </row>
      </sheetData>
      <sheetData sheetId="12"/>
      <sheetData sheetId="13"/>
      <sheetData sheetId="14"/>
    </sheetDataSet>
  </externalBook>
</externalLink>
</file>

<file path=xl/tables/table1.xml><?xml version="1.0" encoding="utf-8"?>
<table xmlns="http://schemas.openxmlformats.org/spreadsheetml/2006/main" id="2" name="Tableau2" displayName="Tableau2" ref="B3:D17" totalsRowShown="0" headerRowDxfId="66" dataDxfId="65">
  <autoFilter ref="B3:D17">
    <filterColumn colId="0" hiddenButton="1"/>
    <filterColumn colId="1" hiddenButton="1"/>
    <filterColumn colId="2" hiddenButton="1"/>
  </autoFilter>
  <tableColumns count="3">
    <tableColumn id="1" name="Affirmation" dataDxfId="64"/>
    <tableColumn id="2" name="Adéquate" dataDxfId="63"/>
    <tableColumn id="3" name="Place à amélioration" dataDxfId="62"/>
  </tableColumns>
  <tableStyleInfo name="TableStyleMedium1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97.xml"/><Relationship Id="rId3" Type="http://schemas.openxmlformats.org/officeDocument/2006/relationships/vmlDrawing" Target="../drawings/vmlDrawing9.vml"/><Relationship Id="rId7" Type="http://schemas.openxmlformats.org/officeDocument/2006/relationships/ctrlProp" Target="../ctrlProps/ctrlProp96.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95.xml"/><Relationship Id="rId5" Type="http://schemas.openxmlformats.org/officeDocument/2006/relationships/ctrlProp" Target="../ctrlProps/ctrlProp94.xml"/><Relationship Id="rId4" Type="http://schemas.openxmlformats.org/officeDocument/2006/relationships/ctrlProp" Target="../ctrlProps/ctrlProp93.xml"/><Relationship Id="rId9"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02.xml"/><Relationship Id="rId3" Type="http://schemas.openxmlformats.org/officeDocument/2006/relationships/vmlDrawing" Target="../drawings/vmlDrawing10.vml"/><Relationship Id="rId7" Type="http://schemas.openxmlformats.org/officeDocument/2006/relationships/ctrlProp" Target="../ctrlProps/ctrlProp101.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100.xml"/><Relationship Id="rId5" Type="http://schemas.openxmlformats.org/officeDocument/2006/relationships/ctrlProp" Target="../ctrlProps/ctrlProp99.xml"/><Relationship Id="rId4" Type="http://schemas.openxmlformats.org/officeDocument/2006/relationships/ctrlProp" Target="../ctrlProps/ctrlProp98.xml"/><Relationship Id="rId9"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07.xml"/><Relationship Id="rId3" Type="http://schemas.openxmlformats.org/officeDocument/2006/relationships/vmlDrawing" Target="../drawings/vmlDrawing11.vml"/><Relationship Id="rId7" Type="http://schemas.openxmlformats.org/officeDocument/2006/relationships/ctrlProp" Target="../ctrlProps/ctrlProp106.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105.xml"/><Relationship Id="rId5" Type="http://schemas.openxmlformats.org/officeDocument/2006/relationships/ctrlProp" Target="../ctrlProps/ctrlProp104.xml"/><Relationship Id="rId4" Type="http://schemas.openxmlformats.org/officeDocument/2006/relationships/ctrlProp" Target="../ctrlProps/ctrlProp103.xml"/><Relationship Id="rId9"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12.xml"/><Relationship Id="rId3" Type="http://schemas.openxmlformats.org/officeDocument/2006/relationships/vmlDrawing" Target="../drawings/vmlDrawing12.vml"/><Relationship Id="rId7" Type="http://schemas.openxmlformats.org/officeDocument/2006/relationships/ctrlProp" Target="../ctrlProps/ctrlProp111.xml"/><Relationship Id="rId2" Type="http://schemas.openxmlformats.org/officeDocument/2006/relationships/drawing" Target="../drawings/drawing13.xml"/><Relationship Id="rId1" Type="http://schemas.openxmlformats.org/officeDocument/2006/relationships/printerSettings" Target="../printerSettings/printerSettings13.bin"/><Relationship Id="rId6" Type="http://schemas.openxmlformats.org/officeDocument/2006/relationships/ctrlProp" Target="../ctrlProps/ctrlProp110.xml"/><Relationship Id="rId5" Type="http://schemas.openxmlformats.org/officeDocument/2006/relationships/ctrlProp" Target="../ctrlProps/ctrlProp109.xml"/><Relationship Id="rId4" Type="http://schemas.openxmlformats.org/officeDocument/2006/relationships/ctrlProp" Target="../ctrlProps/ctrlProp108.xml"/><Relationship Id="rId9"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17.xml"/><Relationship Id="rId3" Type="http://schemas.openxmlformats.org/officeDocument/2006/relationships/vmlDrawing" Target="../drawings/vmlDrawing13.vml"/><Relationship Id="rId7" Type="http://schemas.openxmlformats.org/officeDocument/2006/relationships/ctrlProp" Target="../ctrlProps/ctrlProp116.x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ctrlProp" Target="../ctrlProps/ctrlProp115.xml"/><Relationship Id="rId5" Type="http://schemas.openxmlformats.org/officeDocument/2006/relationships/ctrlProp" Target="../ctrlProps/ctrlProp114.xml"/><Relationship Id="rId4" Type="http://schemas.openxmlformats.org/officeDocument/2006/relationships/ctrlProp" Target="../ctrlProps/ctrlProp113.xml"/><Relationship Id="rId9"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aqme.org/DATA/TEXTEDOC/Mtl_chauffage_mai13.pdf"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unfccc.int/national_reports/annex_i_ghg_inventories/national_inventories_submissions/items/10116.php" TargetMode="External"/><Relationship Id="rId7" Type="http://schemas.openxmlformats.org/officeDocument/2006/relationships/comments" Target="../comments14.xml"/><Relationship Id="rId2" Type="http://schemas.openxmlformats.org/officeDocument/2006/relationships/hyperlink" Target="http://unfccc.int/national_reports/annex_i_ghg_inventories/national_inventories_submissions/items/9492.php" TargetMode="External"/><Relationship Id="rId1" Type="http://schemas.openxmlformats.org/officeDocument/2006/relationships/hyperlink" Target="http://legisquebec.gouv.qc.ca/fr/ShowDoc/cr/Q-2,%20r.%2015" TargetMode="External"/><Relationship Id="rId6" Type="http://schemas.openxmlformats.org/officeDocument/2006/relationships/vmlDrawing" Target="../drawings/vmlDrawing14.vml"/><Relationship Id="rId5" Type="http://schemas.openxmlformats.org/officeDocument/2006/relationships/drawing" Target="../drawings/drawing16.xm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87.xml"/><Relationship Id="rId3" Type="http://schemas.openxmlformats.org/officeDocument/2006/relationships/vmlDrawing" Target="../drawings/vmlDrawing7.vml"/><Relationship Id="rId7" Type="http://schemas.openxmlformats.org/officeDocument/2006/relationships/ctrlProp" Target="../ctrlProps/ctrlProp86.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85.xml"/><Relationship Id="rId5" Type="http://schemas.openxmlformats.org/officeDocument/2006/relationships/ctrlProp" Target="../ctrlProps/ctrlProp84.xml"/><Relationship Id="rId4" Type="http://schemas.openxmlformats.org/officeDocument/2006/relationships/ctrlProp" Target="../ctrlProps/ctrlProp83.xml"/><Relationship Id="rId9" Type="http://schemas.openxmlformats.org/officeDocument/2006/relationships/comments" Target="../comments7.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92.xml"/><Relationship Id="rId3" Type="http://schemas.openxmlformats.org/officeDocument/2006/relationships/vmlDrawing" Target="../drawings/vmlDrawing8.vml"/><Relationship Id="rId7" Type="http://schemas.openxmlformats.org/officeDocument/2006/relationships/ctrlProp" Target="../ctrlProps/ctrlProp91.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90.xml"/><Relationship Id="rId5" Type="http://schemas.openxmlformats.org/officeDocument/2006/relationships/ctrlProp" Target="../ctrlProps/ctrlProp89.xml"/><Relationship Id="rId4" Type="http://schemas.openxmlformats.org/officeDocument/2006/relationships/ctrlProp" Target="../ctrlProps/ctrlProp88.xml"/><Relationship Id="rId9"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pageSetUpPr fitToPage="1"/>
  </sheetPr>
  <dimension ref="A1:D19"/>
  <sheetViews>
    <sheetView tabSelected="1" topLeftCell="A2" zoomScale="80" zoomScaleNormal="80" workbookViewId="0">
      <selection activeCell="B3" sqref="B3"/>
    </sheetView>
  </sheetViews>
  <sheetFormatPr baseColWidth="10" defaultColWidth="11.44140625" defaultRowHeight="34.5" customHeight="1"/>
  <cols>
    <col min="1" max="1" width="34.44140625" style="313" customWidth="1"/>
    <col min="2" max="2" width="96.44140625" style="313" customWidth="1"/>
    <col min="3" max="3" width="16.109375" style="313" customWidth="1"/>
    <col min="4" max="4" width="20.109375" style="313" customWidth="1"/>
    <col min="5" max="16384" width="11.44140625" style="313"/>
  </cols>
  <sheetData>
    <row r="1" spans="1:4" ht="69.75" hidden="1" customHeight="1"/>
    <row r="2" spans="1:4" s="384" customFormat="1" ht="117.75" customHeight="1">
      <c r="B2" s="552" t="s">
        <v>726</v>
      </c>
      <c r="C2" s="552"/>
      <c r="D2" s="552"/>
    </row>
    <row r="3" spans="1:4" ht="39" customHeight="1">
      <c r="B3" s="304" t="s">
        <v>722</v>
      </c>
      <c r="C3" s="304" t="s">
        <v>723</v>
      </c>
      <c r="D3" s="304" t="s">
        <v>724</v>
      </c>
    </row>
    <row r="4" spans="1:4" ht="34.5" customHeight="1" thickBot="1">
      <c r="B4" s="305" t="s">
        <v>727</v>
      </c>
      <c r="C4" s="306" t="s">
        <v>725</v>
      </c>
      <c r="D4" s="307"/>
    </row>
    <row r="5" spans="1:4" ht="34.5" customHeight="1" thickTop="1" thickBot="1">
      <c r="B5" s="308" t="s">
        <v>728</v>
      </c>
      <c r="C5" s="309" t="s">
        <v>725</v>
      </c>
      <c r="D5" s="310"/>
    </row>
    <row r="6" spans="1:4" ht="34.5" customHeight="1" thickTop="1" thickBot="1">
      <c r="B6" s="308" t="s">
        <v>729</v>
      </c>
      <c r="C6" s="309" t="s">
        <v>725</v>
      </c>
      <c r="D6" s="310"/>
    </row>
    <row r="7" spans="1:4" ht="34.5" customHeight="1" thickTop="1" thickBot="1">
      <c r="B7" s="308" t="s">
        <v>730</v>
      </c>
      <c r="C7" s="309"/>
      <c r="D7" s="310" t="s">
        <v>725</v>
      </c>
    </row>
    <row r="8" spans="1:4" ht="34.5" customHeight="1" thickTop="1" thickBot="1">
      <c r="B8" s="308" t="s">
        <v>731</v>
      </c>
      <c r="C8" s="309" t="s">
        <v>725</v>
      </c>
      <c r="D8" s="310"/>
    </row>
    <row r="9" spans="1:4" s="314" customFormat="1" ht="34.5" customHeight="1" thickTop="1" thickBot="1">
      <c r="A9" s="313"/>
      <c r="B9" s="308" t="s">
        <v>732</v>
      </c>
      <c r="C9" s="309"/>
      <c r="D9" s="310" t="s">
        <v>725</v>
      </c>
    </row>
    <row r="10" spans="1:4" ht="34.5" customHeight="1" thickTop="1" thickBot="1">
      <c r="B10" s="308" t="s">
        <v>733</v>
      </c>
      <c r="C10" s="309"/>
      <c r="D10" s="310"/>
    </row>
    <row r="11" spans="1:4" ht="34.5" customHeight="1" thickTop="1" thickBot="1">
      <c r="B11" s="308" t="s">
        <v>734</v>
      </c>
      <c r="C11" s="309" t="s">
        <v>725</v>
      </c>
      <c r="D11" s="310"/>
    </row>
    <row r="12" spans="1:4" ht="34.5" customHeight="1" thickTop="1" thickBot="1">
      <c r="B12" s="308" t="s">
        <v>735</v>
      </c>
      <c r="C12" s="309" t="s">
        <v>725</v>
      </c>
      <c r="D12" s="310"/>
    </row>
    <row r="13" spans="1:4" ht="34.5" customHeight="1" thickTop="1" thickBot="1">
      <c r="B13" s="308" t="s">
        <v>736</v>
      </c>
      <c r="C13" s="309" t="s">
        <v>725</v>
      </c>
      <c r="D13" s="310"/>
    </row>
    <row r="14" spans="1:4" ht="34.5" customHeight="1" thickTop="1" thickBot="1">
      <c r="B14" s="308" t="s">
        <v>769</v>
      </c>
      <c r="C14" s="309" t="s">
        <v>725</v>
      </c>
      <c r="D14" s="310"/>
    </row>
    <row r="15" spans="1:4" ht="34.5" customHeight="1" thickTop="1" thickBot="1">
      <c r="B15" s="308" t="s">
        <v>737</v>
      </c>
      <c r="C15" s="309" t="s">
        <v>725</v>
      </c>
      <c r="D15" s="310"/>
    </row>
    <row r="16" spans="1:4" ht="34.5" customHeight="1" thickTop="1" thickBot="1">
      <c r="B16" s="308" t="s">
        <v>770</v>
      </c>
      <c r="C16" s="311" t="s">
        <v>725</v>
      </c>
      <c r="D16" s="312"/>
    </row>
    <row r="17" spans="2:4" ht="34.5" customHeight="1" thickTop="1" thickBot="1">
      <c r="B17" s="327"/>
      <c r="C17" s="328"/>
      <c r="D17" s="329"/>
    </row>
    <row r="18" spans="2:4" ht="101.25" customHeight="1" thickTop="1">
      <c r="B18" s="553" t="s">
        <v>789</v>
      </c>
      <c r="C18" s="553"/>
      <c r="D18" s="553"/>
    </row>
    <row r="19" spans="2:4" ht="34.5" customHeight="1">
      <c r="B19" s="330"/>
    </row>
  </sheetData>
  <mergeCells count="2">
    <mergeCell ref="B2:D2"/>
    <mergeCell ref="B18:D18"/>
  </mergeCells>
  <pageMargins left="0.70866141732283472" right="0.70866141732283472" top="0.74803149606299213" bottom="0.74803149606299213" header="0.31496062992125984" footer="0.31496062992125984"/>
  <pageSetup scale="54" orientation="landscape" r:id="rId1"/>
  <headerFooter scaleWithDoc="0" alignWithMargins="0">
    <oddHeader>&amp;R&amp;"Arial,Gras italique"&amp;10Énergir, s.e.c.
Mesures relatives à l’achat et la vente de gaz naturel renouvelable, R-4008-2017</oddHeader>
    <oddFooter>&amp;L&amp;"Arial,Normal"&amp;10Transition énergétique Québec
&amp;"Arial,Gras italique"Original : 2019.10.02
&amp;R&amp;F
&amp;A
&amp;"Arial,Gras italique"&amp;10Gaz Métro-1, Document 19
(13 feuilles Excel)</oddFooter>
  </headerFooter>
  <drawing r:id="rId2"/>
  <tableParts count="1">
    <tablePart r:id="rId3"/>
  </tablePar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9">
    <tabColor rgb="FF7030A0"/>
    <pageSetUpPr fitToPage="1"/>
  </sheetPr>
  <dimension ref="A1:AG104"/>
  <sheetViews>
    <sheetView showZeros="0" zoomScaleNormal="100" zoomScaleSheetLayoutView="100" workbookViewId="0">
      <selection activeCell="B21" sqref="B21"/>
    </sheetView>
  </sheetViews>
  <sheetFormatPr baseColWidth="10" defaultColWidth="9.109375" defaultRowHeight="14.4"/>
  <cols>
    <col min="1" max="1" width="16.5546875" style="1" customWidth="1"/>
    <col min="2" max="2" width="18" style="1" customWidth="1"/>
    <col min="3" max="3" width="16" style="23" customWidth="1"/>
    <col min="4" max="4" width="18" style="23" customWidth="1"/>
    <col min="5" max="5" width="16" style="23" customWidth="1"/>
    <col min="6" max="6" width="17.44140625" style="23" customWidth="1"/>
    <col min="7" max="19" width="16" style="23" customWidth="1"/>
    <col min="20" max="20" width="18.5546875" style="23" customWidth="1"/>
    <col min="21" max="21" width="16" style="23" customWidth="1"/>
    <col min="22" max="22" width="18.88671875" style="23" customWidth="1"/>
    <col min="23" max="23" width="16" style="23" customWidth="1"/>
    <col min="24" max="24" width="18.5546875" style="23" customWidth="1"/>
    <col min="25" max="25" width="16" style="47" customWidth="1"/>
    <col min="26" max="26" width="23.44140625" style="49" customWidth="1"/>
    <col min="27" max="30" width="16" style="49" customWidth="1"/>
    <col min="31" max="31" width="16.33203125" style="49" customWidth="1"/>
    <col min="32" max="16384" width="9.109375" style="49"/>
  </cols>
  <sheetData>
    <row r="1" spans="1:33" s="1" customFormat="1" ht="117.75" customHeight="1">
      <c r="C1" s="382" t="s">
        <v>363</v>
      </c>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row>
    <row r="2" spans="1:33" s="1" customFormat="1" ht="18">
      <c r="C2" s="26"/>
      <c r="D2" s="125" t="s">
        <v>380</v>
      </c>
      <c r="E2" s="126"/>
      <c r="F2" s="127"/>
      <c r="G2" s="128"/>
      <c r="H2" s="128"/>
      <c r="I2" s="129"/>
      <c r="J2" s="128"/>
      <c r="K2" s="128"/>
      <c r="L2" s="128"/>
      <c r="M2" s="128"/>
      <c r="N2" s="128"/>
      <c r="O2" s="128"/>
      <c r="P2" s="26"/>
      <c r="Q2" s="26"/>
      <c r="R2" s="26"/>
      <c r="S2" s="26"/>
      <c r="T2" s="26"/>
      <c r="U2" s="26"/>
      <c r="V2" s="26"/>
      <c r="W2" s="26"/>
      <c r="X2" s="26"/>
      <c r="Y2" s="26"/>
      <c r="Z2" s="26"/>
      <c r="AA2" s="26"/>
      <c r="AB2" s="26"/>
      <c r="AC2" s="26"/>
      <c r="AD2" s="26"/>
      <c r="AE2" s="26"/>
    </row>
    <row r="3" spans="1:33" s="1" customFormat="1" ht="19.5" customHeight="1">
      <c r="C3" s="26"/>
      <c r="D3" s="233" t="s">
        <v>1058</v>
      </c>
      <c r="E3" s="227"/>
      <c r="F3" s="228"/>
      <c r="G3" s="233"/>
      <c r="H3" s="233"/>
      <c r="I3" s="251"/>
      <c r="J3" s="252"/>
      <c r="K3" s="252"/>
      <c r="L3" s="252"/>
      <c r="M3" s="252"/>
      <c r="N3" s="252"/>
      <c r="O3" s="252"/>
      <c r="P3" s="253"/>
      <c r="Q3" s="253"/>
      <c r="R3" s="253"/>
      <c r="S3" s="253"/>
      <c r="T3" s="26"/>
      <c r="U3" s="26"/>
      <c r="V3" s="26"/>
      <c r="W3" s="26"/>
      <c r="X3" s="26"/>
      <c r="Y3" s="26"/>
      <c r="Z3" s="26"/>
      <c r="AA3" s="26"/>
      <c r="AB3" s="26"/>
      <c r="AC3" s="26"/>
      <c r="AD3" s="26"/>
      <c r="AE3" s="26"/>
    </row>
    <row r="4" spans="1:33" s="1" customFormat="1" ht="15.6">
      <c r="C4" s="26"/>
      <c r="D4" s="82" t="s">
        <v>435</v>
      </c>
      <c r="E4" s="78"/>
      <c r="F4" s="79"/>
      <c r="G4" s="71"/>
      <c r="H4" s="71"/>
      <c r="I4" s="71"/>
      <c r="J4" s="71"/>
      <c r="K4" s="71"/>
      <c r="L4" s="71"/>
      <c r="M4" s="71"/>
      <c r="N4" s="71"/>
      <c r="O4" s="71"/>
      <c r="P4" s="26"/>
      <c r="Q4" s="26"/>
      <c r="R4" s="26"/>
      <c r="S4" s="26"/>
      <c r="T4" s="26"/>
      <c r="U4" s="26"/>
      <c r="V4" s="26"/>
      <c r="W4" s="26"/>
      <c r="X4" s="26"/>
      <c r="Y4" s="26"/>
      <c r="Z4" s="26"/>
      <c r="AA4" s="26"/>
      <c r="AB4" s="26"/>
      <c r="AC4" s="26"/>
      <c r="AD4" s="26"/>
      <c r="AE4" s="26"/>
    </row>
    <row r="5" spans="1:33" s="1" customFormat="1" ht="15.6">
      <c r="C5" s="26"/>
      <c r="D5" s="82" t="s">
        <v>372</v>
      </c>
      <c r="E5" s="78"/>
      <c r="F5" s="79"/>
      <c r="G5" s="71"/>
      <c r="H5" s="71"/>
      <c r="I5" s="71"/>
      <c r="J5" s="71"/>
      <c r="K5" s="71"/>
      <c r="L5" s="71"/>
      <c r="M5" s="71"/>
      <c r="N5" s="71"/>
      <c r="O5" s="71"/>
      <c r="P5" s="26"/>
      <c r="Q5" s="26"/>
      <c r="R5" s="26"/>
      <c r="S5" s="26"/>
      <c r="T5" s="26"/>
      <c r="U5" s="26"/>
      <c r="V5" s="26"/>
      <c r="W5" s="26"/>
      <c r="X5" s="26"/>
      <c r="Y5" s="26"/>
      <c r="Z5" s="26"/>
      <c r="AA5" s="26"/>
      <c r="AB5" s="26"/>
      <c r="AC5" s="26"/>
      <c r="AD5" s="26"/>
      <c r="AE5" s="26"/>
    </row>
    <row r="6" spans="1:33" s="1" customFormat="1" ht="15" thickBot="1">
      <c r="C6" s="26"/>
      <c r="D6" s="26"/>
      <c r="E6" s="26"/>
      <c r="F6" s="26"/>
      <c r="G6" s="26"/>
      <c r="H6" s="26"/>
      <c r="I6" s="26"/>
      <c r="J6" s="26"/>
      <c r="K6" s="26"/>
      <c r="L6" s="26"/>
      <c r="M6" s="26"/>
      <c r="N6" s="26"/>
      <c r="O6" s="26"/>
      <c r="P6" s="26"/>
      <c r="Q6" s="26"/>
      <c r="R6" s="26"/>
      <c r="S6" s="26"/>
      <c r="T6" s="26"/>
      <c r="U6" s="26"/>
      <c r="V6" s="26"/>
      <c r="W6" s="26"/>
      <c r="X6" s="26"/>
      <c r="Y6" s="26"/>
      <c r="Z6" s="26"/>
      <c r="AA6" s="26"/>
      <c r="AB6" s="26"/>
      <c r="AC6" s="525"/>
      <c r="AD6" s="26"/>
      <c r="AE6" s="26"/>
    </row>
    <row r="7" spans="1:33" ht="30.75" customHeight="1" thickTop="1">
      <c r="A7" s="563" t="s">
        <v>78</v>
      </c>
      <c r="B7" s="4" t="s">
        <v>13</v>
      </c>
      <c r="C7" s="556" t="s">
        <v>22</v>
      </c>
      <c r="D7" s="557"/>
      <c r="E7" s="556" t="s">
        <v>19</v>
      </c>
      <c r="F7" s="557"/>
      <c r="G7" s="556" t="s">
        <v>24</v>
      </c>
      <c r="H7" s="557"/>
      <c r="I7" s="556" t="s">
        <v>25</v>
      </c>
      <c r="J7" s="557"/>
      <c r="K7" s="556" t="s">
        <v>805</v>
      </c>
      <c r="L7" s="557"/>
      <c r="M7" s="556" t="s">
        <v>27</v>
      </c>
      <c r="N7" s="557"/>
      <c r="O7" s="558" t="s">
        <v>757</v>
      </c>
      <c r="P7" s="559"/>
      <c r="Q7" s="558" t="s">
        <v>758</v>
      </c>
      <c r="R7" s="559"/>
      <c r="S7" s="558" t="s">
        <v>412</v>
      </c>
      <c r="T7" s="559"/>
      <c r="U7" s="558" t="s">
        <v>624</v>
      </c>
      <c r="V7" s="559"/>
      <c r="W7" s="558" t="s">
        <v>625</v>
      </c>
      <c r="X7" s="559"/>
      <c r="Y7" s="556" t="s">
        <v>16</v>
      </c>
      <c r="Z7" s="557"/>
      <c r="AA7" s="556" t="s">
        <v>52</v>
      </c>
      <c r="AB7" s="557"/>
      <c r="AC7" s="556" t="s">
        <v>45</v>
      </c>
      <c r="AD7" s="557"/>
      <c r="AE7" s="4" t="s">
        <v>40</v>
      </c>
    </row>
    <row r="8" spans="1:33" ht="18" customHeight="1" thickBot="1">
      <c r="A8" s="563"/>
      <c r="B8" s="8" t="s">
        <v>36</v>
      </c>
      <c r="C8" s="7" t="s">
        <v>376</v>
      </c>
      <c r="D8" s="6" t="s">
        <v>20</v>
      </c>
      <c r="E8" s="7" t="s">
        <v>31</v>
      </c>
      <c r="F8" s="6" t="s">
        <v>20</v>
      </c>
      <c r="G8" s="7" t="s">
        <v>23</v>
      </c>
      <c r="H8" s="6" t="s">
        <v>20</v>
      </c>
      <c r="I8" s="7" t="s">
        <v>23</v>
      </c>
      <c r="J8" s="6" t="s">
        <v>20</v>
      </c>
      <c r="K8" s="7" t="s">
        <v>23</v>
      </c>
      <c r="L8" s="6" t="s">
        <v>20</v>
      </c>
      <c r="M8" s="7" t="s">
        <v>23</v>
      </c>
      <c r="N8" s="6" t="s">
        <v>20</v>
      </c>
      <c r="O8" s="7" t="s">
        <v>28</v>
      </c>
      <c r="P8" s="6" t="s">
        <v>20</v>
      </c>
      <c r="Q8" s="7" t="s">
        <v>28</v>
      </c>
      <c r="R8" s="6" t="s">
        <v>20</v>
      </c>
      <c r="S8" s="216" t="s">
        <v>626</v>
      </c>
      <c r="T8" s="6" t="s">
        <v>20</v>
      </c>
      <c r="U8" s="7" t="s">
        <v>628</v>
      </c>
      <c r="V8" s="6" t="s">
        <v>20</v>
      </c>
      <c r="W8" s="7" t="s">
        <v>628</v>
      </c>
      <c r="X8" s="6" t="s">
        <v>20</v>
      </c>
      <c r="Y8" s="7" t="s">
        <v>17</v>
      </c>
      <c r="Z8" s="6" t="s">
        <v>20</v>
      </c>
      <c r="AA8" s="7" t="s">
        <v>37</v>
      </c>
      <c r="AB8" s="6" t="s">
        <v>35</v>
      </c>
      <c r="AC8" s="7" t="s">
        <v>1060</v>
      </c>
      <c r="AD8" s="6" t="s">
        <v>793</v>
      </c>
      <c r="AE8" s="9" t="s">
        <v>43</v>
      </c>
    </row>
    <row r="9" spans="1:33" ht="17.25" customHeight="1" thickTop="1" thickBot="1">
      <c r="A9" s="243">
        <f>VALUE(CONCATENATE(LEFT(Annee_financiere,FIND("-",Annee_financiere)-1),"-",A22))</f>
        <v>42461</v>
      </c>
      <c r="B9" s="254"/>
      <c r="C9" s="255"/>
      <c r="D9" s="255"/>
      <c r="E9" s="255"/>
      <c r="F9" s="256"/>
      <c r="G9" s="255"/>
      <c r="H9" s="256"/>
      <c r="I9" s="255"/>
      <c r="J9" s="256"/>
      <c r="K9" s="255"/>
      <c r="L9" s="420"/>
      <c r="M9" s="255"/>
      <c r="N9" s="256"/>
      <c r="O9" s="255"/>
      <c r="P9" s="256"/>
      <c r="Q9" s="255"/>
      <c r="R9" s="256"/>
      <c r="S9" s="255"/>
      <c r="T9" s="256"/>
      <c r="U9" s="255"/>
      <c r="V9" s="256"/>
      <c r="W9" s="255"/>
      <c r="X9" s="256"/>
      <c r="Y9" s="99">
        <f>C9*kWh_Élect_to_GJ+E9*m3_GazNat_to_GJ+G9*L_Mazout2_to_GJ+I9*L_Mazout6_to_GJ+K9*L_Mazout2_to_GJ+M9*L_Propane_to_GJ+O9*kg_Bois8_to_GJ+Q9*kg_Bois35_to_GJ+S9*lbs_vapeur_to_GJ+U9*MBTU_eaurefroidie_to_GJ+W9*MBTU_eauchaude_to_GJ</f>
        <v>0</v>
      </c>
      <c r="Z9" s="258">
        <f>D9+F9+H9+J9+N9+P9+R9+T9+V9+X9+L9</f>
        <v>0</v>
      </c>
      <c r="AA9" s="17" t="str">
        <f>IF(ISERROR(Y9/B9),"",Y9/B9)</f>
        <v/>
      </c>
      <c r="AB9" s="18" t="str">
        <f>IF(ISERROR(Z9/B9),"",Z9/B9)</f>
        <v/>
      </c>
      <c r="AC9" s="102">
        <f>(C9*kWh_Élect_to_kgGES+E9*IF(U_GNat="[m³]",m3_GazNat_to_kgGES,Conversion!$H$27)+G9*IF(U_Ma2="[l]",L_Mazout2_to_kgGES,Conversion!$H$29)+I9*IF(U_Ma6="[l]",L_Mazout6_to_kgGES,Conversion!$H$31)+K9*L_Mazout2_to_kgGES+M9*IF(U_Prop="[l]",L_Propane_to_kgGES,Conversion!$H$35)+O9*kg_Bois8_to_kgGES+Q9*kg_Bois35_to_kgGES+S9*lbs_vapeur_to_kgGES+U9*MBTU_eaurefroidie_to_kgGES+W9*MBTU_eauchaude_to_kgGES)/1000</f>
        <v>0</v>
      </c>
      <c r="AD9" s="103">
        <f>(IF(ISERROR(AC9/B9),0,(AC9/B9)))*1000</f>
        <v>0</v>
      </c>
      <c r="AE9" s="5">
        <f t="shared" ref="AE9:AE20" si="0">INDEX(plage_DJ,MATCH(A9,plage_date),3)</f>
        <v>417.7</v>
      </c>
      <c r="AG9" s="49">
        <v>12</v>
      </c>
    </row>
    <row r="10" spans="1:33" ht="17.25" customHeight="1" thickTop="1" thickBot="1">
      <c r="A10" s="244">
        <f>DATE(YEAR(A9),MONTH(A9)+1,DAY(A9))</f>
        <v>42491</v>
      </c>
      <c r="B10" s="254"/>
      <c r="C10" s="255"/>
      <c r="D10" s="256"/>
      <c r="E10" s="255"/>
      <c r="F10" s="256"/>
      <c r="G10" s="255"/>
      <c r="H10" s="256"/>
      <c r="I10" s="255"/>
      <c r="J10" s="256"/>
      <c r="K10" s="255"/>
      <c r="L10" s="420"/>
      <c r="M10" s="255"/>
      <c r="N10" s="256"/>
      <c r="O10" s="255"/>
      <c r="P10" s="256"/>
      <c r="Q10" s="255"/>
      <c r="R10" s="256"/>
      <c r="S10" s="255"/>
      <c r="T10" s="256"/>
      <c r="U10" s="255"/>
      <c r="V10" s="256"/>
      <c r="W10" s="255"/>
      <c r="X10" s="256"/>
      <c r="Y10" s="99">
        <f t="shared" ref="Y10:Y20" si="1">C10*kWh_Élect_to_GJ+E10*m3_GazNat_to_GJ+G10*L_Mazout2_to_GJ+I10*L_Mazout6_to_GJ+K10*L_Mazout2_to_GJ+M10*L_Propane_to_GJ+O10*kg_Bois8_to_GJ+Q10*kg_Bois35_to_GJ+S10*lbs_vapeur_to_GJ+U10*MBTU_eaurefroidie_to_GJ+W10*MBTU_eauchaude_to_GJ</f>
        <v>0</v>
      </c>
      <c r="Z10" s="258">
        <f t="shared" ref="Z10:Z20" si="2">D10+F10+H10+J10+N10+P10+R10+T10+V10+X10+L10</f>
        <v>0</v>
      </c>
      <c r="AA10" s="17" t="str">
        <f t="shared" ref="AA10:AA20" si="3">IF(ISERROR(Y10/B10),"",Y10/B10)</f>
        <v/>
      </c>
      <c r="AB10" s="18" t="str">
        <f t="shared" ref="AB10:AB20" si="4">IF(ISERROR(Z10/B10),"",Z10/B10)</f>
        <v/>
      </c>
      <c r="AC10" s="102">
        <f>(C10*kWh_Élect_to_kgGES+E10*IF(U_GNat="[m³]",m3_GazNat_to_kgGES,Conversion!$H$27)+G10*IF(U_Ma2="[l]",L_Mazout2_to_kgGES,Conversion!$H$29)+I10*IF(U_Ma6="[l]",L_Mazout6_to_kgGES,Conversion!$H$31)+K10*L_Mazout2_to_kgGES+M10*IF(U_Prop="[l]",L_Propane_to_kgGES,Conversion!$H$35)+O10*kg_Bois8_to_kgGES+Q10*kg_Bois35_to_kgGES+S10*lbs_vapeur_to_kgGES+U10*MBTU_eaurefroidie_to_kgGES+W10*MBTU_eauchaude_to_kgGES)/1000</f>
        <v>0</v>
      </c>
      <c r="AD10" s="103">
        <f t="shared" ref="AD10:AD20" si="5">(IF(ISERROR(AC10/B10),0,(AC10/B10)))*1000</f>
        <v>0</v>
      </c>
      <c r="AE10" s="5">
        <f t="shared" si="0"/>
        <v>132.19999999999999</v>
      </c>
      <c r="AF10" s="49">
        <f>SUM(AE9)</f>
        <v>417.7</v>
      </c>
      <c r="AG10" s="49">
        <v>11</v>
      </c>
    </row>
    <row r="11" spans="1:33" ht="17.25" customHeight="1" thickTop="1" thickBot="1">
      <c r="A11" s="244">
        <f t="shared" ref="A11:A20" si="6">DATE(YEAR(A10),MONTH(A10)+1,DAY(A10))</f>
        <v>42522</v>
      </c>
      <c r="B11" s="254"/>
      <c r="C11" s="255"/>
      <c r="D11" s="256"/>
      <c r="E11" s="255"/>
      <c r="F11" s="256"/>
      <c r="G11" s="255"/>
      <c r="H11" s="256"/>
      <c r="I11" s="255"/>
      <c r="J11" s="256"/>
      <c r="K11" s="255"/>
      <c r="L11" s="420"/>
      <c r="M11" s="255"/>
      <c r="N11" s="256"/>
      <c r="O11" s="255"/>
      <c r="P11" s="256"/>
      <c r="Q11" s="255"/>
      <c r="R11" s="256"/>
      <c r="S11" s="255"/>
      <c r="T11" s="256"/>
      <c r="U11" s="255"/>
      <c r="V11" s="256"/>
      <c r="W11" s="255"/>
      <c r="X11" s="256"/>
      <c r="Y11" s="99">
        <f t="shared" si="1"/>
        <v>0</v>
      </c>
      <c r="Z11" s="258">
        <f t="shared" si="2"/>
        <v>0</v>
      </c>
      <c r="AA11" s="17" t="str">
        <f t="shared" si="3"/>
        <v/>
      </c>
      <c r="AB11" s="18" t="str">
        <f t="shared" si="4"/>
        <v/>
      </c>
      <c r="AC11" s="102">
        <f>(C11*kWh_Élect_to_kgGES+E11*IF(U_GNat="[m³]",m3_GazNat_to_kgGES,Conversion!$H$27)+G11*IF(U_Ma2="[l]",L_Mazout2_to_kgGES,Conversion!$H$29)+I11*IF(U_Ma6="[l]",L_Mazout6_to_kgGES,Conversion!$H$31)+K11*L_Mazout2_to_kgGES+M11*IF(U_Prop="[l]",L_Propane_to_kgGES,Conversion!$H$35)+O11*kg_Bois8_to_kgGES+Q11*kg_Bois35_to_kgGES+S11*lbs_vapeur_to_kgGES+U11*MBTU_eaurefroidie_to_kgGES+W11*MBTU_eauchaude_to_kgGES)/1000</f>
        <v>0</v>
      </c>
      <c r="AD11" s="103">
        <f t="shared" si="5"/>
        <v>0</v>
      </c>
      <c r="AE11" s="5">
        <f t="shared" si="0"/>
        <v>31.2</v>
      </c>
      <c r="AF11" s="49">
        <f>SUM(AE9:AE10)</f>
        <v>549.9</v>
      </c>
      <c r="AG11" s="49">
        <v>10</v>
      </c>
    </row>
    <row r="12" spans="1:33" ht="17.25" customHeight="1" thickTop="1" thickBot="1">
      <c r="A12" s="244">
        <f t="shared" si="6"/>
        <v>42552</v>
      </c>
      <c r="B12" s="254"/>
      <c r="C12" s="255"/>
      <c r="D12" s="255"/>
      <c r="E12" s="255"/>
      <c r="F12" s="256"/>
      <c r="G12" s="255"/>
      <c r="H12" s="256"/>
      <c r="I12" s="255"/>
      <c r="J12" s="256"/>
      <c r="K12" s="255"/>
      <c r="L12" s="420"/>
      <c r="M12" s="255"/>
      <c r="N12" s="256"/>
      <c r="O12" s="255"/>
      <c r="P12" s="256"/>
      <c r="Q12" s="255"/>
      <c r="R12" s="256"/>
      <c r="S12" s="255"/>
      <c r="T12" s="256"/>
      <c r="U12" s="255"/>
      <c r="V12" s="256"/>
      <c r="W12" s="255"/>
      <c r="X12" s="256"/>
      <c r="Y12" s="99">
        <f t="shared" si="1"/>
        <v>0</v>
      </c>
      <c r="Z12" s="258">
        <f t="shared" si="2"/>
        <v>0</v>
      </c>
      <c r="AA12" s="17" t="str">
        <f t="shared" si="3"/>
        <v/>
      </c>
      <c r="AB12" s="18" t="str">
        <f t="shared" si="4"/>
        <v/>
      </c>
      <c r="AC12" s="102">
        <f>(C12*kWh_Élect_to_kgGES+E12*IF(U_GNat="[m³]",m3_GazNat_to_kgGES,Conversion!$H$27)+G12*IF(U_Ma2="[l]",L_Mazout2_to_kgGES,Conversion!$H$29)+I12*IF(U_Ma6="[l]",L_Mazout6_to_kgGES,Conversion!$H$31)+K12*L_Mazout2_to_kgGES+M12*IF(U_Prop="[l]",L_Propane_to_kgGES,Conversion!$H$35)+O12*kg_Bois8_to_kgGES+Q12*kg_Bois35_to_kgGES+S12*lbs_vapeur_to_kgGES+U12*MBTU_eaurefroidie_to_kgGES+W12*MBTU_eauchaude_to_kgGES)/1000</f>
        <v>0</v>
      </c>
      <c r="AD12" s="103">
        <f t="shared" si="5"/>
        <v>0</v>
      </c>
      <c r="AE12" s="5">
        <f t="shared" si="0"/>
        <v>3.4</v>
      </c>
      <c r="AF12" s="49">
        <f>SUM(AE9:AE11)</f>
        <v>581.1</v>
      </c>
      <c r="AG12" s="49">
        <v>9</v>
      </c>
    </row>
    <row r="13" spans="1:33" ht="17.25" customHeight="1" thickTop="1" thickBot="1">
      <c r="A13" s="244">
        <f t="shared" si="6"/>
        <v>42583</v>
      </c>
      <c r="B13" s="254"/>
      <c r="C13" s="255"/>
      <c r="D13" s="256"/>
      <c r="E13" s="255"/>
      <c r="F13" s="256"/>
      <c r="G13" s="255"/>
      <c r="H13" s="256"/>
      <c r="I13" s="255"/>
      <c r="J13" s="256"/>
      <c r="K13" s="255"/>
      <c r="L13" s="420"/>
      <c r="M13" s="255"/>
      <c r="N13" s="256"/>
      <c r="O13" s="255"/>
      <c r="P13" s="256"/>
      <c r="Q13" s="255"/>
      <c r="R13" s="256"/>
      <c r="S13" s="255"/>
      <c r="T13" s="256"/>
      <c r="U13" s="255"/>
      <c r="V13" s="256"/>
      <c r="W13" s="255"/>
      <c r="X13" s="256"/>
      <c r="Y13" s="99">
        <f t="shared" si="1"/>
        <v>0</v>
      </c>
      <c r="Z13" s="258">
        <f t="shared" si="2"/>
        <v>0</v>
      </c>
      <c r="AA13" s="17" t="str">
        <f t="shared" si="3"/>
        <v/>
      </c>
      <c r="AB13" s="18" t="str">
        <f t="shared" si="4"/>
        <v/>
      </c>
      <c r="AC13" s="102">
        <f>(C13*kWh_Élect_to_kgGES+E13*IF(U_GNat="[m³]",m3_GazNat_to_kgGES,Conversion!$H$27)+G13*IF(U_Ma2="[l]",L_Mazout2_to_kgGES,Conversion!$H$29)+I13*IF(U_Ma6="[l]",L_Mazout6_to_kgGES,Conversion!$H$31)+K13*L_Mazout2_to_kgGES+M13*IF(U_Prop="[l]",L_Propane_to_kgGES,Conversion!$H$35)+O13*kg_Bois8_to_kgGES+Q13*kg_Bois35_to_kgGES+S13*lbs_vapeur_to_kgGES+U13*MBTU_eaurefroidie_to_kgGES+W13*MBTU_eauchaude_to_kgGES)/1000</f>
        <v>0</v>
      </c>
      <c r="AD13" s="103">
        <f t="shared" si="5"/>
        <v>0</v>
      </c>
      <c r="AE13" s="5">
        <f t="shared" si="0"/>
        <v>0.6</v>
      </c>
      <c r="AF13" s="49">
        <f>SUM(AE9:AE12)</f>
        <v>584.5</v>
      </c>
      <c r="AG13" s="49">
        <v>8</v>
      </c>
    </row>
    <row r="14" spans="1:33" ht="17.25" customHeight="1" thickTop="1" thickBot="1">
      <c r="A14" s="244">
        <f t="shared" si="6"/>
        <v>42614</v>
      </c>
      <c r="B14" s="254"/>
      <c r="C14" s="255"/>
      <c r="D14" s="256"/>
      <c r="E14" s="255"/>
      <c r="F14" s="256"/>
      <c r="G14" s="255"/>
      <c r="H14" s="256"/>
      <c r="I14" s="255"/>
      <c r="J14" s="256"/>
      <c r="K14" s="255"/>
      <c r="L14" s="420"/>
      <c r="M14" s="255"/>
      <c r="N14" s="256"/>
      <c r="O14" s="255"/>
      <c r="P14" s="256"/>
      <c r="Q14" s="255"/>
      <c r="R14" s="256"/>
      <c r="S14" s="255"/>
      <c r="T14" s="256"/>
      <c r="U14" s="255"/>
      <c r="V14" s="256"/>
      <c r="W14" s="255"/>
      <c r="X14" s="256"/>
      <c r="Y14" s="99">
        <f t="shared" si="1"/>
        <v>0</v>
      </c>
      <c r="Z14" s="258">
        <f t="shared" si="2"/>
        <v>0</v>
      </c>
      <c r="AA14" s="17" t="str">
        <f t="shared" si="3"/>
        <v/>
      </c>
      <c r="AB14" s="18" t="str">
        <f t="shared" si="4"/>
        <v/>
      </c>
      <c r="AC14" s="102">
        <f>(C14*kWh_Élect_to_kgGES+E14*IF(U_GNat="[m³]",m3_GazNat_to_kgGES,Conversion!$H$27)+G14*IF(U_Ma2="[l]",L_Mazout2_to_kgGES,Conversion!$H$29)+I14*IF(U_Ma6="[l]",L_Mazout6_to_kgGES,Conversion!$H$31)+K14*L_Mazout2_to_kgGES+M14*IF(U_Prop="[l]",L_Propane_to_kgGES,Conversion!$H$35)+O14*kg_Bois8_to_kgGES+Q14*kg_Bois35_to_kgGES+S14*lbs_vapeur_to_kgGES+U14*MBTU_eaurefroidie_to_kgGES+W14*MBTU_eauchaude_to_kgGES)/1000</f>
        <v>0</v>
      </c>
      <c r="AD14" s="103">
        <f t="shared" si="5"/>
        <v>0</v>
      </c>
      <c r="AE14" s="5">
        <f t="shared" si="0"/>
        <v>48</v>
      </c>
      <c r="AF14" s="49">
        <f>SUM(AE9:AE13)</f>
        <v>585.1</v>
      </c>
      <c r="AG14" s="49">
        <v>7</v>
      </c>
    </row>
    <row r="15" spans="1:33" ht="17.25" customHeight="1" thickTop="1" thickBot="1">
      <c r="A15" s="244">
        <f t="shared" si="6"/>
        <v>42644</v>
      </c>
      <c r="B15" s="254"/>
      <c r="C15" s="255"/>
      <c r="D15" s="256"/>
      <c r="E15" s="255"/>
      <c r="F15" s="256"/>
      <c r="G15" s="255"/>
      <c r="H15" s="256"/>
      <c r="I15" s="255"/>
      <c r="J15" s="256"/>
      <c r="K15" s="255"/>
      <c r="L15" s="420"/>
      <c r="M15" s="255"/>
      <c r="N15" s="256"/>
      <c r="O15" s="255"/>
      <c r="P15" s="256"/>
      <c r="Q15" s="255"/>
      <c r="R15" s="256"/>
      <c r="S15" s="255"/>
      <c r="T15" s="256"/>
      <c r="U15" s="255"/>
      <c r="V15" s="256"/>
      <c r="W15" s="255"/>
      <c r="X15" s="256"/>
      <c r="Y15" s="99">
        <f t="shared" si="1"/>
        <v>0</v>
      </c>
      <c r="Z15" s="258">
        <f t="shared" si="2"/>
        <v>0</v>
      </c>
      <c r="AA15" s="17" t="str">
        <f t="shared" si="3"/>
        <v/>
      </c>
      <c r="AB15" s="18" t="str">
        <f t="shared" si="4"/>
        <v/>
      </c>
      <c r="AC15" s="102">
        <f>(C15*kWh_Élect_to_kgGES+E15*IF(U_GNat="[m³]",m3_GazNat_to_kgGES,Conversion!$H$27)+G15*IF(U_Ma2="[l]",L_Mazout2_to_kgGES,Conversion!$H$29)+I15*IF(U_Ma6="[l]",L_Mazout6_to_kgGES,Conversion!$H$31)+K15*L_Mazout2_to_kgGES+M15*IF(U_Prop="[l]",L_Propane_to_kgGES,Conversion!$H$35)+O15*kg_Bois8_to_kgGES+Q15*kg_Bois35_to_kgGES+S15*lbs_vapeur_to_kgGES+U15*MBTU_eaurefroidie_to_kgGES+W15*MBTU_eauchaude_to_kgGES)/1000</f>
        <v>0</v>
      </c>
      <c r="AD15" s="103">
        <f t="shared" si="5"/>
        <v>0</v>
      </c>
      <c r="AE15" s="5">
        <f t="shared" si="0"/>
        <v>254.1</v>
      </c>
      <c r="AF15" s="49">
        <f>SUM(AE9:AE14)</f>
        <v>633.1</v>
      </c>
      <c r="AG15" s="49">
        <v>6</v>
      </c>
    </row>
    <row r="16" spans="1:33" ht="17.25" customHeight="1" thickTop="1" thickBot="1">
      <c r="A16" s="244">
        <f t="shared" si="6"/>
        <v>42675</v>
      </c>
      <c r="B16" s="254"/>
      <c r="C16" s="255"/>
      <c r="D16" s="256"/>
      <c r="E16" s="255"/>
      <c r="F16" s="256"/>
      <c r="G16" s="255"/>
      <c r="H16" s="256"/>
      <c r="I16" s="255"/>
      <c r="J16" s="256"/>
      <c r="K16" s="255"/>
      <c r="L16" s="420"/>
      <c r="M16" s="255"/>
      <c r="N16" s="256"/>
      <c r="O16" s="255"/>
      <c r="P16" s="256"/>
      <c r="Q16" s="255"/>
      <c r="R16" s="256"/>
      <c r="S16" s="255"/>
      <c r="T16" s="256"/>
      <c r="U16" s="255"/>
      <c r="V16" s="256"/>
      <c r="W16" s="255"/>
      <c r="X16" s="256"/>
      <c r="Y16" s="99">
        <f t="shared" si="1"/>
        <v>0</v>
      </c>
      <c r="Z16" s="258">
        <f t="shared" si="2"/>
        <v>0</v>
      </c>
      <c r="AA16" s="17" t="str">
        <f t="shared" si="3"/>
        <v/>
      </c>
      <c r="AB16" s="18" t="str">
        <f t="shared" si="4"/>
        <v/>
      </c>
      <c r="AC16" s="102">
        <f>(C16*kWh_Élect_to_kgGES+E16*IF(U_GNat="[m³]",m3_GazNat_to_kgGES,Conversion!$H$27)+G16*IF(U_Ma2="[l]",L_Mazout2_to_kgGES,Conversion!$H$29)+I16*IF(U_Ma6="[l]",L_Mazout6_to_kgGES,Conversion!$H$31)+K16*L_Mazout2_to_kgGES+M16*IF(U_Prop="[l]",L_Propane_to_kgGES,Conversion!$H$35)+O16*kg_Bois8_to_kgGES+Q16*kg_Bois35_to_kgGES+S16*lbs_vapeur_to_kgGES+U16*MBTU_eaurefroidie_to_kgGES+W16*MBTU_eauchaude_to_kgGES)/1000</f>
        <v>0</v>
      </c>
      <c r="AD16" s="103">
        <f t="shared" si="5"/>
        <v>0</v>
      </c>
      <c r="AE16" s="5">
        <f t="shared" si="0"/>
        <v>406.9</v>
      </c>
      <c r="AF16" s="49">
        <f>SUM(AE9:AE15)</f>
        <v>887.2</v>
      </c>
      <c r="AG16" s="49">
        <v>5</v>
      </c>
    </row>
    <row r="17" spans="1:33" ht="17.25" customHeight="1" thickTop="1" thickBot="1">
      <c r="A17" s="244">
        <f t="shared" si="6"/>
        <v>42705</v>
      </c>
      <c r="B17" s="254"/>
      <c r="C17" s="255"/>
      <c r="D17" s="256"/>
      <c r="E17" s="255"/>
      <c r="F17" s="256"/>
      <c r="G17" s="255"/>
      <c r="H17" s="256"/>
      <c r="I17" s="255"/>
      <c r="J17" s="256"/>
      <c r="K17" s="255"/>
      <c r="L17" s="420"/>
      <c r="M17" s="255"/>
      <c r="N17" s="256"/>
      <c r="O17" s="255"/>
      <c r="P17" s="256"/>
      <c r="Q17" s="255"/>
      <c r="R17" s="256"/>
      <c r="S17" s="255"/>
      <c r="T17" s="256"/>
      <c r="U17" s="255"/>
      <c r="V17" s="256"/>
      <c r="W17" s="255"/>
      <c r="X17" s="256"/>
      <c r="Y17" s="99">
        <f t="shared" si="1"/>
        <v>0</v>
      </c>
      <c r="Z17" s="258">
        <f t="shared" si="2"/>
        <v>0</v>
      </c>
      <c r="AA17" s="17" t="str">
        <f t="shared" si="3"/>
        <v/>
      </c>
      <c r="AB17" s="18" t="str">
        <f t="shared" si="4"/>
        <v/>
      </c>
      <c r="AC17" s="102">
        <f>(C17*kWh_Élect_to_kgGES+E17*IF(U_GNat="[m³]",m3_GazNat_to_kgGES,Conversion!$H$27)+G17*IF(U_Ma2="[l]",L_Mazout2_to_kgGES,Conversion!$H$29)+I17*IF(U_Ma6="[l]",L_Mazout6_to_kgGES,Conversion!$H$31)+K17*L_Mazout2_to_kgGES+M17*IF(U_Prop="[l]",L_Propane_to_kgGES,Conversion!$H$35)+O17*kg_Bois8_to_kgGES+Q17*kg_Bois35_to_kgGES+S17*lbs_vapeur_to_kgGES+U17*MBTU_eaurefroidie_to_kgGES+W17*MBTU_eauchaude_to_kgGES)/1000</f>
        <v>0</v>
      </c>
      <c r="AD17" s="103">
        <f t="shared" si="5"/>
        <v>0</v>
      </c>
      <c r="AE17" s="5">
        <f t="shared" si="0"/>
        <v>690.4</v>
      </c>
      <c r="AF17" s="49">
        <f>SUM(AE9:AE16)</f>
        <v>1294.0999999999999</v>
      </c>
      <c r="AG17" s="49">
        <v>4</v>
      </c>
    </row>
    <row r="18" spans="1:33" ht="17.25" customHeight="1" thickTop="1" thickBot="1">
      <c r="A18" s="244">
        <f t="shared" si="6"/>
        <v>42736</v>
      </c>
      <c r="B18" s="254"/>
      <c r="C18" s="255"/>
      <c r="D18" s="256"/>
      <c r="E18" s="255"/>
      <c r="F18" s="256"/>
      <c r="G18" s="255"/>
      <c r="H18" s="256"/>
      <c r="I18" s="255"/>
      <c r="J18" s="256"/>
      <c r="K18" s="255"/>
      <c r="L18" s="420"/>
      <c r="M18" s="255"/>
      <c r="N18" s="256"/>
      <c r="O18" s="255"/>
      <c r="P18" s="256"/>
      <c r="Q18" s="255"/>
      <c r="R18" s="256"/>
      <c r="S18" s="255"/>
      <c r="T18" s="256"/>
      <c r="U18" s="255"/>
      <c r="V18" s="256"/>
      <c r="W18" s="255"/>
      <c r="X18" s="256"/>
      <c r="Y18" s="99">
        <f t="shared" si="1"/>
        <v>0</v>
      </c>
      <c r="Z18" s="258">
        <f t="shared" si="2"/>
        <v>0</v>
      </c>
      <c r="AA18" s="17" t="str">
        <f t="shared" si="3"/>
        <v/>
      </c>
      <c r="AB18" s="18" t="str">
        <f t="shared" si="4"/>
        <v/>
      </c>
      <c r="AC18" s="102">
        <f>(C18*kWh_Élect_to_kgGES+E18*IF(U_GNat="[m³]",m3_GazNat_to_kgGES,Conversion!$H$27)+G18*IF(U_Ma2="[l]",L_Mazout2_to_kgGES,Conversion!$H$29)+I18*IF(U_Ma6="[l]",L_Mazout6_to_kgGES,Conversion!$H$31)+K18*L_Mazout2_to_kgGES+M18*IF(U_Prop="[l]",L_Propane_to_kgGES,Conversion!$H$35)+O18*kg_Bois8_to_kgGES+Q18*kg_Bois35_to_kgGES+S18*lbs_vapeur_to_kgGES+U18*MBTU_eaurefroidie_to_kgGES+W18*MBTU_eauchaude_to_kgGES)/1000</f>
        <v>0</v>
      </c>
      <c r="AD18" s="103">
        <f t="shared" si="5"/>
        <v>0</v>
      </c>
      <c r="AE18" s="5">
        <f t="shared" si="0"/>
        <v>699</v>
      </c>
      <c r="AF18" s="49">
        <f>SUM(AE9:AE17)</f>
        <v>1984.5</v>
      </c>
      <c r="AG18" s="49">
        <v>3</v>
      </c>
    </row>
    <row r="19" spans="1:33" ht="17.25" customHeight="1" thickTop="1" thickBot="1">
      <c r="A19" s="244">
        <f t="shared" si="6"/>
        <v>42767</v>
      </c>
      <c r="B19" s="254"/>
      <c r="C19" s="255"/>
      <c r="D19" s="256"/>
      <c r="E19" s="255"/>
      <c r="F19" s="256"/>
      <c r="G19" s="255"/>
      <c r="H19" s="256"/>
      <c r="I19" s="255"/>
      <c r="J19" s="256"/>
      <c r="K19" s="255"/>
      <c r="L19" s="420"/>
      <c r="M19" s="255"/>
      <c r="N19" s="256"/>
      <c r="O19" s="255"/>
      <c r="P19" s="256"/>
      <c r="Q19" s="255"/>
      <c r="R19" s="256"/>
      <c r="S19" s="255"/>
      <c r="T19" s="256"/>
      <c r="U19" s="255"/>
      <c r="V19" s="256"/>
      <c r="W19" s="255"/>
      <c r="X19" s="256"/>
      <c r="Y19" s="99">
        <f t="shared" si="1"/>
        <v>0</v>
      </c>
      <c r="Z19" s="258">
        <f t="shared" si="2"/>
        <v>0</v>
      </c>
      <c r="AA19" s="17" t="str">
        <f t="shared" si="3"/>
        <v/>
      </c>
      <c r="AB19" s="18" t="str">
        <f t="shared" si="4"/>
        <v/>
      </c>
      <c r="AC19" s="102">
        <f>(C19*kWh_Élect_to_kgGES+E19*IF(U_GNat="[m³]",m3_GazNat_to_kgGES,Conversion!$H$27)+G19*IF(U_Ma2="[l]",L_Mazout2_to_kgGES,Conversion!$H$29)+I19*IF(U_Ma6="[l]",L_Mazout6_to_kgGES,Conversion!$H$31)+K19*L_Mazout2_to_kgGES+M19*IF(U_Prop="[l]",L_Propane_to_kgGES,Conversion!$H$35)+O19*kg_Bois8_to_kgGES+Q19*kg_Bois35_to_kgGES+S19*lbs_vapeur_to_kgGES+U19*MBTU_eaurefroidie_to_kgGES+W19*MBTU_eauchaude_to_kgGES)/1000</f>
        <v>0</v>
      </c>
      <c r="AD19" s="103">
        <f t="shared" si="5"/>
        <v>0</v>
      </c>
      <c r="AE19" s="5">
        <f t="shared" si="0"/>
        <v>607.5</v>
      </c>
      <c r="AF19" s="49">
        <f>SUM(AE9:AE18)</f>
        <v>2683.5</v>
      </c>
      <c r="AG19" s="49">
        <v>2</v>
      </c>
    </row>
    <row r="20" spans="1:33" ht="17.25" customHeight="1" thickTop="1" thickBot="1">
      <c r="A20" s="245">
        <f t="shared" si="6"/>
        <v>42795</v>
      </c>
      <c r="B20" s="254"/>
      <c r="C20" s="255"/>
      <c r="D20" s="256"/>
      <c r="E20" s="255"/>
      <c r="F20" s="256"/>
      <c r="G20" s="255"/>
      <c r="H20" s="256"/>
      <c r="I20" s="255"/>
      <c r="J20" s="256"/>
      <c r="K20" s="255"/>
      <c r="L20" s="420"/>
      <c r="M20" s="255"/>
      <c r="N20" s="256"/>
      <c r="O20" s="255"/>
      <c r="P20" s="256"/>
      <c r="Q20" s="255"/>
      <c r="R20" s="256"/>
      <c r="S20" s="255"/>
      <c r="T20" s="256"/>
      <c r="U20" s="255"/>
      <c r="V20" s="256"/>
      <c r="W20" s="255"/>
      <c r="X20" s="256"/>
      <c r="Y20" s="99">
        <f t="shared" si="1"/>
        <v>0</v>
      </c>
      <c r="Z20" s="258">
        <f t="shared" si="2"/>
        <v>0</v>
      </c>
      <c r="AA20" s="17" t="str">
        <f t="shared" si="3"/>
        <v/>
      </c>
      <c r="AB20" s="18" t="str">
        <f t="shared" si="4"/>
        <v/>
      </c>
      <c r="AC20" s="102">
        <f>(C20*kWh_Élect_to_kgGES+E20*IF(U_GNat="[m³]",m3_GazNat_to_kgGES,Conversion!$H$27)+G20*IF(U_Ma2="[l]",L_Mazout2_to_kgGES,Conversion!$H$29)+I20*IF(U_Ma6="[l]",L_Mazout6_to_kgGES,Conversion!$H$31)+K20*L_Mazout2_to_kgGES+M20*IF(U_Prop="[l]",L_Propane_to_kgGES,Conversion!$H$35)+O20*kg_Bois8_to_kgGES+Q20*kg_Bois35_to_kgGES+S20*lbs_vapeur_to_kgGES+U20*MBTU_eaurefroidie_to_kgGES+W20*MBTU_eauchaude_to_kgGES)/1000</f>
        <v>0</v>
      </c>
      <c r="AD20" s="103">
        <f t="shared" si="5"/>
        <v>0</v>
      </c>
      <c r="AE20" s="5">
        <f t="shared" si="0"/>
        <v>660.9</v>
      </c>
      <c r="AF20" s="49">
        <f>SUM(AE9:AE19)</f>
        <v>3291</v>
      </c>
      <c r="AG20" s="49">
        <v>1</v>
      </c>
    </row>
    <row r="21" spans="1:33" ht="20.25" customHeight="1" thickTop="1">
      <c r="A21" s="3" t="s">
        <v>53</v>
      </c>
      <c r="B21" s="35">
        <f>IF(ISERROR(AVERAGE(B9:B20)),0,AVERAGE(B9:B20))</f>
        <v>0</v>
      </c>
      <c r="C21" s="35">
        <f>SUM(C9:C20)</f>
        <v>0</v>
      </c>
      <c r="D21" s="536">
        <f>SUM(D9:D20)</f>
        <v>0</v>
      </c>
      <c r="E21" s="35">
        <f t="shared" ref="E21:X21" si="7">SUM(E9:E20)</f>
        <v>0</v>
      </c>
      <c r="F21" s="536">
        <f t="shared" si="7"/>
        <v>0</v>
      </c>
      <c r="G21" s="35">
        <f t="shared" si="7"/>
        <v>0</v>
      </c>
      <c r="H21" s="536">
        <f t="shared" si="7"/>
        <v>0</v>
      </c>
      <c r="I21" s="35">
        <f t="shared" si="7"/>
        <v>0</v>
      </c>
      <c r="J21" s="536">
        <f t="shared" si="7"/>
        <v>0</v>
      </c>
      <c r="K21" s="35">
        <f t="shared" si="7"/>
        <v>0</v>
      </c>
      <c r="L21" s="536">
        <f t="shared" si="7"/>
        <v>0</v>
      </c>
      <c r="M21" s="35">
        <f t="shared" si="7"/>
        <v>0</v>
      </c>
      <c r="N21" s="536">
        <f t="shared" si="7"/>
        <v>0</v>
      </c>
      <c r="O21" s="35">
        <f t="shared" si="7"/>
        <v>0</v>
      </c>
      <c r="P21" s="536">
        <f t="shared" si="7"/>
        <v>0</v>
      </c>
      <c r="Q21" s="35">
        <f t="shared" si="7"/>
        <v>0</v>
      </c>
      <c r="R21" s="536">
        <f t="shared" si="7"/>
        <v>0</v>
      </c>
      <c r="S21" s="35">
        <f t="shared" si="7"/>
        <v>0</v>
      </c>
      <c r="T21" s="536">
        <f t="shared" si="7"/>
        <v>0</v>
      </c>
      <c r="U21" s="35">
        <f t="shared" si="7"/>
        <v>0</v>
      </c>
      <c r="V21" s="536">
        <f t="shared" si="7"/>
        <v>0</v>
      </c>
      <c r="W21" s="35">
        <f t="shared" si="7"/>
        <v>0</v>
      </c>
      <c r="X21" s="536">
        <f t="shared" si="7"/>
        <v>0</v>
      </c>
      <c r="Y21" s="263">
        <f>C21*kWh_Élect_to_GJ+E21*m3_GazNat_to_GJ+G21*L_Mazout2_to_GJ+I21*L_Mazout6_to_GJ+K21*L_Mazout2_to_GJ+M21*L_Propane_to_GJ+O21*kg_Bois8_to_GJ+Q21*kg_Bois35_to_GJ+S21*lbs_vapeur_to_GJ+U21*MBTU_eaurefroidie_to_GJ+W21*MBTU_eauchaude_to_GJ</f>
        <v>0</v>
      </c>
      <c r="Z21" s="537">
        <f>D21+F21+H21+J21+L21+N21+P21+R21+T21+V21+X21+L21</f>
        <v>0</v>
      </c>
      <c r="AA21" s="265" t="str">
        <f>IF(ISERROR(Y21/B21),"",Y21/B21)</f>
        <v/>
      </c>
      <c r="AB21" s="266" t="str">
        <f>IF(ISERROR(Z21/B21),"",Z21/B21)</f>
        <v/>
      </c>
      <c r="AC21" s="263">
        <f>(C21*kWh_Élect_to_kgGES+E21*IF(U_GNat="[m³]",m3_GazNat_to_kgGES,Conversion!$H$27)+G21*IF(U_Ma2="[l]",L_Mazout2_to_kgGES,Conversion!$H$29)+I21*IF(U_Ma6="[l]",L_Mazout6_to_kgGES,Conversion!$H$31)+K21*L_Mazout2_to_kgGES+M21*IF(U_Prop="[l]",L_Propane_to_kgGES,Conversion!$H$35)+O21*kg_Bois8_to_kgGES+Q21*kg_Bois35_to_kgGES+S21*lbs_vapeur_to_kgGES+U21*MBTU_eaurefroidie_to_kgGES+W21*MBTU_eauchaude_to_kgGES)/1000</f>
        <v>0</v>
      </c>
      <c r="AD21" s="267">
        <f>(IF(ISERROR(AC21/B21),0,(AC21/B21)))*1000</f>
        <v>0</v>
      </c>
      <c r="AE21" s="268">
        <f>SUM(AE9:AE20)</f>
        <v>3951.9</v>
      </c>
    </row>
    <row r="22" spans="1:33">
      <c r="A22" s="27">
        <v>2016</v>
      </c>
      <c r="B22" s="27" t="s">
        <v>944</v>
      </c>
      <c r="C22" s="28" t="s">
        <v>945</v>
      </c>
      <c r="D22" s="28" t="s">
        <v>946</v>
      </c>
      <c r="E22" s="28" t="s">
        <v>947</v>
      </c>
      <c r="F22" s="28" t="s">
        <v>948</v>
      </c>
      <c r="G22" s="28" t="s">
        <v>949</v>
      </c>
      <c r="H22" s="28" t="s">
        <v>950</v>
      </c>
      <c r="I22" s="28" t="s">
        <v>951</v>
      </c>
      <c r="J22" s="28" t="s">
        <v>952</v>
      </c>
      <c r="K22" s="524"/>
      <c r="L22" s="524"/>
      <c r="M22" s="28" t="s">
        <v>953</v>
      </c>
      <c r="N22" s="28" t="s">
        <v>954</v>
      </c>
      <c r="O22" s="28" t="s">
        <v>955</v>
      </c>
      <c r="P22" s="28" t="s">
        <v>956</v>
      </c>
      <c r="Q22" s="28" t="s">
        <v>957</v>
      </c>
      <c r="R22" s="28" t="s">
        <v>958</v>
      </c>
      <c r="S22" s="28"/>
      <c r="T22" s="28"/>
      <c r="U22" s="28"/>
      <c r="V22" s="28"/>
      <c r="W22" s="28"/>
      <c r="X22" s="28"/>
      <c r="Y22" s="47" t="s">
        <v>959</v>
      </c>
      <c r="Z22" s="47" t="s">
        <v>960</v>
      </c>
      <c r="AA22" s="47" t="s">
        <v>961</v>
      </c>
      <c r="AB22" s="47" t="s">
        <v>962</v>
      </c>
      <c r="AC22" s="47" t="s">
        <v>963</v>
      </c>
      <c r="AD22" s="48" t="s">
        <v>964</v>
      </c>
      <c r="AE22" s="47" t="s">
        <v>965</v>
      </c>
    </row>
    <row r="23" spans="1:33" ht="15">
      <c r="A23" s="52" t="s">
        <v>352</v>
      </c>
      <c r="B23" s="49"/>
      <c r="C23" s="47"/>
      <c r="D23" s="47"/>
      <c r="E23" s="47"/>
      <c r="F23" s="47"/>
      <c r="G23" s="51"/>
      <c r="H23" s="50"/>
      <c r="I23" s="47"/>
      <c r="J23" s="47"/>
      <c r="K23" s="47"/>
      <c r="L23" s="47"/>
      <c r="M23" s="47"/>
      <c r="N23" s="47"/>
      <c r="O23" s="47"/>
      <c r="P23" s="47"/>
      <c r="Q23" s="47"/>
      <c r="R23" s="47"/>
      <c r="S23" s="47"/>
      <c r="T23" s="47"/>
      <c r="U23" s="47"/>
      <c r="V23" s="47"/>
      <c r="W23" s="47"/>
      <c r="X23" s="47"/>
      <c r="Z23" s="47"/>
      <c r="AA23" s="47"/>
      <c r="AB23" s="47"/>
      <c r="AC23" s="47"/>
      <c r="AD23" s="48"/>
      <c r="AE23" s="47"/>
    </row>
    <row r="24" spans="1:33">
      <c r="A24" s="25"/>
      <c r="B24" s="49"/>
      <c r="C24" s="47"/>
      <c r="D24" s="47"/>
      <c r="E24" s="47"/>
      <c r="F24" s="47"/>
      <c r="G24" s="47"/>
      <c r="I24" s="47"/>
      <c r="J24" s="47"/>
      <c r="K24" s="47"/>
      <c r="L24" s="47"/>
      <c r="M24" s="47"/>
      <c r="N24" s="47"/>
      <c r="O24" s="47"/>
      <c r="P24" s="47"/>
      <c r="Q24" s="47"/>
      <c r="R24" s="47"/>
      <c r="S24" s="47"/>
      <c r="T24" s="47"/>
      <c r="U24" s="47"/>
      <c r="V24" s="47"/>
      <c r="W24" s="47"/>
      <c r="X24" s="47"/>
      <c r="Z24" s="47"/>
      <c r="AA24" s="47"/>
      <c r="AB24" s="47"/>
      <c r="AC24" s="48"/>
      <c r="AD24" s="48"/>
      <c r="AE24" s="47"/>
    </row>
    <row r="25" spans="1:33" ht="18">
      <c r="A25" s="566" t="s">
        <v>804</v>
      </c>
      <c r="B25" s="567"/>
      <c r="C25" s="567"/>
      <c r="D25" s="567"/>
      <c r="E25" s="567"/>
      <c r="F25" s="567"/>
      <c r="G25" s="567"/>
      <c r="H25" s="567"/>
      <c r="I25" s="567"/>
      <c r="Z25" s="47"/>
      <c r="AA25" s="47">
        <f>Lim_bas</f>
        <v>0</v>
      </c>
      <c r="AB25" s="47">
        <f>Lim_haut</f>
        <v>0</v>
      </c>
      <c r="AC25" s="47"/>
      <c r="AD25" s="47"/>
      <c r="AE25" s="47"/>
    </row>
    <row r="26" spans="1:33" ht="19.8">
      <c r="A26" s="53"/>
      <c r="B26" s="23"/>
      <c r="Z26" s="47"/>
      <c r="AA26" s="47"/>
      <c r="AB26" s="47"/>
      <c r="AC26" s="47"/>
      <c r="AD26" s="47"/>
      <c r="AE26" s="47"/>
    </row>
    <row r="27" spans="1:33" ht="19.8">
      <c r="A27" s="53" t="s">
        <v>686</v>
      </c>
      <c r="Z27" s="47"/>
      <c r="AA27" s="47"/>
      <c r="AB27" s="47"/>
      <c r="AC27" s="47"/>
      <c r="AD27" s="47"/>
      <c r="AE27" s="47"/>
    </row>
    <row r="28" spans="1:33" ht="19.8">
      <c r="A28" s="53"/>
      <c r="Z28" s="47"/>
      <c r="AA28" s="47"/>
      <c r="AB28" s="47"/>
      <c r="AC28" s="47"/>
      <c r="AD28" s="47"/>
      <c r="AE28" s="47"/>
    </row>
    <row r="29" spans="1:33" s="231" customFormat="1" ht="15" thickBot="1">
      <c r="A29" s="232" t="s">
        <v>681</v>
      </c>
      <c r="B29" s="229"/>
      <c r="C29" s="229"/>
      <c r="D29" s="229"/>
      <c r="E29" s="229"/>
      <c r="F29" s="229"/>
      <c r="I29" s="230"/>
    </row>
    <row r="30" spans="1:33" s="231" customFormat="1" ht="15.6" thickTop="1" thickBot="1">
      <c r="A30" s="232" t="s">
        <v>682</v>
      </c>
      <c r="B30" s="229"/>
      <c r="C30" s="229"/>
      <c r="D30" s="229"/>
      <c r="E30" s="229"/>
      <c r="F30" s="229"/>
      <c r="I30" s="230"/>
    </row>
    <row r="31" spans="1:33" s="231" customFormat="1" ht="15.6" thickTop="1" thickBot="1">
      <c r="A31" s="232" t="s">
        <v>683</v>
      </c>
      <c r="B31" s="229"/>
      <c r="C31" s="229"/>
      <c r="D31" s="229"/>
      <c r="E31" s="229"/>
      <c r="F31" s="229"/>
      <c r="I31" s="230"/>
    </row>
    <row r="32" spans="1:33" s="231" customFormat="1" ht="15.6" thickTop="1" thickBot="1">
      <c r="A32" s="232" t="s">
        <v>684</v>
      </c>
      <c r="B32" s="229"/>
      <c r="C32" s="229"/>
      <c r="D32" s="229"/>
      <c r="E32" s="229"/>
      <c r="F32" s="229"/>
      <c r="I32" s="230"/>
    </row>
    <row r="33" spans="1:31" s="231" customFormat="1" ht="15.6" thickTop="1" thickBot="1">
      <c r="A33" s="232" t="s">
        <v>685</v>
      </c>
      <c r="B33" s="229"/>
      <c r="C33" s="229"/>
      <c r="D33" s="229"/>
      <c r="E33" s="229"/>
      <c r="F33" s="229"/>
      <c r="I33" s="230"/>
    </row>
    <row r="34" spans="1:31" ht="30" customHeight="1" thickTop="1" thickBot="1">
      <c r="A34" s="23"/>
      <c r="B34" s="23"/>
    </row>
    <row r="35" spans="1:31" ht="178.5" customHeight="1" thickTop="1">
      <c r="A35" s="556" t="s">
        <v>80</v>
      </c>
      <c r="B35" s="557"/>
      <c r="C35" s="564" t="s">
        <v>788</v>
      </c>
      <c r="D35" s="564"/>
      <c r="E35" s="564"/>
      <c r="F35" s="564"/>
      <c r="G35" s="564"/>
      <c r="H35" s="564"/>
      <c r="I35" s="564"/>
      <c r="J35" s="564"/>
      <c r="K35" s="564"/>
      <c r="L35" s="564"/>
      <c r="M35" s="564"/>
      <c r="N35" s="564"/>
      <c r="Y35" s="220"/>
      <c r="Z35" s="220"/>
      <c r="AA35" s="220"/>
      <c r="AB35" s="220"/>
      <c r="AC35" s="220"/>
      <c r="AD35" s="220"/>
      <c r="AE35" s="47"/>
    </row>
    <row r="36" spans="1:31" ht="15" thickBot="1">
      <c r="A36" s="23"/>
      <c r="B36" s="23"/>
      <c r="Y36" s="220"/>
      <c r="Z36" s="220"/>
      <c r="AA36" s="220"/>
      <c r="AB36" s="220"/>
      <c r="AC36" s="220"/>
      <c r="AD36" s="220"/>
      <c r="AE36" s="47"/>
    </row>
    <row r="37" spans="1:31" ht="44.4" thickTop="1" thickBot="1">
      <c r="B37" s="12" t="s">
        <v>64</v>
      </c>
      <c r="C37" s="12" t="s">
        <v>91</v>
      </c>
      <c r="D37" s="12" t="s">
        <v>338</v>
      </c>
      <c r="E37" s="12" t="s">
        <v>75</v>
      </c>
      <c r="F37" s="12"/>
      <c r="G37" s="12" t="s">
        <v>72</v>
      </c>
      <c r="H37" s="12" t="s">
        <v>71</v>
      </c>
      <c r="I37" s="12" t="s">
        <v>340</v>
      </c>
      <c r="J37" s="12" t="s">
        <v>339</v>
      </c>
      <c r="Y37" s="220"/>
      <c r="Z37" s="221" t="s">
        <v>54</v>
      </c>
      <c r="AA37" s="222">
        <f>((1-Facteur_variable)+Facteur_variable*DJC_tot_16_17/DJC_tot_09_10)*GJ_Tot_09_10+GJ_Ajust_NP_Cour_16_17</f>
        <v>0</v>
      </c>
      <c r="AB37" s="223" t="s">
        <v>310</v>
      </c>
      <c r="AC37" s="220"/>
      <c r="AD37" s="220"/>
      <c r="AE37" s="47"/>
    </row>
    <row r="38" spans="1:31" ht="35.25" customHeight="1" thickTop="1">
      <c r="B38" s="36" t="s">
        <v>778</v>
      </c>
      <c r="C38" s="36"/>
      <c r="D38" s="36"/>
      <c r="E38" s="55"/>
      <c r="F38" s="54" t="str">
        <f>IF(D38="électrique","kWh",IF(D38="Gaz naturel","m³",IF(LEFT(D38,1)="R","1000 kg","l")))</f>
        <v>l</v>
      </c>
      <c r="G38" s="36"/>
      <c r="H38" s="37"/>
      <c r="I38" s="38">
        <f>IF(COUNTA(G38)=1,IF(C38="Réduction",-1,IF(C38="Augmentation",1,0))*E38*INDEX(Conversion!$A$24:$J$40,MATCH(D38,Conversion!$J$24:$J$40,0),9),0)</f>
        <v>0</v>
      </c>
      <c r="J38" s="38">
        <f t="shared" ref="J38:J44" si="8">IF(G38="Non",I38*L38,IF(G38="Oui",I38*K38,0))</f>
        <v>0</v>
      </c>
      <c r="K38" s="56" t="e">
        <f t="shared" ref="K38:K44" si="9">(DJC_tot_16_17-INDEX($A$9:$AF$20,MATCH(H38,$A$9:$A$20,0),24))/DJC_tot_16_17</f>
        <v>#N/A</v>
      </c>
      <c r="L38" s="56" t="e">
        <f t="shared" ref="L38:L44" si="10">INDEX($A$9:$AG$20,MATCH(H38,$A$9:$A$20,0),25)/12</f>
        <v>#N/A</v>
      </c>
      <c r="Y38" s="223"/>
      <c r="Z38" s="224" t="s">
        <v>55</v>
      </c>
      <c r="AA38" s="223">
        <f>GJ_Tot_16_17</f>
        <v>0</v>
      </c>
      <c r="AB38" s="223"/>
      <c r="AC38" s="220"/>
      <c r="AD38" s="220"/>
      <c r="AE38" s="47"/>
    </row>
    <row r="39" spans="1:31" ht="35.25" customHeight="1">
      <c r="B39" s="36" t="s">
        <v>779</v>
      </c>
      <c r="C39" s="36"/>
      <c r="D39" s="36"/>
      <c r="E39" s="55"/>
      <c r="F39" s="54" t="str">
        <f t="shared" ref="F39:F44" si="11">IF(D39="électrique","kWh",IF(D39="Gaz naturel","m³",IF(LEFT(D39,1)="R","1000 kg","l")))</f>
        <v>l</v>
      </c>
      <c r="G39" s="36"/>
      <c r="H39" s="37"/>
      <c r="I39" s="38">
        <f>IF(COUNTA(G39)=1,IF(C39="Réduction",-1,IF(C39="Augmentation",1,0))*E39*INDEX(Conversion!$A$24:$J$40,MATCH(D39,Conversion!$J$24:$J$40,0),9),0)</f>
        <v>0</v>
      </c>
      <c r="J39" s="38">
        <f t="shared" si="8"/>
        <v>0</v>
      </c>
      <c r="K39" s="56" t="e">
        <f t="shared" si="9"/>
        <v>#N/A</v>
      </c>
      <c r="L39" s="56" t="e">
        <f t="shared" si="10"/>
        <v>#N/A</v>
      </c>
      <c r="Y39" s="223"/>
      <c r="Z39" s="224" t="s">
        <v>56</v>
      </c>
      <c r="AA39" s="223">
        <f>Sup_09_10</f>
        <v>0</v>
      </c>
      <c r="AB39" s="223"/>
      <c r="AC39" s="220"/>
      <c r="AD39" s="220"/>
      <c r="AE39" s="47"/>
    </row>
    <row r="40" spans="1:31" ht="35.25" customHeight="1">
      <c r="B40" s="36" t="s">
        <v>780</v>
      </c>
      <c r="C40" s="36"/>
      <c r="D40" s="36"/>
      <c r="E40" s="55"/>
      <c r="F40" s="54" t="str">
        <f t="shared" si="11"/>
        <v>l</v>
      </c>
      <c r="G40" s="36"/>
      <c r="H40" s="37"/>
      <c r="I40" s="38">
        <f>IF(COUNTA(G40)=1,IF(C40="Réduction",-1,IF(C40="Augmentation",1,0))*E40*INDEX(Conversion!$A$24:$J$40,MATCH(D40,Conversion!$J$24:$J$40,0),9),0)</f>
        <v>0</v>
      </c>
      <c r="J40" s="38">
        <f t="shared" si="8"/>
        <v>0</v>
      </c>
      <c r="K40" s="56" t="e">
        <f t="shared" si="9"/>
        <v>#N/A</v>
      </c>
      <c r="L40" s="56" t="e">
        <f t="shared" si="10"/>
        <v>#N/A</v>
      </c>
      <c r="Y40" s="220"/>
      <c r="Z40" s="224" t="s">
        <v>57</v>
      </c>
      <c r="AA40" s="220">
        <f>Sup_16_17</f>
        <v>0</v>
      </c>
      <c r="AB40" s="223"/>
      <c r="AC40" s="220"/>
      <c r="AD40" s="220"/>
      <c r="AE40" s="47"/>
    </row>
    <row r="41" spans="1:31" ht="35.25" customHeight="1">
      <c r="B41" s="36" t="s">
        <v>781</v>
      </c>
      <c r="C41" s="36"/>
      <c r="D41" s="36"/>
      <c r="E41" s="55"/>
      <c r="F41" s="54" t="str">
        <f t="shared" si="11"/>
        <v>l</v>
      </c>
      <c r="G41" s="36"/>
      <c r="H41" s="37"/>
      <c r="I41" s="38">
        <f>IF(COUNTA(G41)=1,IF(C41="Réduction",-1,IF(C41="Augmentation",1,0))*E41*INDEX(Conversion!$A$24:$J$40,MATCH(D41,Conversion!$J$24:$J$40,0),9),0)</f>
        <v>0</v>
      </c>
      <c r="J41" s="38">
        <f t="shared" si="8"/>
        <v>0</v>
      </c>
      <c r="K41" s="56" t="e">
        <f t="shared" si="9"/>
        <v>#N/A</v>
      </c>
      <c r="L41" s="56" t="e">
        <f t="shared" si="10"/>
        <v>#N/A</v>
      </c>
      <c r="Y41" s="220"/>
      <c r="Z41" s="220"/>
      <c r="AA41" s="225" t="e">
        <f>GJTotRef_Ajust_16_17/Sup_09_10</f>
        <v>#DIV/0!</v>
      </c>
      <c r="AB41" s="223" t="s">
        <v>311</v>
      </c>
      <c r="AC41" s="220"/>
      <c r="AD41" s="220"/>
      <c r="AE41" s="47"/>
    </row>
    <row r="42" spans="1:31" ht="35.25" customHeight="1">
      <c r="B42" s="36" t="s">
        <v>782</v>
      </c>
      <c r="C42" s="36"/>
      <c r="D42" s="36"/>
      <c r="E42" s="55"/>
      <c r="F42" s="54" t="str">
        <f t="shared" si="11"/>
        <v>l</v>
      </c>
      <c r="G42" s="36"/>
      <c r="H42" s="37"/>
      <c r="I42" s="38">
        <f>IF(COUNTA(G42)=1,IF(C42="Réduction",-1,IF(C42="Augmentation",1,0))*E42*INDEX(Conversion!$A$24:$J$40,MATCH(D42,Conversion!$J$24:$J$40,0),9),0)</f>
        <v>0</v>
      </c>
      <c r="J42" s="38">
        <f t="shared" si="8"/>
        <v>0</v>
      </c>
      <c r="K42" s="56" t="e">
        <f t="shared" si="9"/>
        <v>#N/A</v>
      </c>
      <c r="L42" s="56" t="e">
        <f t="shared" si="10"/>
        <v>#N/A</v>
      </c>
      <c r="Y42" s="223"/>
      <c r="Z42" s="223"/>
      <c r="AA42" s="226">
        <f>J45</f>
        <v>0</v>
      </c>
      <c r="AB42" s="223" t="s">
        <v>312</v>
      </c>
      <c r="AC42" s="223"/>
      <c r="AD42" s="223"/>
    </row>
    <row r="43" spans="1:31" ht="35.25" customHeight="1">
      <c r="B43" s="36" t="s">
        <v>783</v>
      </c>
      <c r="C43" s="36"/>
      <c r="D43" s="36"/>
      <c r="E43" s="55"/>
      <c r="F43" s="54" t="str">
        <f t="shared" si="11"/>
        <v>l</v>
      </c>
      <c r="G43" s="36"/>
      <c r="H43" s="37"/>
      <c r="I43" s="38">
        <f>IF(COUNTA(G43)=1,IF(C43="Réduction",-1,IF(C43="Augmentation",1,0))*E43*INDEX(Conversion!$A$24:$J$40,MATCH(D43,Conversion!$J$24:$J$40,0),9),0)</f>
        <v>0</v>
      </c>
      <c r="J43" s="38">
        <f t="shared" si="8"/>
        <v>0</v>
      </c>
      <c r="K43" s="56" t="e">
        <f t="shared" si="9"/>
        <v>#N/A</v>
      </c>
      <c r="L43" s="56" t="e">
        <f t="shared" si="10"/>
        <v>#N/A</v>
      </c>
      <c r="Y43" s="223"/>
      <c r="Z43" s="223"/>
      <c r="AA43" s="226">
        <f>I45</f>
        <v>0</v>
      </c>
      <c r="AB43" s="223" t="s">
        <v>313</v>
      </c>
      <c r="AC43" s="223"/>
      <c r="AD43" s="223"/>
    </row>
    <row r="44" spans="1:31" ht="35.25" customHeight="1" thickBot="1">
      <c r="B44" s="36" t="s">
        <v>784</v>
      </c>
      <c r="C44" s="36"/>
      <c r="D44" s="36"/>
      <c r="E44" s="55"/>
      <c r="F44" s="54" t="str">
        <f t="shared" si="11"/>
        <v>l</v>
      </c>
      <c r="G44" s="36"/>
      <c r="H44" s="37"/>
      <c r="I44" s="38">
        <f>IF(COUNTA(G44)=1,IF(C44="Réduction",-1,IF(C44="Augmentation",1,0))*E44*INDEX(Conversion!$A$24:$J$40,MATCH(D44,Conversion!$J$24:$J$40,0),9),0)</f>
        <v>0</v>
      </c>
      <c r="J44" s="38">
        <f t="shared" si="8"/>
        <v>0</v>
      </c>
      <c r="K44" s="56" t="e">
        <f t="shared" si="9"/>
        <v>#N/A</v>
      </c>
      <c r="L44" s="56" t="e">
        <f t="shared" si="10"/>
        <v>#N/A</v>
      </c>
      <c r="Y44" s="223"/>
      <c r="Z44" s="223"/>
      <c r="AA44" s="223"/>
      <c r="AB44" s="223"/>
      <c r="AC44" s="223"/>
      <c r="AD44" s="223"/>
    </row>
    <row r="45" spans="1:31" ht="25.5" customHeight="1" thickTop="1" thickBot="1">
      <c r="B45" s="21" t="s">
        <v>16</v>
      </c>
      <c r="C45" s="19"/>
      <c r="D45" s="19"/>
      <c r="E45" s="19"/>
      <c r="F45" s="19"/>
      <c r="G45" s="19"/>
      <c r="H45" s="19"/>
      <c r="I45" s="20">
        <f>SUM(I38:I44)</f>
        <v>0</v>
      </c>
      <c r="J45" s="20">
        <f>SUM(J38:J44)</f>
        <v>0</v>
      </c>
      <c r="Y45" s="223"/>
      <c r="Z45" s="223"/>
      <c r="AA45" s="223"/>
      <c r="AB45" s="223"/>
      <c r="AC45" s="223"/>
      <c r="AD45" s="223"/>
    </row>
    <row r="46" spans="1:31" ht="15" thickTop="1">
      <c r="I46" s="1"/>
      <c r="J46" s="24"/>
      <c r="K46" s="24"/>
      <c r="L46" s="24"/>
      <c r="Y46" s="223"/>
      <c r="Z46" s="223"/>
      <c r="AA46" s="223"/>
      <c r="AB46" s="223"/>
      <c r="AC46" s="223"/>
      <c r="AD46" s="223"/>
    </row>
    <row r="47" spans="1:31">
      <c r="Y47" s="223"/>
      <c r="Z47" s="223"/>
      <c r="AA47" s="223"/>
      <c r="AB47" s="223"/>
      <c r="AC47" s="223"/>
      <c r="AD47" s="223"/>
    </row>
    <row r="48" spans="1:31">
      <c r="Y48" s="223"/>
      <c r="Z48" s="223"/>
      <c r="AA48" s="223"/>
      <c r="AB48" s="223"/>
      <c r="AC48" s="223"/>
      <c r="AD48" s="223"/>
    </row>
    <row r="49" spans="1:30" ht="16.5" customHeight="1">
      <c r="Y49" s="223"/>
      <c r="Z49" s="223"/>
      <c r="AA49" s="223"/>
      <c r="AB49" s="223"/>
      <c r="AC49" s="223"/>
      <c r="AD49" s="223"/>
    </row>
    <row r="50" spans="1:30">
      <c r="Y50" s="223"/>
      <c r="Z50" s="223"/>
      <c r="AA50" s="223"/>
      <c r="AB50" s="223"/>
      <c r="AC50" s="223"/>
      <c r="AD50" s="223"/>
    </row>
    <row r="51" spans="1:30" ht="16.5" customHeight="1">
      <c r="Y51" s="223"/>
      <c r="Z51" s="223"/>
      <c r="AA51" s="223"/>
      <c r="AB51" s="223"/>
      <c r="AC51" s="223"/>
      <c r="AD51" s="223"/>
    </row>
    <row r="52" spans="1:30">
      <c r="A52" s="29"/>
      <c r="B52" s="29"/>
      <c r="C52" s="30"/>
      <c r="D52" s="30"/>
      <c r="E52" s="30"/>
      <c r="F52" s="30"/>
      <c r="G52" s="30"/>
      <c r="H52" s="30"/>
      <c r="Y52" s="223"/>
      <c r="Z52" s="223"/>
      <c r="AA52" s="223"/>
      <c r="AB52" s="223"/>
      <c r="AC52" s="223"/>
      <c r="AD52" s="223"/>
    </row>
    <row r="53" spans="1:30">
      <c r="A53" s="29"/>
      <c r="B53" s="29"/>
      <c r="C53" s="30"/>
      <c r="D53" s="30"/>
      <c r="E53" s="30"/>
      <c r="F53" s="30"/>
      <c r="G53" s="30"/>
      <c r="H53" s="30"/>
      <c r="Y53" s="223"/>
      <c r="Z53" s="223"/>
      <c r="AA53" s="223"/>
      <c r="AB53" s="223"/>
      <c r="AC53" s="223"/>
      <c r="AD53" s="223"/>
    </row>
    <row r="54" spans="1:30">
      <c r="A54" s="29"/>
      <c r="B54" s="27"/>
      <c r="C54" s="28" t="s">
        <v>65</v>
      </c>
      <c r="D54" s="28" t="s">
        <v>70</v>
      </c>
      <c r="E54" s="28"/>
      <c r="F54" s="28"/>
      <c r="G54" s="28" t="s">
        <v>73</v>
      </c>
      <c r="H54" s="30"/>
      <c r="Y54" s="220"/>
      <c r="Z54" s="223"/>
      <c r="AA54" s="223"/>
      <c r="AB54" s="223"/>
      <c r="AC54" s="223"/>
      <c r="AD54" s="223"/>
    </row>
    <row r="55" spans="1:30">
      <c r="A55" s="29"/>
      <c r="B55" s="27"/>
      <c r="C55" s="28" t="s">
        <v>66</v>
      </c>
      <c r="D55" s="28" t="s">
        <v>19</v>
      </c>
      <c r="E55" s="28"/>
      <c r="F55" s="28"/>
      <c r="G55" s="28" t="s">
        <v>74</v>
      </c>
      <c r="H55" s="30"/>
      <c r="Y55" s="220"/>
      <c r="Z55" s="223"/>
      <c r="AA55" s="223"/>
      <c r="AB55" s="223"/>
      <c r="AC55" s="223"/>
      <c r="AD55" s="223"/>
    </row>
    <row r="56" spans="1:30">
      <c r="A56" s="29"/>
      <c r="B56" s="27"/>
      <c r="C56" s="28"/>
      <c r="D56" s="28" t="s">
        <v>67</v>
      </c>
      <c r="E56" s="28"/>
      <c r="F56" s="28"/>
      <c r="G56" s="28"/>
      <c r="H56" s="30"/>
      <c r="Y56" s="220"/>
      <c r="Z56" s="223"/>
      <c r="AA56" s="223"/>
      <c r="AB56" s="223"/>
      <c r="AC56" s="223"/>
      <c r="AD56" s="223"/>
    </row>
    <row r="57" spans="1:30">
      <c r="A57" s="29"/>
      <c r="B57" s="27"/>
      <c r="C57" s="28"/>
      <c r="D57" s="28" t="s">
        <v>25</v>
      </c>
      <c r="E57" s="28"/>
      <c r="F57" s="28"/>
      <c r="G57" s="28"/>
      <c r="H57" s="30"/>
      <c r="Y57" s="220"/>
      <c r="Z57" s="223"/>
      <c r="AA57" s="223"/>
      <c r="AB57" s="223"/>
      <c r="AC57" s="223"/>
      <c r="AD57" s="223"/>
    </row>
    <row r="58" spans="1:30">
      <c r="A58" s="29"/>
      <c r="B58" s="27"/>
      <c r="C58" s="28"/>
      <c r="D58" s="28" t="s">
        <v>27</v>
      </c>
      <c r="E58" s="28"/>
      <c r="F58" s="28"/>
      <c r="G58" s="28"/>
      <c r="H58" s="30"/>
      <c r="Y58" s="220"/>
      <c r="Z58" s="223"/>
      <c r="AA58" s="223"/>
      <c r="AB58" s="223"/>
      <c r="AC58" s="223"/>
      <c r="AD58" s="223"/>
    </row>
    <row r="59" spans="1:30">
      <c r="A59" s="29"/>
      <c r="B59" s="27"/>
      <c r="C59" s="28"/>
      <c r="D59" s="28" t="s">
        <v>68</v>
      </c>
      <c r="E59" s="28"/>
      <c r="F59" s="28"/>
      <c r="G59" s="28"/>
      <c r="H59" s="30"/>
    </row>
    <row r="60" spans="1:30">
      <c r="A60" s="29"/>
      <c r="B60" s="27"/>
      <c r="C60" s="28"/>
      <c r="D60" s="28" t="s">
        <v>69</v>
      </c>
      <c r="E60" s="28"/>
      <c r="F60" s="28"/>
      <c r="G60" s="28"/>
      <c r="H60" s="30"/>
    </row>
    <row r="61" spans="1:30">
      <c r="A61" s="29"/>
      <c r="B61" s="27"/>
      <c r="C61" s="28"/>
      <c r="D61" s="28" t="s">
        <v>77</v>
      </c>
      <c r="E61" s="28"/>
      <c r="F61" s="28"/>
      <c r="G61" s="28"/>
      <c r="H61" s="30"/>
    </row>
    <row r="62" spans="1:30">
      <c r="A62" s="29"/>
      <c r="B62" s="27"/>
      <c r="C62" s="28"/>
      <c r="D62" s="28"/>
      <c r="E62" s="28"/>
      <c r="F62" s="28"/>
      <c r="G62" s="28"/>
      <c r="H62" s="30"/>
    </row>
    <row r="63" spans="1:30">
      <c r="A63" s="29"/>
      <c r="B63" s="29"/>
      <c r="C63" s="30"/>
      <c r="D63" s="30"/>
      <c r="E63" s="30"/>
      <c r="F63" s="30"/>
      <c r="G63" s="30"/>
      <c r="H63" s="30"/>
    </row>
    <row r="64" spans="1:30">
      <c r="A64" s="29"/>
      <c r="B64" s="29"/>
      <c r="C64" s="30"/>
      <c r="D64" s="30"/>
      <c r="E64" s="30"/>
      <c r="F64" s="30"/>
      <c r="G64" s="30"/>
      <c r="H64" s="30"/>
    </row>
    <row r="65" spans="1:25">
      <c r="A65" s="29"/>
      <c r="B65" s="29"/>
      <c r="C65" s="30"/>
      <c r="D65" s="30"/>
      <c r="E65" s="30"/>
      <c r="F65" s="30"/>
      <c r="G65" s="30"/>
      <c r="H65" s="30"/>
    </row>
    <row r="66" spans="1:25">
      <c r="A66" s="29"/>
      <c r="B66" s="29"/>
      <c r="C66" s="30"/>
      <c r="D66" s="30"/>
      <c r="E66" s="30"/>
      <c r="F66" s="30"/>
      <c r="G66" s="30"/>
      <c r="H66" s="30"/>
    </row>
    <row r="67" spans="1:25">
      <c r="A67" s="29"/>
      <c r="B67" s="29"/>
      <c r="C67" s="30"/>
      <c r="D67" s="30"/>
      <c r="E67" s="30"/>
      <c r="F67" s="30"/>
      <c r="G67" s="30"/>
      <c r="H67" s="30"/>
    </row>
    <row r="68" spans="1:25">
      <c r="A68" s="29"/>
      <c r="B68" s="29"/>
      <c r="C68" s="30"/>
      <c r="D68" s="30"/>
      <c r="E68" s="29"/>
      <c r="F68" s="29"/>
      <c r="G68" s="29"/>
      <c r="H68" s="29"/>
      <c r="I68" s="1"/>
      <c r="J68" s="1"/>
      <c r="K68" s="1"/>
      <c r="L68" s="1"/>
      <c r="M68" s="1"/>
      <c r="N68" s="1"/>
      <c r="O68" s="1"/>
      <c r="P68" s="1"/>
      <c r="Q68" s="1"/>
      <c r="R68" s="1"/>
      <c r="S68" s="1"/>
      <c r="T68" s="1"/>
      <c r="U68" s="1"/>
      <c r="V68" s="1"/>
      <c r="W68" s="1"/>
      <c r="X68" s="1"/>
      <c r="Y68" s="49"/>
    </row>
    <row r="69" spans="1:25">
      <c r="A69" s="29"/>
      <c r="B69" s="29"/>
      <c r="C69" s="30"/>
      <c r="D69" s="30"/>
      <c r="E69" s="29"/>
      <c r="F69" s="29"/>
      <c r="G69" s="29"/>
      <c r="H69" s="29"/>
      <c r="I69" s="1"/>
      <c r="J69" s="1"/>
      <c r="K69" s="1"/>
      <c r="L69" s="1"/>
      <c r="M69" s="1"/>
      <c r="N69" s="1"/>
      <c r="O69" s="1"/>
      <c r="P69" s="1"/>
      <c r="Q69" s="1"/>
      <c r="R69" s="1"/>
      <c r="S69" s="1"/>
      <c r="T69" s="1"/>
      <c r="U69" s="1"/>
      <c r="V69" s="1"/>
      <c r="W69" s="1"/>
      <c r="X69" s="1"/>
      <c r="Y69" s="49"/>
    </row>
    <row r="70" spans="1:25" ht="16.5" customHeight="1">
      <c r="E70" s="1"/>
      <c r="F70" s="1"/>
      <c r="G70" s="1"/>
      <c r="H70" s="1"/>
      <c r="I70" s="1"/>
      <c r="J70" s="1"/>
      <c r="K70" s="1"/>
      <c r="L70" s="1"/>
      <c r="M70" s="1"/>
      <c r="N70" s="1"/>
      <c r="O70" s="1"/>
      <c r="P70" s="1"/>
      <c r="Q70" s="1"/>
      <c r="R70" s="1"/>
      <c r="S70" s="1"/>
      <c r="T70" s="1"/>
      <c r="U70" s="1"/>
      <c r="V70" s="1"/>
      <c r="W70" s="1"/>
      <c r="X70" s="1"/>
      <c r="Y70" s="49"/>
    </row>
    <row r="71" spans="1:25">
      <c r="E71" s="1"/>
      <c r="F71" s="1"/>
      <c r="G71" s="1"/>
      <c r="H71" s="1"/>
      <c r="I71" s="1"/>
      <c r="J71" s="1"/>
      <c r="K71" s="1"/>
      <c r="L71" s="1"/>
      <c r="M71" s="1"/>
      <c r="N71" s="1"/>
      <c r="O71" s="1"/>
      <c r="P71" s="1"/>
      <c r="Q71" s="1"/>
      <c r="R71" s="1"/>
      <c r="S71" s="1"/>
      <c r="T71" s="1"/>
      <c r="U71" s="1"/>
      <c r="V71" s="1"/>
      <c r="W71" s="1"/>
      <c r="X71" s="1"/>
      <c r="Y71" s="49"/>
    </row>
    <row r="72" spans="1:25">
      <c r="E72" s="1"/>
      <c r="F72" s="1"/>
      <c r="G72" s="1"/>
      <c r="H72" s="1"/>
      <c r="I72" s="1"/>
      <c r="J72" s="1"/>
      <c r="K72" s="1"/>
      <c r="L72" s="1"/>
      <c r="M72" s="1"/>
      <c r="N72" s="1"/>
      <c r="O72" s="1"/>
      <c r="P72" s="1"/>
      <c r="Q72" s="1"/>
      <c r="R72" s="1"/>
      <c r="S72" s="1"/>
      <c r="T72" s="1"/>
      <c r="U72" s="1"/>
      <c r="V72" s="1"/>
      <c r="W72" s="1"/>
      <c r="X72" s="1"/>
      <c r="Y72" s="49"/>
    </row>
    <row r="73" spans="1:25">
      <c r="E73" s="1"/>
      <c r="F73" s="1"/>
      <c r="G73" s="1"/>
      <c r="H73" s="1"/>
      <c r="I73" s="1"/>
      <c r="J73" s="1"/>
      <c r="K73" s="1"/>
      <c r="L73" s="1"/>
      <c r="M73" s="1"/>
      <c r="N73" s="1"/>
      <c r="O73" s="1"/>
      <c r="P73" s="1"/>
      <c r="Q73" s="1"/>
      <c r="R73" s="1"/>
      <c r="S73" s="1"/>
      <c r="T73" s="1"/>
      <c r="U73" s="1"/>
      <c r="V73" s="1"/>
      <c r="W73" s="1"/>
      <c r="X73" s="1"/>
      <c r="Y73" s="49"/>
    </row>
    <row r="74" spans="1:25">
      <c r="E74" s="1"/>
      <c r="F74" s="1"/>
      <c r="G74" s="1"/>
      <c r="H74" s="1"/>
      <c r="I74" s="1"/>
      <c r="J74" s="1"/>
      <c r="K74" s="1"/>
      <c r="L74" s="1"/>
      <c r="M74" s="1"/>
      <c r="N74" s="1"/>
      <c r="O74" s="1"/>
      <c r="P74" s="1"/>
      <c r="Q74" s="1"/>
      <c r="R74" s="1"/>
      <c r="S74" s="1"/>
      <c r="T74" s="1"/>
      <c r="U74" s="1"/>
      <c r="V74" s="1"/>
      <c r="W74" s="1"/>
      <c r="X74" s="1"/>
      <c r="Y74" s="49"/>
    </row>
    <row r="75" spans="1:25">
      <c r="E75" s="1"/>
      <c r="F75" s="1"/>
      <c r="G75" s="1"/>
      <c r="H75" s="1"/>
      <c r="I75" s="1"/>
      <c r="J75" s="1"/>
      <c r="K75" s="1"/>
      <c r="L75" s="1"/>
      <c r="M75" s="1"/>
      <c r="N75" s="1"/>
      <c r="O75" s="1"/>
      <c r="P75" s="1"/>
      <c r="Q75" s="1"/>
      <c r="R75" s="1"/>
      <c r="S75" s="1"/>
      <c r="T75" s="1"/>
      <c r="U75" s="1"/>
      <c r="V75" s="1"/>
      <c r="W75" s="1"/>
      <c r="X75" s="1"/>
      <c r="Y75" s="49"/>
    </row>
    <row r="76" spans="1:25">
      <c r="E76" s="1"/>
      <c r="F76" s="1"/>
      <c r="G76" s="1"/>
      <c r="H76" s="1"/>
      <c r="I76" s="1"/>
      <c r="J76" s="1"/>
      <c r="K76" s="1"/>
      <c r="L76" s="1"/>
      <c r="M76" s="1"/>
      <c r="N76" s="1"/>
      <c r="O76" s="1"/>
      <c r="P76" s="1"/>
      <c r="Q76" s="1"/>
      <c r="R76" s="1"/>
      <c r="S76" s="1"/>
      <c r="T76" s="1"/>
      <c r="U76" s="1"/>
      <c r="V76" s="1"/>
      <c r="W76" s="1"/>
      <c r="X76" s="1"/>
      <c r="Y76" s="49"/>
    </row>
    <row r="77" spans="1:25">
      <c r="E77" s="1"/>
      <c r="F77" s="1"/>
      <c r="G77" s="1"/>
      <c r="H77" s="1"/>
      <c r="I77" s="1"/>
      <c r="J77" s="1"/>
      <c r="K77" s="1"/>
      <c r="L77" s="1"/>
      <c r="M77" s="1"/>
      <c r="N77" s="1"/>
      <c r="O77" s="1"/>
      <c r="P77" s="1"/>
      <c r="Q77" s="1"/>
      <c r="R77" s="1"/>
      <c r="S77" s="1"/>
      <c r="T77" s="1"/>
      <c r="U77" s="1"/>
      <c r="V77" s="1"/>
      <c r="W77" s="1"/>
      <c r="X77" s="1"/>
      <c r="Y77" s="49"/>
    </row>
    <row r="78" spans="1:25">
      <c r="E78" s="1"/>
      <c r="F78" s="1"/>
      <c r="G78" s="1"/>
      <c r="H78" s="1"/>
      <c r="I78" s="1"/>
      <c r="J78" s="1"/>
      <c r="K78" s="1"/>
      <c r="L78" s="1"/>
      <c r="M78" s="1"/>
      <c r="N78" s="1"/>
      <c r="O78" s="1"/>
      <c r="P78" s="1"/>
      <c r="Q78" s="1"/>
      <c r="R78" s="1"/>
      <c r="S78" s="1"/>
      <c r="T78" s="1"/>
      <c r="U78" s="1"/>
      <c r="V78" s="1"/>
      <c r="W78" s="1"/>
      <c r="X78" s="1"/>
      <c r="Y78" s="49"/>
    </row>
    <row r="79" spans="1:25">
      <c r="E79" s="1"/>
      <c r="F79" s="1"/>
      <c r="G79" s="1"/>
      <c r="H79" s="1"/>
      <c r="I79" s="1"/>
      <c r="J79" s="1"/>
      <c r="K79" s="1"/>
      <c r="L79" s="1"/>
      <c r="M79" s="1"/>
      <c r="N79" s="1"/>
      <c r="O79" s="1"/>
      <c r="P79" s="1"/>
      <c r="Q79" s="1"/>
      <c r="R79" s="1"/>
      <c r="S79" s="1"/>
      <c r="T79" s="1"/>
      <c r="U79" s="1"/>
      <c r="V79" s="1"/>
      <c r="W79" s="1"/>
      <c r="X79" s="1"/>
      <c r="Y79" s="49"/>
    </row>
    <row r="80" spans="1:25" ht="16.5" customHeight="1">
      <c r="E80" s="1"/>
      <c r="F80" s="1"/>
      <c r="G80" s="1"/>
      <c r="H80" s="1"/>
      <c r="I80" s="1"/>
      <c r="J80" s="1"/>
      <c r="K80" s="1"/>
      <c r="L80" s="1"/>
      <c r="M80" s="1"/>
      <c r="N80" s="1"/>
      <c r="O80" s="1"/>
      <c r="P80" s="1"/>
      <c r="Q80" s="1"/>
      <c r="R80" s="1"/>
      <c r="S80" s="1"/>
      <c r="T80" s="1"/>
      <c r="U80" s="1"/>
      <c r="V80" s="1"/>
      <c r="W80" s="1"/>
      <c r="X80" s="1"/>
      <c r="Y80" s="49"/>
    </row>
    <row r="81" spans="5:25">
      <c r="E81" s="1"/>
      <c r="F81" s="1"/>
      <c r="G81" s="1"/>
      <c r="H81" s="1"/>
      <c r="I81" s="1"/>
      <c r="J81" s="1"/>
      <c r="K81" s="1"/>
      <c r="L81" s="1"/>
      <c r="M81" s="1"/>
      <c r="N81" s="1"/>
      <c r="O81" s="1"/>
      <c r="P81" s="1"/>
      <c r="Q81" s="1"/>
      <c r="R81" s="1"/>
      <c r="S81" s="1"/>
      <c r="T81" s="1"/>
      <c r="U81" s="1"/>
      <c r="V81" s="1"/>
      <c r="W81" s="1"/>
      <c r="X81" s="1"/>
      <c r="Y81" s="49"/>
    </row>
    <row r="82" spans="5:25" ht="16.5" customHeight="1">
      <c r="E82" s="1"/>
      <c r="F82" s="1"/>
      <c r="G82" s="1"/>
      <c r="H82" s="1"/>
      <c r="I82" s="1"/>
      <c r="J82" s="1"/>
      <c r="K82" s="1"/>
      <c r="L82" s="1"/>
      <c r="M82" s="1"/>
      <c r="N82" s="1"/>
      <c r="O82" s="1"/>
      <c r="P82" s="1"/>
      <c r="Q82" s="1"/>
      <c r="R82" s="1"/>
      <c r="S82" s="1"/>
      <c r="T82" s="1"/>
      <c r="U82" s="1"/>
      <c r="V82" s="1"/>
      <c r="W82" s="1"/>
      <c r="X82" s="1"/>
      <c r="Y82" s="49"/>
    </row>
    <row r="83" spans="5:25">
      <c r="E83" s="1"/>
      <c r="F83" s="1"/>
      <c r="G83" s="1"/>
      <c r="H83" s="1"/>
      <c r="I83" s="1"/>
      <c r="J83" s="1"/>
      <c r="K83" s="1"/>
      <c r="L83" s="1"/>
      <c r="M83" s="1"/>
      <c r="N83" s="1"/>
      <c r="O83" s="1"/>
      <c r="P83" s="1"/>
      <c r="Q83" s="1"/>
      <c r="R83" s="1"/>
      <c r="S83" s="1"/>
      <c r="T83" s="1"/>
      <c r="U83" s="1"/>
      <c r="V83" s="1"/>
      <c r="W83" s="1"/>
      <c r="X83" s="1"/>
      <c r="Y83" s="49"/>
    </row>
    <row r="84" spans="5:25">
      <c r="E84" s="1"/>
      <c r="F84" s="1"/>
      <c r="G84" s="1"/>
      <c r="H84" s="1"/>
      <c r="I84" s="1"/>
      <c r="J84" s="1"/>
      <c r="K84" s="1"/>
      <c r="L84" s="1"/>
      <c r="M84" s="1"/>
      <c r="N84" s="1"/>
      <c r="O84" s="1"/>
      <c r="P84" s="1"/>
      <c r="Q84" s="1"/>
      <c r="R84" s="1"/>
      <c r="S84" s="1"/>
      <c r="T84" s="1"/>
      <c r="U84" s="1"/>
      <c r="V84" s="1"/>
      <c r="W84" s="1"/>
      <c r="X84" s="1"/>
      <c r="Y84" s="49"/>
    </row>
    <row r="85" spans="5:25">
      <c r="E85" s="1"/>
      <c r="F85" s="1"/>
      <c r="G85" s="1"/>
      <c r="H85" s="1"/>
      <c r="I85" s="1"/>
      <c r="J85" s="1"/>
      <c r="K85" s="1"/>
      <c r="L85" s="1"/>
      <c r="M85" s="1"/>
      <c r="N85" s="1"/>
      <c r="O85" s="1"/>
      <c r="P85" s="1"/>
      <c r="Q85" s="1"/>
      <c r="R85" s="1"/>
      <c r="S85" s="1"/>
      <c r="T85" s="1"/>
      <c r="U85" s="1"/>
      <c r="V85" s="1"/>
      <c r="W85" s="1"/>
      <c r="X85" s="1"/>
      <c r="Y85" s="49"/>
    </row>
    <row r="86" spans="5:25">
      <c r="E86" s="1"/>
      <c r="F86" s="1"/>
      <c r="G86" s="1"/>
      <c r="H86" s="1"/>
      <c r="I86" s="1"/>
      <c r="J86" s="1"/>
      <c r="K86" s="1"/>
      <c r="L86" s="1"/>
      <c r="M86" s="1"/>
      <c r="N86" s="1"/>
      <c r="O86" s="1"/>
      <c r="P86" s="1"/>
      <c r="Q86" s="1"/>
      <c r="R86" s="1"/>
      <c r="S86" s="1"/>
      <c r="T86" s="1"/>
      <c r="U86" s="1"/>
      <c r="V86" s="1"/>
      <c r="W86" s="1"/>
      <c r="X86" s="1"/>
      <c r="Y86" s="49"/>
    </row>
    <row r="87" spans="5:25">
      <c r="E87" s="1"/>
      <c r="F87" s="1"/>
      <c r="G87" s="1"/>
      <c r="H87" s="1"/>
      <c r="I87" s="1"/>
      <c r="J87" s="1"/>
      <c r="K87" s="1"/>
      <c r="L87" s="1"/>
      <c r="M87" s="1"/>
      <c r="N87" s="1"/>
      <c r="O87" s="1"/>
      <c r="P87" s="1"/>
      <c r="Q87" s="1"/>
      <c r="R87" s="1"/>
      <c r="S87" s="1"/>
      <c r="T87" s="1"/>
      <c r="U87" s="1"/>
      <c r="V87" s="1"/>
      <c r="W87" s="1"/>
      <c r="X87" s="1"/>
      <c r="Y87" s="49"/>
    </row>
    <row r="88" spans="5:25">
      <c r="E88" s="1"/>
      <c r="F88" s="1"/>
      <c r="G88" s="1"/>
      <c r="H88" s="1"/>
      <c r="I88" s="1"/>
      <c r="J88" s="1"/>
      <c r="K88" s="1"/>
      <c r="L88" s="1"/>
      <c r="M88" s="1"/>
      <c r="N88" s="1"/>
      <c r="O88" s="1"/>
      <c r="P88" s="1"/>
      <c r="Q88" s="1"/>
      <c r="R88" s="1"/>
      <c r="S88" s="1"/>
      <c r="T88" s="1"/>
      <c r="U88" s="1"/>
      <c r="V88" s="1"/>
      <c r="W88" s="1"/>
      <c r="X88" s="1"/>
      <c r="Y88" s="49"/>
    </row>
    <row r="89" spans="5:25">
      <c r="E89" s="1"/>
      <c r="F89" s="1"/>
      <c r="G89" s="1"/>
      <c r="H89" s="1"/>
      <c r="I89" s="1"/>
      <c r="J89" s="1"/>
      <c r="K89" s="1"/>
      <c r="L89" s="1"/>
      <c r="M89" s="1"/>
      <c r="N89" s="1"/>
      <c r="O89" s="1"/>
      <c r="P89" s="1"/>
      <c r="Q89" s="1"/>
      <c r="R89" s="1"/>
      <c r="S89" s="1"/>
      <c r="T89" s="1"/>
      <c r="U89" s="1"/>
      <c r="V89" s="1"/>
      <c r="W89" s="1"/>
      <c r="X89" s="1"/>
      <c r="Y89" s="49"/>
    </row>
    <row r="90" spans="5:25">
      <c r="E90" s="1"/>
      <c r="F90" s="1"/>
      <c r="G90" s="1"/>
      <c r="H90" s="1"/>
      <c r="I90" s="1"/>
      <c r="J90" s="1"/>
      <c r="K90" s="1"/>
      <c r="L90" s="1"/>
      <c r="M90" s="1"/>
      <c r="N90" s="1"/>
      <c r="O90" s="1"/>
      <c r="P90" s="1"/>
      <c r="Q90" s="1"/>
      <c r="R90" s="1"/>
      <c r="S90" s="1"/>
      <c r="T90" s="1"/>
      <c r="U90" s="1"/>
      <c r="V90" s="1"/>
      <c r="W90" s="1"/>
      <c r="X90" s="1"/>
      <c r="Y90" s="49"/>
    </row>
    <row r="91" spans="5:25">
      <c r="E91" s="1"/>
      <c r="F91" s="1"/>
      <c r="G91" s="1"/>
      <c r="H91" s="1"/>
      <c r="I91" s="1"/>
      <c r="J91" s="1"/>
      <c r="K91" s="1"/>
      <c r="L91" s="1"/>
      <c r="M91" s="1"/>
      <c r="N91" s="1"/>
      <c r="O91" s="1"/>
      <c r="P91" s="1"/>
      <c r="Q91" s="1"/>
      <c r="R91" s="1"/>
      <c r="S91" s="1"/>
      <c r="T91" s="1"/>
      <c r="U91" s="1"/>
      <c r="V91" s="1"/>
      <c r="W91" s="1"/>
      <c r="X91" s="1"/>
      <c r="Y91" s="49"/>
    </row>
    <row r="92" spans="5:25">
      <c r="E92" s="1"/>
      <c r="F92" s="1"/>
      <c r="G92" s="1"/>
      <c r="H92" s="1"/>
      <c r="I92" s="1"/>
      <c r="J92" s="1"/>
      <c r="K92" s="1"/>
      <c r="L92" s="1"/>
      <c r="M92" s="1"/>
      <c r="N92" s="1"/>
      <c r="O92" s="1"/>
      <c r="P92" s="1"/>
      <c r="Q92" s="1"/>
      <c r="R92" s="1"/>
      <c r="S92" s="1"/>
      <c r="T92" s="1"/>
      <c r="U92" s="1"/>
      <c r="V92" s="1"/>
      <c r="W92" s="1"/>
      <c r="X92" s="1"/>
      <c r="Y92" s="49"/>
    </row>
    <row r="93" spans="5:25">
      <c r="E93" s="1"/>
      <c r="F93" s="1"/>
      <c r="G93" s="1"/>
      <c r="H93" s="1"/>
      <c r="I93" s="1"/>
      <c r="J93" s="1"/>
      <c r="K93" s="1"/>
      <c r="L93" s="1"/>
      <c r="M93" s="1"/>
      <c r="N93" s="1"/>
      <c r="O93" s="1"/>
      <c r="P93" s="1"/>
      <c r="Q93" s="1"/>
      <c r="R93" s="1"/>
      <c r="S93" s="1"/>
      <c r="T93" s="1"/>
      <c r="U93" s="1"/>
      <c r="V93" s="1"/>
      <c r="W93" s="1"/>
      <c r="X93" s="1"/>
      <c r="Y93" s="49"/>
    </row>
    <row r="94" spans="5:25">
      <c r="E94" s="1"/>
      <c r="F94" s="1"/>
      <c r="G94" s="1"/>
      <c r="H94" s="1"/>
      <c r="I94" s="1"/>
      <c r="J94" s="1"/>
      <c r="K94" s="1"/>
      <c r="L94" s="1"/>
      <c r="M94" s="1"/>
      <c r="N94" s="1"/>
      <c r="O94" s="1"/>
      <c r="P94" s="1"/>
      <c r="Q94" s="1"/>
      <c r="R94" s="1"/>
      <c r="S94" s="1"/>
      <c r="T94" s="1"/>
      <c r="U94" s="1"/>
      <c r="V94" s="1"/>
      <c r="W94" s="1"/>
      <c r="X94" s="1"/>
      <c r="Y94" s="49"/>
    </row>
    <row r="95" spans="5:25">
      <c r="E95" s="1"/>
      <c r="F95" s="1"/>
      <c r="G95" s="1"/>
      <c r="H95" s="1"/>
      <c r="I95" s="1"/>
      <c r="J95" s="1"/>
      <c r="K95" s="1"/>
      <c r="L95" s="1"/>
      <c r="M95" s="1"/>
      <c r="N95" s="1"/>
      <c r="O95" s="1"/>
      <c r="P95" s="1"/>
      <c r="Q95" s="1"/>
      <c r="R95" s="1"/>
      <c r="S95" s="1"/>
      <c r="T95" s="1"/>
      <c r="U95" s="1"/>
      <c r="V95" s="1"/>
      <c r="W95" s="1"/>
      <c r="X95" s="1"/>
      <c r="Y95" s="49"/>
    </row>
    <row r="96" spans="5:25">
      <c r="E96" s="1"/>
      <c r="F96" s="1"/>
      <c r="G96" s="1"/>
      <c r="H96" s="1"/>
      <c r="I96" s="1"/>
      <c r="J96" s="1"/>
      <c r="K96" s="1"/>
      <c r="L96" s="1"/>
      <c r="M96" s="1"/>
      <c r="N96" s="1"/>
      <c r="O96" s="1"/>
      <c r="P96" s="1"/>
      <c r="Q96" s="1"/>
      <c r="R96" s="1"/>
      <c r="S96" s="1"/>
      <c r="T96" s="1"/>
      <c r="U96" s="1"/>
      <c r="V96" s="1"/>
      <c r="W96" s="1"/>
      <c r="X96" s="1"/>
      <c r="Y96" s="49"/>
    </row>
    <row r="97" spans="5:25">
      <c r="E97" s="1"/>
      <c r="F97" s="1"/>
      <c r="G97" s="1"/>
      <c r="H97" s="1"/>
      <c r="I97" s="1"/>
      <c r="J97" s="1"/>
      <c r="K97" s="1"/>
      <c r="L97" s="1"/>
      <c r="M97" s="1"/>
      <c r="N97" s="1"/>
      <c r="O97" s="1"/>
      <c r="P97" s="1"/>
      <c r="Q97" s="1"/>
      <c r="R97" s="1"/>
      <c r="S97" s="1"/>
      <c r="T97" s="1"/>
      <c r="U97" s="1"/>
      <c r="V97" s="1"/>
      <c r="W97" s="1"/>
      <c r="X97" s="1"/>
      <c r="Y97" s="49"/>
    </row>
    <row r="98" spans="5:25">
      <c r="E98" s="1"/>
      <c r="F98" s="1"/>
      <c r="G98" s="1"/>
      <c r="H98" s="1"/>
      <c r="I98" s="1"/>
      <c r="J98" s="1"/>
      <c r="K98" s="1"/>
      <c r="L98" s="1"/>
      <c r="M98" s="1"/>
      <c r="N98" s="1"/>
      <c r="O98" s="1"/>
      <c r="P98" s="1"/>
      <c r="Q98" s="1"/>
      <c r="R98" s="1"/>
      <c r="S98" s="1"/>
      <c r="T98" s="1"/>
      <c r="U98" s="1"/>
      <c r="V98" s="1"/>
      <c r="W98" s="1"/>
      <c r="X98" s="1"/>
      <c r="Y98" s="49"/>
    </row>
    <row r="99" spans="5:25">
      <c r="E99" s="1"/>
      <c r="F99" s="1"/>
      <c r="G99" s="1"/>
      <c r="H99" s="1"/>
      <c r="I99" s="1"/>
      <c r="J99" s="1"/>
      <c r="K99" s="1"/>
      <c r="L99" s="1"/>
      <c r="M99" s="1"/>
      <c r="N99" s="1"/>
      <c r="O99" s="1"/>
      <c r="P99" s="1"/>
      <c r="Q99" s="1"/>
      <c r="R99" s="1"/>
      <c r="S99" s="1"/>
      <c r="T99" s="1"/>
      <c r="U99" s="1"/>
      <c r="V99" s="1"/>
      <c r="W99" s="1"/>
      <c r="X99" s="1"/>
      <c r="Y99" s="49"/>
    </row>
    <row r="100" spans="5:25">
      <c r="E100" s="1"/>
      <c r="F100" s="1"/>
      <c r="G100" s="1"/>
      <c r="H100" s="1"/>
      <c r="I100" s="1"/>
      <c r="J100" s="1"/>
      <c r="K100" s="1"/>
      <c r="L100" s="1"/>
      <c r="M100" s="1"/>
      <c r="N100" s="1"/>
      <c r="O100" s="1"/>
      <c r="P100" s="1"/>
      <c r="Q100" s="1"/>
      <c r="R100" s="1"/>
      <c r="S100" s="1"/>
      <c r="T100" s="1"/>
      <c r="U100" s="1"/>
      <c r="V100" s="1"/>
      <c r="W100" s="1"/>
      <c r="X100" s="1"/>
      <c r="Y100" s="49"/>
    </row>
    <row r="101" spans="5:25">
      <c r="E101" s="1"/>
      <c r="F101" s="1"/>
      <c r="G101" s="1"/>
      <c r="H101" s="1"/>
      <c r="I101" s="1"/>
      <c r="J101" s="1"/>
      <c r="K101" s="1"/>
      <c r="L101" s="1"/>
      <c r="M101" s="1"/>
      <c r="N101" s="1"/>
      <c r="O101" s="1"/>
      <c r="P101" s="1"/>
      <c r="Q101" s="1"/>
      <c r="R101" s="1"/>
      <c r="S101" s="1"/>
      <c r="T101" s="1"/>
      <c r="U101" s="1"/>
      <c r="V101" s="1"/>
      <c r="W101" s="1"/>
      <c r="X101" s="1"/>
      <c r="Y101" s="49"/>
    </row>
    <row r="102" spans="5:25">
      <c r="E102" s="1"/>
      <c r="F102" s="1"/>
      <c r="G102" s="1"/>
      <c r="H102" s="1"/>
      <c r="I102" s="1"/>
      <c r="J102" s="1"/>
      <c r="K102" s="1"/>
      <c r="L102" s="1"/>
      <c r="M102" s="1"/>
      <c r="N102" s="1"/>
      <c r="O102" s="1"/>
      <c r="P102" s="1"/>
      <c r="Q102" s="1"/>
      <c r="R102" s="1"/>
      <c r="S102" s="1"/>
      <c r="T102" s="1"/>
      <c r="U102" s="1"/>
      <c r="V102" s="1"/>
      <c r="W102" s="1"/>
      <c r="X102" s="1"/>
      <c r="Y102" s="49"/>
    </row>
    <row r="103" spans="5:25">
      <c r="E103" s="1"/>
      <c r="F103" s="1"/>
      <c r="G103" s="1"/>
      <c r="H103" s="1"/>
      <c r="I103" s="1"/>
      <c r="J103" s="1"/>
      <c r="K103" s="1"/>
      <c r="L103" s="1"/>
      <c r="M103" s="1"/>
      <c r="N103" s="1"/>
      <c r="O103" s="1"/>
      <c r="P103" s="1"/>
      <c r="Q103" s="1"/>
      <c r="R103" s="1"/>
      <c r="S103" s="1"/>
      <c r="T103" s="1"/>
      <c r="U103" s="1"/>
      <c r="V103" s="1"/>
      <c r="W103" s="1"/>
      <c r="X103" s="1"/>
      <c r="Y103" s="49"/>
    </row>
    <row r="104" spans="5:25">
      <c r="E104" s="1"/>
      <c r="F104" s="1"/>
      <c r="G104" s="1"/>
      <c r="H104" s="1"/>
      <c r="I104" s="1"/>
      <c r="J104" s="1"/>
      <c r="K104" s="1"/>
      <c r="L104" s="1"/>
      <c r="M104" s="1"/>
      <c r="N104" s="1"/>
      <c r="O104" s="1"/>
      <c r="P104" s="1"/>
      <c r="Q104" s="1"/>
      <c r="R104" s="1"/>
      <c r="S104" s="1"/>
      <c r="T104" s="1"/>
      <c r="U104" s="1"/>
      <c r="V104" s="1"/>
      <c r="W104" s="1"/>
      <c r="X104" s="1"/>
      <c r="Y104" s="49"/>
    </row>
  </sheetData>
  <mergeCells count="18">
    <mergeCell ref="A35:B35"/>
    <mergeCell ref="C35:N35"/>
    <mergeCell ref="A7:A8"/>
    <mergeCell ref="C7:D7"/>
    <mergeCell ref="E7:F7"/>
    <mergeCell ref="K7:L7"/>
    <mergeCell ref="A25:I25"/>
    <mergeCell ref="G7:H7"/>
    <mergeCell ref="I7:J7"/>
    <mergeCell ref="M7:N7"/>
    <mergeCell ref="S7:T7"/>
    <mergeCell ref="U7:V7"/>
    <mergeCell ref="AA7:AB7"/>
    <mergeCell ref="AC7:AD7"/>
    <mergeCell ref="O7:P7"/>
    <mergeCell ref="W7:X7"/>
    <mergeCell ref="Q7:R7"/>
    <mergeCell ref="Y7:Z7"/>
  </mergeCells>
  <phoneticPr fontId="23" type="noConversion"/>
  <conditionalFormatting sqref="A25">
    <cfRule type="cellIs" dxfId="28" priority="6" stopIfTrue="1" operator="greaterThan">
      <formula>$AB$25</formula>
    </cfRule>
    <cfRule type="cellIs" dxfId="27" priority="7" stopIfTrue="1" operator="lessThan">
      <formula>$AA$25</formula>
    </cfRule>
  </conditionalFormatting>
  <conditionalFormatting sqref="AA21">
    <cfRule type="cellIs" dxfId="26" priority="1" stopIfTrue="1" operator="greaterThan">
      <formula>Lim_haut</formula>
    </cfRule>
    <cfRule type="cellIs" dxfId="25" priority="2" stopIfTrue="1" operator="lessThan">
      <formula>Lim_bas</formula>
    </cfRule>
  </conditionalFormatting>
  <dataValidations count="6">
    <dataValidation type="whole" errorStyle="warning" allowBlank="1" showInputMessage="1" showErrorMessage="1" errorTitle="TEST" error="la valeur entrée semble suspecte" sqref="AA9:AA20">
      <formula1>0.15/12</formula1>
      <formula2>4.06/12</formula2>
    </dataValidation>
    <dataValidation type="list" allowBlank="1" showInputMessage="1" showErrorMessage="1" sqref="D38:D44">
      <formula1>$D$54:$D$61</formula1>
    </dataValidation>
    <dataValidation type="list" allowBlank="1" showInputMessage="1" showErrorMessage="1" sqref="G38:G44">
      <formula1>$G$54:$G$55</formula1>
    </dataValidation>
    <dataValidation type="list" allowBlank="1" showInputMessage="1" showErrorMessage="1" sqref="H38:H44">
      <formula1>$A$9:$A$20</formula1>
    </dataValidation>
    <dataValidation type="list" allowBlank="1" showInputMessage="1" showErrorMessage="1" sqref="C38:C44">
      <formula1>$C$54:$C$55</formula1>
    </dataValidation>
    <dataValidation type="list" allowBlank="1" showInputMessage="1" showErrorMessage="1" sqref="D45">
      <formula1>$D$54:$D$60</formula1>
    </dataValidation>
  </dataValidations>
  <hyperlinks>
    <hyperlink ref="A7" location="Résumé!A1" display="Résumé!A1"/>
  </hyperlinks>
  <pageMargins left="0.70866141732283472" right="0.70866141732283472" top="0.74803149606299213" bottom="0.74803149606299213" header="0.31496062992125984" footer="0.31496062992125984"/>
  <pageSetup scale="25" orientation="landscape" r:id="rId1"/>
  <headerFooter>
    <oddFooter>&amp;L&amp;"Arial,Normal"&amp;10Transition énergétique Québec&amp;R&amp;F
&amp;A</oddFooter>
  </headerFooter>
  <ignoredErrors>
    <ignoredError sqref="AA41"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9639" r:id="rId4" name="Check Box 183">
              <controlPr defaultSize="0" autoFill="0" autoLine="0" autoPict="0">
                <anchor moveWithCells="1">
                  <from>
                    <xdr:col>0</xdr:col>
                    <xdr:colOff>723900</xdr:colOff>
                    <xdr:row>27</xdr:row>
                    <xdr:rowOff>220980</xdr:rowOff>
                  </from>
                  <to>
                    <xdr:col>7</xdr:col>
                    <xdr:colOff>487680</xdr:colOff>
                    <xdr:row>29</xdr:row>
                    <xdr:rowOff>0</xdr:rowOff>
                  </to>
                </anchor>
              </controlPr>
            </control>
          </mc:Choice>
        </mc:AlternateContent>
        <mc:AlternateContent xmlns:mc="http://schemas.openxmlformats.org/markup-compatibility/2006">
          <mc:Choice Requires="x14">
            <control shapeId="19640" r:id="rId5" name="Check Box 184">
              <controlPr defaultSize="0" autoFill="0" autoLine="0" autoPict="0">
                <anchor moveWithCells="1">
                  <from>
                    <xdr:col>0</xdr:col>
                    <xdr:colOff>723900</xdr:colOff>
                    <xdr:row>29</xdr:row>
                    <xdr:rowOff>22860</xdr:rowOff>
                  </from>
                  <to>
                    <xdr:col>5</xdr:col>
                    <xdr:colOff>198120</xdr:colOff>
                    <xdr:row>30</xdr:row>
                    <xdr:rowOff>7620</xdr:rowOff>
                  </to>
                </anchor>
              </controlPr>
            </control>
          </mc:Choice>
        </mc:AlternateContent>
        <mc:AlternateContent xmlns:mc="http://schemas.openxmlformats.org/markup-compatibility/2006">
          <mc:Choice Requires="x14">
            <control shapeId="19641" r:id="rId6" name="Check Box 185">
              <controlPr defaultSize="0" autoFill="0" autoLine="0" autoPict="0">
                <anchor moveWithCells="1">
                  <from>
                    <xdr:col>0</xdr:col>
                    <xdr:colOff>723900</xdr:colOff>
                    <xdr:row>30</xdr:row>
                    <xdr:rowOff>30480</xdr:rowOff>
                  </from>
                  <to>
                    <xdr:col>5</xdr:col>
                    <xdr:colOff>220980</xdr:colOff>
                    <xdr:row>31</xdr:row>
                    <xdr:rowOff>22860</xdr:rowOff>
                  </to>
                </anchor>
              </controlPr>
            </control>
          </mc:Choice>
        </mc:AlternateContent>
        <mc:AlternateContent xmlns:mc="http://schemas.openxmlformats.org/markup-compatibility/2006">
          <mc:Choice Requires="x14">
            <control shapeId="19642" r:id="rId7" name="Check Box 186">
              <controlPr defaultSize="0" autoFill="0" autoLine="0" autoPict="0">
                <anchor moveWithCells="1">
                  <from>
                    <xdr:col>0</xdr:col>
                    <xdr:colOff>723900</xdr:colOff>
                    <xdr:row>31</xdr:row>
                    <xdr:rowOff>45720</xdr:rowOff>
                  </from>
                  <to>
                    <xdr:col>5</xdr:col>
                    <xdr:colOff>350520</xdr:colOff>
                    <xdr:row>31</xdr:row>
                    <xdr:rowOff>198120</xdr:rowOff>
                  </to>
                </anchor>
              </controlPr>
            </control>
          </mc:Choice>
        </mc:AlternateContent>
        <mc:AlternateContent xmlns:mc="http://schemas.openxmlformats.org/markup-compatibility/2006">
          <mc:Choice Requires="x14">
            <control shapeId="19643" r:id="rId8" name="Check Box 187">
              <controlPr defaultSize="0" autoFill="0" autoLine="0" autoPict="0">
                <anchor moveWithCells="1">
                  <from>
                    <xdr:col>0</xdr:col>
                    <xdr:colOff>723900</xdr:colOff>
                    <xdr:row>32</xdr:row>
                    <xdr:rowOff>7620</xdr:rowOff>
                  </from>
                  <to>
                    <xdr:col>4</xdr:col>
                    <xdr:colOff>922020</xdr:colOff>
                    <xdr:row>33</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0"/>
  <dimension ref="A1:AG104"/>
  <sheetViews>
    <sheetView zoomScaleNormal="100" workbookViewId="0">
      <selection activeCell="B21" sqref="B21"/>
    </sheetView>
  </sheetViews>
  <sheetFormatPr baseColWidth="10" defaultColWidth="9.109375" defaultRowHeight="14.4"/>
  <cols>
    <col min="1" max="1" width="16.5546875" style="1" customWidth="1"/>
    <col min="2" max="2" width="19" style="1" customWidth="1"/>
    <col min="3" max="3" width="16" style="23" customWidth="1"/>
    <col min="4" max="4" width="19" style="23" customWidth="1"/>
    <col min="5" max="5" width="16" style="23" customWidth="1"/>
    <col min="6" max="6" width="18.88671875" style="23" customWidth="1"/>
    <col min="7" max="7" width="16" style="23" customWidth="1"/>
    <col min="8" max="8" width="18.33203125" style="23" customWidth="1"/>
    <col min="9" max="17" width="16" style="23" customWidth="1"/>
    <col min="18" max="18" width="18" style="23" customWidth="1"/>
    <col min="19" max="19" width="16" style="23" customWidth="1"/>
    <col min="20" max="20" width="19" style="23" customWidth="1"/>
    <col min="21" max="21" width="16" style="23" customWidth="1"/>
    <col min="22" max="22" width="18.88671875" style="23" customWidth="1"/>
    <col min="23" max="23" width="16" style="47" customWidth="1"/>
    <col min="24" max="24" width="23.109375" style="49" customWidth="1"/>
    <col min="25" max="28" width="16" style="49" customWidth="1"/>
    <col min="29" max="29" width="16.33203125" style="49" customWidth="1"/>
    <col min="30" max="30" width="15.44140625" style="49" customWidth="1"/>
    <col min="31" max="16384" width="9.109375" style="49"/>
  </cols>
  <sheetData>
    <row r="1" spans="1:33" s="1" customFormat="1">
      <c r="C1" s="26"/>
      <c r="D1" s="26"/>
      <c r="E1" s="26"/>
      <c r="F1" s="26"/>
      <c r="G1" s="26"/>
      <c r="H1" s="26"/>
      <c r="I1" s="26"/>
      <c r="J1" s="26"/>
      <c r="K1" s="26"/>
      <c r="L1" s="26"/>
      <c r="M1" s="26"/>
      <c r="N1" s="26"/>
      <c r="O1" s="26"/>
      <c r="P1" s="26"/>
      <c r="Q1" s="26"/>
      <c r="R1" s="26"/>
      <c r="S1" s="26"/>
      <c r="T1" s="26"/>
      <c r="U1" s="26"/>
      <c r="V1" s="26"/>
      <c r="W1" s="26"/>
      <c r="X1" s="26"/>
      <c r="Y1" s="26"/>
      <c r="Z1" s="26"/>
      <c r="AA1" s="26"/>
      <c r="AB1" s="26"/>
      <c r="AC1" s="26"/>
    </row>
    <row r="2" spans="1:33" s="1" customFormat="1" ht="18">
      <c r="C2" s="26"/>
      <c r="D2" s="125" t="s">
        <v>380</v>
      </c>
      <c r="E2" s="126"/>
      <c r="F2" s="127"/>
      <c r="G2" s="128"/>
      <c r="H2" s="128"/>
      <c r="I2" s="129"/>
      <c r="J2" s="128"/>
      <c r="K2" s="128"/>
      <c r="L2" s="128"/>
      <c r="M2" s="128"/>
      <c r="N2" s="26"/>
      <c r="O2" s="26"/>
      <c r="P2" s="26"/>
      <c r="Q2" s="26"/>
      <c r="R2" s="26"/>
      <c r="S2" s="26"/>
      <c r="T2" s="26"/>
      <c r="U2" s="26"/>
      <c r="V2" s="26"/>
      <c r="W2" s="26"/>
      <c r="X2" s="26"/>
      <c r="Y2" s="26"/>
      <c r="Z2" s="26"/>
      <c r="AA2" s="26"/>
      <c r="AB2" s="26"/>
      <c r="AC2" s="26"/>
    </row>
    <row r="3" spans="1:33" s="1" customFormat="1" ht="20.25" customHeight="1">
      <c r="C3" s="26"/>
      <c r="D3" s="233" t="s">
        <v>694</v>
      </c>
      <c r="E3" s="227"/>
      <c r="F3" s="228"/>
      <c r="G3" s="233"/>
      <c r="H3" s="233"/>
      <c r="I3" s="251"/>
      <c r="J3" s="252"/>
      <c r="K3" s="252"/>
      <c r="L3" s="252"/>
      <c r="M3" s="252"/>
      <c r="N3" s="253"/>
      <c r="O3" s="253"/>
      <c r="P3" s="253"/>
      <c r="Q3" s="253"/>
      <c r="R3" s="26"/>
      <c r="S3" s="26"/>
      <c r="T3" s="26"/>
      <c r="U3" s="26"/>
      <c r="V3" s="26"/>
      <c r="W3" s="26"/>
      <c r="X3" s="26"/>
      <c r="Y3" s="26"/>
      <c r="Z3" s="26"/>
      <c r="AA3" s="26"/>
      <c r="AB3" s="26"/>
      <c r="AC3" s="26"/>
    </row>
    <row r="4" spans="1:33" s="1" customFormat="1" ht="15.6">
      <c r="C4" s="26"/>
      <c r="D4" s="82" t="s">
        <v>435</v>
      </c>
      <c r="E4" s="78"/>
      <c r="F4" s="79"/>
      <c r="G4" s="71"/>
      <c r="H4" s="71"/>
      <c r="I4" s="71"/>
      <c r="J4" s="71"/>
      <c r="K4" s="71"/>
      <c r="L4" s="71"/>
      <c r="M4" s="71"/>
      <c r="N4" s="26"/>
      <c r="O4" s="26"/>
      <c r="P4" s="26"/>
      <c r="Q4" s="26"/>
      <c r="R4" s="26"/>
      <c r="S4" s="26"/>
      <c r="T4" s="26"/>
      <c r="U4" s="26"/>
      <c r="V4" s="26"/>
      <c r="W4" s="26"/>
      <c r="X4" s="26"/>
      <c r="Y4" s="26"/>
      <c r="Z4" s="26"/>
      <c r="AA4" s="26"/>
      <c r="AB4" s="26"/>
      <c r="AC4" s="26"/>
    </row>
    <row r="5" spans="1:33" s="1" customFormat="1" ht="15.6">
      <c r="C5" s="26"/>
      <c r="D5" s="82" t="s">
        <v>372</v>
      </c>
      <c r="E5" s="78"/>
      <c r="F5" s="79"/>
      <c r="G5" s="71"/>
      <c r="H5" s="71"/>
      <c r="I5" s="71"/>
      <c r="J5" s="71"/>
      <c r="K5" s="71"/>
      <c r="L5" s="71"/>
      <c r="M5" s="71"/>
      <c r="N5" s="26"/>
      <c r="O5" s="26"/>
      <c r="P5" s="26"/>
      <c r="Q5" s="26"/>
      <c r="R5" s="26"/>
      <c r="S5" s="26"/>
      <c r="T5" s="26"/>
      <c r="U5" s="26"/>
      <c r="V5" s="26"/>
      <c r="W5" s="26"/>
      <c r="X5" s="26"/>
      <c r="Y5" s="26"/>
      <c r="Z5" s="26"/>
      <c r="AA5" s="26"/>
      <c r="AB5" s="26"/>
      <c r="AC5" s="26"/>
    </row>
    <row r="6" spans="1:33" s="1" customFormat="1" ht="15" thickBot="1">
      <c r="C6" s="26"/>
      <c r="D6" s="26"/>
      <c r="E6" s="26"/>
      <c r="F6" s="26"/>
      <c r="G6" s="26"/>
      <c r="H6" s="26"/>
      <c r="I6" s="26"/>
      <c r="J6" s="26"/>
      <c r="K6" s="26"/>
      <c r="L6" s="26"/>
      <c r="M6" s="26"/>
      <c r="N6" s="26"/>
      <c r="O6" s="26"/>
      <c r="P6" s="26"/>
      <c r="Q6" s="26"/>
      <c r="R6" s="26"/>
      <c r="S6" s="26"/>
      <c r="T6" s="26"/>
      <c r="U6" s="26"/>
      <c r="V6" s="26"/>
      <c r="W6" s="26"/>
      <c r="X6" s="26"/>
      <c r="Y6" s="26"/>
      <c r="Z6" s="26"/>
      <c r="AA6" s="26"/>
      <c r="AB6" s="26"/>
      <c r="AC6" s="26"/>
    </row>
    <row r="7" spans="1:33" ht="30.75" customHeight="1" thickTop="1">
      <c r="A7" s="563" t="s">
        <v>78</v>
      </c>
      <c r="B7" s="4" t="s">
        <v>13</v>
      </c>
      <c r="C7" s="556" t="s">
        <v>22</v>
      </c>
      <c r="D7" s="557"/>
      <c r="E7" s="556" t="s">
        <v>19</v>
      </c>
      <c r="F7" s="557"/>
      <c r="G7" s="556" t="s">
        <v>24</v>
      </c>
      <c r="H7" s="557"/>
      <c r="I7" s="556" t="s">
        <v>25</v>
      </c>
      <c r="J7" s="557"/>
      <c r="K7" s="556" t="s">
        <v>805</v>
      </c>
      <c r="L7" s="557"/>
      <c r="M7" s="556" t="s">
        <v>27</v>
      </c>
      <c r="N7" s="557"/>
      <c r="O7" s="558" t="s">
        <v>46</v>
      </c>
      <c r="P7" s="559"/>
      <c r="Q7" s="558" t="s">
        <v>32</v>
      </c>
      <c r="R7" s="559"/>
      <c r="S7" s="558" t="s">
        <v>412</v>
      </c>
      <c r="T7" s="559"/>
      <c r="U7" s="558" t="s">
        <v>624</v>
      </c>
      <c r="V7" s="559"/>
      <c r="W7" s="558" t="s">
        <v>625</v>
      </c>
      <c r="X7" s="559"/>
      <c r="Y7" s="556" t="s">
        <v>16</v>
      </c>
      <c r="Z7" s="557"/>
      <c r="AA7" s="556" t="s">
        <v>52</v>
      </c>
      <c r="AB7" s="557"/>
      <c r="AC7" s="556" t="s">
        <v>45</v>
      </c>
      <c r="AD7" s="557"/>
      <c r="AE7" s="4" t="s">
        <v>40</v>
      </c>
    </row>
    <row r="8" spans="1:33" ht="18" customHeight="1" thickBot="1">
      <c r="A8" s="563"/>
      <c r="B8" s="8" t="s">
        <v>36</v>
      </c>
      <c r="C8" s="7" t="s">
        <v>376</v>
      </c>
      <c r="D8" s="6" t="s">
        <v>20</v>
      </c>
      <c r="E8" s="7" t="s">
        <v>31</v>
      </c>
      <c r="F8" s="6" t="s">
        <v>20</v>
      </c>
      <c r="G8" s="7" t="s">
        <v>23</v>
      </c>
      <c r="H8" s="6" t="s">
        <v>20</v>
      </c>
      <c r="I8" s="7" t="s">
        <v>23</v>
      </c>
      <c r="J8" s="6" t="s">
        <v>20</v>
      </c>
      <c r="K8" s="7" t="s">
        <v>23</v>
      </c>
      <c r="L8" s="6" t="s">
        <v>20</v>
      </c>
      <c r="M8" s="7" t="s">
        <v>23</v>
      </c>
      <c r="N8" s="6" t="s">
        <v>20</v>
      </c>
      <c r="O8" s="7" t="s">
        <v>28</v>
      </c>
      <c r="P8" s="6" t="s">
        <v>20</v>
      </c>
      <c r="Q8" s="7" t="s">
        <v>28</v>
      </c>
      <c r="R8" s="6" t="s">
        <v>20</v>
      </c>
      <c r="S8" s="216" t="s">
        <v>626</v>
      </c>
      <c r="T8" s="6" t="s">
        <v>20</v>
      </c>
      <c r="U8" s="7" t="s">
        <v>628</v>
      </c>
      <c r="V8" s="6" t="s">
        <v>20</v>
      </c>
      <c r="W8" s="7" t="s">
        <v>628</v>
      </c>
      <c r="X8" s="6" t="s">
        <v>20</v>
      </c>
      <c r="Y8" s="7" t="s">
        <v>17</v>
      </c>
      <c r="Z8" s="6" t="s">
        <v>20</v>
      </c>
      <c r="AA8" s="7" t="s">
        <v>37</v>
      </c>
      <c r="AB8" s="6" t="s">
        <v>35</v>
      </c>
      <c r="AC8" s="7" t="s">
        <v>44</v>
      </c>
      <c r="AD8" s="6" t="s">
        <v>622</v>
      </c>
      <c r="AE8" s="9" t="s">
        <v>43</v>
      </c>
    </row>
    <row r="9" spans="1:33" ht="17.25" customHeight="1" thickTop="1" thickBot="1">
      <c r="A9" s="243">
        <f>VALUE(CONCATENATE(LEFT(Annee_financiere,FIND("-",Annee_financiere)-1),"-",A22))</f>
        <v>42826</v>
      </c>
      <c r="B9" s="254"/>
      <c r="C9" s="255"/>
      <c r="D9" s="256"/>
      <c r="E9" s="255"/>
      <c r="F9" s="256"/>
      <c r="G9" s="255"/>
      <c r="H9" s="256"/>
      <c r="I9" s="255"/>
      <c r="J9" s="256"/>
      <c r="K9" s="420"/>
      <c r="L9" s="420"/>
      <c r="M9" s="255"/>
      <c r="N9" s="256"/>
      <c r="O9" s="255"/>
      <c r="P9" s="256"/>
      <c r="Q9" s="255"/>
      <c r="R9" s="256"/>
      <c r="S9" s="255"/>
      <c r="T9" s="256"/>
      <c r="U9" s="255"/>
      <c r="V9" s="256"/>
      <c r="W9" s="255"/>
      <c r="X9" s="256"/>
      <c r="Y9" s="99">
        <f>C9*kWh_Élect_to_GJ+E9*m3_GazNat_to_GJ+G9*L_Mazout2_to_GJ+I9*L_Mazout6_to_GJ+K9*L_Mazout2_to_GJ+M9*L_Propane_to_GJ+O9*kg_Bois8_to_GJ+Q9*kg_Bois35_to_GJ+S9*lbs_vapeur_to_GJ+U9*MBTU_eaurefroidie_to_GJ+W9*MBTU_eauchaude_to_GJ</f>
        <v>0</v>
      </c>
      <c r="Z9" s="258">
        <f>D9+F9+H9+J9+N9+P9+R9+T9+V9+X9+L9</f>
        <v>0</v>
      </c>
      <c r="AA9" s="17" t="str">
        <f t="shared" ref="AA9:AA21" si="0">IF(ISERROR(Y9/B9),"",Y9/B9)</f>
        <v/>
      </c>
      <c r="AB9" s="18" t="str">
        <f t="shared" ref="AB9:AB21" si="1">IF(ISERROR(Z9/B9),"",Z9/B9)</f>
        <v/>
      </c>
      <c r="AC9" s="102">
        <f>(C9*kWh_Élect_to_kgGES+E9*IF(U_GNat="[m³]",m3_GazNat_to_kgGES,Conversion!$H$27)+G9*IF(U_Ma2="[l]",L_Mazout2_to_kgGES,Conversion!$H$29)+I9*IF(U_Ma6="[l]",L_Mazout6_to_kgGES,Conversion!$H$31)+K9*L_Mazout2_to_kgGES+M9*IF(U_Prop="[l]",L_Propane_to_kgGES,Conversion!$H$35)+O9*kg_Bois8_to_kgGES+Q9*kg_Bois35_to_kgGES+S9*lbs_vapeur_to_kgGES+U9*MBTU_eaurefroidie_to_kgGES+W9*MBTU_eauchaude_to_kgGES)/1000</f>
        <v>0</v>
      </c>
      <c r="AD9" s="103">
        <f t="shared" ref="AD9:AD21" si="2">(IF(ISERROR(AC9/B9),0,(AC9/B9)))*1000</f>
        <v>0</v>
      </c>
      <c r="AE9" s="5">
        <f t="shared" ref="AE9:AE20" si="3">INDEX(plage_DJ,MATCH(A9,plage_date),3)</f>
        <v>300.7</v>
      </c>
      <c r="AG9" s="49">
        <v>12</v>
      </c>
    </row>
    <row r="10" spans="1:33" ht="17.25" customHeight="1" thickTop="1" thickBot="1">
      <c r="A10" s="244">
        <f>DATE(YEAR(A9),MONTH(A9)+1,DAY(A9))</f>
        <v>42856</v>
      </c>
      <c r="B10" s="254"/>
      <c r="C10" s="255"/>
      <c r="D10" s="256"/>
      <c r="E10" s="255"/>
      <c r="F10" s="256"/>
      <c r="G10" s="255"/>
      <c r="H10" s="256"/>
      <c r="I10" s="255"/>
      <c r="J10" s="256"/>
      <c r="K10" s="420"/>
      <c r="L10" s="420"/>
      <c r="M10" s="255"/>
      <c r="N10" s="256"/>
      <c r="O10" s="255"/>
      <c r="P10" s="256"/>
      <c r="Q10" s="255"/>
      <c r="R10" s="256"/>
      <c r="S10" s="255"/>
      <c r="T10" s="256"/>
      <c r="U10" s="255"/>
      <c r="V10" s="256"/>
      <c r="W10" s="255"/>
      <c r="X10" s="256"/>
      <c r="Y10" s="99">
        <f t="shared" ref="Y10:Y20" si="4">C10*kWh_Élect_to_GJ+E10*m3_GazNat_to_GJ+G10*L_Mazout2_to_GJ+I10*L_Mazout6_to_GJ+K10*L_Mazout2_to_GJ+M10*L_Propane_to_GJ+O10*kg_Bois8_to_GJ+Q10*kg_Bois35_to_GJ+S10*lbs_vapeur_to_GJ+U10*MBTU_eaurefroidie_to_GJ+W10*MBTU_eauchaude_to_GJ</f>
        <v>0</v>
      </c>
      <c r="Z10" s="258">
        <f t="shared" ref="Z10:Z21" si="5">D10+F10+H10+J10+N10+P10+R10+T10+V10+X10+L10</f>
        <v>0</v>
      </c>
      <c r="AA10" s="17" t="str">
        <f t="shared" si="0"/>
        <v/>
      </c>
      <c r="AB10" s="18" t="str">
        <f t="shared" si="1"/>
        <v/>
      </c>
      <c r="AC10" s="102">
        <f>(C10*kWh_Élect_to_kgGES+E10*IF(U_GNat="[m³]",m3_GazNat_to_kgGES,Conversion!$H$27)+G10*IF(U_Ma2="[l]",L_Mazout2_to_kgGES,Conversion!$H$29)+I10*IF(U_Ma6="[l]",L_Mazout6_to_kgGES,Conversion!$H$31)+K10*L_Mazout2_to_kgGES+M10*IF(U_Prop="[l]",L_Propane_to_kgGES,Conversion!$H$35)+O10*kg_Bois8_to_kgGES+Q10*kg_Bois35_to_kgGES+S10*lbs_vapeur_to_kgGES+U10*MBTU_eaurefroidie_to_kgGES+W10*MBTU_eauchaude_to_kgGES)/1000</f>
        <v>0</v>
      </c>
      <c r="AD10" s="103">
        <f t="shared" si="2"/>
        <v>0</v>
      </c>
      <c r="AE10" s="5">
        <f t="shared" si="3"/>
        <v>157.30000000000001</v>
      </c>
      <c r="AF10" s="49">
        <f>SUM(AE9)</f>
        <v>300.7</v>
      </c>
      <c r="AG10" s="49">
        <v>11</v>
      </c>
    </row>
    <row r="11" spans="1:33" ht="17.25" customHeight="1" thickTop="1" thickBot="1">
      <c r="A11" s="244">
        <f t="shared" ref="A11:A20" si="6">DATE(YEAR(A10),MONTH(A10)+1,DAY(A10))</f>
        <v>42887</v>
      </c>
      <c r="B11" s="254"/>
      <c r="C11" s="255"/>
      <c r="D11" s="256"/>
      <c r="E11" s="255"/>
      <c r="F11" s="256"/>
      <c r="G11" s="255"/>
      <c r="H11" s="256"/>
      <c r="I11" s="255"/>
      <c r="J11" s="256"/>
      <c r="K11" s="420"/>
      <c r="L11" s="420"/>
      <c r="M11" s="255"/>
      <c r="N11" s="256"/>
      <c r="O11" s="255"/>
      <c r="P11" s="256"/>
      <c r="Q11" s="255"/>
      <c r="R11" s="256"/>
      <c r="S11" s="255"/>
      <c r="T11" s="256"/>
      <c r="U11" s="255"/>
      <c r="V11" s="256"/>
      <c r="W11" s="255"/>
      <c r="X11" s="256"/>
      <c r="Y11" s="99">
        <f t="shared" si="4"/>
        <v>0</v>
      </c>
      <c r="Z11" s="258">
        <f t="shared" si="5"/>
        <v>0</v>
      </c>
      <c r="AA11" s="17" t="str">
        <f t="shared" si="0"/>
        <v/>
      </c>
      <c r="AB11" s="18" t="str">
        <f t="shared" si="1"/>
        <v/>
      </c>
      <c r="AC11" s="102">
        <f>(C11*kWh_Élect_to_kgGES+E11*IF(U_GNat="[m³]",m3_GazNat_to_kgGES,Conversion!$H$27)+G11*IF(U_Ma2="[l]",L_Mazout2_to_kgGES,Conversion!$H$29)+I11*IF(U_Ma6="[l]",L_Mazout6_to_kgGES,Conversion!$H$31)+K11*L_Mazout2_to_kgGES+M11*IF(U_Prop="[l]",L_Propane_to_kgGES,Conversion!$H$35)+O11*kg_Bois8_to_kgGES+Q11*kg_Bois35_to_kgGES+S11*lbs_vapeur_to_kgGES+U11*MBTU_eaurefroidie_to_kgGES+W11*MBTU_eauchaude_to_kgGES)/1000</f>
        <v>0</v>
      </c>
      <c r="AD11" s="103">
        <f t="shared" si="2"/>
        <v>0</v>
      </c>
      <c r="AE11" s="5">
        <f t="shared" si="3"/>
        <v>30.2</v>
      </c>
      <c r="AF11" s="49">
        <f>SUM(AE9:AE10)</f>
        <v>458</v>
      </c>
      <c r="AG11" s="49">
        <v>10</v>
      </c>
    </row>
    <row r="12" spans="1:33" ht="17.25" customHeight="1" thickTop="1" thickBot="1">
      <c r="A12" s="244">
        <f t="shared" si="6"/>
        <v>42917</v>
      </c>
      <c r="B12" s="254"/>
      <c r="C12" s="255"/>
      <c r="D12" s="256"/>
      <c r="E12" s="255"/>
      <c r="F12" s="256"/>
      <c r="G12" s="255"/>
      <c r="H12" s="256"/>
      <c r="I12" s="255"/>
      <c r="J12" s="256"/>
      <c r="K12" s="420"/>
      <c r="L12" s="420"/>
      <c r="M12" s="255"/>
      <c r="N12" s="256"/>
      <c r="O12" s="255"/>
      <c r="P12" s="256"/>
      <c r="Q12" s="255"/>
      <c r="R12" s="256"/>
      <c r="S12" s="255"/>
      <c r="T12" s="256"/>
      <c r="U12" s="255"/>
      <c r="V12" s="256"/>
      <c r="W12" s="255"/>
      <c r="X12" s="256"/>
      <c r="Y12" s="99">
        <f t="shared" si="4"/>
        <v>0</v>
      </c>
      <c r="Z12" s="258">
        <f t="shared" si="5"/>
        <v>0</v>
      </c>
      <c r="AA12" s="17" t="str">
        <f t="shared" si="0"/>
        <v/>
      </c>
      <c r="AB12" s="18" t="str">
        <f t="shared" si="1"/>
        <v/>
      </c>
      <c r="AC12" s="102">
        <f>(C12*kWh_Élect_to_kgGES+E12*IF(U_GNat="[m³]",m3_GazNat_to_kgGES,Conversion!$H$27)+G12*IF(U_Ma2="[l]",L_Mazout2_to_kgGES,Conversion!$H$29)+I12*IF(U_Ma6="[l]",L_Mazout6_to_kgGES,Conversion!$H$31)+K12*L_Mazout2_to_kgGES+M12*IF(U_Prop="[l]",L_Propane_to_kgGES,Conversion!$H$35)+O12*kg_Bois8_to_kgGES+Q12*kg_Bois35_to_kgGES+S12*lbs_vapeur_to_kgGES+U12*MBTU_eaurefroidie_to_kgGES+W12*MBTU_eauchaude_to_kgGES)/1000</f>
        <v>0</v>
      </c>
      <c r="AD12" s="103">
        <f t="shared" si="2"/>
        <v>0</v>
      </c>
      <c r="AE12" s="5">
        <f t="shared" si="3"/>
        <v>0.8</v>
      </c>
      <c r="AF12" s="49">
        <f>SUM(AE9:AE11)</f>
        <v>488.2</v>
      </c>
      <c r="AG12" s="49">
        <v>9</v>
      </c>
    </row>
    <row r="13" spans="1:33" ht="17.25" customHeight="1" thickTop="1" thickBot="1">
      <c r="A13" s="244">
        <f t="shared" si="6"/>
        <v>42948</v>
      </c>
      <c r="B13" s="254"/>
      <c r="C13" s="255"/>
      <c r="D13" s="256"/>
      <c r="E13" s="255"/>
      <c r="F13" s="256"/>
      <c r="G13" s="255"/>
      <c r="H13" s="256"/>
      <c r="I13" s="255"/>
      <c r="J13" s="256"/>
      <c r="K13" s="420"/>
      <c r="L13" s="420"/>
      <c r="M13" s="255"/>
      <c r="N13" s="256"/>
      <c r="O13" s="255"/>
      <c r="P13" s="256"/>
      <c r="Q13" s="255"/>
      <c r="R13" s="256"/>
      <c r="S13" s="255"/>
      <c r="T13" s="256"/>
      <c r="U13" s="255"/>
      <c r="V13" s="256"/>
      <c r="W13" s="255"/>
      <c r="X13" s="256"/>
      <c r="Y13" s="99">
        <f t="shared" si="4"/>
        <v>0</v>
      </c>
      <c r="Z13" s="258">
        <f t="shared" si="5"/>
        <v>0</v>
      </c>
      <c r="AA13" s="17" t="str">
        <f t="shared" si="0"/>
        <v/>
      </c>
      <c r="AB13" s="18" t="str">
        <f t="shared" si="1"/>
        <v/>
      </c>
      <c r="AC13" s="102">
        <f>(C13*kWh_Élect_to_kgGES+E13*IF(U_GNat="[m³]",m3_GazNat_to_kgGES,Conversion!$H$27)+G13*IF(U_Ma2="[l]",L_Mazout2_to_kgGES,Conversion!$H$29)+I13*IF(U_Ma6="[l]",L_Mazout6_to_kgGES,Conversion!$H$31)+K13*L_Mazout2_to_kgGES+M13*IF(U_Prop="[l]",L_Propane_to_kgGES,Conversion!$H$35)+O13*kg_Bois8_to_kgGES+Q13*kg_Bois35_to_kgGES+S13*lbs_vapeur_to_kgGES+U13*MBTU_eaurefroidie_to_kgGES+W13*MBTU_eauchaude_to_kgGES)/1000</f>
        <v>0</v>
      </c>
      <c r="AD13" s="103">
        <f t="shared" si="2"/>
        <v>0</v>
      </c>
      <c r="AE13" s="5">
        <f t="shared" si="3"/>
        <v>14</v>
      </c>
      <c r="AF13" s="49">
        <f>SUM(AE9:AE12)</f>
        <v>489</v>
      </c>
      <c r="AG13" s="49">
        <v>8</v>
      </c>
    </row>
    <row r="14" spans="1:33" ht="17.25" customHeight="1" thickTop="1" thickBot="1">
      <c r="A14" s="244">
        <f t="shared" si="6"/>
        <v>42979</v>
      </c>
      <c r="B14" s="254"/>
      <c r="C14" s="255"/>
      <c r="D14" s="256"/>
      <c r="E14" s="255"/>
      <c r="F14" s="256"/>
      <c r="G14" s="255"/>
      <c r="H14" s="256"/>
      <c r="I14" s="255"/>
      <c r="J14" s="256"/>
      <c r="K14" s="420"/>
      <c r="L14" s="420"/>
      <c r="M14" s="255"/>
      <c r="N14" s="256"/>
      <c r="O14" s="255"/>
      <c r="P14" s="256"/>
      <c r="Q14" s="255"/>
      <c r="R14" s="256"/>
      <c r="S14" s="255"/>
      <c r="T14" s="256"/>
      <c r="U14" s="255"/>
      <c r="V14" s="256"/>
      <c r="W14" s="255"/>
      <c r="X14" s="256"/>
      <c r="Y14" s="99">
        <f t="shared" si="4"/>
        <v>0</v>
      </c>
      <c r="Z14" s="258">
        <f t="shared" si="5"/>
        <v>0</v>
      </c>
      <c r="AA14" s="17" t="str">
        <f t="shared" si="0"/>
        <v/>
      </c>
      <c r="AB14" s="18" t="str">
        <f t="shared" si="1"/>
        <v/>
      </c>
      <c r="AC14" s="102">
        <f>(C14*kWh_Élect_to_kgGES+E14*IF(U_GNat="[m³]",m3_GazNat_to_kgGES,Conversion!$H$27)+G14*IF(U_Ma2="[l]",L_Mazout2_to_kgGES,Conversion!$H$29)+I14*IF(U_Ma6="[l]",L_Mazout6_to_kgGES,Conversion!$H$31)+K14*L_Mazout2_to_kgGES+M14*IF(U_Prop="[l]",L_Propane_to_kgGES,Conversion!$H$35)+O14*kg_Bois8_to_kgGES+Q14*kg_Bois35_to_kgGES+S14*lbs_vapeur_to_kgGES+U14*MBTU_eaurefroidie_to_kgGES+W14*MBTU_eauchaude_to_kgGES)/1000</f>
        <v>0</v>
      </c>
      <c r="AD14" s="103">
        <f t="shared" si="2"/>
        <v>0</v>
      </c>
      <c r="AE14" s="5">
        <f t="shared" si="3"/>
        <v>51.8</v>
      </c>
      <c r="AF14" s="49">
        <f>SUM(AE9:AE13)</f>
        <v>503</v>
      </c>
      <c r="AG14" s="49">
        <v>7</v>
      </c>
    </row>
    <row r="15" spans="1:33" ht="17.25" customHeight="1" thickTop="1" thickBot="1">
      <c r="A15" s="244">
        <f t="shared" si="6"/>
        <v>43009</v>
      </c>
      <c r="B15" s="254"/>
      <c r="C15" s="255"/>
      <c r="D15" s="256"/>
      <c r="E15" s="255"/>
      <c r="F15" s="256"/>
      <c r="G15" s="255"/>
      <c r="H15" s="256"/>
      <c r="I15" s="255"/>
      <c r="J15" s="256"/>
      <c r="K15" s="420"/>
      <c r="L15" s="420"/>
      <c r="M15" s="255"/>
      <c r="N15" s="256"/>
      <c r="O15" s="255"/>
      <c r="P15" s="256"/>
      <c r="Q15" s="255"/>
      <c r="R15" s="256"/>
      <c r="S15" s="255"/>
      <c r="T15" s="256"/>
      <c r="U15" s="255"/>
      <c r="V15" s="256"/>
      <c r="W15" s="255"/>
      <c r="X15" s="256"/>
      <c r="Y15" s="99">
        <f t="shared" si="4"/>
        <v>0</v>
      </c>
      <c r="Z15" s="258">
        <f t="shared" si="5"/>
        <v>0</v>
      </c>
      <c r="AA15" s="17" t="str">
        <f t="shared" si="0"/>
        <v/>
      </c>
      <c r="AB15" s="18" t="str">
        <f t="shared" si="1"/>
        <v/>
      </c>
      <c r="AC15" s="102">
        <f>(C15*kWh_Élect_to_kgGES+E15*IF(U_GNat="[m³]",m3_GazNat_to_kgGES,Conversion!$H$27)+G15*IF(U_Ma2="[l]",L_Mazout2_to_kgGES,Conversion!$H$29)+I15*IF(U_Ma6="[l]",L_Mazout6_to_kgGES,Conversion!$H$31)+K15*L_Mazout2_to_kgGES+M15*IF(U_Prop="[l]",L_Propane_to_kgGES,Conversion!$H$35)+O15*kg_Bois8_to_kgGES+Q15*kg_Bois35_to_kgGES+S15*lbs_vapeur_to_kgGES+U15*MBTU_eaurefroidie_to_kgGES+W15*MBTU_eauchaude_to_kgGES)/1000</f>
        <v>0</v>
      </c>
      <c r="AD15" s="103">
        <f t="shared" si="2"/>
        <v>0</v>
      </c>
      <c r="AE15" s="5">
        <f t="shared" si="3"/>
        <v>14</v>
      </c>
      <c r="AF15" s="49">
        <f>SUM(AE9:AE14)</f>
        <v>554.79999999999995</v>
      </c>
      <c r="AG15" s="49">
        <v>6</v>
      </c>
    </row>
    <row r="16" spans="1:33" ht="17.25" customHeight="1" thickTop="1" thickBot="1">
      <c r="A16" s="244">
        <f t="shared" si="6"/>
        <v>43040</v>
      </c>
      <c r="B16" s="254"/>
      <c r="C16" s="255"/>
      <c r="D16" s="256"/>
      <c r="E16" s="255"/>
      <c r="F16" s="256"/>
      <c r="G16" s="255"/>
      <c r="H16" s="256"/>
      <c r="I16" s="255"/>
      <c r="J16" s="256"/>
      <c r="K16" s="420"/>
      <c r="L16" s="420"/>
      <c r="M16" s="255"/>
      <c r="N16" s="256"/>
      <c r="O16" s="255"/>
      <c r="P16" s="256"/>
      <c r="Q16" s="255"/>
      <c r="R16" s="256"/>
      <c r="S16" s="255"/>
      <c r="T16" s="256"/>
      <c r="U16" s="255"/>
      <c r="V16" s="256"/>
      <c r="W16" s="255"/>
      <c r="X16" s="256"/>
      <c r="Y16" s="99">
        <f t="shared" si="4"/>
        <v>0</v>
      </c>
      <c r="Z16" s="258">
        <f t="shared" si="5"/>
        <v>0</v>
      </c>
      <c r="AA16" s="17" t="str">
        <f t="shared" si="0"/>
        <v/>
      </c>
      <c r="AB16" s="18" t="str">
        <f t="shared" si="1"/>
        <v/>
      </c>
      <c r="AC16" s="102">
        <f>(C16*kWh_Élect_to_kgGES+E16*IF(U_GNat="[m³]",m3_GazNat_to_kgGES,Conversion!$H$27)+G16*IF(U_Ma2="[l]",L_Mazout2_to_kgGES,Conversion!$H$29)+I16*IF(U_Ma6="[l]",L_Mazout6_to_kgGES,Conversion!$H$31)+K16*L_Mazout2_to_kgGES+M16*IF(U_Prop="[l]",L_Propane_to_kgGES,Conversion!$H$35)+O16*kg_Bois8_to_kgGES+Q16*kg_Bois35_to_kgGES+S16*lbs_vapeur_to_kgGES+U16*MBTU_eaurefroidie_to_kgGES+W16*MBTU_eauchaude_to_kgGES)/1000</f>
        <v>0</v>
      </c>
      <c r="AD16" s="103">
        <f t="shared" si="2"/>
        <v>0</v>
      </c>
      <c r="AE16" s="5">
        <f t="shared" si="3"/>
        <v>479.5</v>
      </c>
      <c r="AF16" s="49">
        <f>SUM(AE9:AE15)</f>
        <v>568.79999999999995</v>
      </c>
      <c r="AG16" s="49">
        <v>5</v>
      </c>
    </row>
    <row r="17" spans="1:33" ht="17.25" customHeight="1" thickTop="1" thickBot="1">
      <c r="A17" s="244">
        <f t="shared" si="6"/>
        <v>43070</v>
      </c>
      <c r="B17" s="254"/>
      <c r="C17" s="255"/>
      <c r="D17" s="256"/>
      <c r="E17" s="255"/>
      <c r="F17" s="256"/>
      <c r="G17" s="255"/>
      <c r="H17" s="256"/>
      <c r="I17" s="255"/>
      <c r="J17" s="256"/>
      <c r="K17" s="420"/>
      <c r="L17" s="420"/>
      <c r="M17" s="255"/>
      <c r="N17" s="256"/>
      <c r="O17" s="255"/>
      <c r="P17" s="256"/>
      <c r="Q17" s="255"/>
      <c r="R17" s="256"/>
      <c r="S17" s="255"/>
      <c r="T17" s="256"/>
      <c r="U17" s="255"/>
      <c r="V17" s="256"/>
      <c r="W17" s="255"/>
      <c r="X17" s="256"/>
      <c r="Y17" s="99">
        <f t="shared" si="4"/>
        <v>0</v>
      </c>
      <c r="Z17" s="258">
        <f t="shared" si="5"/>
        <v>0</v>
      </c>
      <c r="AA17" s="17" t="str">
        <f t="shared" si="0"/>
        <v/>
      </c>
      <c r="AB17" s="18" t="str">
        <f t="shared" si="1"/>
        <v/>
      </c>
      <c r="AC17" s="102">
        <f>(C17*kWh_Élect_to_kgGES+E17*IF(U_GNat="[m³]",m3_GazNat_to_kgGES,Conversion!$H$27)+G17*IF(U_Ma2="[l]",L_Mazout2_to_kgGES,Conversion!$H$29)+I17*IF(U_Ma6="[l]",L_Mazout6_to_kgGES,Conversion!$H$31)+K17*L_Mazout2_to_kgGES+M17*IF(U_Prop="[l]",L_Propane_to_kgGES,Conversion!$H$35)+O17*kg_Bois8_to_kgGES+Q17*kg_Bois35_to_kgGES+S17*lbs_vapeur_to_kgGES+U17*MBTU_eaurefroidie_to_kgGES+W17*MBTU_eauchaude_to_kgGES)/1000</f>
        <v>0</v>
      </c>
      <c r="AD17" s="103">
        <f t="shared" si="2"/>
        <v>0</v>
      </c>
      <c r="AE17" s="5">
        <f t="shared" si="3"/>
        <v>823.6</v>
      </c>
      <c r="AF17" s="49">
        <f>SUM(AE9:AE16)</f>
        <v>1048.3</v>
      </c>
      <c r="AG17" s="49">
        <v>4</v>
      </c>
    </row>
    <row r="18" spans="1:33" ht="17.25" customHeight="1" thickTop="1" thickBot="1">
      <c r="A18" s="244">
        <f t="shared" si="6"/>
        <v>43101</v>
      </c>
      <c r="B18" s="254"/>
      <c r="C18" s="255"/>
      <c r="D18" s="256"/>
      <c r="E18" s="255"/>
      <c r="F18" s="256"/>
      <c r="G18" s="255"/>
      <c r="H18" s="256"/>
      <c r="I18" s="255"/>
      <c r="J18" s="256"/>
      <c r="K18" s="420"/>
      <c r="L18" s="420"/>
      <c r="M18" s="255"/>
      <c r="N18" s="256"/>
      <c r="O18" s="255"/>
      <c r="P18" s="256"/>
      <c r="Q18" s="255"/>
      <c r="R18" s="256"/>
      <c r="S18" s="255"/>
      <c r="T18" s="256"/>
      <c r="U18" s="255"/>
      <c r="V18" s="256"/>
      <c r="W18" s="255"/>
      <c r="X18" s="256"/>
      <c r="Y18" s="99">
        <f t="shared" si="4"/>
        <v>0</v>
      </c>
      <c r="Z18" s="258">
        <f t="shared" si="5"/>
        <v>0</v>
      </c>
      <c r="AA18" s="17" t="str">
        <f t="shared" si="0"/>
        <v/>
      </c>
      <c r="AB18" s="18" t="str">
        <f t="shared" si="1"/>
        <v/>
      </c>
      <c r="AC18" s="102">
        <f>(C18*kWh_Élect_to_kgGES+E18*IF(U_GNat="[m³]",m3_GazNat_to_kgGES,Conversion!$H$27)+G18*IF(U_Ma2="[l]",L_Mazout2_to_kgGES,Conversion!$H$29)+I18*IF(U_Ma6="[l]",L_Mazout6_to_kgGES,Conversion!$H$31)+K18*L_Mazout2_to_kgGES+M18*IF(U_Prop="[l]",L_Propane_to_kgGES,Conversion!$H$35)+O18*kg_Bois8_to_kgGES+Q18*kg_Bois35_to_kgGES+S18*lbs_vapeur_to_kgGES+U18*MBTU_eaurefroidie_to_kgGES+W18*MBTU_eauchaude_to_kgGES)/1000</f>
        <v>0</v>
      </c>
      <c r="AD18" s="103">
        <f t="shared" si="2"/>
        <v>0</v>
      </c>
      <c r="AE18" s="5">
        <f t="shared" si="3"/>
        <v>859.2</v>
      </c>
      <c r="AF18" s="49">
        <f>SUM(AE9:AE17)</f>
        <v>1871.9</v>
      </c>
      <c r="AG18" s="49">
        <v>3</v>
      </c>
    </row>
    <row r="19" spans="1:33" ht="17.25" customHeight="1" thickTop="1" thickBot="1">
      <c r="A19" s="244">
        <f t="shared" si="6"/>
        <v>43132</v>
      </c>
      <c r="B19" s="254"/>
      <c r="C19" s="255"/>
      <c r="D19" s="256"/>
      <c r="E19" s="255"/>
      <c r="F19" s="256"/>
      <c r="G19" s="255"/>
      <c r="H19" s="256"/>
      <c r="I19" s="255"/>
      <c r="J19" s="256"/>
      <c r="K19" s="420"/>
      <c r="L19" s="420"/>
      <c r="M19" s="255"/>
      <c r="N19" s="256"/>
      <c r="O19" s="255"/>
      <c r="P19" s="256"/>
      <c r="Q19" s="255"/>
      <c r="R19" s="256"/>
      <c r="S19" s="255"/>
      <c r="T19" s="256"/>
      <c r="U19" s="255"/>
      <c r="V19" s="256"/>
      <c r="W19" s="255"/>
      <c r="X19" s="256"/>
      <c r="Y19" s="99">
        <f t="shared" si="4"/>
        <v>0</v>
      </c>
      <c r="Z19" s="258">
        <f t="shared" si="5"/>
        <v>0</v>
      </c>
      <c r="AA19" s="17" t="str">
        <f t="shared" si="0"/>
        <v/>
      </c>
      <c r="AB19" s="18" t="str">
        <f t="shared" si="1"/>
        <v/>
      </c>
      <c r="AC19" s="102">
        <f>(C19*kWh_Élect_to_kgGES+E19*IF(U_GNat="[m³]",m3_GazNat_to_kgGES,Conversion!$H$27)+G19*IF(U_Ma2="[l]",L_Mazout2_to_kgGES,Conversion!$H$29)+I19*IF(U_Ma6="[l]",L_Mazout6_to_kgGES,Conversion!$H$31)+K19*L_Mazout2_to_kgGES+M19*IF(U_Prop="[l]",L_Propane_to_kgGES,Conversion!$H$35)+O19*kg_Bois8_to_kgGES+Q19*kg_Bois35_to_kgGES+S19*lbs_vapeur_to_kgGES+U19*MBTU_eaurefroidie_to_kgGES+W19*MBTU_eauchaude_to_kgGES)/1000</f>
        <v>0</v>
      </c>
      <c r="AD19" s="103">
        <f t="shared" si="2"/>
        <v>0</v>
      </c>
      <c r="AE19" s="5">
        <f t="shared" si="3"/>
        <v>631.79999999999995</v>
      </c>
      <c r="AF19" s="49">
        <f>SUM(AE9:AE18)</f>
        <v>2731.1000000000004</v>
      </c>
      <c r="AG19" s="49">
        <v>2</v>
      </c>
    </row>
    <row r="20" spans="1:33" ht="17.25" customHeight="1" thickTop="1" thickBot="1">
      <c r="A20" s="245">
        <f t="shared" si="6"/>
        <v>43160</v>
      </c>
      <c r="B20" s="254"/>
      <c r="C20" s="255"/>
      <c r="D20" s="256"/>
      <c r="E20" s="255"/>
      <c r="F20" s="256"/>
      <c r="G20" s="255"/>
      <c r="H20" s="256"/>
      <c r="I20" s="255"/>
      <c r="J20" s="256"/>
      <c r="K20" s="420"/>
      <c r="L20" s="420"/>
      <c r="M20" s="255"/>
      <c r="N20" s="256"/>
      <c r="O20" s="255"/>
      <c r="P20" s="256"/>
      <c r="Q20" s="255"/>
      <c r="R20" s="256"/>
      <c r="S20" s="255"/>
      <c r="T20" s="256"/>
      <c r="U20" s="255"/>
      <c r="V20" s="256"/>
      <c r="W20" s="255"/>
      <c r="X20" s="256"/>
      <c r="Y20" s="99">
        <f t="shared" si="4"/>
        <v>0</v>
      </c>
      <c r="Z20" s="258">
        <f t="shared" si="5"/>
        <v>0</v>
      </c>
      <c r="AA20" s="17" t="str">
        <f t="shared" si="0"/>
        <v/>
      </c>
      <c r="AB20" s="18" t="str">
        <f t="shared" si="1"/>
        <v/>
      </c>
      <c r="AC20" s="102">
        <f>(C20*kWh_Élect_to_kgGES+E20*IF(U_GNat="[m³]",m3_GazNat_to_kgGES,Conversion!$H$27)+G20*IF(U_Ma2="[l]",L_Mazout2_to_kgGES,Conversion!$H$29)+I20*IF(U_Ma6="[l]",L_Mazout6_to_kgGES,Conversion!$H$31)+K20*L_Mazout2_to_kgGES+M20*IF(U_Prop="[l]",L_Propane_to_kgGES,Conversion!$H$35)+O20*kg_Bois8_to_kgGES+Q20*kg_Bois35_to_kgGES+S20*lbs_vapeur_to_kgGES+U20*MBTU_eaurefroidie_to_kgGES+W20*MBTU_eauchaude_to_kgGES)/1000</f>
        <v>0</v>
      </c>
      <c r="AD20" s="103">
        <f t="shared" si="2"/>
        <v>0</v>
      </c>
      <c r="AE20" s="5">
        <f t="shared" si="3"/>
        <v>586.5</v>
      </c>
      <c r="AF20" s="49">
        <f>SUM(AE9:AE19)</f>
        <v>3362.9000000000005</v>
      </c>
      <c r="AG20" s="49">
        <v>1</v>
      </c>
    </row>
    <row r="21" spans="1:33" ht="20.25" customHeight="1" thickTop="1">
      <c r="A21" s="3" t="s">
        <v>53</v>
      </c>
      <c r="B21" s="35">
        <f>IF(ISERROR(AVERAGE(B9:B20)),0,AVERAGE(B9:B20))</f>
        <v>0</v>
      </c>
      <c r="C21" s="35">
        <f>SUM(C9:C20)</f>
        <v>0</v>
      </c>
      <c r="D21" s="551">
        <f>SUM(D9:D20)</f>
        <v>0</v>
      </c>
      <c r="E21" s="35">
        <f>SUM(E9:E20)</f>
        <v>0</v>
      </c>
      <c r="F21" s="551">
        <f t="shared" ref="F21:X21" si="7">SUM(F9:F20)</f>
        <v>0</v>
      </c>
      <c r="G21" s="35">
        <f t="shared" si="7"/>
        <v>0</v>
      </c>
      <c r="H21" s="551">
        <f>SUM(H9:H20)</f>
        <v>0</v>
      </c>
      <c r="I21" s="35">
        <f t="shared" si="7"/>
        <v>0</v>
      </c>
      <c r="J21" s="551">
        <f t="shared" si="7"/>
        <v>0</v>
      </c>
      <c r="K21" s="35">
        <f t="shared" si="7"/>
        <v>0</v>
      </c>
      <c r="L21" s="551">
        <f t="shared" si="7"/>
        <v>0</v>
      </c>
      <c r="M21" s="35">
        <f t="shared" si="7"/>
        <v>0</v>
      </c>
      <c r="N21" s="551">
        <f t="shared" si="7"/>
        <v>0</v>
      </c>
      <c r="O21" s="35">
        <f t="shared" si="7"/>
        <v>0</v>
      </c>
      <c r="P21" s="551">
        <f t="shared" si="7"/>
        <v>0</v>
      </c>
      <c r="Q21" s="35">
        <f t="shared" si="7"/>
        <v>0</v>
      </c>
      <c r="R21" s="551">
        <f t="shared" si="7"/>
        <v>0</v>
      </c>
      <c r="S21" s="88">
        <f t="shared" si="7"/>
        <v>0</v>
      </c>
      <c r="T21" s="551">
        <f t="shared" si="7"/>
        <v>0</v>
      </c>
      <c r="U21" s="88">
        <f t="shared" si="7"/>
        <v>0</v>
      </c>
      <c r="V21" s="551">
        <f t="shared" si="7"/>
        <v>0</v>
      </c>
      <c r="W21" s="88">
        <f t="shared" si="7"/>
        <v>0</v>
      </c>
      <c r="X21" s="551">
        <f t="shared" si="7"/>
        <v>0</v>
      </c>
      <c r="Y21" s="484">
        <f>C21*kWh_Élect_to_GJ+E21*m3_GazNat_to_GJ+G21*L_Mazout2_to_GJ+I21*L_Mazout6_to_GJ+K21*L_Mazout2_to_GJ+M21*L_Propane_to_GJ+O21*kg_Bois8_to_GJ+Q21*kg_Bois35_to_GJ+S21*lbs_vapeur_to_GJ+U21*MBTU_eaurefroidie_to_GJ+W21*MBTU_eauchaude_to_GJ</f>
        <v>0</v>
      </c>
      <c r="Z21" s="485">
        <f t="shared" si="5"/>
        <v>0</v>
      </c>
      <c r="AA21" s="265" t="str">
        <f t="shared" si="0"/>
        <v/>
      </c>
      <c r="AB21" s="266" t="str">
        <f t="shared" si="1"/>
        <v/>
      </c>
      <c r="AC21" s="267">
        <f>(C21*kWh_Élect_to_kgGES+E21*IF(U_GNat="[m³]",m3_GazNat_to_kgGES,Conversion!$H$27)+G21*IF(U_Ma2="[l]",L_Mazout2_to_kgGES,Conversion!$H$29)+I21*IF(U_Ma6="[l]",L_Mazout6_to_kgGES,Conversion!$H$31)+K21*L_Mazout2_to_kgGES+M21*IF(U_Prop="[l]",L_Propane_to_kgGES,Conversion!$H$35)+O21*kg_Bois8_to_kgGES+Q21*kg_Bois35_to_kgGES+S21*lbs_vapeur_to_kgGES+U21*MBTU_eaurefroidie_to_kgGES+W21*MBTU_eauchaude_to_kgGES)/1000</f>
        <v>0</v>
      </c>
      <c r="AD21" s="267">
        <f t="shared" si="2"/>
        <v>0</v>
      </c>
      <c r="AE21" s="268">
        <f>SUM(AE9:AE20)</f>
        <v>3949.4000000000005</v>
      </c>
    </row>
    <row r="22" spans="1:33">
      <c r="A22" s="27">
        <v>2017</v>
      </c>
      <c r="B22" s="27" t="s">
        <v>202</v>
      </c>
      <c r="C22" s="28" t="s">
        <v>203</v>
      </c>
      <c r="D22" s="28" t="s">
        <v>204</v>
      </c>
      <c r="E22" s="28" t="s">
        <v>205</v>
      </c>
      <c r="F22" s="28" t="s">
        <v>206</v>
      </c>
      <c r="G22" s="28" t="s">
        <v>207</v>
      </c>
      <c r="H22" s="28" t="s">
        <v>208</v>
      </c>
      <c r="I22" s="28" t="s">
        <v>209</v>
      </c>
      <c r="J22" s="28" t="s">
        <v>210</v>
      </c>
      <c r="K22" s="28" t="s">
        <v>211</v>
      </c>
      <c r="L22" s="28" t="s">
        <v>212</v>
      </c>
      <c r="M22" s="28" t="s">
        <v>213</v>
      </c>
      <c r="N22" s="28" t="s">
        <v>214</v>
      </c>
      <c r="O22" s="28" t="s">
        <v>215</v>
      </c>
      <c r="P22" s="28" t="s">
        <v>216</v>
      </c>
      <c r="Q22" s="28"/>
      <c r="R22" s="28"/>
      <c r="S22" s="28"/>
      <c r="T22" s="28"/>
      <c r="U22" s="28"/>
      <c r="V22" s="28"/>
      <c r="W22" s="47" t="s">
        <v>217</v>
      </c>
      <c r="X22" s="47" t="s">
        <v>218</v>
      </c>
      <c r="Y22" s="47" t="s">
        <v>219</v>
      </c>
      <c r="Z22" s="47" t="s">
        <v>220</v>
      </c>
      <c r="AA22" s="47" t="s">
        <v>221</v>
      </c>
      <c r="AB22" s="48" t="s">
        <v>222</v>
      </c>
      <c r="AC22" s="47" t="s">
        <v>223</v>
      </c>
    </row>
    <row r="23" spans="1:33" ht="15">
      <c r="A23" s="52" t="s">
        <v>352</v>
      </c>
      <c r="B23" s="49"/>
      <c r="C23" s="47"/>
      <c r="D23" s="47"/>
      <c r="E23" s="47"/>
      <c r="F23" s="47"/>
      <c r="G23" s="51"/>
      <c r="H23" s="50"/>
      <c r="I23" s="47"/>
      <c r="J23" s="47"/>
      <c r="K23" s="47"/>
      <c r="L23" s="47"/>
      <c r="M23" s="47"/>
      <c r="N23" s="47"/>
      <c r="O23" s="47"/>
      <c r="P23" s="47"/>
      <c r="Q23" s="47"/>
      <c r="R23" s="47"/>
      <c r="S23" s="47"/>
      <c r="T23" s="47"/>
      <c r="U23" s="47"/>
      <c r="V23" s="47"/>
      <c r="X23" s="47"/>
      <c r="Y23" s="47"/>
      <c r="Z23" s="47"/>
      <c r="AA23" s="47"/>
      <c r="AB23" s="48"/>
      <c r="AC23" s="47"/>
    </row>
    <row r="24" spans="1:33">
      <c r="A24" s="25"/>
      <c r="B24" s="49"/>
      <c r="C24" s="47"/>
      <c r="D24" s="47"/>
      <c r="E24" s="47"/>
      <c r="F24" s="47"/>
      <c r="G24" s="47"/>
      <c r="I24" s="47"/>
      <c r="J24" s="47"/>
      <c r="K24" s="47"/>
      <c r="L24" s="47"/>
      <c r="M24" s="47"/>
      <c r="N24" s="47"/>
      <c r="O24" s="47"/>
      <c r="P24" s="47"/>
      <c r="Q24" s="47"/>
      <c r="R24" s="47"/>
      <c r="S24" s="47"/>
      <c r="T24" s="47"/>
      <c r="U24" s="47"/>
      <c r="V24" s="47"/>
      <c r="X24" s="47"/>
      <c r="Y24" s="408"/>
      <c r="Z24" s="408"/>
      <c r="AA24" s="47"/>
      <c r="AB24" s="48"/>
      <c r="AC24" s="47"/>
    </row>
    <row r="25" spans="1:33" ht="18">
      <c r="A25" s="566" t="s">
        <v>804</v>
      </c>
      <c r="B25" s="567"/>
      <c r="C25" s="567"/>
      <c r="D25" s="567"/>
      <c r="E25" s="567"/>
      <c r="F25" s="567"/>
      <c r="G25" s="567"/>
      <c r="H25" s="567"/>
      <c r="I25" s="567"/>
      <c r="U25" s="295"/>
      <c r="V25" s="295"/>
      <c r="W25" s="296"/>
      <c r="X25" s="296"/>
      <c r="Y25" s="408">
        <f>Lim_bas</f>
        <v>0</v>
      </c>
      <c r="Z25" s="408">
        <f>Lim_haut</f>
        <v>0</v>
      </c>
      <c r="AA25" s="296"/>
      <c r="AB25" s="296"/>
      <c r="AC25" s="296"/>
      <c r="AD25" s="297"/>
    </row>
    <row r="26" spans="1:33" ht="19.8">
      <c r="A26" s="53"/>
      <c r="B26" s="23"/>
      <c r="U26" s="295"/>
      <c r="V26" s="295"/>
      <c r="W26" s="296"/>
      <c r="X26" s="296"/>
      <c r="Y26" s="296"/>
      <c r="Z26" s="296"/>
      <c r="AA26" s="296"/>
      <c r="AB26" s="296"/>
      <c r="AC26" s="296"/>
      <c r="AD26" s="297"/>
    </row>
    <row r="27" spans="1:33" ht="19.8">
      <c r="A27" s="53" t="s">
        <v>686</v>
      </c>
      <c r="U27" s="295"/>
      <c r="V27" s="295"/>
      <c r="W27" s="296"/>
      <c r="X27" s="296"/>
      <c r="Y27" s="296"/>
      <c r="Z27" s="296"/>
      <c r="AA27" s="296"/>
      <c r="AB27" s="296"/>
      <c r="AC27" s="296"/>
      <c r="AD27" s="297"/>
    </row>
    <row r="28" spans="1:33" ht="19.8">
      <c r="A28" s="53"/>
      <c r="U28" s="295"/>
      <c r="V28" s="295"/>
      <c r="W28" s="296"/>
      <c r="X28" s="296"/>
      <c r="Y28" s="296"/>
      <c r="Z28" s="296"/>
      <c r="AA28" s="296"/>
      <c r="AB28" s="296"/>
      <c r="AC28" s="296"/>
      <c r="AD28" s="297"/>
    </row>
    <row r="29" spans="1:33" s="231" customFormat="1" ht="15" thickBot="1">
      <c r="A29" s="232" t="s">
        <v>681</v>
      </c>
      <c r="B29" s="229"/>
      <c r="C29" s="229"/>
      <c r="D29" s="229"/>
      <c r="E29" s="229"/>
      <c r="F29" s="229"/>
      <c r="I29" s="230"/>
      <c r="U29" s="407"/>
      <c r="V29" s="407"/>
      <c r="W29" s="407"/>
      <c r="X29" s="407"/>
      <c r="Y29" s="407"/>
      <c r="Z29" s="407"/>
      <c r="AA29" s="407"/>
      <c r="AB29" s="407"/>
      <c r="AC29" s="407"/>
      <c r="AD29" s="407"/>
    </row>
    <row r="30" spans="1:33" s="231" customFormat="1" ht="15.6" thickTop="1" thickBot="1">
      <c r="A30" s="232" t="s">
        <v>682</v>
      </c>
      <c r="B30" s="229"/>
      <c r="C30" s="229"/>
      <c r="D30" s="229"/>
      <c r="E30" s="229"/>
      <c r="F30" s="229"/>
      <c r="I30" s="230"/>
      <c r="U30" s="407"/>
      <c r="V30" s="407"/>
      <c r="W30" s="407"/>
      <c r="X30" s="407"/>
      <c r="Y30" s="407"/>
      <c r="Z30" s="407"/>
      <c r="AA30" s="407"/>
      <c r="AB30" s="407"/>
      <c r="AC30" s="407"/>
      <c r="AD30" s="407"/>
    </row>
    <row r="31" spans="1:33" s="231" customFormat="1" ht="15.6" thickTop="1" thickBot="1">
      <c r="A31" s="232" t="s">
        <v>683</v>
      </c>
      <c r="B31" s="229"/>
      <c r="C31" s="229"/>
      <c r="D31" s="229"/>
      <c r="E31" s="229"/>
      <c r="F31" s="229"/>
      <c r="I31" s="230"/>
      <c r="U31" s="407"/>
      <c r="V31" s="407"/>
      <c r="W31" s="407"/>
      <c r="X31" s="407"/>
      <c r="Y31" s="407"/>
      <c r="Z31" s="407"/>
      <c r="AA31" s="407"/>
      <c r="AB31" s="407"/>
      <c r="AC31" s="407"/>
      <c r="AD31" s="407"/>
    </row>
    <row r="32" spans="1:33" s="231" customFormat="1" ht="15.6" thickTop="1" thickBot="1">
      <c r="A32" s="232" t="s">
        <v>684</v>
      </c>
      <c r="B32" s="229"/>
      <c r="C32" s="229"/>
      <c r="D32" s="229"/>
      <c r="E32" s="229"/>
      <c r="F32" s="229"/>
      <c r="I32" s="230"/>
      <c r="U32" s="407"/>
      <c r="V32" s="407"/>
      <c r="W32" s="407"/>
      <c r="X32" s="407"/>
      <c r="Y32" s="407"/>
      <c r="Z32" s="407"/>
      <c r="AA32" s="407"/>
      <c r="AB32" s="407"/>
      <c r="AC32" s="407"/>
      <c r="AD32" s="407"/>
    </row>
    <row r="33" spans="1:30" s="231" customFormat="1" ht="15.6" thickTop="1" thickBot="1">
      <c r="A33" s="232" t="s">
        <v>685</v>
      </c>
      <c r="B33" s="229"/>
      <c r="C33" s="229"/>
      <c r="D33" s="229"/>
      <c r="E33" s="229"/>
      <c r="F33" s="229"/>
      <c r="I33" s="230"/>
      <c r="U33" s="407"/>
      <c r="V33" s="407"/>
      <c r="W33" s="407"/>
      <c r="X33" s="407"/>
      <c r="Y33" s="407"/>
      <c r="Z33" s="407"/>
      <c r="AA33" s="407"/>
      <c r="AB33" s="407"/>
      <c r="AC33" s="407"/>
      <c r="AD33" s="407"/>
    </row>
    <row r="34" spans="1:30" ht="30" customHeight="1" thickTop="1" thickBot="1">
      <c r="A34" s="23"/>
      <c r="B34" s="23"/>
      <c r="U34" s="295"/>
      <c r="V34" s="295"/>
      <c r="W34" s="296"/>
      <c r="X34" s="297"/>
      <c r="Y34" s="297"/>
      <c r="Z34" s="297"/>
      <c r="AA34" s="297"/>
      <c r="AB34" s="297"/>
      <c r="AC34" s="297"/>
      <c r="AD34" s="297"/>
    </row>
    <row r="35" spans="1:30" ht="159" customHeight="1" thickTop="1">
      <c r="A35" s="556" t="s">
        <v>80</v>
      </c>
      <c r="B35" s="557"/>
      <c r="C35" s="564" t="s">
        <v>342</v>
      </c>
      <c r="D35" s="564"/>
      <c r="E35" s="564"/>
      <c r="F35" s="564"/>
      <c r="G35" s="564"/>
      <c r="H35" s="564"/>
      <c r="I35" s="564"/>
      <c r="J35" s="564"/>
      <c r="K35" s="564"/>
      <c r="L35" s="564"/>
      <c r="U35" s="295"/>
      <c r="V35" s="295"/>
      <c r="W35" s="220"/>
      <c r="X35" s="220"/>
      <c r="Y35" s="220"/>
      <c r="Z35" s="220"/>
      <c r="AA35" s="220"/>
      <c r="AB35" s="220"/>
      <c r="AC35" s="296"/>
      <c r="AD35" s="297"/>
    </row>
    <row r="36" spans="1:30" ht="15" thickBot="1">
      <c r="A36" s="23"/>
      <c r="B36" s="23"/>
      <c r="U36" s="295"/>
      <c r="V36" s="295"/>
      <c r="W36" s="220"/>
      <c r="X36" s="220"/>
      <c r="Y36" s="220"/>
      <c r="Z36" s="220"/>
      <c r="AA36" s="220"/>
      <c r="AB36" s="220"/>
      <c r="AC36" s="296"/>
      <c r="AD36" s="297"/>
    </row>
    <row r="37" spans="1:30" ht="44.4" thickTop="1" thickBot="1">
      <c r="B37" s="12" t="s">
        <v>64</v>
      </c>
      <c r="C37" s="12" t="s">
        <v>91</v>
      </c>
      <c r="D37" s="12" t="s">
        <v>338</v>
      </c>
      <c r="E37" s="12" t="s">
        <v>75</v>
      </c>
      <c r="F37" s="12"/>
      <c r="G37" s="12" t="s">
        <v>72</v>
      </c>
      <c r="H37" s="12" t="s">
        <v>71</v>
      </c>
      <c r="I37" s="12" t="s">
        <v>340</v>
      </c>
      <c r="J37" s="12" t="s">
        <v>339</v>
      </c>
      <c r="U37" s="295"/>
      <c r="V37" s="295"/>
      <c r="W37" s="220"/>
      <c r="X37" s="221" t="s">
        <v>54</v>
      </c>
      <c r="Y37" s="222">
        <f>((1-Facteur_variable)+Facteur_variable*DJC_tot_17_18/DJC_tot_09_10)*GJ_Tot_09_10+GJ_Ajust_NP_Cour_17_18</f>
        <v>0</v>
      </c>
      <c r="Z37" s="223" t="s">
        <v>314</v>
      </c>
      <c r="AA37" s="220"/>
      <c r="AB37" s="220"/>
      <c r="AC37" s="296"/>
      <c r="AD37" s="297"/>
    </row>
    <row r="38" spans="1:30" ht="35.25" customHeight="1" thickTop="1">
      <c r="B38" s="36" t="s">
        <v>336</v>
      </c>
      <c r="C38" s="36"/>
      <c r="D38" s="36"/>
      <c r="E38" s="55"/>
      <c r="F38" s="54" t="str">
        <f>IF(D38="électrique","kWh",IF(D38="Gaz naturel","m³",IF(LEFT(D38,1)="R","1000 kg","l")))</f>
        <v>l</v>
      </c>
      <c r="G38" s="36"/>
      <c r="H38" s="37"/>
      <c r="I38" s="38">
        <f>IF(COUNTA(G38)=1,IF(C38="Réduction",-1,IF(C38="Augmentation",1,0))*E38*INDEX(Conversion!$A$24:$J$40,MATCH(D38,Conversion!$J$24:$J$40,0),9),0)</f>
        <v>0</v>
      </c>
      <c r="J38" s="38">
        <f t="shared" ref="J38:J44" si="8">IF(G38="Non",I38*L38,IF(G38="Oui",I38*K38,0))</f>
        <v>0</v>
      </c>
      <c r="K38" s="56" t="e">
        <f t="shared" ref="K38:K44" si="9">(DJC_tot_17_18-INDEX($A$9:$AF$20,MATCH(H38,$A$9:$A$20,0),24))/DJC_tot_17_18</f>
        <v>#N/A</v>
      </c>
      <c r="L38" s="56" t="e">
        <f t="shared" ref="L38:L44" si="10">INDEX($A$9:$AG$20,MATCH(H38,$A$9:$A$20,0),25)/12</f>
        <v>#N/A</v>
      </c>
      <c r="U38" s="295"/>
      <c r="V38" s="295"/>
      <c r="W38" s="223"/>
      <c r="X38" s="224" t="s">
        <v>55</v>
      </c>
      <c r="Y38" s="223">
        <f>GJ_Tot_17_18</f>
        <v>0</v>
      </c>
      <c r="Z38" s="223"/>
      <c r="AA38" s="220"/>
      <c r="AB38" s="220"/>
      <c r="AC38" s="296"/>
      <c r="AD38" s="297"/>
    </row>
    <row r="39" spans="1:30" ht="35.25" customHeight="1">
      <c r="B39" s="36" t="s">
        <v>330</v>
      </c>
      <c r="C39" s="36"/>
      <c r="D39" s="36"/>
      <c r="E39" s="55"/>
      <c r="F39" s="54" t="str">
        <f t="shared" ref="F39:F44" si="11">IF(D39="électrique","kWh",IF(D39="Gaz naturel","m³",IF(LEFT(D39,1)="R","1000 kg","l")))</f>
        <v>l</v>
      </c>
      <c r="G39" s="36"/>
      <c r="H39" s="37"/>
      <c r="I39" s="38">
        <f>IF(COUNTA(G39)=1,IF(C39="Réduction",-1,IF(C39="Augmentation",1,0))*E39*INDEX(Conversion!$A$24:$J$40,MATCH(D39,Conversion!$J$24:$J$40,0),9),0)</f>
        <v>0</v>
      </c>
      <c r="J39" s="38">
        <f t="shared" si="8"/>
        <v>0</v>
      </c>
      <c r="K39" s="56" t="e">
        <f t="shared" si="9"/>
        <v>#N/A</v>
      </c>
      <c r="L39" s="56" t="e">
        <f t="shared" si="10"/>
        <v>#N/A</v>
      </c>
      <c r="U39" s="295"/>
      <c r="V39" s="295"/>
      <c r="W39" s="223"/>
      <c r="X39" s="224" t="s">
        <v>56</v>
      </c>
      <c r="Y39" s="223">
        <f>Sup_09_10</f>
        <v>0</v>
      </c>
      <c r="Z39" s="223"/>
      <c r="AA39" s="220"/>
      <c r="AB39" s="220"/>
      <c r="AC39" s="296"/>
      <c r="AD39" s="297"/>
    </row>
    <row r="40" spans="1:30" ht="35.25" customHeight="1">
      <c r="B40" s="36" t="s">
        <v>331</v>
      </c>
      <c r="C40" s="36"/>
      <c r="D40" s="36"/>
      <c r="E40" s="55"/>
      <c r="F40" s="54" t="str">
        <f t="shared" si="11"/>
        <v>l</v>
      </c>
      <c r="G40" s="36"/>
      <c r="H40" s="37"/>
      <c r="I40" s="38">
        <f>IF(COUNTA(G40)=1,IF(C40="Réduction",-1,IF(C40="Augmentation",1,0))*E40*INDEX(Conversion!$A$24:$J$40,MATCH(D40,Conversion!$J$24:$J$40,0),9),0)</f>
        <v>0</v>
      </c>
      <c r="J40" s="38">
        <f t="shared" si="8"/>
        <v>0</v>
      </c>
      <c r="K40" s="56" t="e">
        <f t="shared" si="9"/>
        <v>#N/A</v>
      </c>
      <c r="L40" s="56" t="e">
        <f t="shared" si="10"/>
        <v>#N/A</v>
      </c>
      <c r="U40" s="295"/>
      <c r="V40" s="295"/>
      <c r="W40" s="220"/>
      <c r="X40" s="224" t="s">
        <v>57</v>
      </c>
      <c r="Y40" s="220">
        <f>Sup_17_18</f>
        <v>0</v>
      </c>
      <c r="Z40" s="223"/>
      <c r="AA40" s="220"/>
      <c r="AB40" s="220"/>
      <c r="AC40" s="296"/>
      <c r="AD40" s="297"/>
    </row>
    <row r="41" spans="1:30" ht="35.25" customHeight="1">
      <c r="B41" s="36" t="s">
        <v>332</v>
      </c>
      <c r="C41" s="36"/>
      <c r="D41" s="36"/>
      <c r="E41" s="55"/>
      <c r="F41" s="54" t="str">
        <f t="shared" si="11"/>
        <v>l</v>
      </c>
      <c r="G41" s="36"/>
      <c r="H41" s="37"/>
      <c r="I41" s="38">
        <f>IF(COUNTA(G41)=1,IF(C41="Réduction",-1,IF(C41="Augmentation",1,0))*E41*INDEX(Conversion!$A$24:$J$40,MATCH(D41,Conversion!$J$24:$J$40,0),9),0)</f>
        <v>0</v>
      </c>
      <c r="J41" s="38">
        <f t="shared" si="8"/>
        <v>0</v>
      </c>
      <c r="K41" s="56" t="e">
        <f t="shared" si="9"/>
        <v>#N/A</v>
      </c>
      <c r="L41" s="56" t="e">
        <f t="shared" si="10"/>
        <v>#N/A</v>
      </c>
      <c r="U41" s="295"/>
      <c r="V41" s="295"/>
      <c r="W41" s="220"/>
      <c r="X41" s="220"/>
      <c r="Y41" s="225" t="e">
        <f>GJTotRef_Ajust_17_18/Sup_09_10</f>
        <v>#DIV/0!</v>
      </c>
      <c r="Z41" s="223" t="s">
        <v>315</v>
      </c>
      <c r="AA41" s="220"/>
      <c r="AB41" s="220"/>
      <c r="AC41" s="296"/>
      <c r="AD41" s="297"/>
    </row>
    <row r="42" spans="1:30" ht="35.25" customHeight="1">
      <c r="B42" s="36" t="s">
        <v>333</v>
      </c>
      <c r="C42" s="36"/>
      <c r="D42" s="36"/>
      <c r="E42" s="55"/>
      <c r="F42" s="54" t="str">
        <f t="shared" si="11"/>
        <v>l</v>
      </c>
      <c r="G42" s="36"/>
      <c r="H42" s="37"/>
      <c r="I42" s="38">
        <f>IF(COUNTA(G42)=1,IF(C42="Réduction",-1,IF(C42="Augmentation",1,0))*E42*INDEX(Conversion!$A$24:$J$40,MATCH(D42,Conversion!$J$24:$J$40,0),9),0)</f>
        <v>0</v>
      </c>
      <c r="J42" s="38">
        <f t="shared" si="8"/>
        <v>0</v>
      </c>
      <c r="K42" s="56" t="e">
        <f t="shared" si="9"/>
        <v>#N/A</v>
      </c>
      <c r="L42" s="56" t="e">
        <f t="shared" si="10"/>
        <v>#N/A</v>
      </c>
      <c r="U42" s="295"/>
      <c r="V42" s="295"/>
      <c r="W42" s="223"/>
      <c r="X42" s="223"/>
      <c r="Y42" s="226">
        <f>J45</f>
        <v>0</v>
      </c>
      <c r="Z42" s="223" t="s">
        <v>316</v>
      </c>
      <c r="AA42" s="223"/>
      <c r="AB42" s="223"/>
      <c r="AC42" s="297"/>
      <c r="AD42" s="297"/>
    </row>
    <row r="43" spans="1:30" ht="35.25" customHeight="1">
      <c r="B43" s="36" t="s">
        <v>334</v>
      </c>
      <c r="C43" s="36"/>
      <c r="D43" s="36"/>
      <c r="E43" s="55"/>
      <c r="F43" s="54" t="str">
        <f t="shared" si="11"/>
        <v>l</v>
      </c>
      <c r="G43" s="36"/>
      <c r="H43" s="37"/>
      <c r="I43" s="38">
        <f>IF(COUNTA(G43)=1,IF(C43="Réduction",-1,IF(C43="Augmentation",1,0))*E43*INDEX(Conversion!$A$24:$J$40,MATCH(D43,Conversion!$J$24:$J$40,0),9),0)</f>
        <v>0</v>
      </c>
      <c r="J43" s="38">
        <f t="shared" si="8"/>
        <v>0</v>
      </c>
      <c r="K43" s="56" t="e">
        <f t="shared" si="9"/>
        <v>#N/A</v>
      </c>
      <c r="L43" s="56" t="e">
        <f t="shared" si="10"/>
        <v>#N/A</v>
      </c>
      <c r="W43" s="223"/>
      <c r="X43" s="223"/>
      <c r="Y43" s="226">
        <f>I45</f>
        <v>0</v>
      </c>
      <c r="Z43" s="223" t="s">
        <v>317</v>
      </c>
      <c r="AA43" s="223"/>
      <c r="AB43" s="223"/>
    </row>
    <row r="44" spans="1:30" ht="35.25" customHeight="1" thickBot="1">
      <c r="B44" s="36" t="s">
        <v>335</v>
      </c>
      <c r="C44" s="36"/>
      <c r="D44" s="36"/>
      <c r="E44" s="55"/>
      <c r="F44" s="54" t="str">
        <f t="shared" si="11"/>
        <v>l</v>
      </c>
      <c r="G44" s="36"/>
      <c r="H44" s="37"/>
      <c r="I44" s="38">
        <f>IF(COUNTA(G44)=1,IF(C44="Réduction",-1,IF(C44="Augmentation",1,0))*E44*INDEX(Conversion!$A$24:$J$40,MATCH(D44,Conversion!$J$24:$J$40,0),9),0)</f>
        <v>0</v>
      </c>
      <c r="J44" s="38">
        <f t="shared" si="8"/>
        <v>0</v>
      </c>
      <c r="K44" s="56" t="e">
        <f t="shared" si="9"/>
        <v>#N/A</v>
      </c>
      <c r="L44" s="56" t="e">
        <f t="shared" si="10"/>
        <v>#N/A</v>
      </c>
      <c r="W44" s="223"/>
      <c r="X44" s="223"/>
      <c r="Y44" s="223"/>
      <c r="Z44" s="223"/>
      <c r="AA44" s="223"/>
      <c r="AB44" s="223"/>
    </row>
    <row r="45" spans="1:30" ht="25.5" customHeight="1" thickTop="1" thickBot="1">
      <c r="B45" s="21" t="s">
        <v>16</v>
      </c>
      <c r="C45" s="19"/>
      <c r="D45" s="19"/>
      <c r="E45" s="19"/>
      <c r="F45" s="19"/>
      <c r="G45" s="19"/>
      <c r="H45" s="19"/>
      <c r="I45" s="20">
        <f>SUM(I38:I44)</f>
        <v>0</v>
      </c>
      <c r="J45" s="20">
        <f>SUM(J38:J44)</f>
        <v>0</v>
      </c>
      <c r="W45" s="49"/>
    </row>
    <row r="46" spans="1:30" ht="15" thickTop="1">
      <c r="I46" s="1"/>
      <c r="J46" s="24"/>
      <c r="W46" s="49"/>
    </row>
    <row r="47" spans="1:30">
      <c r="W47" s="49"/>
    </row>
    <row r="48" spans="1:30">
      <c r="W48" s="49"/>
    </row>
    <row r="49" spans="1:23" ht="16.5" customHeight="1">
      <c r="W49" s="49"/>
    </row>
    <row r="50" spans="1:23">
      <c r="W50" s="49"/>
    </row>
    <row r="51" spans="1:23" ht="16.5" customHeight="1">
      <c r="W51" s="49"/>
    </row>
    <row r="52" spans="1:23">
      <c r="A52" s="29"/>
      <c r="B52" s="29"/>
      <c r="C52" s="30"/>
      <c r="D52" s="30"/>
      <c r="E52" s="30"/>
      <c r="F52" s="30"/>
      <c r="G52" s="30"/>
      <c r="H52" s="30"/>
      <c r="W52" s="49"/>
    </row>
    <row r="53" spans="1:23">
      <c r="A53" s="29"/>
      <c r="B53" s="29"/>
      <c r="C53" s="30"/>
      <c r="D53" s="30"/>
      <c r="E53" s="30"/>
      <c r="F53" s="30"/>
      <c r="G53" s="30"/>
      <c r="H53" s="30"/>
      <c r="W53" s="49"/>
    </row>
    <row r="54" spans="1:23">
      <c r="A54" s="29"/>
      <c r="B54" s="27"/>
      <c r="C54" s="28" t="s">
        <v>65</v>
      </c>
      <c r="D54" s="28" t="s">
        <v>70</v>
      </c>
      <c r="E54" s="28"/>
      <c r="F54" s="28"/>
      <c r="G54" s="28" t="s">
        <v>73</v>
      </c>
      <c r="H54" s="30"/>
    </row>
    <row r="55" spans="1:23">
      <c r="A55" s="29"/>
      <c r="B55" s="27"/>
      <c r="C55" s="28" t="s">
        <v>66</v>
      </c>
      <c r="D55" s="28" t="s">
        <v>19</v>
      </c>
      <c r="E55" s="28"/>
      <c r="F55" s="28"/>
      <c r="G55" s="28" t="s">
        <v>74</v>
      </c>
      <c r="H55" s="30"/>
    </row>
    <row r="56" spans="1:23">
      <c r="A56" s="29"/>
      <c r="B56" s="27"/>
      <c r="C56" s="28"/>
      <c r="D56" s="28" t="s">
        <v>67</v>
      </c>
      <c r="E56" s="28"/>
      <c r="F56" s="28"/>
      <c r="G56" s="28"/>
      <c r="H56" s="30"/>
    </row>
    <row r="57" spans="1:23">
      <c r="A57" s="29"/>
      <c r="B57" s="27"/>
      <c r="C57" s="28"/>
      <c r="D57" s="28" t="s">
        <v>25</v>
      </c>
      <c r="E57" s="28"/>
      <c r="F57" s="28"/>
      <c r="G57" s="28"/>
      <c r="H57" s="30"/>
    </row>
    <row r="58" spans="1:23">
      <c r="A58" s="29"/>
      <c r="B58" s="27"/>
      <c r="C58" s="28"/>
      <c r="D58" s="28" t="s">
        <v>27</v>
      </c>
      <c r="E58" s="28"/>
      <c r="F58" s="28"/>
      <c r="G58" s="28"/>
      <c r="H58" s="30"/>
    </row>
    <row r="59" spans="1:23">
      <c r="A59" s="29"/>
      <c r="B59" s="27"/>
      <c r="C59" s="28"/>
      <c r="D59" s="28" t="s">
        <v>68</v>
      </c>
      <c r="E59" s="28"/>
      <c r="F59" s="28"/>
      <c r="G59" s="28"/>
      <c r="H59" s="30"/>
    </row>
    <row r="60" spans="1:23">
      <c r="A60" s="29"/>
      <c r="B60" s="27"/>
      <c r="C60" s="28"/>
      <c r="D60" s="28" t="s">
        <v>69</v>
      </c>
      <c r="E60" s="28"/>
      <c r="F60" s="28"/>
      <c r="G60" s="28"/>
      <c r="H60" s="30"/>
    </row>
    <row r="61" spans="1:23">
      <c r="A61" s="29"/>
      <c r="B61" s="27"/>
      <c r="C61" s="28"/>
      <c r="D61" s="28" t="s">
        <v>77</v>
      </c>
      <c r="E61" s="28"/>
      <c r="F61" s="28"/>
      <c r="G61" s="28"/>
      <c r="H61" s="30"/>
    </row>
    <row r="62" spans="1:23">
      <c r="A62" s="29"/>
      <c r="B62" s="27"/>
      <c r="C62" s="28"/>
      <c r="D62" s="28"/>
      <c r="E62" s="28"/>
      <c r="F62" s="28"/>
      <c r="G62" s="28"/>
      <c r="H62" s="30"/>
    </row>
    <row r="63" spans="1:23">
      <c r="A63" s="29"/>
      <c r="B63" s="29"/>
      <c r="C63" s="30"/>
      <c r="D63" s="30"/>
      <c r="E63" s="30"/>
      <c r="F63" s="30"/>
      <c r="G63" s="30"/>
      <c r="H63" s="30"/>
    </row>
    <row r="64" spans="1:23">
      <c r="A64" s="29"/>
      <c r="B64" s="29"/>
      <c r="C64" s="30"/>
      <c r="D64" s="30"/>
      <c r="E64" s="30"/>
      <c r="F64" s="30"/>
      <c r="G64" s="30"/>
      <c r="H64" s="30"/>
    </row>
    <row r="65" spans="1:23">
      <c r="A65" s="29"/>
      <c r="B65" s="29"/>
      <c r="C65" s="30"/>
      <c r="D65" s="30"/>
      <c r="E65" s="30"/>
      <c r="F65" s="30"/>
      <c r="G65" s="30"/>
      <c r="H65" s="30"/>
    </row>
    <row r="66" spans="1:23">
      <c r="A66" s="29"/>
      <c r="B66" s="29"/>
      <c r="C66" s="30"/>
      <c r="D66" s="30"/>
      <c r="E66" s="30"/>
      <c r="F66" s="30"/>
      <c r="G66" s="30"/>
      <c r="H66" s="30"/>
    </row>
    <row r="67" spans="1:23">
      <c r="A67" s="29"/>
      <c r="B67" s="29"/>
      <c r="C67" s="30"/>
      <c r="D67" s="30"/>
      <c r="E67" s="30"/>
      <c r="F67" s="30"/>
      <c r="G67" s="30"/>
      <c r="H67" s="30"/>
    </row>
    <row r="68" spans="1:23">
      <c r="A68" s="29"/>
      <c r="B68" s="29"/>
      <c r="C68" s="30"/>
      <c r="D68" s="30"/>
      <c r="E68" s="29"/>
      <c r="F68" s="29"/>
      <c r="G68" s="29"/>
      <c r="H68" s="29"/>
      <c r="I68" s="1"/>
      <c r="J68" s="1"/>
      <c r="K68" s="1"/>
      <c r="L68" s="1"/>
      <c r="M68" s="1"/>
      <c r="N68" s="1"/>
      <c r="O68" s="1"/>
      <c r="P68" s="1"/>
      <c r="Q68" s="1"/>
      <c r="R68" s="1"/>
      <c r="S68" s="1"/>
      <c r="T68" s="1"/>
      <c r="U68" s="1"/>
      <c r="V68" s="1"/>
      <c r="W68" s="49"/>
    </row>
    <row r="69" spans="1:23">
      <c r="A69" s="29"/>
      <c r="B69" s="29"/>
      <c r="C69" s="30"/>
      <c r="D69" s="30"/>
      <c r="E69" s="29"/>
      <c r="F69" s="29"/>
      <c r="G69" s="29"/>
      <c r="H69" s="29"/>
      <c r="I69" s="1"/>
      <c r="J69" s="1"/>
      <c r="K69" s="1"/>
      <c r="L69" s="1"/>
      <c r="M69" s="1"/>
      <c r="N69" s="1"/>
      <c r="O69" s="1"/>
      <c r="P69" s="1"/>
      <c r="Q69" s="1"/>
      <c r="R69" s="1"/>
      <c r="S69" s="1"/>
      <c r="T69" s="1"/>
      <c r="U69" s="1"/>
      <c r="V69" s="1"/>
      <c r="W69" s="49"/>
    </row>
    <row r="70" spans="1:23" ht="16.5" customHeight="1">
      <c r="E70" s="1"/>
      <c r="F70" s="1"/>
      <c r="G70" s="1"/>
      <c r="H70" s="1"/>
      <c r="I70" s="1"/>
      <c r="J70" s="1"/>
      <c r="K70" s="1"/>
      <c r="L70" s="1"/>
      <c r="M70" s="1"/>
      <c r="N70" s="1"/>
      <c r="O70" s="1"/>
      <c r="P70" s="1"/>
      <c r="Q70" s="1"/>
      <c r="R70" s="1"/>
      <c r="S70" s="1"/>
      <c r="T70" s="1"/>
      <c r="U70" s="1"/>
      <c r="V70" s="1"/>
      <c r="W70" s="49"/>
    </row>
    <row r="71" spans="1:23">
      <c r="E71" s="1"/>
      <c r="F71" s="1"/>
      <c r="G71" s="1"/>
      <c r="H71" s="1"/>
      <c r="I71" s="1"/>
      <c r="J71" s="1"/>
      <c r="K71" s="1"/>
      <c r="L71" s="1"/>
      <c r="M71" s="1"/>
      <c r="N71" s="1"/>
      <c r="O71" s="1"/>
      <c r="P71" s="1"/>
      <c r="Q71" s="1"/>
      <c r="R71" s="1"/>
      <c r="S71" s="1"/>
      <c r="T71" s="1"/>
      <c r="U71" s="1"/>
      <c r="V71" s="1"/>
      <c r="W71" s="49"/>
    </row>
    <row r="72" spans="1:23">
      <c r="E72" s="1"/>
      <c r="F72" s="1"/>
      <c r="G72" s="1"/>
      <c r="H72" s="1"/>
      <c r="I72" s="1"/>
      <c r="J72" s="1"/>
      <c r="K72" s="1"/>
      <c r="L72" s="1"/>
      <c r="M72" s="1"/>
      <c r="N72" s="1"/>
      <c r="O72" s="1"/>
      <c r="P72" s="1"/>
      <c r="Q72" s="1"/>
      <c r="R72" s="1"/>
      <c r="S72" s="1"/>
      <c r="T72" s="1"/>
      <c r="U72" s="1"/>
      <c r="V72" s="1"/>
      <c r="W72" s="49"/>
    </row>
    <row r="73" spans="1:23">
      <c r="E73" s="1"/>
      <c r="F73" s="1"/>
      <c r="G73" s="1"/>
      <c r="H73" s="1"/>
      <c r="I73" s="1"/>
      <c r="J73" s="1"/>
      <c r="K73" s="1"/>
      <c r="L73" s="1"/>
      <c r="M73" s="1"/>
      <c r="N73" s="1"/>
      <c r="O73" s="1"/>
      <c r="P73" s="1"/>
      <c r="Q73" s="1"/>
      <c r="R73" s="1"/>
      <c r="S73" s="1"/>
      <c r="T73" s="1"/>
      <c r="U73" s="1"/>
      <c r="V73" s="1"/>
      <c r="W73" s="49"/>
    </row>
    <row r="74" spans="1:23">
      <c r="E74" s="1"/>
      <c r="F74" s="1"/>
      <c r="G74" s="1"/>
      <c r="H74" s="1"/>
      <c r="I74" s="1"/>
      <c r="J74" s="1"/>
      <c r="K74" s="1"/>
      <c r="L74" s="1"/>
      <c r="M74" s="1"/>
      <c r="N74" s="1"/>
      <c r="O74" s="1"/>
      <c r="P74" s="1"/>
      <c r="Q74" s="1"/>
      <c r="R74" s="1"/>
      <c r="S74" s="1"/>
      <c r="T74" s="1"/>
      <c r="U74" s="1"/>
      <c r="V74" s="1"/>
      <c r="W74" s="49"/>
    </row>
    <row r="75" spans="1:23">
      <c r="E75" s="1"/>
      <c r="F75" s="1"/>
      <c r="G75" s="1"/>
      <c r="H75" s="1"/>
      <c r="I75" s="1"/>
      <c r="J75" s="1"/>
      <c r="K75" s="1"/>
      <c r="L75" s="1"/>
      <c r="M75" s="1"/>
      <c r="N75" s="1"/>
      <c r="O75" s="1"/>
      <c r="P75" s="1"/>
      <c r="Q75" s="1"/>
      <c r="R75" s="1"/>
      <c r="S75" s="1"/>
      <c r="T75" s="1"/>
      <c r="U75" s="1"/>
      <c r="V75" s="1"/>
      <c r="W75" s="49"/>
    </row>
    <row r="76" spans="1:23">
      <c r="E76" s="1"/>
      <c r="F76" s="1"/>
      <c r="G76" s="1"/>
      <c r="H76" s="1"/>
      <c r="I76" s="1"/>
      <c r="J76" s="1"/>
      <c r="K76" s="1"/>
      <c r="L76" s="1"/>
      <c r="M76" s="1"/>
      <c r="N76" s="1"/>
      <c r="O76" s="1"/>
      <c r="P76" s="1"/>
      <c r="Q76" s="1"/>
      <c r="R76" s="1"/>
      <c r="S76" s="1"/>
      <c r="T76" s="1"/>
      <c r="U76" s="1"/>
      <c r="V76" s="1"/>
      <c r="W76" s="49"/>
    </row>
    <row r="77" spans="1:23">
      <c r="E77" s="1"/>
      <c r="F77" s="1"/>
      <c r="G77" s="1"/>
      <c r="H77" s="1"/>
      <c r="I77" s="1"/>
      <c r="J77" s="1"/>
      <c r="K77" s="1"/>
      <c r="L77" s="1"/>
      <c r="M77" s="1"/>
      <c r="N77" s="1"/>
      <c r="O77" s="1"/>
      <c r="P77" s="1"/>
      <c r="Q77" s="1"/>
      <c r="R77" s="1"/>
      <c r="S77" s="1"/>
      <c r="T77" s="1"/>
      <c r="U77" s="1"/>
      <c r="V77" s="1"/>
      <c r="W77" s="49"/>
    </row>
    <row r="78" spans="1:23">
      <c r="E78" s="1"/>
      <c r="F78" s="1"/>
      <c r="G78" s="1"/>
      <c r="H78" s="1"/>
      <c r="I78" s="1"/>
      <c r="J78" s="1"/>
      <c r="K78" s="1"/>
      <c r="L78" s="1"/>
      <c r="M78" s="1"/>
      <c r="N78" s="1"/>
      <c r="O78" s="1"/>
      <c r="P78" s="1"/>
      <c r="Q78" s="1"/>
      <c r="R78" s="1"/>
      <c r="S78" s="1"/>
      <c r="T78" s="1"/>
      <c r="U78" s="1"/>
      <c r="V78" s="1"/>
      <c r="W78" s="49"/>
    </row>
    <row r="79" spans="1:23">
      <c r="E79" s="1"/>
      <c r="F79" s="1"/>
      <c r="G79" s="1"/>
      <c r="H79" s="1"/>
      <c r="I79" s="1"/>
      <c r="J79" s="1"/>
      <c r="K79" s="1"/>
      <c r="L79" s="1"/>
      <c r="M79" s="1"/>
      <c r="N79" s="1"/>
      <c r="O79" s="1"/>
      <c r="P79" s="1"/>
      <c r="Q79" s="1"/>
      <c r="R79" s="1"/>
      <c r="S79" s="1"/>
      <c r="T79" s="1"/>
      <c r="U79" s="1"/>
      <c r="V79" s="1"/>
      <c r="W79" s="49"/>
    </row>
    <row r="80" spans="1:23" ht="16.5" customHeight="1">
      <c r="E80" s="1"/>
      <c r="F80" s="1"/>
      <c r="G80" s="1"/>
      <c r="H80" s="1"/>
      <c r="I80" s="1"/>
      <c r="J80" s="1"/>
      <c r="K80" s="1"/>
      <c r="L80" s="1"/>
      <c r="M80" s="1"/>
      <c r="N80" s="1"/>
      <c r="O80" s="1"/>
      <c r="P80" s="1"/>
      <c r="Q80" s="1"/>
      <c r="R80" s="1"/>
      <c r="S80" s="1"/>
      <c r="T80" s="1"/>
      <c r="U80" s="1"/>
      <c r="V80" s="1"/>
      <c r="W80" s="49"/>
    </row>
    <row r="81" spans="5:23">
      <c r="E81" s="1"/>
      <c r="F81" s="1"/>
      <c r="G81" s="1"/>
      <c r="H81" s="1"/>
      <c r="I81" s="1"/>
      <c r="J81" s="1"/>
      <c r="K81" s="1"/>
      <c r="L81" s="1"/>
      <c r="M81" s="1"/>
      <c r="N81" s="1"/>
      <c r="O81" s="1"/>
      <c r="P81" s="1"/>
      <c r="Q81" s="1"/>
      <c r="R81" s="1"/>
      <c r="S81" s="1"/>
      <c r="T81" s="1"/>
      <c r="U81" s="1"/>
      <c r="V81" s="1"/>
      <c r="W81" s="49"/>
    </row>
    <row r="82" spans="5:23" ht="16.5" customHeight="1">
      <c r="E82" s="1"/>
      <c r="F82" s="1"/>
      <c r="G82" s="1"/>
      <c r="H82" s="1"/>
      <c r="I82" s="1"/>
      <c r="J82" s="1"/>
      <c r="K82" s="1"/>
      <c r="L82" s="1"/>
      <c r="M82" s="1"/>
      <c r="N82" s="1"/>
      <c r="O82" s="1"/>
      <c r="P82" s="1"/>
      <c r="Q82" s="1"/>
      <c r="R82" s="1"/>
      <c r="S82" s="1"/>
      <c r="T82" s="1"/>
      <c r="U82" s="1"/>
      <c r="V82" s="1"/>
      <c r="W82" s="49"/>
    </row>
    <row r="83" spans="5:23">
      <c r="E83" s="1"/>
      <c r="F83" s="1"/>
      <c r="G83" s="1"/>
      <c r="H83" s="1"/>
      <c r="I83" s="1"/>
      <c r="J83" s="1"/>
      <c r="K83" s="1"/>
      <c r="L83" s="1"/>
      <c r="M83" s="1"/>
      <c r="N83" s="1"/>
      <c r="O83" s="1"/>
      <c r="P83" s="1"/>
      <c r="Q83" s="1"/>
      <c r="R83" s="1"/>
      <c r="S83" s="1"/>
      <c r="T83" s="1"/>
      <c r="U83" s="1"/>
      <c r="V83" s="1"/>
      <c r="W83" s="49"/>
    </row>
    <row r="84" spans="5:23">
      <c r="E84" s="1"/>
      <c r="F84" s="1"/>
      <c r="G84" s="1"/>
      <c r="H84" s="1"/>
      <c r="I84" s="1"/>
      <c r="J84" s="1"/>
      <c r="K84" s="1"/>
      <c r="L84" s="1"/>
      <c r="M84" s="1"/>
      <c r="N84" s="1"/>
      <c r="O84" s="1"/>
      <c r="P84" s="1"/>
      <c r="Q84" s="1"/>
      <c r="R84" s="1"/>
      <c r="S84" s="1"/>
      <c r="T84" s="1"/>
      <c r="U84" s="1"/>
      <c r="V84" s="1"/>
      <c r="W84" s="49"/>
    </row>
    <row r="85" spans="5:23">
      <c r="E85" s="1"/>
      <c r="F85" s="1"/>
      <c r="G85" s="1"/>
      <c r="H85" s="1"/>
      <c r="I85" s="1"/>
      <c r="J85" s="1"/>
      <c r="K85" s="1"/>
      <c r="L85" s="1"/>
      <c r="M85" s="1"/>
      <c r="N85" s="1"/>
      <c r="O85" s="1"/>
      <c r="P85" s="1"/>
      <c r="Q85" s="1"/>
      <c r="R85" s="1"/>
      <c r="S85" s="1"/>
      <c r="T85" s="1"/>
      <c r="U85" s="1"/>
      <c r="V85" s="1"/>
      <c r="W85" s="49"/>
    </row>
    <row r="86" spans="5:23">
      <c r="E86" s="1"/>
      <c r="F86" s="1"/>
      <c r="G86" s="1"/>
      <c r="H86" s="1"/>
      <c r="I86" s="1"/>
      <c r="J86" s="1"/>
      <c r="K86" s="1"/>
      <c r="L86" s="1"/>
      <c r="M86" s="1"/>
      <c r="N86" s="1"/>
      <c r="O86" s="1"/>
      <c r="P86" s="1"/>
      <c r="Q86" s="1"/>
      <c r="R86" s="1"/>
      <c r="S86" s="1"/>
      <c r="T86" s="1"/>
      <c r="U86" s="1"/>
      <c r="V86" s="1"/>
      <c r="W86" s="49"/>
    </row>
    <row r="87" spans="5:23">
      <c r="E87" s="1"/>
      <c r="F87" s="1"/>
      <c r="G87" s="1"/>
      <c r="H87" s="1"/>
      <c r="I87" s="1"/>
      <c r="J87" s="1"/>
      <c r="K87" s="1"/>
      <c r="L87" s="1"/>
      <c r="M87" s="1"/>
      <c r="N87" s="1"/>
      <c r="O87" s="1"/>
      <c r="P87" s="1"/>
      <c r="Q87" s="1"/>
      <c r="R87" s="1"/>
      <c r="S87" s="1"/>
      <c r="T87" s="1"/>
      <c r="U87" s="1"/>
      <c r="V87" s="1"/>
      <c r="W87" s="49"/>
    </row>
    <row r="88" spans="5:23">
      <c r="E88" s="1"/>
      <c r="F88" s="1"/>
      <c r="G88" s="1"/>
      <c r="H88" s="1"/>
      <c r="I88" s="1"/>
      <c r="J88" s="1"/>
      <c r="K88" s="1"/>
      <c r="L88" s="1"/>
      <c r="M88" s="1"/>
      <c r="N88" s="1"/>
      <c r="O88" s="1"/>
      <c r="P88" s="1"/>
      <c r="Q88" s="1"/>
      <c r="R88" s="1"/>
      <c r="S88" s="1"/>
      <c r="T88" s="1"/>
      <c r="U88" s="1"/>
      <c r="V88" s="1"/>
      <c r="W88" s="49"/>
    </row>
    <row r="89" spans="5:23">
      <c r="E89" s="1"/>
      <c r="F89" s="1"/>
      <c r="G89" s="1"/>
      <c r="H89" s="1"/>
      <c r="I89" s="1"/>
      <c r="J89" s="1"/>
      <c r="K89" s="1"/>
      <c r="L89" s="1"/>
      <c r="M89" s="1"/>
      <c r="N89" s="1"/>
      <c r="O89" s="1"/>
      <c r="P89" s="1"/>
      <c r="Q89" s="1"/>
      <c r="R89" s="1"/>
      <c r="S89" s="1"/>
      <c r="T89" s="1"/>
      <c r="U89" s="1"/>
      <c r="V89" s="1"/>
      <c r="W89" s="49"/>
    </row>
    <row r="90" spans="5:23">
      <c r="E90" s="1"/>
      <c r="F90" s="1"/>
      <c r="G90" s="1"/>
      <c r="H90" s="1"/>
      <c r="I90" s="1"/>
      <c r="J90" s="1"/>
      <c r="K90" s="1"/>
      <c r="L90" s="1"/>
      <c r="M90" s="1"/>
      <c r="N90" s="1"/>
      <c r="O90" s="1"/>
      <c r="P90" s="1"/>
      <c r="Q90" s="1"/>
      <c r="R90" s="1"/>
      <c r="S90" s="1"/>
      <c r="T90" s="1"/>
      <c r="U90" s="1"/>
      <c r="V90" s="1"/>
      <c r="W90" s="49"/>
    </row>
    <row r="91" spans="5:23">
      <c r="E91" s="1"/>
      <c r="F91" s="1"/>
      <c r="G91" s="1"/>
      <c r="H91" s="1"/>
      <c r="I91" s="1"/>
      <c r="J91" s="1"/>
      <c r="K91" s="1"/>
      <c r="L91" s="1"/>
      <c r="M91" s="1"/>
      <c r="N91" s="1"/>
      <c r="O91" s="1"/>
      <c r="P91" s="1"/>
      <c r="Q91" s="1"/>
      <c r="R91" s="1"/>
      <c r="S91" s="1"/>
      <c r="T91" s="1"/>
      <c r="U91" s="1"/>
      <c r="V91" s="1"/>
      <c r="W91" s="49"/>
    </row>
    <row r="92" spans="5:23">
      <c r="E92" s="1"/>
      <c r="F92" s="1"/>
      <c r="G92" s="1"/>
      <c r="H92" s="1"/>
      <c r="I92" s="1"/>
      <c r="J92" s="1"/>
      <c r="K92" s="1"/>
      <c r="L92" s="1"/>
      <c r="M92" s="1"/>
      <c r="N92" s="1"/>
      <c r="O92" s="1"/>
      <c r="P92" s="1"/>
      <c r="Q92" s="1"/>
      <c r="R92" s="1"/>
      <c r="S92" s="1"/>
      <c r="T92" s="1"/>
      <c r="U92" s="1"/>
      <c r="V92" s="1"/>
      <c r="W92" s="49"/>
    </row>
    <row r="93" spans="5:23">
      <c r="E93" s="1"/>
      <c r="F93" s="1"/>
      <c r="G93" s="1"/>
      <c r="H93" s="1"/>
      <c r="I93" s="1"/>
      <c r="J93" s="1"/>
      <c r="K93" s="1"/>
      <c r="L93" s="1"/>
      <c r="M93" s="1"/>
      <c r="N93" s="1"/>
      <c r="O93" s="1"/>
      <c r="P93" s="1"/>
      <c r="Q93" s="1"/>
      <c r="R93" s="1"/>
      <c r="S93" s="1"/>
      <c r="T93" s="1"/>
      <c r="U93" s="1"/>
      <c r="V93" s="1"/>
      <c r="W93" s="49"/>
    </row>
    <row r="94" spans="5:23">
      <c r="E94" s="1"/>
      <c r="F94" s="1"/>
      <c r="G94" s="1"/>
      <c r="H94" s="1"/>
      <c r="I94" s="1"/>
      <c r="J94" s="1"/>
      <c r="K94" s="1"/>
      <c r="L94" s="1"/>
      <c r="M94" s="1"/>
      <c r="N94" s="1"/>
      <c r="O94" s="1"/>
      <c r="P94" s="1"/>
      <c r="Q94" s="1"/>
      <c r="R94" s="1"/>
      <c r="S94" s="1"/>
      <c r="T94" s="1"/>
      <c r="U94" s="1"/>
      <c r="V94" s="1"/>
      <c r="W94" s="49"/>
    </row>
    <row r="95" spans="5:23">
      <c r="E95" s="1"/>
      <c r="F95" s="1"/>
      <c r="G95" s="1"/>
      <c r="H95" s="1"/>
      <c r="I95" s="1"/>
      <c r="J95" s="1"/>
      <c r="K95" s="1"/>
      <c r="L95" s="1"/>
      <c r="M95" s="1"/>
      <c r="N95" s="1"/>
      <c r="O95" s="1"/>
      <c r="P95" s="1"/>
      <c r="Q95" s="1"/>
      <c r="R95" s="1"/>
      <c r="S95" s="1"/>
      <c r="T95" s="1"/>
      <c r="U95" s="1"/>
      <c r="V95" s="1"/>
      <c r="W95" s="49"/>
    </row>
    <row r="96" spans="5:23">
      <c r="E96" s="1"/>
      <c r="F96" s="1"/>
      <c r="G96" s="1"/>
      <c r="H96" s="1"/>
      <c r="I96" s="1"/>
      <c r="J96" s="1"/>
      <c r="K96" s="1"/>
      <c r="L96" s="1"/>
      <c r="M96" s="1"/>
      <c r="N96" s="1"/>
      <c r="O96" s="1"/>
      <c r="P96" s="1"/>
      <c r="Q96" s="1"/>
      <c r="R96" s="1"/>
      <c r="S96" s="1"/>
      <c r="T96" s="1"/>
      <c r="U96" s="1"/>
      <c r="V96" s="1"/>
      <c r="W96" s="49"/>
    </row>
    <row r="97" spans="5:23">
      <c r="E97" s="1"/>
      <c r="F97" s="1"/>
      <c r="G97" s="1"/>
      <c r="H97" s="1"/>
      <c r="I97" s="1"/>
      <c r="J97" s="1"/>
      <c r="K97" s="1"/>
      <c r="L97" s="1"/>
      <c r="M97" s="1"/>
      <c r="N97" s="1"/>
      <c r="O97" s="1"/>
      <c r="P97" s="1"/>
      <c r="Q97" s="1"/>
      <c r="R97" s="1"/>
      <c r="S97" s="1"/>
      <c r="T97" s="1"/>
      <c r="U97" s="1"/>
      <c r="V97" s="1"/>
      <c r="W97" s="49"/>
    </row>
    <row r="98" spans="5:23">
      <c r="E98" s="1"/>
      <c r="F98" s="1"/>
      <c r="G98" s="1"/>
      <c r="H98" s="1"/>
      <c r="I98" s="1"/>
      <c r="J98" s="1"/>
      <c r="K98" s="1"/>
      <c r="L98" s="1"/>
      <c r="M98" s="1"/>
      <c r="N98" s="1"/>
      <c r="O98" s="1"/>
      <c r="P98" s="1"/>
      <c r="Q98" s="1"/>
      <c r="R98" s="1"/>
      <c r="S98" s="1"/>
      <c r="T98" s="1"/>
      <c r="U98" s="1"/>
      <c r="V98" s="1"/>
      <c r="W98" s="49"/>
    </row>
    <row r="99" spans="5:23">
      <c r="E99" s="1"/>
      <c r="F99" s="1"/>
      <c r="G99" s="1"/>
      <c r="H99" s="1"/>
      <c r="I99" s="1"/>
      <c r="J99" s="1"/>
      <c r="K99" s="1"/>
      <c r="L99" s="1"/>
      <c r="M99" s="1"/>
      <c r="N99" s="1"/>
      <c r="O99" s="1"/>
      <c r="P99" s="1"/>
      <c r="Q99" s="1"/>
      <c r="R99" s="1"/>
      <c r="S99" s="1"/>
      <c r="T99" s="1"/>
      <c r="U99" s="1"/>
      <c r="V99" s="1"/>
      <c r="W99" s="49"/>
    </row>
    <row r="100" spans="5:23">
      <c r="E100" s="1"/>
      <c r="F100" s="1"/>
      <c r="G100" s="1"/>
      <c r="H100" s="1"/>
      <c r="I100" s="1"/>
      <c r="J100" s="1"/>
      <c r="K100" s="1"/>
      <c r="L100" s="1"/>
      <c r="M100" s="1"/>
      <c r="N100" s="1"/>
      <c r="O100" s="1"/>
      <c r="P100" s="1"/>
      <c r="Q100" s="1"/>
      <c r="R100" s="1"/>
      <c r="S100" s="1"/>
      <c r="T100" s="1"/>
      <c r="U100" s="1"/>
      <c r="V100" s="1"/>
      <c r="W100" s="49"/>
    </row>
    <row r="101" spans="5:23">
      <c r="E101" s="1"/>
      <c r="F101" s="1"/>
      <c r="G101" s="1"/>
      <c r="H101" s="1"/>
      <c r="I101" s="1"/>
      <c r="J101" s="1"/>
      <c r="K101" s="1"/>
      <c r="L101" s="1"/>
      <c r="M101" s="1"/>
      <c r="N101" s="1"/>
      <c r="O101" s="1"/>
      <c r="P101" s="1"/>
      <c r="Q101" s="1"/>
      <c r="R101" s="1"/>
      <c r="S101" s="1"/>
      <c r="T101" s="1"/>
      <c r="U101" s="1"/>
      <c r="V101" s="1"/>
      <c r="W101" s="49"/>
    </row>
    <row r="102" spans="5:23">
      <c r="E102" s="1"/>
      <c r="F102" s="1"/>
      <c r="G102" s="1"/>
      <c r="H102" s="1"/>
      <c r="I102" s="1"/>
      <c r="J102" s="1"/>
      <c r="K102" s="1"/>
      <c r="L102" s="1"/>
      <c r="M102" s="1"/>
      <c r="N102" s="1"/>
      <c r="O102" s="1"/>
      <c r="P102" s="1"/>
      <c r="Q102" s="1"/>
      <c r="R102" s="1"/>
      <c r="S102" s="1"/>
      <c r="T102" s="1"/>
      <c r="U102" s="1"/>
      <c r="V102" s="1"/>
      <c r="W102" s="49"/>
    </row>
    <row r="103" spans="5:23">
      <c r="E103" s="1"/>
      <c r="F103" s="1"/>
      <c r="G103" s="1"/>
      <c r="H103" s="1"/>
      <c r="I103" s="1"/>
      <c r="J103" s="1"/>
      <c r="K103" s="1"/>
      <c r="L103" s="1"/>
      <c r="M103" s="1"/>
      <c r="N103" s="1"/>
      <c r="O103" s="1"/>
      <c r="P103" s="1"/>
      <c r="Q103" s="1"/>
      <c r="R103" s="1"/>
      <c r="S103" s="1"/>
      <c r="T103" s="1"/>
      <c r="U103" s="1"/>
      <c r="V103" s="1"/>
      <c r="W103" s="49"/>
    </row>
    <row r="104" spans="5:23">
      <c r="E104" s="1"/>
      <c r="F104" s="1"/>
      <c r="G104" s="1"/>
      <c r="H104" s="1"/>
      <c r="I104" s="1"/>
      <c r="J104" s="1"/>
      <c r="K104" s="1"/>
      <c r="L104" s="1"/>
      <c r="M104" s="1"/>
      <c r="N104" s="1"/>
      <c r="O104" s="1"/>
      <c r="P104" s="1"/>
      <c r="Q104" s="1"/>
      <c r="R104" s="1"/>
      <c r="S104" s="1"/>
      <c r="T104" s="1"/>
      <c r="U104" s="1"/>
      <c r="V104" s="1"/>
      <c r="W104" s="49"/>
    </row>
  </sheetData>
  <sheetProtection formatCells="0" formatColumns="0" formatRows="0" insertColumns="0" insertRows="0" insertHyperlinks="0" deleteColumns="0" deleteRows="0" sort="0" autoFilter="0" pivotTables="0"/>
  <mergeCells count="18">
    <mergeCell ref="M7:N7"/>
    <mergeCell ref="A35:B35"/>
    <mergeCell ref="C35:L35"/>
    <mergeCell ref="A7:A8"/>
    <mergeCell ref="C7:D7"/>
    <mergeCell ref="E7:F7"/>
    <mergeCell ref="K7:L7"/>
    <mergeCell ref="A25:I25"/>
    <mergeCell ref="G7:H7"/>
    <mergeCell ref="I7:J7"/>
    <mergeCell ref="S7:T7"/>
    <mergeCell ref="U7:V7"/>
    <mergeCell ref="AA7:AB7"/>
    <mergeCell ref="AC7:AD7"/>
    <mergeCell ref="O7:P7"/>
    <mergeCell ref="W7:X7"/>
    <mergeCell ref="Q7:R7"/>
    <mergeCell ref="Y7:Z7"/>
  </mergeCells>
  <phoneticPr fontId="23" type="noConversion"/>
  <conditionalFormatting sqref="A25">
    <cfRule type="cellIs" dxfId="24" priority="4" stopIfTrue="1" operator="greaterThan">
      <formula>$Z$25</formula>
    </cfRule>
    <cfRule type="cellIs" dxfId="23" priority="5" stopIfTrue="1" operator="lessThan">
      <formula>$Y$25</formula>
    </cfRule>
  </conditionalFormatting>
  <conditionalFormatting sqref="AA21">
    <cfRule type="cellIs" dxfId="22" priority="1" stopIfTrue="1" operator="greaterThan">
      <formula>$Z$25</formula>
    </cfRule>
    <cfRule type="cellIs" dxfId="21" priority="2" stopIfTrue="1" operator="lessThan">
      <formula>$Y$25</formula>
    </cfRule>
    <cfRule type="cellIs" dxfId="20" priority="3" stopIfTrue="1" operator="lessThan">
      <formula>$Y$25</formula>
    </cfRule>
    <cfRule type="cellIs" dxfId="19" priority="16" stopIfTrue="1" operator="lessThan">
      <formula>$Y$25</formula>
    </cfRule>
  </conditionalFormatting>
  <dataValidations count="6">
    <dataValidation type="whole" errorStyle="warning" allowBlank="1" showInputMessage="1" showErrorMessage="1" errorTitle="TEST" error="la valeur entrée semble suspecte" sqref="AA9:AA20">
      <formula1>0.15/12</formula1>
      <formula2>4.06/12</formula2>
    </dataValidation>
    <dataValidation type="list" allowBlank="1" showInputMessage="1" showErrorMessage="1" sqref="D38:D44">
      <formula1>$D$54:$D$61</formula1>
    </dataValidation>
    <dataValidation type="list" allowBlank="1" showInputMessage="1" showErrorMessage="1" sqref="G38:G44">
      <formula1>$G$54:$G$55</formula1>
    </dataValidation>
    <dataValidation type="list" allowBlank="1" showInputMessage="1" showErrorMessage="1" sqref="H38:H44">
      <formula1>$A$9:$A$20</formula1>
    </dataValidation>
    <dataValidation type="list" allowBlank="1" showInputMessage="1" showErrorMessage="1" sqref="C38:C44">
      <formula1>$C$54:$C$55</formula1>
    </dataValidation>
    <dataValidation type="list" allowBlank="1" showInputMessage="1" showErrorMessage="1" sqref="D45">
      <formula1>$D$54:$D$60</formula1>
    </dataValidation>
  </dataValidations>
  <hyperlinks>
    <hyperlink ref="A7" location="Résumé!A1" display="Résumé!A1"/>
  </hyperlinks>
  <pageMargins left="0.70866141732283472" right="0.70866141732283472" top="0.74803149606299213" bottom="0.74803149606299213" header="0.31496062992125984" footer="0.31496062992125984"/>
  <pageSetup paperSize="5" scale="42" orientation="landscape" r:id="rId1"/>
  <headerFooter>
    <oddFooter>&amp;L&amp;D&amp;R&amp;Z&amp;F</oddFooter>
  </headerFooter>
  <rowBreaks count="1" manualBreakCount="1">
    <brk id="34" max="22" man="1"/>
  </rowBreaks>
  <colBreaks count="1" manualBreakCount="1">
    <brk id="29" min="6" max="35" man="1"/>
  </colBreaks>
  <ignoredErrors>
    <ignoredError sqref="Y41"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0662" r:id="rId4" name="Check Box 182">
              <controlPr defaultSize="0" autoFill="0" autoLine="0" autoPict="0">
                <anchor moveWithCells="1">
                  <from>
                    <xdr:col>0</xdr:col>
                    <xdr:colOff>723900</xdr:colOff>
                    <xdr:row>27</xdr:row>
                    <xdr:rowOff>220980</xdr:rowOff>
                  </from>
                  <to>
                    <xdr:col>7</xdr:col>
                    <xdr:colOff>259080</xdr:colOff>
                    <xdr:row>29</xdr:row>
                    <xdr:rowOff>0</xdr:rowOff>
                  </to>
                </anchor>
              </controlPr>
            </control>
          </mc:Choice>
        </mc:AlternateContent>
        <mc:AlternateContent xmlns:mc="http://schemas.openxmlformats.org/markup-compatibility/2006">
          <mc:Choice Requires="x14">
            <control shapeId="20663" r:id="rId5" name="Check Box 183">
              <controlPr defaultSize="0" autoFill="0" autoLine="0" autoPict="0">
                <anchor moveWithCells="1">
                  <from>
                    <xdr:col>0</xdr:col>
                    <xdr:colOff>723900</xdr:colOff>
                    <xdr:row>29</xdr:row>
                    <xdr:rowOff>22860</xdr:rowOff>
                  </from>
                  <to>
                    <xdr:col>5</xdr:col>
                    <xdr:colOff>68580</xdr:colOff>
                    <xdr:row>30</xdr:row>
                    <xdr:rowOff>7620</xdr:rowOff>
                  </to>
                </anchor>
              </controlPr>
            </control>
          </mc:Choice>
        </mc:AlternateContent>
        <mc:AlternateContent xmlns:mc="http://schemas.openxmlformats.org/markup-compatibility/2006">
          <mc:Choice Requires="x14">
            <control shapeId="20664" r:id="rId6" name="Check Box 184">
              <controlPr defaultSize="0" autoFill="0" autoLine="0" autoPict="0">
                <anchor moveWithCells="1">
                  <from>
                    <xdr:col>0</xdr:col>
                    <xdr:colOff>723900</xdr:colOff>
                    <xdr:row>30</xdr:row>
                    <xdr:rowOff>30480</xdr:rowOff>
                  </from>
                  <to>
                    <xdr:col>5</xdr:col>
                    <xdr:colOff>99060</xdr:colOff>
                    <xdr:row>31</xdr:row>
                    <xdr:rowOff>7620</xdr:rowOff>
                  </to>
                </anchor>
              </controlPr>
            </control>
          </mc:Choice>
        </mc:AlternateContent>
        <mc:AlternateContent xmlns:mc="http://schemas.openxmlformats.org/markup-compatibility/2006">
          <mc:Choice Requires="x14">
            <control shapeId="20665" r:id="rId7" name="Check Box 185">
              <controlPr defaultSize="0" autoFill="0" autoLine="0" autoPict="0">
                <anchor moveWithCells="1">
                  <from>
                    <xdr:col>0</xdr:col>
                    <xdr:colOff>723900</xdr:colOff>
                    <xdr:row>31</xdr:row>
                    <xdr:rowOff>45720</xdr:rowOff>
                  </from>
                  <to>
                    <xdr:col>5</xdr:col>
                    <xdr:colOff>220980</xdr:colOff>
                    <xdr:row>31</xdr:row>
                    <xdr:rowOff>198120</xdr:rowOff>
                  </to>
                </anchor>
              </controlPr>
            </control>
          </mc:Choice>
        </mc:AlternateContent>
        <mc:AlternateContent xmlns:mc="http://schemas.openxmlformats.org/markup-compatibility/2006">
          <mc:Choice Requires="x14">
            <control shapeId="20666" r:id="rId8" name="Check Box 186">
              <controlPr defaultSize="0" autoFill="0" autoLine="0" autoPict="0">
                <anchor moveWithCells="1">
                  <from>
                    <xdr:col>0</xdr:col>
                    <xdr:colOff>723900</xdr:colOff>
                    <xdr:row>32</xdr:row>
                    <xdr:rowOff>7620</xdr:rowOff>
                  </from>
                  <to>
                    <xdr:col>4</xdr:col>
                    <xdr:colOff>792480</xdr:colOff>
                    <xdr:row>33</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1"/>
  <dimension ref="A1:AG104"/>
  <sheetViews>
    <sheetView zoomScale="80" zoomScaleNormal="80" workbookViewId="0">
      <selection activeCell="B21" sqref="B21"/>
    </sheetView>
  </sheetViews>
  <sheetFormatPr baseColWidth="10" defaultColWidth="9.109375" defaultRowHeight="14.4"/>
  <cols>
    <col min="1" max="1" width="16.5546875" style="1" customWidth="1"/>
    <col min="2" max="2" width="19" style="1" customWidth="1"/>
    <col min="3" max="3" width="16" style="23" customWidth="1"/>
    <col min="4" max="4" width="18.109375" style="23" customWidth="1"/>
    <col min="5" max="5" width="16" style="23" customWidth="1"/>
    <col min="6" max="6" width="18.33203125" style="23" customWidth="1"/>
    <col min="7" max="7" width="16" style="23" customWidth="1"/>
    <col min="8" max="8" width="19.33203125" style="23" customWidth="1"/>
    <col min="9" max="9" width="16" style="23" customWidth="1"/>
    <col min="10" max="10" width="19" style="23" customWidth="1"/>
    <col min="11" max="11" width="16" style="23" customWidth="1"/>
    <col min="12" max="12" width="20.33203125" style="23" customWidth="1"/>
    <col min="13" max="13" width="16" style="23" customWidth="1"/>
    <col min="14" max="14" width="20.33203125" style="23" customWidth="1"/>
    <col min="15" max="15" width="16" style="23" customWidth="1"/>
    <col min="16" max="16" width="19.33203125" style="23" customWidth="1"/>
    <col min="17" max="17" width="16" style="23" customWidth="1"/>
    <col min="18" max="18" width="20.5546875" style="23" customWidth="1"/>
    <col min="19" max="19" width="16" style="23" customWidth="1"/>
    <col min="20" max="20" width="19.88671875" style="23" customWidth="1"/>
    <col min="21" max="21" width="16" style="23" customWidth="1"/>
    <col min="22" max="22" width="20" style="23" customWidth="1"/>
    <col min="23" max="23" width="16" style="47" customWidth="1"/>
    <col min="24" max="24" width="19.109375" style="49" customWidth="1"/>
    <col min="25" max="28" width="16" style="49" customWidth="1"/>
    <col min="29" max="29" width="16.33203125" style="49" customWidth="1"/>
    <col min="30" max="16384" width="9.109375" style="49"/>
  </cols>
  <sheetData>
    <row r="1" spans="1:33" s="1" customFormat="1">
      <c r="C1" s="26"/>
      <c r="D1" s="26"/>
      <c r="E1" s="26"/>
      <c r="F1" s="26"/>
      <c r="G1" s="26"/>
      <c r="H1" s="26"/>
      <c r="I1" s="26"/>
      <c r="J1" s="26"/>
      <c r="K1" s="26"/>
      <c r="L1" s="26"/>
      <c r="M1" s="26"/>
      <c r="N1" s="26"/>
      <c r="O1" s="26"/>
      <c r="P1" s="26"/>
      <c r="Q1" s="26"/>
      <c r="R1" s="26"/>
      <c r="S1" s="26"/>
      <c r="T1" s="26"/>
      <c r="U1" s="26"/>
      <c r="V1" s="26"/>
      <c r="W1" s="26"/>
      <c r="X1" s="26"/>
      <c r="Y1" s="26"/>
      <c r="Z1" s="26"/>
      <c r="AA1" s="26"/>
      <c r="AB1" s="26"/>
      <c r="AC1" s="26"/>
    </row>
    <row r="2" spans="1:33" s="1" customFormat="1" ht="18">
      <c r="C2" s="26"/>
      <c r="D2" s="125" t="s">
        <v>380</v>
      </c>
      <c r="E2" s="126"/>
      <c r="F2" s="127"/>
      <c r="G2" s="128"/>
      <c r="H2" s="128"/>
      <c r="I2" s="129"/>
      <c r="J2" s="128"/>
      <c r="K2" s="128"/>
      <c r="L2" s="128"/>
      <c r="M2" s="128"/>
      <c r="N2" s="26"/>
      <c r="O2" s="26"/>
      <c r="P2" s="26"/>
      <c r="Q2" s="26"/>
      <c r="R2" s="26"/>
      <c r="S2" s="26"/>
      <c r="T2" s="26"/>
      <c r="U2" s="26"/>
      <c r="V2" s="26"/>
      <c r="W2" s="26"/>
      <c r="X2" s="26"/>
      <c r="Y2" s="26"/>
      <c r="Z2" s="26"/>
      <c r="AA2" s="26"/>
      <c r="AB2" s="26"/>
      <c r="AC2" s="26"/>
    </row>
    <row r="3" spans="1:33" s="1" customFormat="1" ht="18.75" customHeight="1">
      <c r="C3" s="26"/>
      <c r="D3" s="233" t="s">
        <v>694</v>
      </c>
      <c r="E3" s="227"/>
      <c r="F3" s="228"/>
      <c r="G3" s="233"/>
      <c r="H3" s="233"/>
      <c r="I3" s="251"/>
      <c r="J3" s="252"/>
      <c r="K3" s="252"/>
      <c r="L3" s="252"/>
      <c r="M3" s="252"/>
      <c r="N3" s="253"/>
      <c r="O3" s="253"/>
      <c r="P3" s="253"/>
      <c r="Q3" s="253"/>
      <c r="R3" s="26"/>
      <c r="S3" s="26"/>
      <c r="T3" s="26"/>
      <c r="U3" s="26"/>
      <c r="V3" s="26"/>
      <c r="W3" s="26"/>
      <c r="X3" s="26"/>
      <c r="Y3" s="26"/>
      <c r="Z3" s="26"/>
      <c r="AA3" s="26"/>
      <c r="AB3" s="26"/>
      <c r="AC3" s="26"/>
    </row>
    <row r="4" spans="1:33" s="1" customFormat="1" ht="15.6">
      <c r="C4" s="26"/>
      <c r="D4" s="82" t="s">
        <v>435</v>
      </c>
      <c r="E4" s="78"/>
      <c r="F4" s="79"/>
      <c r="G4" s="71"/>
      <c r="H4" s="71"/>
      <c r="I4" s="71"/>
      <c r="J4" s="71"/>
      <c r="K4" s="71"/>
      <c r="L4" s="71"/>
      <c r="M4" s="71"/>
      <c r="N4" s="26"/>
      <c r="O4" s="26"/>
      <c r="P4" s="26"/>
      <c r="Q4" s="26"/>
      <c r="R4" s="26"/>
      <c r="S4" s="26"/>
      <c r="T4" s="26"/>
      <c r="U4" s="26"/>
      <c r="V4" s="26"/>
      <c r="W4" s="26"/>
      <c r="X4" s="26"/>
      <c r="Y4" s="26"/>
      <c r="Z4" s="26"/>
      <c r="AA4" s="26"/>
      <c r="AB4" s="26"/>
      <c r="AC4" s="26"/>
    </row>
    <row r="5" spans="1:33" s="1" customFormat="1" ht="15.6">
      <c r="C5" s="26"/>
      <c r="D5" s="82" t="s">
        <v>372</v>
      </c>
      <c r="E5" s="78"/>
      <c r="F5" s="79"/>
      <c r="G5" s="71"/>
      <c r="H5" s="71"/>
      <c r="I5" s="71"/>
      <c r="J5" s="71"/>
      <c r="K5" s="71"/>
      <c r="L5" s="71"/>
      <c r="M5" s="71"/>
      <c r="N5" s="26"/>
      <c r="O5" s="26"/>
      <c r="P5" s="26"/>
      <c r="Q5" s="26"/>
      <c r="R5" s="26"/>
      <c r="S5" s="26"/>
      <c r="T5" s="26"/>
      <c r="U5" s="26"/>
      <c r="V5" s="26"/>
      <c r="W5" s="26"/>
      <c r="X5" s="26"/>
      <c r="Y5" s="26"/>
      <c r="Z5" s="26"/>
      <c r="AA5" s="26"/>
      <c r="AB5" s="26"/>
      <c r="AC5" s="26"/>
    </row>
    <row r="6" spans="1:33" s="1" customFormat="1" ht="15" thickBot="1">
      <c r="C6" s="26"/>
      <c r="D6" s="26"/>
      <c r="E6" s="26"/>
      <c r="F6" s="26"/>
      <c r="G6" s="26"/>
      <c r="H6" s="26"/>
      <c r="I6" s="26"/>
      <c r="J6" s="26"/>
      <c r="K6" s="26"/>
      <c r="L6" s="26"/>
      <c r="M6" s="26"/>
      <c r="N6" s="26"/>
      <c r="O6" s="26"/>
      <c r="P6" s="26"/>
      <c r="Q6" s="26"/>
      <c r="R6" s="26"/>
      <c r="S6" s="26"/>
      <c r="T6" s="26"/>
      <c r="U6" s="26"/>
      <c r="V6" s="26"/>
      <c r="W6" s="26"/>
      <c r="X6" s="26"/>
      <c r="Y6" s="26"/>
      <c r="Z6" s="26"/>
      <c r="AA6" s="26"/>
      <c r="AB6" s="26"/>
      <c r="AC6" s="26"/>
    </row>
    <row r="7" spans="1:33" ht="30.75" customHeight="1" thickTop="1">
      <c r="A7" s="563" t="s">
        <v>78</v>
      </c>
      <c r="B7" s="4" t="s">
        <v>13</v>
      </c>
      <c r="C7" s="556" t="s">
        <v>22</v>
      </c>
      <c r="D7" s="557"/>
      <c r="E7" s="556" t="s">
        <v>19</v>
      </c>
      <c r="F7" s="557"/>
      <c r="G7" s="556" t="s">
        <v>24</v>
      </c>
      <c r="H7" s="557"/>
      <c r="I7" s="556" t="s">
        <v>25</v>
      </c>
      <c r="J7" s="557"/>
      <c r="K7" s="556" t="s">
        <v>805</v>
      </c>
      <c r="L7" s="557"/>
      <c r="M7" s="556" t="s">
        <v>27</v>
      </c>
      <c r="N7" s="557"/>
      <c r="O7" s="558" t="s">
        <v>46</v>
      </c>
      <c r="P7" s="559"/>
      <c r="Q7" s="558" t="s">
        <v>32</v>
      </c>
      <c r="R7" s="559"/>
      <c r="S7" s="558" t="s">
        <v>412</v>
      </c>
      <c r="T7" s="559"/>
      <c r="U7" s="558" t="s">
        <v>624</v>
      </c>
      <c r="V7" s="559"/>
      <c r="W7" s="558" t="s">
        <v>625</v>
      </c>
      <c r="X7" s="559"/>
      <c r="Y7" s="556" t="s">
        <v>16</v>
      </c>
      <c r="Z7" s="557"/>
      <c r="AA7" s="556" t="s">
        <v>52</v>
      </c>
      <c r="AB7" s="557"/>
      <c r="AC7" s="556" t="s">
        <v>45</v>
      </c>
      <c r="AD7" s="557"/>
      <c r="AE7" s="4" t="s">
        <v>40</v>
      </c>
    </row>
    <row r="8" spans="1:33" ht="18" customHeight="1" thickBot="1">
      <c r="A8" s="563"/>
      <c r="B8" s="8" t="s">
        <v>36</v>
      </c>
      <c r="C8" s="7" t="s">
        <v>376</v>
      </c>
      <c r="D8" s="6" t="s">
        <v>20</v>
      </c>
      <c r="E8" s="7" t="s">
        <v>31</v>
      </c>
      <c r="F8" s="6" t="s">
        <v>20</v>
      </c>
      <c r="G8" s="7" t="s">
        <v>23</v>
      </c>
      <c r="H8" s="6" t="s">
        <v>20</v>
      </c>
      <c r="I8" s="7" t="s">
        <v>23</v>
      </c>
      <c r="J8" s="6" t="s">
        <v>20</v>
      </c>
      <c r="K8" s="7" t="s">
        <v>23</v>
      </c>
      <c r="L8" s="6" t="s">
        <v>20</v>
      </c>
      <c r="M8" s="7" t="s">
        <v>23</v>
      </c>
      <c r="N8" s="6" t="s">
        <v>20</v>
      </c>
      <c r="O8" s="7" t="s">
        <v>28</v>
      </c>
      <c r="P8" s="6" t="s">
        <v>20</v>
      </c>
      <c r="Q8" s="7" t="s">
        <v>28</v>
      </c>
      <c r="R8" s="6" t="s">
        <v>20</v>
      </c>
      <c r="S8" s="216" t="s">
        <v>626</v>
      </c>
      <c r="T8" s="6" t="s">
        <v>20</v>
      </c>
      <c r="U8" s="7" t="s">
        <v>628</v>
      </c>
      <c r="V8" s="6" t="s">
        <v>20</v>
      </c>
      <c r="W8" s="7" t="s">
        <v>628</v>
      </c>
      <c r="X8" s="6" t="s">
        <v>20</v>
      </c>
      <c r="Y8" s="7" t="s">
        <v>17</v>
      </c>
      <c r="Z8" s="6" t="s">
        <v>20</v>
      </c>
      <c r="AA8" s="7" t="s">
        <v>37</v>
      </c>
      <c r="AB8" s="6" t="s">
        <v>35</v>
      </c>
      <c r="AC8" s="7" t="s">
        <v>44</v>
      </c>
      <c r="AD8" s="6" t="s">
        <v>622</v>
      </c>
      <c r="AE8" s="9" t="s">
        <v>43</v>
      </c>
    </row>
    <row r="9" spans="1:33" ht="17.25" customHeight="1" thickTop="1" thickBot="1">
      <c r="A9" s="243">
        <f>VALUE(CONCATENATE(LEFT(Annee_financiere,FIND("-",Annee_financiere)-1),"-",A22))</f>
        <v>43191</v>
      </c>
      <c r="B9" s="254"/>
      <c r="C9" s="255"/>
      <c r="D9" s="256"/>
      <c r="E9" s="255"/>
      <c r="F9" s="256"/>
      <c r="G9" s="255"/>
      <c r="H9" s="256"/>
      <c r="I9" s="255"/>
      <c r="J9" s="256"/>
      <c r="K9" s="420"/>
      <c r="L9" s="420"/>
      <c r="M9" s="255"/>
      <c r="N9" s="256"/>
      <c r="O9" s="255"/>
      <c r="P9" s="256"/>
      <c r="Q9" s="255"/>
      <c r="R9" s="256"/>
      <c r="S9" s="255"/>
      <c r="T9" s="256"/>
      <c r="U9" s="255"/>
      <c r="V9" s="256"/>
      <c r="W9" s="255"/>
      <c r="X9" s="256"/>
      <c r="Y9" s="99" t="e">
        <f t="shared" ref="Y9:Y21" si="0">C9*kWh_Élect_to_GJ+E9*m3_GazNat_to_GJ+G9*L_Mazout2_to_GJ+I9*L_Mazout6_to_GJ+M9*L_Propane_to_GJ+O9*kg_Bois8_to_GJ+Q9*kg_Bois35_to_GJ+S9*lbs_vapeur_to_GJ+U9*MBTU_eaurefroidie_to_GJ+W9*MBTU_eauchaude_to_GJ+K9*L_Diesel_to_GJ</f>
        <v>#NAME?</v>
      </c>
      <c r="Z9" s="258">
        <f>D9+F9+H9+J9+N9+P9+R9+T9+V9+X9+L9</f>
        <v>0</v>
      </c>
      <c r="AA9" s="17" t="str">
        <f t="shared" ref="AA9:AA21" si="1">IF(ISERROR(Y9/B9),"",Y9/B9)</f>
        <v/>
      </c>
      <c r="AB9" s="18" t="str">
        <f t="shared" ref="AB9:AB21" si="2">IF(ISERROR(Z9/B9),"",Z9/B9)</f>
        <v/>
      </c>
      <c r="AC9" s="102" t="e">
        <f>(C9*kWh_Élect_to_kgGES+E9*IF(U_GNat="[m³]",m3_GazNat_to_kgGES,Conversion!$H$27)+G9*IF(U_Ma2="[l]",L_Mazout2_to_kgGES,Conversion!$H$29)+I9*IF(U_Ma6="[l]",L_Mazout6_to_kgGES,Conversion!$H$31)+K9*IF(U_Dies="[l]",L_diesel_to_kgGES,Conversion!$H$33)+M9*IF(U_Prop="[l]",L_Propane_to_kgGES,Conversion!$H$35)+O9*IF(U_Bois20="[1000 kg MG]",Conversion!$H$36,Conversion!$H$37)+Q9*IF(U_Bois45="[1000 kg MG]",Conversion!$H$38,Conversion!$H$39)+S9*lbs_vapeur_to_kgGES+U9*MBTU_eaurefroidie_to_kgGES+W9*MBTU_eauchaude_to_kgGES)/1000</f>
        <v>#NAME?</v>
      </c>
      <c r="AD9" s="103">
        <f t="shared" ref="AD9:AD21" si="3">(IF(ISERROR(AC9/B9),0,(AC9/B9)))*1000</f>
        <v>0</v>
      </c>
      <c r="AE9" s="5">
        <f t="shared" ref="AE9:AE20" si="4">INDEX(plage_DJ,MATCH(A9,plage_date),3)</f>
        <v>422.4</v>
      </c>
      <c r="AG9" s="49">
        <v>12</v>
      </c>
    </row>
    <row r="10" spans="1:33" ht="17.25" customHeight="1" thickTop="1" thickBot="1">
      <c r="A10" s="244">
        <f>DATE(YEAR(A9),MONTH(A9)+1,DAY(A9))</f>
        <v>43221</v>
      </c>
      <c r="B10" s="254"/>
      <c r="C10" s="255"/>
      <c r="D10" s="256"/>
      <c r="E10" s="255"/>
      <c r="F10" s="256"/>
      <c r="G10" s="255"/>
      <c r="H10" s="256"/>
      <c r="I10" s="255"/>
      <c r="J10" s="256"/>
      <c r="K10" s="420"/>
      <c r="L10" s="420"/>
      <c r="M10" s="255"/>
      <c r="N10" s="256"/>
      <c r="O10" s="255"/>
      <c r="P10" s="256"/>
      <c r="Q10" s="255"/>
      <c r="R10" s="256"/>
      <c r="S10" s="255"/>
      <c r="T10" s="256"/>
      <c r="U10" s="255"/>
      <c r="V10" s="256"/>
      <c r="W10" s="255"/>
      <c r="X10" s="256"/>
      <c r="Y10" s="99" t="e">
        <f t="shared" si="0"/>
        <v>#NAME?</v>
      </c>
      <c r="Z10" s="258">
        <f t="shared" ref="Z10:Z21" si="5">D10+F10+H10+J10+N10+P10+R10+T10+V10+X10+L10</f>
        <v>0</v>
      </c>
      <c r="AA10" s="17" t="str">
        <f t="shared" si="1"/>
        <v/>
      </c>
      <c r="AB10" s="18" t="str">
        <f t="shared" si="2"/>
        <v/>
      </c>
      <c r="AC10" s="102" t="e">
        <f>(C10*kWh_Élect_to_kgGES+E10*IF(U_GNat="[m³]",m3_GazNat_to_kgGES,Conversion!$H$27)+G10*IF(U_Ma2="[l]",L_Mazout2_to_kgGES,Conversion!$H$29)+I10*IF(U_Ma6="[l]",L_Mazout6_to_kgGES,Conversion!$H$31)+K10*IF(U_Dies="[l]",L_diesel_to_kgGES,Conversion!$H$33)+M10*IF(U_Prop="[l]",L_Propane_to_kgGES,Conversion!$H$35)+O10*IF(U_Bois20="[1000 kg MG]",Conversion!$H$36,Conversion!$H$37)+Q10*IF(U_Bois45="[1000 kg MG]",Conversion!$H$38,Conversion!$H$39)+S10*lbs_vapeur_to_kgGES+U10*MBTU_eaurefroidie_to_kgGES+W10*MBTU_eauchaude_to_kgGES)/1000</f>
        <v>#NAME?</v>
      </c>
      <c r="AD10" s="103">
        <f t="shared" si="3"/>
        <v>0</v>
      </c>
      <c r="AE10" s="5">
        <f t="shared" si="4"/>
        <v>80.3</v>
      </c>
      <c r="AF10" s="49">
        <f>SUM(AE9)</f>
        <v>422.4</v>
      </c>
      <c r="AG10" s="49">
        <v>11</v>
      </c>
    </row>
    <row r="11" spans="1:33" ht="17.25" customHeight="1" thickTop="1" thickBot="1">
      <c r="A11" s="244">
        <f t="shared" ref="A11:A20" si="6">DATE(YEAR(A10),MONTH(A10)+1,DAY(A10))</f>
        <v>43252</v>
      </c>
      <c r="B11" s="254"/>
      <c r="C11" s="255"/>
      <c r="D11" s="256"/>
      <c r="E11" s="255"/>
      <c r="F11" s="256"/>
      <c r="G11" s="255"/>
      <c r="H11" s="256"/>
      <c r="I11" s="255"/>
      <c r="J11" s="256"/>
      <c r="K11" s="420"/>
      <c r="L11" s="420"/>
      <c r="M11" s="255"/>
      <c r="N11" s="256"/>
      <c r="O11" s="255"/>
      <c r="P11" s="256"/>
      <c r="Q11" s="255"/>
      <c r="R11" s="256"/>
      <c r="S11" s="255"/>
      <c r="T11" s="256"/>
      <c r="U11" s="255"/>
      <c r="V11" s="256"/>
      <c r="W11" s="255"/>
      <c r="X11" s="256"/>
      <c r="Y11" s="99" t="e">
        <f t="shared" si="0"/>
        <v>#NAME?</v>
      </c>
      <c r="Z11" s="258">
        <f t="shared" si="5"/>
        <v>0</v>
      </c>
      <c r="AA11" s="17" t="str">
        <f t="shared" si="1"/>
        <v/>
      </c>
      <c r="AB11" s="18" t="str">
        <f t="shared" si="2"/>
        <v/>
      </c>
      <c r="AC11" s="102" t="e">
        <f>(C11*kWh_Élect_to_kgGES+E11*IF(U_GNat="[m³]",m3_GazNat_to_kgGES,Conversion!$H$27)+G11*IF(U_Ma2="[l]",L_Mazout2_to_kgGES,Conversion!$H$29)+I11*IF(U_Ma6="[l]",L_Mazout6_to_kgGES,Conversion!$H$31)+K11*IF(U_Dies="[l]",L_diesel_to_kgGES,Conversion!$H$33)+M11*IF(U_Prop="[l]",L_Propane_to_kgGES,Conversion!$H$35)+O11*IF(U_Bois20="[1000 kg MG]",Conversion!$H$36,Conversion!$H$37)+Q11*IF(U_Bois45="[1000 kg MG]",Conversion!$H$38,Conversion!$H$39)+S11*lbs_vapeur_to_kgGES+U11*MBTU_eaurefroidie_to_kgGES+W11*MBTU_eauchaude_to_kgGES)/1000</f>
        <v>#NAME?</v>
      </c>
      <c r="AD11" s="103">
        <f t="shared" si="3"/>
        <v>0</v>
      </c>
      <c r="AE11" s="5">
        <f t="shared" si="4"/>
        <v>0</v>
      </c>
      <c r="AF11" s="49">
        <f>SUM(AE9:AE10)</f>
        <v>502.7</v>
      </c>
      <c r="AG11" s="49">
        <v>10</v>
      </c>
    </row>
    <row r="12" spans="1:33" ht="17.25" customHeight="1" thickTop="1" thickBot="1">
      <c r="A12" s="244">
        <f t="shared" si="6"/>
        <v>43282</v>
      </c>
      <c r="B12" s="254"/>
      <c r="C12" s="255"/>
      <c r="D12" s="256"/>
      <c r="E12" s="255"/>
      <c r="F12" s="256"/>
      <c r="G12" s="255"/>
      <c r="H12" s="256"/>
      <c r="I12" s="255"/>
      <c r="J12" s="256"/>
      <c r="K12" s="420"/>
      <c r="L12" s="420"/>
      <c r="M12" s="255"/>
      <c r="N12" s="256"/>
      <c r="O12" s="255"/>
      <c r="P12" s="256"/>
      <c r="Q12" s="255"/>
      <c r="R12" s="256"/>
      <c r="S12" s="255"/>
      <c r="T12" s="256"/>
      <c r="U12" s="255"/>
      <c r="V12" s="256"/>
      <c r="W12" s="255"/>
      <c r="X12" s="256"/>
      <c r="Y12" s="99" t="e">
        <f t="shared" si="0"/>
        <v>#NAME?</v>
      </c>
      <c r="Z12" s="258">
        <f t="shared" si="5"/>
        <v>0</v>
      </c>
      <c r="AA12" s="17" t="str">
        <f t="shared" si="1"/>
        <v/>
      </c>
      <c r="AB12" s="18" t="str">
        <f t="shared" si="2"/>
        <v/>
      </c>
      <c r="AC12" s="102" t="e">
        <f>(C12*kWh_Élect_to_kgGES+E12*IF(U_GNat="[m³]",m3_GazNat_to_kgGES,Conversion!$H$27)+G12*IF(U_Ma2="[l]",L_Mazout2_to_kgGES,Conversion!$H$29)+I12*IF(U_Ma6="[l]",L_Mazout6_to_kgGES,Conversion!$H$31)+K12*IF(U_Dies="[l]",L_diesel_to_kgGES,Conversion!$H$33)+M12*IF(U_Prop="[l]",L_Propane_to_kgGES,Conversion!$H$35)+O12*IF(U_Bois20="[1000 kg MG]",Conversion!$H$36,Conversion!$H$37)+Q12*IF(U_Bois45="[1000 kg MG]",Conversion!$H$38,Conversion!$H$39)+S12*lbs_vapeur_to_kgGES+U12*MBTU_eaurefroidie_to_kgGES+W12*MBTU_eauchaude_to_kgGES)/1000</f>
        <v>#NAME?</v>
      </c>
      <c r="AD12" s="103">
        <f t="shared" si="3"/>
        <v>0</v>
      </c>
      <c r="AE12" s="5">
        <f t="shared" si="4"/>
        <v>0</v>
      </c>
      <c r="AF12" s="49">
        <f>SUM(AE9:AE11)</f>
        <v>502.7</v>
      </c>
      <c r="AG12" s="49">
        <v>9</v>
      </c>
    </row>
    <row r="13" spans="1:33" ht="17.25" customHeight="1" thickTop="1" thickBot="1">
      <c r="A13" s="244">
        <f t="shared" si="6"/>
        <v>43313</v>
      </c>
      <c r="B13" s="254"/>
      <c r="C13" s="255"/>
      <c r="D13" s="256"/>
      <c r="E13" s="255"/>
      <c r="F13" s="256"/>
      <c r="G13" s="255"/>
      <c r="H13" s="256"/>
      <c r="I13" s="255"/>
      <c r="J13" s="256"/>
      <c r="K13" s="420"/>
      <c r="L13" s="420"/>
      <c r="M13" s="255"/>
      <c r="N13" s="256"/>
      <c r="O13" s="255"/>
      <c r="P13" s="256"/>
      <c r="Q13" s="255"/>
      <c r="R13" s="256"/>
      <c r="S13" s="255"/>
      <c r="T13" s="256"/>
      <c r="U13" s="255"/>
      <c r="V13" s="256"/>
      <c r="W13" s="255"/>
      <c r="X13" s="256"/>
      <c r="Y13" s="99" t="e">
        <f t="shared" si="0"/>
        <v>#NAME?</v>
      </c>
      <c r="Z13" s="258">
        <f t="shared" si="5"/>
        <v>0</v>
      </c>
      <c r="AA13" s="17" t="str">
        <f t="shared" si="1"/>
        <v/>
      </c>
      <c r="AB13" s="18" t="str">
        <f t="shared" si="2"/>
        <v/>
      </c>
      <c r="AC13" s="102" t="e">
        <f>(C13*kWh_Élect_to_kgGES+E13*IF(U_GNat="[m³]",m3_GazNat_to_kgGES,Conversion!$H$27)+G13*IF(U_Ma2="[l]",L_Mazout2_to_kgGES,Conversion!$H$29)+I13*IF(U_Ma6="[l]",L_Mazout6_to_kgGES,Conversion!$H$31)+K13*IF(U_Dies="[l]",L_diesel_to_kgGES,Conversion!$H$33)+M13*IF(U_Prop="[l]",L_Propane_to_kgGES,Conversion!$H$35)+O13*IF(U_Bois20="[1000 kg MG]",Conversion!$H$36,Conversion!$H$37)+Q13*IF(U_Bois45="[1000 kg MG]",Conversion!$H$38,Conversion!$H$39)+S13*lbs_vapeur_to_kgGES+U13*MBTU_eaurefroidie_to_kgGES+W13*MBTU_eauchaude_to_kgGES)/1000</f>
        <v>#NAME?</v>
      </c>
      <c r="AD13" s="103">
        <f t="shared" si="3"/>
        <v>0</v>
      </c>
      <c r="AE13" s="5">
        <f t="shared" si="4"/>
        <v>0</v>
      </c>
      <c r="AF13" s="49">
        <f>SUM(AE9:AE12)</f>
        <v>502.7</v>
      </c>
      <c r="AG13" s="49">
        <v>8</v>
      </c>
    </row>
    <row r="14" spans="1:33" ht="17.25" customHeight="1" thickTop="1" thickBot="1">
      <c r="A14" s="244">
        <f t="shared" si="6"/>
        <v>43344</v>
      </c>
      <c r="B14" s="254"/>
      <c r="C14" s="255"/>
      <c r="D14" s="256"/>
      <c r="E14" s="255"/>
      <c r="F14" s="256"/>
      <c r="G14" s="255"/>
      <c r="H14" s="256"/>
      <c r="I14" s="255"/>
      <c r="J14" s="256"/>
      <c r="K14" s="420"/>
      <c r="L14" s="420"/>
      <c r="M14" s="255"/>
      <c r="N14" s="256"/>
      <c r="O14" s="255"/>
      <c r="P14" s="256"/>
      <c r="Q14" s="255"/>
      <c r="R14" s="256"/>
      <c r="S14" s="255"/>
      <c r="T14" s="256"/>
      <c r="U14" s="255"/>
      <c r="V14" s="256"/>
      <c r="W14" s="255"/>
      <c r="X14" s="256"/>
      <c r="Y14" s="99" t="e">
        <f t="shared" si="0"/>
        <v>#NAME?</v>
      </c>
      <c r="Z14" s="258">
        <f t="shared" si="5"/>
        <v>0</v>
      </c>
      <c r="AA14" s="17" t="str">
        <f t="shared" si="1"/>
        <v/>
      </c>
      <c r="AB14" s="18" t="str">
        <f t="shared" si="2"/>
        <v/>
      </c>
      <c r="AC14" s="102" t="e">
        <f>(C14*kWh_Élect_to_kgGES+E14*IF(U_GNat="[m³]",m3_GazNat_to_kgGES,Conversion!$H$27)+G14*IF(U_Ma2="[l]",L_Mazout2_to_kgGES,Conversion!$H$29)+I14*IF(U_Ma6="[l]",L_Mazout6_to_kgGES,Conversion!$H$31)+K14*IF(U_Dies="[l]",L_diesel_to_kgGES,Conversion!$H$33)+M14*IF(U_Prop="[l]",L_Propane_to_kgGES,Conversion!$H$35)+O14*IF(U_Bois20="[1000 kg MG]",Conversion!$H$36,Conversion!$H$37)+Q14*IF(U_Bois45="[1000 kg MG]",Conversion!$H$38,Conversion!$H$39)+S14*lbs_vapeur_to_kgGES+U14*MBTU_eaurefroidie_to_kgGES+W14*MBTU_eauchaude_to_kgGES)/1000</f>
        <v>#NAME?</v>
      </c>
      <c r="AD14" s="103">
        <f t="shared" si="3"/>
        <v>0</v>
      </c>
      <c r="AE14" s="5">
        <f t="shared" si="4"/>
        <v>0</v>
      </c>
      <c r="AF14" s="49">
        <f>SUM(AE9:AE13)</f>
        <v>502.7</v>
      </c>
      <c r="AG14" s="49">
        <v>7</v>
      </c>
    </row>
    <row r="15" spans="1:33" ht="17.25" customHeight="1" thickTop="1" thickBot="1">
      <c r="A15" s="244">
        <f t="shared" si="6"/>
        <v>43374</v>
      </c>
      <c r="B15" s="254"/>
      <c r="C15" s="255"/>
      <c r="D15" s="256"/>
      <c r="E15" s="255"/>
      <c r="F15" s="256"/>
      <c r="G15" s="255"/>
      <c r="H15" s="256"/>
      <c r="I15" s="255"/>
      <c r="J15" s="256"/>
      <c r="K15" s="420"/>
      <c r="L15" s="420"/>
      <c r="M15" s="255"/>
      <c r="N15" s="256"/>
      <c r="O15" s="255"/>
      <c r="P15" s="256"/>
      <c r="Q15" s="255"/>
      <c r="R15" s="256"/>
      <c r="S15" s="255"/>
      <c r="T15" s="256"/>
      <c r="U15" s="255"/>
      <c r="V15" s="256"/>
      <c r="W15" s="255"/>
      <c r="X15" s="256"/>
      <c r="Y15" s="99" t="e">
        <f t="shared" si="0"/>
        <v>#NAME?</v>
      </c>
      <c r="Z15" s="258">
        <f t="shared" si="5"/>
        <v>0</v>
      </c>
      <c r="AA15" s="17" t="str">
        <f t="shared" si="1"/>
        <v/>
      </c>
      <c r="AB15" s="18" t="str">
        <f t="shared" si="2"/>
        <v/>
      </c>
      <c r="AC15" s="102" t="e">
        <f>(C15*kWh_Élect_to_kgGES+E15*IF(U_GNat="[m³]",m3_GazNat_to_kgGES,Conversion!$H$27)+G15*IF(U_Ma2="[l]",L_Mazout2_to_kgGES,Conversion!$H$29)+I15*IF(U_Ma6="[l]",L_Mazout6_to_kgGES,Conversion!$H$31)+K15*IF(U_Dies="[l]",L_diesel_to_kgGES,Conversion!$H$33)+M15*IF(U_Prop="[l]",L_Propane_to_kgGES,Conversion!$H$35)+O15*IF(U_Bois20="[1000 kg MG]",Conversion!$H$36,Conversion!$H$37)+Q15*IF(U_Bois45="[1000 kg MG]",Conversion!$H$38,Conversion!$H$39)+S15*lbs_vapeur_to_kgGES+U15*MBTU_eaurefroidie_to_kgGES+W15*MBTU_eauchaude_to_kgGES)/1000</f>
        <v>#NAME?</v>
      </c>
      <c r="AD15" s="103">
        <f t="shared" si="3"/>
        <v>0</v>
      </c>
      <c r="AE15" s="5">
        <f t="shared" si="4"/>
        <v>0</v>
      </c>
      <c r="AF15" s="49">
        <f>SUM(AE9:AE14)</f>
        <v>502.7</v>
      </c>
      <c r="AG15" s="49">
        <v>6</v>
      </c>
    </row>
    <row r="16" spans="1:33" ht="17.25" customHeight="1" thickTop="1" thickBot="1">
      <c r="A16" s="244">
        <f t="shared" si="6"/>
        <v>43405</v>
      </c>
      <c r="B16" s="254"/>
      <c r="C16" s="255"/>
      <c r="D16" s="256"/>
      <c r="E16" s="255"/>
      <c r="F16" s="256"/>
      <c r="G16" s="255"/>
      <c r="H16" s="256"/>
      <c r="I16" s="255"/>
      <c r="J16" s="256"/>
      <c r="K16" s="420"/>
      <c r="L16" s="420"/>
      <c r="M16" s="255"/>
      <c r="N16" s="256"/>
      <c r="O16" s="255"/>
      <c r="P16" s="256"/>
      <c r="Q16" s="255"/>
      <c r="R16" s="256"/>
      <c r="S16" s="255"/>
      <c r="T16" s="256"/>
      <c r="U16" s="255"/>
      <c r="V16" s="256"/>
      <c r="W16" s="255"/>
      <c r="X16" s="256"/>
      <c r="Y16" s="99" t="e">
        <f t="shared" si="0"/>
        <v>#NAME?</v>
      </c>
      <c r="Z16" s="258">
        <f t="shared" si="5"/>
        <v>0</v>
      </c>
      <c r="AA16" s="17" t="str">
        <f t="shared" si="1"/>
        <v/>
      </c>
      <c r="AB16" s="18" t="str">
        <f t="shared" si="2"/>
        <v/>
      </c>
      <c r="AC16" s="102" t="e">
        <f>(C16*kWh_Élect_to_kgGES+E16*IF(U_GNat="[m³]",m3_GazNat_to_kgGES,Conversion!$H$27)+G16*IF(U_Ma2="[l]",L_Mazout2_to_kgGES,Conversion!$H$29)+I16*IF(U_Ma6="[l]",L_Mazout6_to_kgGES,Conversion!$H$31)+K16*IF(U_Dies="[l]",L_diesel_to_kgGES,Conversion!$H$33)+M16*IF(U_Prop="[l]",L_Propane_to_kgGES,Conversion!$H$35)+O16*IF(U_Bois20="[1000 kg MG]",Conversion!$H$36,Conversion!$H$37)+Q16*IF(U_Bois45="[1000 kg MG]",Conversion!$H$38,Conversion!$H$39)+S16*lbs_vapeur_to_kgGES+U16*MBTU_eaurefroidie_to_kgGES+W16*MBTU_eauchaude_to_kgGES)/1000</f>
        <v>#NAME?</v>
      </c>
      <c r="AD16" s="103">
        <f t="shared" si="3"/>
        <v>0</v>
      </c>
      <c r="AE16" s="5">
        <f t="shared" si="4"/>
        <v>0</v>
      </c>
      <c r="AF16" s="49">
        <f>SUM(AE9:AE15)</f>
        <v>502.7</v>
      </c>
      <c r="AG16" s="49">
        <v>5</v>
      </c>
    </row>
    <row r="17" spans="1:33" ht="17.25" customHeight="1" thickTop="1" thickBot="1">
      <c r="A17" s="244">
        <f t="shared" si="6"/>
        <v>43435</v>
      </c>
      <c r="B17" s="254"/>
      <c r="C17" s="255"/>
      <c r="D17" s="256"/>
      <c r="E17" s="255"/>
      <c r="F17" s="256"/>
      <c r="G17" s="255"/>
      <c r="H17" s="256"/>
      <c r="I17" s="255"/>
      <c r="J17" s="256"/>
      <c r="K17" s="420"/>
      <c r="L17" s="420"/>
      <c r="M17" s="255"/>
      <c r="N17" s="256"/>
      <c r="O17" s="255"/>
      <c r="P17" s="256"/>
      <c r="Q17" s="255"/>
      <c r="R17" s="256"/>
      <c r="S17" s="255"/>
      <c r="T17" s="256"/>
      <c r="U17" s="255"/>
      <c r="V17" s="256"/>
      <c r="W17" s="255"/>
      <c r="X17" s="256"/>
      <c r="Y17" s="99" t="e">
        <f t="shared" si="0"/>
        <v>#NAME?</v>
      </c>
      <c r="Z17" s="258">
        <f t="shared" si="5"/>
        <v>0</v>
      </c>
      <c r="AA17" s="17" t="str">
        <f t="shared" si="1"/>
        <v/>
      </c>
      <c r="AB17" s="18" t="str">
        <f t="shared" si="2"/>
        <v/>
      </c>
      <c r="AC17" s="102" t="e">
        <f>(C17*kWh_Élect_to_kgGES+E17*IF(U_GNat="[m³]",m3_GazNat_to_kgGES,Conversion!$H$27)+G17*IF(U_Ma2="[l]",L_Mazout2_to_kgGES,Conversion!$H$29)+I17*IF(U_Ma6="[l]",L_Mazout6_to_kgGES,Conversion!$H$31)+K17*IF(U_Dies="[l]",L_diesel_to_kgGES,Conversion!$H$33)+M17*IF(U_Prop="[l]",L_Propane_to_kgGES,Conversion!$H$35)+O17*IF(U_Bois20="[1000 kg MG]",Conversion!$H$36,Conversion!$H$37)+Q17*IF(U_Bois45="[1000 kg MG]",Conversion!$H$38,Conversion!$H$39)+S17*lbs_vapeur_to_kgGES+U17*MBTU_eaurefroidie_to_kgGES+W17*MBTU_eauchaude_to_kgGES)/1000</f>
        <v>#NAME?</v>
      </c>
      <c r="AD17" s="103">
        <f t="shared" si="3"/>
        <v>0</v>
      </c>
      <c r="AE17" s="5">
        <f t="shared" si="4"/>
        <v>0</v>
      </c>
      <c r="AF17" s="49">
        <f>SUM(AE9:AE16)</f>
        <v>502.7</v>
      </c>
      <c r="AG17" s="49">
        <v>4</v>
      </c>
    </row>
    <row r="18" spans="1:33" ht="17.25" customHeight="1" thickTop="1" thickBot="1">
      <c r="A18" s="244">
        <f t="shared" si="6"/>
        <v>43466</v>
      </c>
      <c r="B18" s="254"/>
      <c r="C18" s="255"/>
      <c r="D18" s="256"/>
      <c r="E18" s="255"/>
      <c r="F18" s="256"/>
      <c r="G18" s="255"/>
      <c r="H18" s="256"/>
      <c r="I18" s="255"/>
      <c r="J18" s="256"/>
      <c r="K18" s="420"/>
      <c r="L18" s="420"/>
      <c r="M18" s="255"/>
      <c r="N18" s="256"/>
      <c r="O18" s="255"/>
      <c r="P18" s="256"/>
      <c r="Q18" s="255"/>
      <c r="R18" s="256"/>
      <c r="S18" s="255"/>
      <c r="T18" s="256"/>
      <c r="U18" s="255"/>
      <c r="V18" s="256"/>
      <c r="W18" s="255"/>
      <c r="X18" s="256"/>
      <c r="Y18" s="99" t="e">
        <f t="shared" si="0"/>
        <v>#NAME?</v>
      </c>
      <c r="Z18" s="258">
        <f t="shared" si="5"/>
        <v>0</v>
      </c>
      <c r="AA18" s="17" t="str">
        <f t="shared" si="1"/>
        <v/>
      </c>
      <c r="AB18" s="18" t="str">
        <f t="shared" si="2"/>
        <v/>
      </c>
      <c r="AC18" s="102" t="e">
        <f>(C18*kWh_Élect_to_kgGES+E18*IF(U_GNat="[m³]",m3_GazNat_to_kgGES,Conversion!$H$27)+G18*IF(U_Ma2="[l]",L_Mazout2_to_kgGES,Conversion!$H$29)+I18*IF(U_Ma6="[l]",L_Mazout6_to_kgGES,Conversion!$H$31)+K18*IF(U_Dies="[l]",L_diesel_to_kgGES,Conversion!$H$33)+M18*IF(U_Prop="[l]",L_Propane_to_kgGES,Conversion!$H$35)+O18*IF(U_Bois20="[1000 kg MG]",Conversion!$H$36,Conversion!$H$37)+Q18*IF(U_Bois45="[1000 kg MG]",Conversion!$H$38,Conversion!$H$39)+S18*lbs_vapeur_to_kgGES+U18*MBTU_eaurefroidie_to_kgGES+W18*MBTU_eauchaude_to_kgGES)/1000</f>
        <v>#NAME?</v>
      </c>
      <c r="AD18" s="103">
        <f t="shared" si="3"/>
        <v>0</v>
      </c>
      <c r="AE18" s="5">
        <f t="shared" si="4"/>
        <v>0</v>
      </c>
      <c r="AF18" s="49">
        <f>SUM(AE9:AE17)</f>
        <v>502.7</v>
      </c>
      <c r="AG18" s="49">
        <v>3</v>
      </c>
    </row>
    <row r="19" spans="1:33" ht="17.25" customHeight="1" thickTop="1" thickBot="1">
      <c r="A19" s="244">
        <f t="shared" si="6"/>
        <v>43497</v>
      </c>
      <c r="B19" s="254"/>
      <c r="C19" s="255"/>
      <c r="D19" s="256"/>
      <c r="E19" s="255"/>
      <c r="F19" s="256"/>
      <c r="G19" s="255"/>
      <c r="H19" s="256"/>
      <c r="I19" s="255"/>
      <c r="J19" s="256"/>
      <c r="K19" s="420"/>
      <c r="L19" s="420"/>
      <c r="M19" s="255"/>
      <c r="N19" s="256"/>
      <c r="O19" s="255"/>
      <c r="P19" s="256"/>
      <c r="Q19" s="255"/>
      <c r="R19" s="256"/>
      <c r="S19" s="255"/>
      <c r="T19" s="256"/>
      <c r="U19" s="255"/>
      <c r="V19" s="256"/>
      <c r="W19" s="255"/>
      <c r="X19" s="256"/>
      <c r="Y19" s="99" t="e">
        <f t="shared" si="0"/>
        <v>#NAME?</v>
      </c>
      <c r="Z19" s="258">
        <f t="shared" si="5"/>
        <v>0</v>
      </c>
      <c r="AA19" s="17" t="str">
        <f t="shared" si="1"/>
        <v/>
      </c>
      <c r="AB19" s="18" t="str">
        <f t="shared" si="2"/>
        <v/>
      </c>
      <c r="AC19" s="102" t="e">
        <f>(C19*kWh_Élect_to_kgGES+E19*IF(U_GNat="[m³]",m3_GazNat_to_kgGES,Conversion!$H$27)+G19*IF(U_Ma2="[l]",L_Mazout2_to_kgGES,Conversion!$H$29)+I19*IF(U_Ma6="[l]",L_Mazout6_to_kgGES,Conversion!$H$31)+K19*IF(U_Dies="[l]",L_diesel_to_kgGES,Conversion!$H$33)+M19*IF(U_Prop="[l]",L_Propane_to_kgGES,Conversion!$H$35)+O19*IF(U_Bois20="[1000 kg MG]",Conversion!$H$36,Conversion!$H$37)+Q19*IF(U_Bois45="[1000 kg MG]",Conversion!$H$38,Conversion!$H$39)+S19*lbs_vapeur_to_kgGES+U19*MBTU_eaurefroidie_to_kgGES+W19*MBTU_eauchaude_to_kgGES)/1000</f>
        <v>#NAME?</v>
      </c>
      <c r="AD19" s="103">
        <f t="shared" si="3"/>
        <v>0</v>
      </c>
      <c r="AE19" s="5">
        <f t="shared" si="4"/>
        <v>0</v>
      </c>
      <c r="AF19" s="49">
        <f>SUM(AE9:AE18)</f>
        <v>502.7</v>
      </c>
      <c r="AG19" s="49">
        <v>2</v>
      </c>
    </row>
    <row r="20" spans="1:33" ht="17.25" customHeight="1" thickTop="1" thickBot="1">
      <c r="A20" s="245">
        <f t="shared" si="6"/>
        <v>43525</v>
      </c>
      <c r="B20" s="254"/>
      <c r="C20" s="255"/>
      <c r="D20" s="256"/>
      <c r="E20" s="255"/>
      <c r="F20" s="256"/>
      <c r="G20" s="255"/>
      <c r="H20" s="256"/>
      <c r="I20" s="255"/>
      <c r="J20" s="256"/>
      <c r="K20" s="420"/>
      <c r="L20" s="420"/>
      <c r="M20" s="255"/>
      <c r="N20" s="256"/>
      <c r="O20" s="255"/>
      <c r="P20" s="256"/>
      <c r="Q20" s="255"/>
      <c r="R20" s="256"/>
      <c r="S20" s="255"/>
      <c r="T20" s="256"/>
      <c r="U20" s="255"/>
      <c r="V20" s="256"/>
      <c r="W20" s="255"/>
      <c r="X20" s="256"/>
      <c r="Y20" s="99" t="e">
        <f t="shared" si="0"/>
        <v>#NAME?</v>
      </c>
      <c r="Z20" s="258">
        <f t="shared" si="5"/>
        <v>0</v>
      </c>
      <c r="AA20" s="17" t="str">
        <f t="shared" si="1"/>
        <v/>
      </c>
      <c r="AB20" s="18" t="str">
        <f t="shared" si="2"/>
        <v/>
      </c>
      <c r="AC20" s="102" t="e">
        <f>(C20*kWh_Élect_to_kgGES+E20*IF(U_GNat="[m³]",m3_GazNat_to_kgGES,Conversion!$H$27)+G20*IF(U_Ma2="[l]",L_Mazout2_to_kgGES,Conversion!$H$29)+I20*IF(U_Ma6="[l]",L_Mazout6_to_kgGES,Conversion!$H$31)+K20*IF(U_Dies="[l]",L_diesel_to_kgGES,Conversion!$H$33)+M20*IF(U_Prop="[l]",L_Propane_to_kgGES,Conversion!$H$35)+O20*IF(U_Bois20="[1000 kg MG]",Conversion!$H$36,Conversion!$H$37)+Q20*IF(U_Bois45="[1000 kg MG]",Conversion!$H$38,Conversion!$H$39)+S20*lbs_vapeur_to_kgGES+U20*MBTU_eaurefroidie_to_kgGES+W20*MBTU_eauchaude_to_kgGES)/1000</f>
        <v>#NAME?</v>
      </c>
      <c r="AD20" s="103">
        <f t="shared" si="3"/>
        <v>0</v>
      </c>
      <c r="AE20" s="5">
        <f t="shared" si="4"/>
        <v>0</v>
      </c>
      <c r="AF20" s="49">
        <f>SUM(AE9:AE19)</f>
        <v>502.7</v>
      </c>
      <c r="AG20" s="49">
        <v>1</v>
      </c>
    </row>
    <row r="21" spans="1:33" ht="20.25" customHeight="1" thickTop="1">
      <c r="A21" s="3" t="s">
        <v>53</v>
      </c>
      <c r="B21" s="35">
        <f>IF(ISERROR(AVERAGE(B9:B20)),0,AVERAGE(B9:B20))</f>
        <v>0</v>
      </c>
      <c r="C21" s="35">
        <f>SUM(C9:C20)</f>
        <v>0</v>
      </c>
      <c r="D21" s="261">
        <f>SUM(D9:D20)</f>
        <v>0</v>
      </c>
      <c r="E21" s="35">
        <f>SUM(E9:E20)</f>
        <v>0</v>
      </c>
      <c r="F21" s="261">
        <f t="shared" ref="F21:X21" si="7">SUM(F9:F20)</f>
        <v>0</v>
      </c>
      <c r="G21" s="35">
        <f t="shared" si="7"/>
        <v>0</v>
      </c>
      <c r="H21" s="260">
        <f t="shared" si="7"/>
        <v>0</v>
      </c>
      <c r="I21" s="35">
        <f t="shared" si="7"/>
        <v>0</v>
      </c>
      <c r="J21" s="260">
        <f t="shared" si="7"/>
        <v>0</v>
      </c>
      <c r="K21" s="35">
        <f t="shared" si="7"/>
        <v>0</v>
      </c>
      <c r="L21" s="259">
        <f t="shared" si="7"/>
        <v>0</v>
      </c>
      <c r="M21" s="35">
        <f t="shared" si="7"/>
        <v>0</v>
      </c>
      <c r="N21" s="260">
        <f t="shared" si="7"/>
        <v>0</v>
      </c>
      <c r="O21" s="35">
        <f t="shared" si="7"/>
        <v>0</v>
      </c>
      <c r="P21" s="260">
        <f t="shared" si="7"/>
        <v>0</v>
      </c>
      <c r="Q21" s="35">
        <f t="shared" si="7"/>
        <v>0</v>
      </c>
      <c r="R21" s="260">
        <f t="shared" si="7"/>
        <v>0</v>
      </c>
      <c r="S21" s="88">
        <f t="shared" si="7"/>
        <v>0</v>
      </c>
      <c r="T21" s="262">
        <f t="shared" si="7"/>
        <v>0</v>
      </c>
      <c r="U21" s="88">
        <f t="shared" si="7"/>
        <v>0</v>
      </c>
      <c r="V21" s="262">
        <f t="shared" si="7"/>
        <v>0</v>
      </c>
      <c r="W21" s="88">
        <f t="shared" si="7"/>
        <v>0</v>
      </c>
      <c r="X21" s="262">
        <f t="shared" si="7"/>
        <v>0</v>
      </c>
      <c r="Y21" s="484" t="e">
        <f t="shared" si="0"/>
        <v>#NAME?</v>
      </c>
      <c r="Z21" s="485">
        <f t="shared" si="5"/>
        <v>0</v>
      </c>
      <c r="AA21" s="265" t="str">
        <f t="shared" si="1"/>
        <v/>
      </c>
      <c r="AB21" s="266" t="str">
        <f t="shared" si="2"/>
        <v/>
      </c>
      <c r="AC21" s="267" t="e">
        <f>(C21*kWh_Élect_to_kgGES+E21*IF(U_GNat="[m³]",m3_GazNat_to_kgGES,Conversion!$H$27)+G21*IF(U_Ma2="[l]",L_Mazout2_to_kgGES,Conversion!$H$29)+I21*IF(U_Ma6="[l]",L_Mazout6_to_kgGES,Conversion!$H$31)+K21*IF(U_Dies="[l]",L_diesel_to_kgGES,Conversion!$H$33)+M21*IF(U_Prop="[l]",L_Propane_to_kgGES,Conversion!$H$35)+O21*IF(U_Bois20="[1000 kg MG]",Conversion!$H$36,Conversion!$H$37)+Q21*IF(U_Bois45="[1000 kg MG]",Conversion!$H$38,Conversion!$H$39)+S21*lbs_vapeur_to_kgGES+U21*MBTU_eaurefroidie_to_kgGES+W21*MBTU_eauchaude_to_kgGES)/1000</f>
        <v>#NAME?</v>
      </c>
      <c r="AD21" s="267">
        <f t="shared" si="3"/>
        <v>0</v>
      </c>
      <c r="AE21" s="268">
        <f>SUM(AE9:AE20)</f>
        <v>502.7</v>
      </c>
    </row>
    <row r="22" spans="1:33">
      <c r="A22" s="27">
        <v>2018</v>
      </c>
      <c r="B22" s="27" t="s">
        <v>224</v>
      </c>
      <c r="C22" s="28" t="s">
        <v>225</v>
      </c>
      <c r="D22" s="28" t="s">
        <v>226</v>
      </c>
      <c r="E22" s="28" t="s">
        <v>227</v>
      </c>
      <c r="F22" s="28" t="s">
        <v>228</v>
      </c>
      <c r="G22" s="28" t="s">
        <v>229</v>
      </c>
      <c r="H22" s="28" t="s">
        <v>230</v>
      </c>
      <c r="I22" s="28" t="s">
        <v>231</v>
      </c>
      <c r="J22" s="28" t="s">
        <v>232</v>
      </c>
      <c r="K22" s="28" t="s">
        <v>233</v>
      </c>
      <c r="L22" s="28" t="s">
        <v>234</v>
      </c>
      <c r="M22" s="28" t="s">
        <v>235</v>
      </c>
      <c r="N22" s="28" t="s">
        <v>236</v>
      </c>
      <c r="O22" s="28" t="s">
        <v>237</v>
      </c>
      <c r="P22" s="28" t="s">
        <v>238</v>
      </c>
      <c r="Q22" s="28"/>
      <c r="R22" s="28"/>
      <c r="S22" s="28"/>
      <c r="T22" s="28"/>
      <c r="U22" s="28"/>
      <c r="V22" s="28"/>
      <c r="W22" s="47" t="s">
        <v>239</v>
      </c>
      <c r="X22" s="47" t="s">
        <v>240</v>
      </c>
      <c r="Y22" s="47" t="s">
        <v>241</v>
      </c>
      <c r="Z22" s="47" t="s">
        <v>242</v>
      </c>
      <c r="AA22" s="47" t="s">
        <v>243</v>
      </c>
      <c r="AB22" s="48" t="s">
        <v>244</v>
      </c>
      <c r="AC22" s="47" t="s">
        <v>245</v>
      </c>
    </row>
    <row r="23" spans="1:33" ht="15">
      <c r="A23" s="52" t="s">
        <v>352</v>
      </c>
      <c r="B23" s="49"/>
      <c r="C23" s="47"/>
      <c r="D23" s="47"/>
      <c r="E23" s="47"/>
      <c r="F23" s="47"/>
      <c r="G23" s="51"/>
      <c r="H23" s="50"/>
      <c r="I23" s="47"/>
      <c r="J23" s="47"/>
      <c r="K23" s="47"/>
      <c r="L23" s="47"/>
      <c r="M23" s="47"/>
      <c r="N23" s="47"/>
      <c r="O23" s="47"/>
      <c r="P23" s="47"/>
      <c r="Q23" s="47"/>
      <c r="R23" s="47"/>
      <c r="S23" s="47"/>
      <c r="T23" s="47"/>
      <c r="U23" s="47"/>
      <c r="V23" s="47"/>
      <c r="X23" s="47"/>
      <c r="Y23" s="47"/>
      <c r="Z23" s="47"/>
      <c r="AA23" s="47"/>
      <c r="AB23" s="48"/>
      <c r="AC23" s="47"/>
    </row>
    <row r="24" spans="1:33">
      <c r="A24" s="25"/>
      <c r="B24" s="49"/>
      <c r="C24" s="47"/>
      <c r="D24" s="47"/>
      <c r="E24" s="47"/>
      <c r="F24" s="47"/>
      <c r="G24" s="47"/>
      <c r="I24" s="47"/>
      <c r="J24" s="47"/>
      <c r="K24" s="47"/>
      <c r="L24" s="47"/>
      <c r="M24" s="47"/>
      <c r="N24" s="47"/>
      <c r="O24" s="47"/>
      <c r="P24" s="47"/>
      <c r="Q24" s="47"/>
      <c r="R24" s="47"/>
      <c r="S24" s="47"/>
      <c r="T24" s="47"/>
      <c r="U24" s="47"/>
      <c r="V24" s="47"/>
      <c r="X24" s="47"/>
      <c r="Y24" s="47"/>
      <c r="Z24" s="47"/>
      <c r="AA24" s="47"/>
      <c r="AB24" s="48"/>
      <c r="AC24" s="47"/>
    </row>
    <row r="25" spans="1:33" ht="18">
      <c r="A25" s="566" t="s">
        <v>804</v>
      </c>
      <c r="B25" s="567"/>
      <c r="C25" s="567"/>
      <c r="D25" s="567"/>
      <c r="E25" s="567"/>
      <c r="F25" s="567"/>
      <c r="G25" s="567"/>
      <c r="H25" s="567"/>
      <c r="I25" s="567"/>
      <c r="X25" s="47"/>
      <c r="Y25" s="47">
        <f>Lim_bas</f>
        <v>0</v>
      </c>
      <c r="Z25" s="47">
        <f>Lim_haut</f>
        <v>0</v>
      </c>
      <c r="AA25" s="47"/>
      <c r="AB25" s="47"/>
      <c r="AC25" s="47"/>
    </row>
    <row r="26" spans="1:33" ht="19.8">
      <c r="A26" s="53"/>
      <c r="B26" s="23"/>
      <c r="X26" s="47"/>
      <c r="Y26" s="47"/>
      <c r="Z26" s="47"/>
      <c r="AA26" s="47"/>
      <c r="AB26" s="47"/>
      <c r="AC26" s="47"/>
    </row>
    <row r="27" spans="1:33" ht="19.8">
      <c r="A27" s="53" t="s">
        <v>686</v>
      </c>
      <c r="X27" s="47"/>
      <c r="Y27" s="47"/>
      <c r="Z27" s="47"/>
      <c r="AA27" s="47"/>
      <c r="AB27" s="47"/>
      <c r="AC27" s="47"/>
    </row>
    <row r="28" spans="1:33" ht="19.8">
      <c r="A28" s="53"/>
      <c r="X28" s="47"/>
      <c r="Y28" s="47"/>
      <c r="Z28" s="47"/>
      <c r="AA28" s="47"/>
      <c r="AB28" s="47"/>
      <c r="AC28" s="47"/>
    </row>
    <row r="29" spans="1:33" s="231" customFormat="1" ht="15" thickBot="1">
      <c r="A29" s="232" t="s">
        <v>681</v>
      </c>
      <c r="B29" s="229"/>
      <c r="C29" s="229"/>
      <c r="D29" s="229"/>
      <c r="E29" s="229"/>
      <c r="F29" s="229"/>
      <c r="I29" s="230"/>
    </row>
    <row r="30" spans="1:33" s="231" customFormat="1" ht="15.6" thickTop="1" thickBot="1">
      <c r="A30" s="232" t="s">
        <v>682</v>
      </c>
      <c r="B30" s="229"/>
      <c r="C30" s="229"/>
      <c r="D30" s="229"/>
      <c r="E30" s="229"/>
      <c r="F30" s="229"/>
      <c r="I30" s="230"/>
    </row>
    <row r="31" spans="1:33" s="231" customFormat="1" ht="15.6" thickTop="1" thickBot="1">
      <c r="A31" s="232" t="s">
        <v>683</v>
      </c>
      <c r="B31" s="229"/>
      <c r="C31" s="229"/>
      <c r="D31" s="229"/>
      <c r="E31" s="229"/>
      <c r="F31" s="229"/>
      <c r="I31" s="230"/>
    </row>
    <row r="32" spans="1:33" s="231" customFormat="1" ht="15.6" thickTop="1" thickBot="1">
      <c r="A32" s="232" t="s">
        <v>684</v>
      </c>
      <c r="B32" s="229"/>
      <c r="C32" s="229"/>
      <c r="D32" s="229"/>
      <c r="E32" s="229"/>
      <c r="F32" s="229"/>
      <c r="I32" s="230"/>
      <c r="W32" s="407"/>
      <c r="X32" s="407"/>
      <c r="Y32" s="407"/>
      <c r="Z32" s="407"/>
      <c r="AA32" s="407"/>
      <c r="AB32" s="407"/>
      <c r="AC32" s="407"/>
    </row>
    <row r="33" spans="1:29" s="231" customFormat="1" ht="15.6" thickTop="1" thickBot="1">
      <c r="A33" s="232" t="s">
        <v>685</v>
      </c>
      <c r="B33" s="229"/>
      <c r="C33" s="229"/>
      <c r="D33" s="229"/>
      <c r="E33" s="229"/>
      <c r="F33" s="229"/>
      <c r="I33" s="230"/>
      <c r="W33" s="407"/>
      <c r="X33" s="407"/>
      <c r="Y33" s="407"/>
      <c r="Z33" s="407"/>
      <c r="AA33" s="407"/>
      <c r="AB33" s="407"/>
      <c r="AC33" s="407"/>
    </row>
    <row r="34" spans="1:29" ht="30" customHeight="1" thickTop="1" thickBot="1">
      <c r="A34" s="23"/>
      <c r="B34" s="23"/>
      <c r="W34" s="296"/>
      <c r="X34" s="297"/>
      <c r="Y34" s="297"/>
      <c r="Z34" s="297"/>
      <c r="AA34" s="297"/>
      <c r="AB34" s="297"/>
      <c r="AC34" s="297"/>
    </row>
    <row r="35" spans="1:29" ht="159" customHeight="1" thickTop="1">
      <c r="A35" s="556" t="s">
        <v>80</v>
      </c>
      <c r="B35" s="557"/>
      <c r="C35" s="564" t="s">
        <v>342</v>
      </c>
      <c r="D35" s="564"/>
      <c r="E35" s="564"/>
      <c r="F35" s="564"/>
      <c r="G35" s="564"/>
      <c r="H35" s="564"/>
      <c r="I35" s="564"/>
      <c r="J35" s="564"/>
      <c r="K35" s="564"/>
      <c r="L35" s="564"/>
      <c r="W35" s="220"/>
      <c r="X35" s="220"/>
      <c r="Y35" s="220"/>
      <c r="Z35" s="220"/>
      <c r="AA35" s="220"/>
      <c r="AB35" s="220"/>
      <c r="AC35" s="296"/>
    </row>
    <row r="36" spans="1:29" ht="15" thickBot="1">
      <c r="A36" s="23"/>
      <c r="B36" s="23"/>
      <c r="W36" s="220"/>
      <c r="X36" s="220"/>
      <c r="Y36" s="220"/>
      <c r="Z36" s="220"/>
      <c r="AA36" s="220"/>
      <c r="AB36" s="220"/>
      <c r="AC36" s="296"/>
    </row>
    <row r="37" spans="1:29" ht="44.4" thickTop="1" thickBot="1">
      <c r="B37" s="12" t="s">
        <v>64</v>
      </c>
      <c r="C37" s="12" t="s">
        <v>91</v>
      </c>
      <c r="D37" s="12" t="s">
        <v>338</v>
      </c>
      <c r="E37" s="12" t="s">
        <v>75</v>
      </c>
      <c r="F37" s="12"/>
      <c r="G37" s="12" t="s">
        <v>72</v>
      </c>
      <c r="H37" s="12" t="s">
        <v>71</v>
      </c>
      <c r="I37" s="12" t="s">
        <v>340</v>
      </c>
      <c r="J37" s="12" t="s">
        <v>339</v>
      </c>
      <c r="W37" s="220"/>
      <c r="X37" s="221" t="s">
        <v>54</v>
      </c>
      <c r="Y37" s="222">
        <f>((1-Facteur_variable)+Facteur_variable*DJC_tot_18_19/DJC_tot_09_10)*GJ_Tot_09_10+GJ_Ajust_NP_Cour_18_19</f>
        <v>0</v>
      </c>
      <c r="Z37" s="223" t="s">
        <v>318</v>
      </c>
      <c r="AA37" s="220"/>
      <c r="AB37" s="220"/>
      <c r="AC37" s="296"/>
    </row>
    <row r="38" spans="1:29" ht="35.25" customHeight="1" thickTop="1">
      <c r="B38" s="36" t="s">
        <v>336</v>
      </c>
      <c r="C38" s="36"/>
      <c r="D38" s="36"/>
      <c r="E38" s="55"/>
      <c r="F38" s="54" t="str">
        <f>IF(D38="électrique","kWh",IF(D38="Gaz naturel","m³",IF(LEFT(D38,1)="R","1000 kg","l")))</f>
        <v>l</v>
      </c>
      <c r="G38" s="36"/>
      <c r="H38" s="37"/>
      <c r="I38" s="38">
        <f>IF(COUNTA(G38)=1,IF(C38="Réduction",-1,IF(C38="Augmentation",1,0))*E38*INDEX(Conversion!$A$24:$J$40,MATCH(D38,Conversion!$J$24:$J$40,0),9),0)</f>
        <v>0</v>
      </c>
      <c r="J38" s="38">
        <f t="shared" ref="J38:J44" si="8">IF(G38="Non",I38*L38,IF(G38="Oui",I38*K38,0))</f>
        <v>0</v>
      </c>
      <c r="K38" s="56" t="e">
        <f t="shared" ref="K38:K44" si="9">(DJC_tot_18_19-INDEX($A$9:$AF$20,MATCH(H38,$A$9:$A$20,0),24))/DJC_tot_18_19</f>
        <v>#N/A</v>
      </c>
      <c r="L38" s="56" t="e">
        <f t="shared" ref="L38:L44" si="10">INDEX($A$9:$AG$20,MATCH(H38,$A$9:$A$20,0),25)/12</f>
        <v>#N/A</v>
      </c>
      <c r="W38" s="223"/>
      <c r="X38" s="224" t="s">
        <v>55</v>
      </c>
      <c r="Y38" s="223" t="e">
        <f>GJ_Tot_18_19</f>
        <v>#NAME?</v>
      </c>
      <c r="Z38" s="223"/>
      <c r="AA38" s="220"/>
      <c r="AB38" s="220"/>
      <c r="AC38" s="296"/>
    </row>
    <row r="39" spans="1:29" ht="35.25" customHeight="1">
      <c r="B39" s="36" t="s">
        <v>330</v>
      </c>
      <c r="C39" s="36"/>
      <c r="D39" s="36"/>
      <c r="E39" s="55"/>
      <c r="F39" s="54" t="str">
        <f t="shared" ref="F39:F44" si="11">IF(D39="électrique","kWh",IF(D39="Gaz naturel","m³",IF(LEFT(D39,1)="R","1000 kg","l")))</f>
        <v>l</v>
      </c>
      <c r="G39" s="36"/>
      <c r="H39" s="37"/>
      <c r="I39" s="38">
        <f>IF(COUNTA(G39)=1,IF(C39="Réduction",-1,IF(C39="Augmentation",1,0))*E39*INDEX(Conversion!$A$24:$J$40,MATCH(D39,Conversion!$J$24:$J$40,0),9),0)</f>
        <v>0</v>
      </c>
      <c r="J39" s="38">
        <f t="shared" si="8"/>
        <v>0</v>
      </c>
      <c r="K39" s="56" t="e">
        <f t="shared" si="9"/>
        <v>#N/A</v>
      </c>
      <c r="L39" s="56" t="e">
        <f t="shared" si="10"/>
        <v>#N/A</v>
      </c>
      <c r="W39" s="223"/>
      <c r="X39" s="224" t="s">
        <v>56</v>
      </c>
      <c r="Y39" s="223">
        <f>Sup_09_10</f>
        <v>0</v>
      </c>
      <c r="Z39" s="223"/>
      <c r="AA39" s="220"/>
      <c r="AB39" s="220"/>
      <c r="AC39" s="296"/>
    </row>
    <row r="40" spans="1:29" ht="35.25" customHeight="1">
      <c r="B40" s="36" t="s">
        <v>331</v>
      </c>
      <c r="C40" s="36"/>
      <c r="D40" s="36"/>
      <c r="E40" s="55"/>
      <c r="F40" s="54" t="str">
        <f t="shared" si="11"/>
        <v>l</v>
      </c>
      <c r="G40" s="36"/>
      <c r="H40" s="37"/>
      <c r="I40" s="38">
        <f>IF(COUNTA(G40)=1,IF(C40="Réduction",-1,IF(C40="Augmentation",1,0))*E40*INDEX(Conversion!$A$24:$J$40,MATCH(D40,Conversion!$J$24:$J$40,0),9),0)</f>
        <v>0</v>
      </c>
      <c r="J40" s="38">
        <f t="shared" si="8"/>
        <v>0</v>
      </c>
      <c r="K40" s="56" t="e">
        <f t="shared" si="9"/>
        <v>#N/A</v>
      </c>
      <c r="L40" s="56" t="e">
        <f t="shared" si="10"/>
        <v>#N/A</v>
      </c>
      <c r="W40" s="220"/>
      <c r="X40" s="224" t="s">
        <v>57</v>
      </c>
      <c r="Y40" s="220">
        <f>Sup_18_19</f>
        <v>0</v>
      </c>
      <c r="Z40" s="223"/>
      <c r="AA40" s="220"/>
      <c r="AB40" s="220"/>
      <c r="AC40" s="296"/>
    </row>
    <row r="41" spans="1:29" ht="35.25" customHeight="1">
      <c r="B41" s="36" t="s">
        <v>332</v>
      </c>
      <c r="C41" s="36"/>
      <c r="D41" s="36"/>
      <c r="E41" s="55"/>
      <c r="F41" s="54" t="str">
        <f t="shared" si="11"/>
        <v>l</v>
      </c>
      <c r="G41" s="36"/>
      <c r="H41" s="37"/>
      <c r="I41" s="38">
        <f>IF(COUNTA(G41)=1,IF(C41="Réduction",-1,IF(C41="Augmentation",1,0))*E41*INDEX(Conversion!$A$24:$J$40,MATCH(D41,Conversion!$J$24:$J$40,0),9),0)</f>
        <v>0</v>
      </c>
      <c r="J41" s="38">
        <f t="shared" si="8"/>
        <v>0</v>
      </c>
      <c r="K41" s="56" t="e">
        <f t="shared" si="9"/>
        <v>#N/A</v>
      </c>
      <c r="L41" s="56" t="e">
        <f t="shared" si="10"/>
        <v>#N/A</v>
      </c>
      <c r="W41" s="220"/>
      <c r="X41" s="220"/>
      <c r="Y41" s="225" t="e">
        <f>GJTotRef_Ajust_18_19/Sup_09_10</f>
        <v>#DIV/0!</v>
      </c>
      <c r="Z41" s="223" t="s">
        <v>319</v>
      </c>
      <c r="AA41" s="220"/>
      <c r="AB41" s="220"/>
      <c r="AC41" s="296"/>
    </row>
    <row r="42" spans="1:29" ht="35.25" customHeight="1">
      <c r="B42" s="36" t="s">
        <v>333</v>
      </c>
      <c r="C42" s="36"/>
      <c r="D42" s="36"/>
      <c r="E42" s="55"/>
      <c r="F42" s="54" t="str">
        <f t="shared" si="11"/>
        <v>l</v>
      </c>
      <c r="G42" s="36"/>
      <c r="H42" s="37"/>
      <c r="I42" s="38">
        <f>IF(COUNTA(G42)=1,IF(C42="Réduction",-1,IF(C42="Augmentation",1,0))*E42*INDEX(Conversion!$A$24:$J$40,MATCH(D42,Conversion!$J$24:$J$40,0),9),0)</f>
        <v>0</v>
      </c>
      <c r="J42" s="38">
        <f t="shared" si="8"/>
        <v>0</v>
      </c>
      <c r="K42" s="56" t="e">
        <f t="shared" si="9"/>
        <v>#N/A</v>
      </c>
      <c r="L42" s="56" t="e">
        <f t="shared" si="10"/>
        <v>#N/A</v>
      </c>
      <c r="W42" s="223"/>
      <c r="X42" s="223"/>
      <c r="Y42" s="226">
        <f>J45</f>
        <v>0</v>
      </c>
      <c r="Z42" s="223" t="s">
        <v>320</v>
      </c>
      <c r="AA42" s="223"/>
      <c r="AB42" s="223"/>
      <c r="AC42" s="297"/>
    </row>
    <row r="43" spans="1:29" ht="35.25" customHeight="1">
      <c r="B43" s="36" t="s">
        <v>334</v>
      </c>
      <c r="C43" s="36"/>
      <c r="D43" s="36"/>
      <c r="E43" s="55"/>
      <c r="F43" s="54" t="str">
        <f t="shared" si="11"/>
        <v>l</v>
      </c>
      <c r="G43" s="36"/>
      <c r="H43" s="37"/>
      <c r="I43" s="38">
        <f>IF(COUNTA(G43)=1,IF(C43="Réduction",-1,IF(C43="Augmentation",1,0))*E43*INDEX(Conversion!$A$24:$J$40,MATCH(D43,Conversion!$J$24:$J$40,0),9),0)</f>
        <v>0</v>
      </c>
      <c r="J43" s="38">
        <f t="shared" si="8"/>
        <v>0</v>
      </c>
      <c r="K43" s="56" t="e">
        <f t="shared" si="9"/>
        <v>#N/A</v>
      </c>
      <c r="L43" s="56" t="e">
        <f t="shared" si="10"/>
        <v>#N/A</v>
      </c>
      <c r="W43" s="223"/>
      <c r="X43" s="223"/>
      <c r="Y43" s="226">
        <f>I45</f>
        <v>0</v>
      </c>
      <c r="Z43" s="223" t="s">
        <v>321</v>
      </c>
      <c r="AA43" s="223"/>
      <c r="AB43" s="223"/>
      <c r="AC43" s="297"/>
    </row>
    <row r="44" spans="1:29" ht="35.25" customHeight="1" thickBot="1">
      <c r="B44" s="36" t="s">
        <v>335</v>
      </c>
      <c r="C44" s="36"/>
      <c r="D44" s="36"/>
      <c r="E44" s="55"/>
      <c r="F44" s="54" t="str">
        <f t="shared" si="11"/>
        <v>l</v>
      </c>
      <c r="G44" s="36"/>
      <c r="H44" s="37"/>
      <c r="I44" s="38">
        <f>IF(COUNTA(G44)=1,IF(C44="Réduction",-1,IF(C44="Augmentation",1,0))*E44*INDEX(Conversion!$A$24:$J$40,MATCH(D44,Conversion!$J$24:$J$40,0),9),0)</f>
        <v>0</v>
      </c>
      <c r="J44" s="38">
        <f t="shared" si="8"/>
        <v>0</v>
      </c>
      <c r="K44" s="56" t="e">
        <f t="shared" si="9"/>
        <v>#N/A</v>
      </c>
      <c r="L44" s="56" t="e">
        <f t="shared" si="10"/>
        <v>#N/A</v>
      </c>
      <c r="W44" s="223"/>
      <c r="X44" s="223"/>
      <c r="Y44" s="223"/>
      <c r="Z44" s="223"/>
      <c r="AA44" s="223"/>
      <c r="AB44" s="223"/>
    </row>
    <row r="45" spans="1:29" ht="25.5" customHeight="1" thickTop="1" thickBot="1">
      <c r="B45" s="21" t="s">
        <v>16</v>
      </c>
      <c r="C45" s="19"/>
      <c r="D45" s="19"/>
      <c r="E45" s="19"/>
      <c r="F45" s="19"/>
      <c r="G45" s="19"/>
      <c r="H45" s="19"/>
      <c r="I45" s="20">
        <f>SUM(I38:I44)</f>
        <v>0</v>
      </c>
      <c r="J45" s="20">
        <f>SUM(J38:J44)</f>
        <v>0</v>
      </c>
      <c r="W45" s="223"/>
      <c r="X45" s="223"/>
      <c r="Y45" s="223"/>
      <c r="Z45" s="223"/>
      <c r="AA45" s="223"/>
      <c r="AB45" s="223"/>
    </row>
    <row r="46" spans="1:29" ht="15" thickTop="1">
      <c r="I46" s="1"/>
      <c r="J46" s="24"/>
      <c r="W46" s="223"/>
      <c r="X46" s="223"/>
      <c r="Y46" s="223"/>
      <c r="Z46" s="223"/>
      <c r="AA46" s="223"/>
      <c r="AB46" s="223"/>
    </row>
    <row r="47" spans="1:29">
      <c r="W47" s="49"/>
    </row>
    <row r="48" spans="1:29">
      <c r="W48" s="49"/>
    </row>
    <row r="49" spans="1:23" ht="16.5" customHeight="1">
      <c r="W49" s="49"/>
    </row>
    <row r="50" spans="1:23">
      <c r="W50" s="49"/>
    </row>
    <row r="51" spans="1:23" ht="16.5" customHeight="1">
      <c r="W51" s="49"/>
    </row>
    <row r="52" spans="1:23">
      <c r="A52" s="29"/>
      <c r="B52" s="29"/>
      <c r="C52" s="30"/>
      <c r="D52" s="30"/>
      <c r="E52" s="30"/>
      <c r="F52" s="30"/>
      <c r="G52" s="30"/>
      <c r="H52" s="30"/>
      <c r="W52" s="49"/>
    </row>
    <row r="53" spans="1:23">
      <c r="A53" s="29"/>
      <c r="B53" s="29"/>
      <c r="C53" s="30"/>
      <c r="D53" s="30"/>
      <c r="E53" s="30"/>
      <c r="F53" s="30"/>
      <c r="G53" s="30"/>
      <c r="H53" s="30"/>
      <c r="W53" s="49"/>
    </row>
    <row r="54" spans="1:23">
      <c r="A54" s="29"/>
      <c r="B54" s="27"/>
      <c r="C54" s="28" t="s">
        <v>65</v>
      </c>
      <c r="D54" s="28" t="s">
        <v>70</v>
      </c>
      <c r="E54" s="28"/>
      <c r="F54" s="28"/>
      <c r="G54" s="28" t="s">
        <v>73</v>
      </c>
      <c r="H54" s="30"/>
    </row>
    <row r="55" spans="1:23">
      <c r="A55" s="29"/>
      <c r="B55" s="27"/>
      <c r="C55" s="28" t="s">
        <v>66</v>
      </c>
      <c r="D55" s="28" t="s">
        <v>19</v>
      </c>
      <c r="E55" s="28"/>
      <c r="F55" s="28"/>
      <c r="G55" s="28" t="s">
        <v>74</v>
      </c>
      <c r="H55" s="30"/>
    </row>
    <row r="56" spans="1:23">
      <c r="A56" s="29"/>
      <c r="B56" s="27"/>
      <c r="C56" s="28"/>
      <c r="D56" s="28" t="s">
        <v>67</v>
      </c>
      <c r="E56" s="28"/>
      <c r="F56" s="28"/>
      <c r="G56" s="28"/>
      <c r="H56" s="30"/>
    </row>
    <row r="57" spans="1:23">
      <c r="A57" s="29"/>
      <c r="B57" s="27"/>
      <c r="C57" s="28"/>
      <c r="D57" s="28" t="s">
        <v>25</v>
      </c>
      <c r="E57" s="28"/>
      <c r="F57" s="28"/>
      <c r="G57" s="28"/>
      <c r="H57" s="30"/>
    </row>
    <row r="58" spans="1:23">
      <c r="A58" s="29"/>
      <c r="B58" s="27"/>
      <c r="C58" s="28"/>
      <c r="D58" s="28" t="s">
        <v>27</v>
      </c>
      <c r="E58" s="28"/>
      <c r="F58" s="28"/>
      <c r="G58" s="28"/>
      <c r="H58" s="30"/>
    </row>
    <row r="59" spans="1:23">
      <c r="A59" s="29"/>
      <c r="B59" s="27"/>
      <c r="C59" s="28"/>
      <c r="D59" s="28" t="s">
        <v>68</v>
      </c>
      <c r="E59" s="28"/>
      <c r="F59" s="28"/>
      <c r="G59" s="28"/>
      <c r="H59" s="30"/>
    </row>
    <row r="60" spans="1:23">
      <c r="A60" s="29"/>
      <c r="B60" s="27"/>
      <c r="C60" s="28"/>
      <c r="D60" s="28" t="s">
        <v>69</v>
      </c>
      <c r="E60" s="28"/>
      <c r="F60" s="28"/>
      <c r="G60" s="28"/>
      <c r="H60" s="30"/>
    </row>
    <row r="61" spans="1:23">
      <c r="A61" s="29"/>
      <c r="B61" s="27"/>
      <c r="C61" s="28"/>
      <c r="D61" s="28" t="s">
        <v>77</v>
      </c>
      <c r="E61" s="28"/>
      <c r="F61" s="28"/>
      <c r="G61" s="28"/>
      <c r="H61" s="30"/>
    </row>
    <row r="62" spans="1:23">
      <c r="A62" s="29"/>
      <c r="B62" s="27"/>
      <c r="C62" s="28"/>
      <c r="D62" s="28"/>
      <c r="E62" s="28"/>
      <c r="F62" s="28"/>
      <c r="G62" s="28"/>
      <c r="H62" s="30"/>
    </row>
    <row r="63" spans="1:23">
      <c r="A63" s="29"/>
      <c r="B63" s="29"/>
      <c r="C63" s="30"/>
      <c r="D63" s="30"/>
      <c r="E63" s="30"/>
      <c r="F63" s="30"/>
      <c r="G63" s="30"/>
      <c r="H63" s="30"/>
    </row>
    <row r="64" spans="1:23">
      <c r="A64" s="29"/>
      <c r="B64" s="29"/>
      <c r="C64" s="30"/>
      <c r="D64" s="30"/>
      <c r="E64" s="30"/>
      <c r="F64" s="30"/>
      <c r="G64" s="30"/>
      <c r="H64" s="30"/>
    </row>
    <row r="65" spans="1:23">
      <c r="A65" s="29"/>
      <c r="B65" s="29"/>
      <c r="C65" s="30"/>
      <c r="D65" s="30"/>
      <c r="E65" s="30"/>
      <c r="F65" s="30"/>
      <c r="G65" s="30"/>
      <c r="H65" s="30"/>
    </row>
    <row r="66" spans="1:23">
      <c r="A66" s="29"/>
      <c r="B66" s="29"/>
      <c r="C66" s="30"/>
      <c r="D66" s="30"/>
      <c r="E66" s="30"/>
      <c r="F66" s="30"/>
      <c r="G66" s="30"/>
      <c r="H66" s="30"/>
    </row>
    <row r="67" spans="1:23">
      <c r="A67" s="29"/>
      <c r="B67" s="29"/>
      <c r="C67" s="30"/>
      <c r="D67" s="30"/>
      <c r="E67" s="30"/>
      <c r="F67" s="30"/>
      <c r="G67" s="30"/>
      <c r="H67" s="30"/>
    </row>
    <row r="68" spans="1:23">
      <c r="A68" s="29"/>
      <c r="B68" s="29"/>
      <c r="C68" s="30"/>
      <c r="D68" s="30"/>
      <c r="E68" s="29"/>
      <c r="F68" s="29"/>
      <c r="G68" s="29"/>
      <c r="H68" s="29"/>
      <c r="I68" s="1"/>
      <c r="J68" s="1"/>
      <c r="K68" s="1"/>
      <c r="L68" s="1"/>
      <c r="M68" s="1"/>
      <c r="N68" s="1"/>
      <c r="O68" s="1"/>
      <c r="P68" s="1"/>
      <c r="Q68" s="1"/>
      <c r="R68" s="1"/>
      <c r="S68" s="1"/>
      <c r="T68" s="1"/>
      <c r="U68" s="1"/>
      <c r="V68" s="1"/>
      <c r="W68" s="49"/>
    </row>
    <row r="69" spans="1:23">
      <c r="A69" s="29"/>
      <c r="B69" s="29"/>
      <c r="C69" s="30"/>
      <c r="D69" s="30"/>
      <c r="E69" s="29"/>
      <c r="F69" s="29"/>
      <c r="G69" s="29"/>
      <c r="H69" s="29"/>
      <c r="I69" s="1"/>
      <c r="J69" s="1"/>
      <c r="K69" s="1"/>
      <c r="L69" s="1"/>
      <c r="M69" s="1"/>
      <c r="N69" s="1"/>
      <c r="O69" s="1"/>
      <c r="P69" s="1"/>
      <c r="Q69" s="1"/>
      <c r="R69" s="1"/>
      <c r="S69" s="1"/>
      <c r="T69" s="1"/>
      <c r="U69" s="1"/>
      <c r="V69" s="1"/>
      <c r="W69" s="49"/>
    </row>
    <row r="70" spans="1:23" ht="16.5" customHeight="1">
      <c r="E70" s="1"/>
      <c r="F70" s="1"/>
      <c r="G70" s="1"/>
      <c r="H70" s="1"/>
      <c r="I70" s="1"/>
      <c r="J70" s="1"/>
      <c r="K70" s="1"/>
      <c r="L70" s="1"/>
      <c r="M70" s="1"/>
      <c r="N70" s="1"/>
      <c r="O70" s="1"/>
      <c r="P70" s="1"/>
      <c r="Q70" s="1"/>
      <c r="R70" s="1"/>
      <c r="S70" s="1"/>
      <c r="T70" s="1"/>
      <c r="U70" s="1"/>
      <c r="V70" s="1"/>
      <c r="W70" s="49"/>
    </row>
    <row r="71" spans="1:23">
      <c r="E71" s="1"/>
      <c r="F71" s="1"/>
      <c r="G71" s="1"/>
      <c r="H71" s="1"/>
      <c r="I71" s="1"/>
      <c r="J71" s="1"/>
      <c r="K71" s="1"/>
      <c r="L71" s="1"/>
      <c r="M71" s="1"/>
      <c r="N71" s="1"/>
      <c r="O71" s="1"/>
      <c r="P71" s="1"/>
      <c r="Q71" s="1"/>
      <c r="R71" s="1"/>
      <c r="S71" s="1"/>
      <c r="T71" s="1"/>
      <c r="U71" s="1"/>
      <c r="V71" s="1"/>
      <c r="W71" s="49"/>
    </row>
    <row r="72" spans="1:23">
      <c r="E72" s="1"/>
      <c r="F72" s="1"/>
      <c r="G72" s="1"/>
      <c r="H72" s="1"/>
      <c r="I72" s="1"/>
      <c r="J72" s="1"/>
      <c r="K72" s="1"/>
      <c r="L72" s="1"/>
      <c r="M72" s="1"/>
      <c r="N72" s="1"/>
      <c r="O72" s="1"/>
      <c r="P72" s="1"/>
      <c r="Q72" s="1"/>
      <c r="R72" s="1"/>
      <c r="S72" s="1"/>
      <c r="T72" s="1"/>
      <c r="U72" s="1"/>
      <c r="V72" s="1"/>
      <c r="W72" s="49"/>
    </row>
    <row r="73" spans="1:23">
      <c r="E73" s="1"/>
      <c r="F73" s="1"/>
      <c r="G73" s="1"/>
      <c r="H73" s="1"/>
      <c r="I73" s="1"/>
      <c r="J73" s="1"/>
      <c r="K73" s="1"/>
      <c r="L73" s="1"/>
      <c r="M73" s="1"/>
      <c r="N73" s="1"/>
      <c r="O73" s="1"/>
      <c r="P73" s="1"/>
      <c r="Q73" s="1"/>
      <c r="R73" s="1"/>
      <c r="S73" s="1"/>
      <c r="T73" s="1"/>
      <c r="U73" s="1"/>
      <c r="V73" s="1"/>
      <c r="W73" s="49"/>
    </row>
    <row r="74" spans="1:23">
      <c r="E74" s="1"/>
      <c r="F74" s="1"/>
      <c r="G74" s="1"/>
      <c r="H74" s="1"/>
      <c r="I74" s="1"/>
      <c r="J74" s="1"/>
      <c r="K74" s="1"/>
      <c r="L74" s="1"/>
      <c r="M74" s="1"/>
      <c r="N74" s="1"/>
      <c r="O74" s="1"/>
      <c r="P74" s="1"/>
      <c r="Q74" s="1"/>
      <c r="R74" s="1"/>
      <c r="S74" s="1"/>
      <c r="T74" s="1"/>
      <c r="U74" s="1"/>
      <c r="V74" s="1"/>
      <c r="W74" s="49"/>
    </row>
    <row r="75" spans="1:23">
      <c r="E75" s="1"/>
      <c r="F75" s="1"/>
      <c r="G75" s="1"/>
      <c r="H75" s="1"/>
      <c r="I75" s="1"/>
      <c r="J75" s="1"/>
      <c r="K75" s="1"/>
      <c r="L75" s="1"/>
      <c r="M75" s="1"/>
      <c r="N75" s="1"/>
      <c r="O75" s="1"/>
      <c r="P75" s="1"/>
      <c r="Q75" s="1"/>
      <c r="R75" s="1"/>
      <c r="S75" s="1"/>
      <c r="T75" s="1"/>
      <c r="U75" s="1"/>
      <c r="V75" s="1"/>
      <c r="W75" s="49"/>
    </row>
    <row r="76" spans="1:23">
      <c r="E76" s="1"/>
      <c r="F76" s="1"/>
      <c r="G76" s="1"/>
      <c r="H76" s="1"/>
      <c r="I76" s="1"/>
      <c r="J76" s="1"/>
      <c r="K76" s="1"/>
      <c r="L76" s="1"/>
      <c r="M76" s="1"/>
      <c r="N76" s="1"/>
      <c r="O76" s="1"/>
      <c r="P76" s="1"/>
      <c r="Q76" s="1"/>
      <c r="R76" s="1"/>
      <c r="S76" s="1"/>
      <c r="T76" s="1"/>
      <c r="U76" s="1"/>
      <c r="V76" s="1"/>
      <c r="W76" s="49"/>
    </row>
    <row r="77" spans="1:23">
      <c r="E77" s="1"/>
      <c r="F77" s="1"/>
      <c r="G77" s="1"/>
      <c r="H77" s="1"/>
      <c r="I77" s="1"/>
      <c r="J77" s="1"/>
      <c r="K77" s="1"/>
      <c r="L77" s="1"/>
      <c r="M77" s="1"/>
      <c r="N77" s="1"/>
      <c r="O77" s="1"/>
      <c r="P77" s="1"/>
      <c r="Q77" s="1"/>
      <c r="R77" s="1"/>
      <c r="S77" s="1"/>
      <c r="T77" s="1"/>
      <c r="U77" s="1"/>
      <c r="V77" s="1"/>
      <c r="W77" s="49"/>
    </row>
    <row r="78" spans="1:23">
      <c r="E78" s="1"/>
      <c r="F78" s="1"/>
      <c r="G78" s="1"/>
      <c r="H78" s="1"/>
      <c r="I78" s="1"/>
      <c r="J78" s="1"/>
      <c r="K78" s="1"/>
      <c r="L78" s="1"/>
      <c r="M78" s="1"/>
      <c r="N78" s="1"/>
      <c r="O78" s="1"/>
      <c r="P78" s="1"/>
      <c r="Q78" s="1"/>
      <c r="R78" s="1"/>
      <c r="S78" s="1"/>
      <c r="T78" s="1"/>
      <c r="U78" s="1"/>
      <c r="V78" s="1"/>
      <c r="W78" s="49"/>
    </row>
    <row r="79" spans="1:23">
      <c r="E79" s="1"/>
      <c r="F79" s="1"/>
      <c r="G79" s="1"/>
      <c r="H79" s="1"/>
      <c r="I79" s="1"/>
      <c r="J79" s="1"/>
      <c r="K79" s="1"/>
      <c r="L79" s="1"/>
      <c r="M79" s="1"/>
      <c r="N79" s="1"/>
      <c r="O79" s="1"/>
      <c r="P79" s="1"/>
      <c r="Q79" s="1"/>
      <c r="R79" s="1"/>
      <c r="S79" s="1"/>
      <c r="T79" s="1"/>
      <c r="U79" s="1"/>
      <c r="V79" s="1"/>
      <c r="W79" s="49"/>
    </row>
    <row r="80" spans="1:23" ht="16.5" customHeight="1">
      <c r="E80" s="1"/>
      <c r="F80" s="1"/>
      <c r="G80" s="1"/>
      <c r="H80" s="1"/>
      <c r="I80" s="1"/>
      <c r="J80" s="1"/>
      <c r="K80" s="1"/>
      <c r="L80" s="1"/>
      <c r="M80" s="1"/>
      <c r="N80" s="1"/>
      <c r="O80" s="1"/>
      <c r="P80" s="1"/>
      <c r="Q80" s="1"/>
      <c r="R80" s="1"/>
      <c r="S80" s="1"/>
      <c r="T80" s="1"/>
      <c r="U80" s="1"/>
      <c r="V80" s="1"/>
      <c r="W80" s="49"/>
    </row>
    <row r="81" spans="5:23">
      <c r="E81" s="1"/>
      <c r="F81" s="1"/>
      <c r="G81" s="1"/>
      <c r="H81" s="1"/>
      <c r="I81" s="1"/>
      <c r="J81" s="1"/>
      <c r="K81" s="1"/>
      <c r="L81" s="1"/>
      <c r="M81" s="1"/>
      <c r="N81" s="1"/>
      <c r="O81" s="1"/>
      <c r="P81" s="1"/>
      <c r="Q81" s="1"/>
      <c r="R81" s="1"/>
      <c r="S81" s="1"/>
      <c r="T81" s="1"/>
      <c r="U81" s="1"/>
      <c r="V81" s="1"/>
      <c r="W81" s="49"/>
    </row>
    <row r="82" spans="5:23" ht="16.5" customHeight="1">
      <c r="E82" s="1"/>
      <c r="F82" s="1"/>
      <c r="G82" s="1"/>
      <c r="H82" s="1"/>
      <c r="I82" s="1"/>
      <c r="J82" s="1"/>
      <c r="K82" s="1"/>
      <c r="L82" s="1"/>
      <c r="M82" s="1"/>
      <c r="N82" s="1"/>
      <c r="O82" s="1"/>
      <c r="P82" s="1"/>
      <c r="Q82" s="1"/>
      <c r="R82" s="1"/>
      <c r="S82" s="1"/>
      <c r="T82" s="1"/>
      <c r="U82" s="1"/>
      <c r="V82" s="1"/>
      <c r="W82" s="49"/>
    </row>
    <row r="83" spans="5:23">
      <c r="E83" s="1"/>
      <c r="F83" s="1"/>
      <c r="G83" s="1"/>
      <c r="H83" s="1"/>
      <c r="I83" s="1"/>
      <c r="J83" s="1"/>
      <c r="K83" s="1"/>
      <c r="L83" s="1"/>
      <c r="M83" s="1"/>
      <c r="N83" s="1"/>
      <c r="O83" s="1"/>
      <c r="P83" s="1"/>
      <c r="Q83" s="1"/>
      <c r="R83" s="1"/>
      <c r="S83" s="1"/>
      <c r="T83" s="1"/>
      <c r="U83" s="1"/>
      <c r="V83" s="1"/>
      <c r="W83" s="49"/>
    </row>
    <row r="84" spans="5:23">
      <c r="E84" s="1"/>
      <c r="F84" s="1"/>
      <c r="G84" s="1"/>
      <c r="H84" s="1"/>
      <c r="I84" s="1"/>
      <c r="J84" s="1"/>
      <c r="K84" s="1"/>
      <c r="L84" s="1"/>
      <c r="M84" s="1"/>
      <c r="N84" s="1"/>
      <c r="O84" s="1"/>
      <c r="P84" s="1"/>
      <c r="Q84" s="1"/>
      <c r="R84" s="1"/>
      <c r="S84" s="1"/>
      <c r="T84" s="1"/>
      <c r="U84" s="1"/>
      <c r="V84" s="1"/>
      <c r="W84" s="49"/>
    </row>
    <row r="85" spans="5:23">
      <c r="E85" s="1"/>
      <c r="F85" s="1"/>
      <c r="G85" s="1"/>
      <c r="H85" s="1"/>
      <c r="I85" s="1"/>
      <c r="J85" s="1"/>
      <c r="K85" s="1"/>
      <c r="L85" s="1"/>
      <c r="M85" s="1"/>
      <c r="N85" s="1"/>
      <c r="O85" s="1"/>
      <c r="P85" s="1"/>
      <c r="Q85" s="1"/>
      <c r="R85" s="1"/>
      <c r="S85" s="1"/>
      <c r="T85" s="1"/>
      <c r="U85" s="1"/>
      <c r="V85" s="1"/>
      <c r="W85" s="49"/>
    </row>
    <row r="86" spans="5:23">
      <c r="E86" s="1"/>
      <c r="F86" s="1"/>
      <c r="G86" s="1"/>
      <c r="H86" s="1"/>
      <c r="I86" s="1"/>
      <c r="J86" s="1"/>
      <c r="K86" s="1"/>
      <c r="L86" s="1"/>
      <c r="M86" s="1"/>
      <c r="N86" s="1"/>
      <c r="O86" s="1"/>
      <c r="P86" s="1"/>
      <c r="Q86" s="1"/>
      <c r="R86" s="1"/>
      <c r="S86" s="1"/>
      <c r="T86" s="1"/>
      <c r="U86" s="1"/>
      <c r="V86" s="1"/>
      <c r="W86" s="49"/>
    </row>
    <row r="87" spans="5:23">
      <c r="E87" s="1"/>
      <c r="F87" s="1"/>
      <c r="G87" s="1"/>
      <c r="H87" s="1"/>
      <c r="I87" s="1"/>
      <c r="J87" s="1"/>
      <c r="K87" s="1"/>
      <c r="L87" s="1"/>
      <c r="M87" s="1"/>
      <c r="N87" s="1"/>
      <c r="O87" s="1"/>
      <c r="P87" s="1"/>
      <c r="Q87" s="1"/>
      <c r="R87" s="1"/>
      <c r="S87" s="1"/>
      <c r="T87" s="1"/>
      <c r="U87" s="1"/>
      <c r="V87" s="1"/>
      <c r="W87" s="49"/>
    </row>
    <row r="88" spans="5:23">
      <c r="E88" s="1"/>
      <c r="F88" s="1"/>
      <c r="G88" s="1"/>
      <c r="H88" s="1"/>
      <c r="I88" s="1"/>
      <c r="J88" s="1"/>
      <c r="K88" s="1"/>
      <c r="L88" s="1"/>
      <c r="M88" s="1"/>
      <c r="N88" s="1"/>
      <c r="O88" s="1"/>
      <c r="P88" s="1"/>
      <c r="Q88" s="1"/>
      <c r="R88" s="1"/>
      <c r="S88" s="1"/>
      <c r="T88" s="1"/>
      <c r="U88" s="1"/>
      <c r="V88" s="1"/>
      <c r="W88" s="49"/>
    </row>
    <row r="89" spans="5:23">
      <c r="E89" s="1"/>
      <c r="F89" s="1"/>
      <c r="G89" s="1"/>
      <c r="H89" s="1"/>
      <c r="I89" s="1"/>
      <c r="J89" s="1"/>
      <c r="K89" s="1"/>
      <c r="L89" s="1"/>
      <c r="M89" s="1"/>
      <c r="N89" s="1"/>
      <c r="O89" s="1"/>
      <c r="P89" s="1"/>
      <c r="Q89" s="1"/>
      <c r="R89" s="1"/>
      <c r="S89" s="1"/>
      <c r="T89" s="1"/>
      <c r="U89" s="1"/>
      <c r="V89" s="1"/>
      <c r="W89" s="49"/>
    </row>
    <row r="90" spans="5:23">
      <c r="E90" s="1"/>
      <c r="F90" s="1"/>
      <c r="G90" s="1"/>
      <c r="H90" s="1"/>
      <c r="I90" s="1"/>
      <c r="J90" s="1"/>
      <c r="K90" s="1"/>
      <c r="L90" s="1"/>
      <c r="M90" s="1"/>
      <c r="N90" s="1"/>
      <c r="O90" s="1"/>
      <c r="P90" s="1"/>
      <c r="Q90" s="1"/>
      <c r="R90" s="1"/>
      <c r="S90" s="1"/>
      <c r="T90" s="1"/>
      <c r="U90" s="1"/>
      <c r="V90" s="1"/>
      <c r="W90" s="49"/>
    </row>
    <row r="91" spans="5:23">
      <c r="E91" s="1"/>
      <c r="F91" s="1"/>
      <c r="G91" s="1"/>
      <c r="H91" s="1"/>
      <c r="I91" s="1"/>
      <c r="J91" s="1"/>
      <c r="K91" s="1"/>
      <c r="L91" s="1"/>
      <c r="M91" s="1"/>
      <c r="N91" s="1"/>
      <c r="O91" s="1"/>
      <c r="P91" s="1"/>
      <c r="Q91" s="1"/>
      <c r="R91" s="1"/>
      <c r="S91" s="1"/>
      <c r="T91" s="1"/>
      <c r="U91" s="1"/>
      <c r="V91" s="1"/>
      <c r="W91" s="49"/>
    </row>
    <row r="92" spans="5:23">
      <c r="E92" s="1"/>
      <c r="F92" s="1"/>
      <c r="G92" s="1"/>
      <c r="H92" s="1"/>
      <c r="I92" s="1"/>
      <c r="J92" s="1"/>
      <c r="K92" s="1"/>
      <c r="L92" s="1"/>
      <c r="M92" s="1"/>
      <c r="N92" s="1"/>
      <c r="O92" s="1"/>
      <c r="P92" s="1"/>
      <c r="Q92" s="1"/>
      <c r="R92" s="1"/>
      <c r="S92" s="1"/>
      <c r="T92" s="1"/>
      <c r="U92" s="1"/>
      <c r="V92" s="1"/>
      <c r="W92" s="49"/>
    </row>
    <row r="93" spans="5:23">
      <c r="E93" s="1"/>
      <c r="F93" s="1"/>
      <c r="G93" s="1"/>
      <c r="H93" s="1"/>
      <c r="I93" s="1"/>
      <c r="J93" s="1"/>
      <c r="K93" s="1"/>
      <c r="L93" s="1"/>
      <c r="M93" s="1"/>
      <c r="N93" s="1"/>
      <c r="O93" s="1"/>
      <c r="P93" s="1"/>
      <c r="Q93" s="1"/>
      <c r="R93" s="1"/>
      <c r="S93" s="1"/>
      <c r="T93" s="1"/>
      <c r="U93" s="1"/>
      <c r="V93" s="1"/>
      <c r="W93" s="49"/>
    </row>
    <row r="94" spans="5:23">
      <c r="E94" s="1"/>
      <c r="F94" s="1"/>
      <c r="G94" s="1"/>
      <c r="H94" s="1"/>
      <c r="I94" s="1"/>
      <c r="J94" s="1"/>
      <c r="K94" s="1"/>
      <c r="L94" s="1"/>
      <c r="M94" s="1"/>
      <c r="N94" s="1"/>
      <c r="O94" s="1"/>
      <c r="P94" s="1"/>
      <c r="Q94" s="1"/>
      <c r="R94" s="1"/>
      <c r="S94" s="1"/>
      <c r="T94" s="1"/>
      <c r="U94" s="1"/>
      <c r="V94" s="1"/>
      <c r="W94" s="49"/>
    </row>
    <row r="95" spans="5:23">
      <c r="E95" s="1"/>
      <c r="F95" s="1"/>
      <c r="G95" s="1"/>
      <c r="H95" s="1"/>
      <c r="I95" s="1"/>
      <c r="J95" s="1"/>
      <c r="K95" s="1"/>
      <c r="L95" s="1"/>
      <c r="M95" s="1"/>
      <c r="N95" s="1"/>
      <c r="O95" s="1"/>
      <c r="P95" s="1"/>
      <c r="Q95" s="1"/>
      <c r="R95" s="1"/>
      <c r="S95" s="1"/>
      <c r="T95" s="1"/>
      <c r="U95" s="1"/>
      <c r="V95" s="1"/>
      <c r="W95" s="49"/>
    </row>
    <row r="96" spans="5:23">
      <c r="E96" s="1"/>
      <c r="F96" s="1"/>
      <c r="G96" s="1"/>
      <c r="H96" s="1"/>
      <c r="I96" s="1"/>
      <c r="J96" s="1"/>
      <c r="K96" s="1"/>
      <c r="L96" s="1"/>
      <c r="M96" s="1"/>
      <c r="N96" s="1"/>
      <c r="O96" s="1"/>
      <c r="P96" s="1"/>
      <c r="Q96" s="1"/>
      <c r="R96" s="1"/>
      <c r="S96" s="1"/>
      <c r="T96" s="1"/>
      <c r="U96" s="1"/>
      <c r="V96" s="1"/>
      <c r="W96" s="49"/>
    </row>
    <row r="97" spans="5:23">
      <c r="E97" s="1"/>
      <c r="F97" s="1"/>
      <c r="G97" s="1"/>
      <c r="H97" s="1"/>
      <c r="I97" s="1"/>
      <c r="J97" s="1"/>
      <c r="K97" s="1"/>
      <c r="L97" s="1"/>
      <c r="M97" s="1"/>
      <c r="N97" s="1"/>
      <c r="O97" s="1"/>
      <c r="P97" s="1"/>
      <c r="Q97" s="1"/>
      <c r="R97" s="1"/>
      <c r="S97" s="1"/>
      <c r="T97" s="1"/>
      <c r="U97" s="1"/>
      <c r="V97" s="1"/>
      <c r="W97" s="49"/>
    </row>
    <row r="98" spans="5:23">
      <c r="E98" s="1"/>
      <c r="F98" s="1"/>
      <c r="G98" s="1"/>
      <c r="H98" s="1"/>
      <c r="I98" s="1"/>
      <c r="J98" s="1"/>
      <c r="K98" s="1"/>
      <c r="L98" s="1"/>
      <c r="M98" s="1"/>
      <c r="N98" s="1"/>
      <c r="O98" s="1"/>
      <c r="P98" s="1"/>
      <c r="Q98" s="1"/>
      <c r="R98" s="1"/>
      <c r="S98" s="1"/>
      <c r="T98" s="1"/>
      <c r="U98" s="1"/>
      <c r="V98" s="1"/>
      <c r="W98" s="49"/>
    </row>
    <row r="99" spans="5:23">
      <c r="E99" s="1"/>
      <c r="F99" s="1"/>
      <c r="G99" s="1"/>
      <c r="H99" s="1"/>
      <c r="I99" s="1"/>
      <c r="J99" s="1"/>
      <c r="K99" s="1"/>
      <c r="L99" s="1"/>
      <c r="M99" s="1"/>
      <c r="N99" s="1"/>
      <c r="O99" s="1"/>
      <c r="P99" s="1"/>
      <c r="Q99" s="1"/>
      <c r="R99" s="1"/>
      <c r="S99" s="1"/>
      <c r="T99" s="1"/>
      <c r="U99" s="1"/>
      <c r="V99" s="1"/>
      <c r="W99" s="49"/>
    </row>
    <row r="100" spans="5:23">
      <c r="E100" s="1"/>
      <c r="F100" s="1"/>
      <c r="G100" s="1"/>
      <c r="H100" s="1"/>
      <c r="I100" s="1"/>
      <c r="J100" s="1"/>
      <c r="K100" s="1"/>
      <c r="L100" s="1"/>
      <c r="M100" s="1"/>
      <c r="N100" s="1"/>
      <c r="O100" s="1"/>
      <c r="P100" s="1"/>
      <c r="Q100" s="1"/>
      <c r="R100" s="1"/>
      <c r="S100" s="1"/>
      <c r="T100" s="1"/>
      <c r="U100" s="1"/>
      <c r="V100" s="1"/>
      <c r="W100" s="49"/>
    </row>
    <row r="101" spans="5:23">
      <c r="E101" s="1"/>
      <c r="F101" s="1"/>
      <c r="G101" s="1"/>
      <c r="H101" s="1"/>
      <c r="I101" s="1"/>
      <c r="J101" s="1"/>
      <c r="K101" s="1"/>
      <c r="L101" s="1"/>
      <c r="M101" s="1"/>
      <c r="N101" s="1"/>
      <c r="O101" s="1"/>
      <c r="P101" s="1"/>
      <c r="Q101" s="1"/>
      <c r="R101" s="1"/>
      <c r="S101" s="1"/>
      <c r="T101" s="1"/>
      <c r="U101" s="1"/>
      <c r="V101" s="1"/>
      <c r="W101" s="49"/>
    </row>
    <row r="102" spans="5:23">
      <c r="E102" s="1"/>
      <c r="F102" s="1"/>
      <c r="G102" s="1"/>
      <c r="H102" s="1"/>
      <c r="I102" s="1"/>
      <c r="J102" s="1"/>
      <c r="K102" s="1"/>
      <c r="L102" s="1"/>
      <c r="M102" s="1"/>
      <c r="N102" s="1"/>
      <c r="O102" s="1"/>
      <c r="P102" s="1"/>
      <c r="Q102" s="1"/>
      <c r="R102" s="1"/>
      <c r="S102" s="1"/>
      <c r="T102" s="1"/>
      <c r="U102" s="1"/>
      <c r="V102" s="1"/>
      <c r="W102" s="49"/>
    </row>
    <row r="103" spans="5:23">
      <c r="E103" s="1"/>
      <c r="F103" s="1"/>
      <c r="G103" s="1"/>
      <c r="H103" s="1"/>
      <c r="I103" s="1"/>
      <c r="J103" s="1"/>
      <c r="K103" s="1"/>
      <c r="L103" s="1"/>
      <c r="M103" s="1"/>
      <c r="N103" s="1"/>
      <c r="O103" s="1"/>
      <c r="P103" s="1"/>
      <c r="Q103" s="1"/>
      <c r="R103" s="1"/>
      <c r="S103" s="1"/>
      <c r="T103" s="1"/>
      <c r="U103" s="1"/>
      <c r="V103" s="1"/>
      <c r="W103" s="49"/>
    </row>
    <row r="104" spans="5:23">
      <c r="E104" s="1"/>
      <c r="F104" s="1"/>
      <c r="G104" s="1"/>
      <c r="H104" s="1"/>
      <c r="I104" s="1"/>
      <c r="J104" s="1"/>
      <c r="K104" s="1"/>
      <c r="L104" s="1"/>
      <c r="M104" s="1"/>
      <c r="N104" s="1"/>
      <c r="O104" s="1"/>
      <c r="P104" s="1"/>
      <c r="Q104" s="1"/>
      <c r="R104" s="1"/>
      <c r="S104" s="1"/>
      <c r="T104" s="1"/>
      <c r="U104" s="1"/>
      <c r="V104" s="1"/>
      <c r="W104" s="49"/>
    </row>
  </sheetData>
  <sheetProtection formatCells="0" formatColumns="0" formatRows="0" insertColumns="0" insertRows="0" insertHyperlinks="0" deleteColumns="0" deleteRows="0" sort="0" autoFilter="0" pivotTables="0"/>
  <mergeCells count="18">
    <mergeCell ref="M7:N7"/>
    <mergeCell ref="A35:B35"/>
    <mergeCell ref="C35:L35"/>
    <mergeCell ref="A7:A8"/>
    <mergeCell ref="C7:D7"/>
    <mergeCell ref="E7:F7"/>
    <mergeCell ref="K7:L7"/>
    <mergeCell ref="A25:I25"/>
    <mergeCell ref="G7:H7"/>
    <mergeCell ref="I7:J7"/>
    <mergeCell ref="S7:T7"/>
    <mergeCell ref="U7:V7"/>
    <mergeCell ref="AA7:AB7"/>
    <mergeCell ref="AC7:AD7"/>
    <mergeCell ref="O7:P7"/>
    <mergeCell ref="W7:X7"/>
    <mergeCell ref="Q7:R7"/>
    <mergeCell ref="Y7:Z7"/>
  </mergeCells>
  <phoneticPr fontId="23" type="noConversion"/>
  <conditionalFormatting sqref="A25">
    <cfRule type="cellIs" dxfId="18" priority="4" stopIfTrue="1" operator="greaterThan">
      <formula>$Z$25</formula>
    </cfRule>
    <cfRule type="cellIs" dxfId="17" priority="5" stopIfTrue="1" operator="lessThan">
      <formula>$Y$25</formula>
    </cfRule>
  </conditionalFormatting>
  <conditionalFormatting sqref="AA21">
    <cfRule type="cellIs" dxfId="16" priority="1" stopIfTrue="1" operator="greaterThan">
      <formula>$Z$25</formula>
    </cfRule>
    <cfRule type="cellIs" dxfId="15" priority="2" stopIfTrue="1" operator="lessThan">
      <formula>$Y$25</formula>
    </cfRule>
    <cfRule type="cellIs" dxfId="14" priority="3" stopIfTrue="1" operator="lessThan">
      <formula>$Y$25</formula>
    </cfRule>
    <cfRule type="cellIs" dxfId="13" priority="16" stopIfTrue="1" operator="lessThan">
      <formula>$Y$25</formula>
    </cfRule>
  </conditionalFormatting>
  <dataValidations count="6">
    <dataValidation type="whole" errorStyle="warning" allowBlank="1" showInputMessage="1" showErrorMessage="1" errorTitle="TEST" error="la valeur entrée semble suspecte" sqref="AA9:AA20">
      <formula1>0.15/12</formula1>
      <formula2>4.06/12</formula2>
    </dataValidation>
    <dataValidation type="list" allowBlank="1" showInputMessage="1" showErrorMessage="1" sqref="D38:D44">
      <formula1>$D$54:$D$61</formula1>
    </dataValidation>
    <dataValidation type="list" allowBlank="1" showInputMessage="1" showErrorMessage="1" sqref="G38:G44">
      <formula1>$G$54:$G$55</formula1>
    </dataValidation>
    <dataValidation type="list" allowBlank="1" showInputMessage="1" showErrorMessage="1" sqref="H38:H44">
      <formula1>$A$9:$A$20</formula1>
    </dataValidation>
    <dataValidation type="list" allowBlank="1" showInputMessage="1" showErrorMessage="1" sqref="C38:C44">
      <formula1>$C$54:$C$55</formula1>
    </dataValidation>
    <dataValidation type="list" allowBlank="1" showInputMessage="1" showErrorMessage="1" sqref="D45">
      <formula1>$D$54:$D$60</formula1>
    </dataValidation>
  </dataValidations>
  <hyperlinks>
    <hyperlink ref="A7" location="Résumé!A1" display="Résumé!A1"/>
  </hyperlinks>
  <pageMargins left="0.70866141732283472" right="0.70866141732283472" top="0.74803149606299213" bottom="0.74803149606299213" header="0.31496062992125984" footer="0.31496062992125984"/>
  <pageSetup paperSize="5" scale="42" orientation="landscape" r:id="rId1"/>
  <headerFooter>
    <oddFooter>&amp;L&amp;D&amp;R&amp;Z&amp;F</oddFooter>
  </headerFooter>
  <rowBreaks count="1" manualBreakCount="1">
    <brk id="34" max="22" man="1"/>
  </rowBreaks>
  <colBreaks count="1" manualBreakCount="1">
    <brk id="29" min="6" max="35" man="1"/>
  </colBreaks>
  <ignoredErrors>
    <ignoredError sqref="Y41"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685" r:id="rId4" name="Check Box 181">
              <controlPr defaultSize="0" autoFill="0" autoLine="0" autoPict="0">
                <anchor moveWithCells="1">
                  <from>
                    <xdr:col>0</xdr:col>
                    <xdr:colOff>723900</xdr:colOff>
                    <xdr:row>27</xdr:row>
                    <xdr:rowOff>220980</xdr:rowOff>
                  </from>
                  <to>
                    <xdr:col>7</xdr:col>
                    <xdr:colOff>350520</xdr:colOff>
                    <xdr:row>29</xdr:row>
                    <xdr:rowOff>0</xdr:rowOff>
                  </to>
                </anchor>
              </controlPr>
            </control>
          </mc:Choice>
        </mc:AlternateContent>
        <mc:AlternateContent xmlns:mc="http://schemas.openxmlformats.org/markup-compatibility/2006">
          <mc:Choice Requires="x14">
            <control shapeId="21686" r:id="rId5" name="Check Box 182">
              <controlPr defaultSize="0" autoFill="0" autoLine="0" autoPict="0">
                <anchor moveWithCells="1">
                  <from>
                    <xdr:col>0</xdr:col>
                    <xdr:colOff>723900</xdr:colOff>
                    <xdr:row>29</xdr:row>
                    <xdr:rowOff>22860</xdr:rowOff>
                  </from>
                  <to>
                    <xdr:col>5</xdr:col>
                    <xdr:colOff>121920</xdr:colOff>
                    <xdr:row>30</xdr:row>
                    <xdr:rowOff>0</xdr:rowOff>
                  </to>
                </anchor>
              </controlPr>
            </control>
          </mc:Choice>
        </mc:AlternateContent>
        <mc:AlternateContent xmlns:mc="http://schemas.openxmlformats.org/markup-compatibility/2006">
          <mc:Choice Requires="x14">
            <control shapeId="21687" r:id="rId6" name="Check Box 183">
              <controlPr defaultSize="0" autoFill="0" autoLine="0" autoPict="0">
                <anchor moveWithCells="1">
                  <from>
                    <xdr:col>0</xdr:col>
                    <xdr:colOff>723900</xdr:colOff>
                    <xdr:row>30</xdr:row>
                    <xdr:rowOff>30480</xdr:rowOff>
                  </from>
                  <to>
                    <xdr:col>5</xdr:col>
                    <xdr:colOff>152400</xdr:colOff>
                    <xdr:row>31</xdr:row>
                    <xdr:rowOff>0</xdr:rowOff>
                  </to>
                </anchor>
              </controlPr>
            </control>
          </mc:Choice>
        </mc:AlternateContent>
        <mc:AlternateContent xmlns:mc="http://schemas.openxmlformats.org/markup-compatibility/2006">
          <mc:Choice Requires="x14">
            <control shapeId="21688" r:id="rId7" name="Check Box 184">
              <controlPr defaultSize="0" autoFill="0" autoLine="0" autoPict="0">
                <anchor moveWithCells="1">
                  <from>
                    <xdr:col>0</xdr:col>
                    <xdr:colOff>723900</xdr:colOff>
                    <xdr:row>31</xdr:row>
                    <xdr:rowOff>45720</xdr:rowOff>
                  </from>
                  <to>
                    <xdr:col>5</xdr:col>
                    <xdr:colOff>274320</xdr:colOff>
                    <xdr:row>31</xdr:row>
                    <xdr:rowOff>198120</xdr:rowOff>
                  </to>
                </anchor>
              </controlPr>
            </control>
          </mc:Choice>
        </mc:AlternateContent>
        <mc:AlternateContent xmlns:mc="http://schemas.openxmlformats.org/markup-compatibility/2006">
          <mc:Choice Requires="x14">
            <control shapeId="21689" r:id="rId8" name="Check Box 185">
              <controlPr defaultSize="0" autoFill="0" autoLine="0" autoPict="0">
                <anchor moveWithCells="1">
                  <from>
                    <xdr:col>0</xdr:col>
                    <xdr:colOff>723900</xdr:colOff>
                    <xdr:row>32</xdr:row>
                    <xdr:rowOff>7620</xdr:rowOff>
                  </from>
                  <to>
                    <xdr:col>4</xdr:col>
                    <xdr:colOff>845820</xdr:colOff>
                    <xdr:row>33</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2"/>
  <dimension ref="A1:AG104"/>
  <sheetViews>
    <sheetView zoomScale="80" zoomScaleNormal="80" workbookViewId="0">
      <selection activeCell="B21" sqref="B21"/>
    </sheetView>
  </sheetViews>
  <sheetFormatPr baseColWidth="10" defaultColWidth="9.109375" defaultRowHeight="14.4"/>
  <cols>
    <col min="1" max="1" width="16.5546875" style="1" customWidth="1"/>
    <col min="2" max="2" width="19" style="1" customWidth="1"/>
    <col min="3" max="3" width="16" style="23" customWidth="1"/>
    <col min="4" max="4" width="18.5546875" style="23" customWidth="1"/>
    <col min="5" max="5" width="16" style="23" customWidth="1"/>
    <col min="6" max="6" width="18.109375" style="23" customWidth="1"/>
    <col min="7" max="7" width="16" style="23" customWidth="1"/>
    <col min="8" max="8" width="18.5546875" style="23" customWidth="1"/>
    <col min="9" max="9" width="16" style="23" customWidth="1"/>
    <col min="10" max="10" width="18.88671875" style="23" customWidth="1"/>
    <col min="11" max="11" width="16" style="23" customWidth="1"/>
    <col min="12" max="12" width="19.5546875" style="23" customWidth="1"/>
    <col min="13" max="13" width="16" style="23" customWidth="1"/>
    <col min="14" max="14" width="19.44140625" style="23" customWidth="1"/>
    <col min="15" max="15" width="16" style="23" customWidth="1"/>
    <col min="16" max="16" width="20.33203125" style="23" customWidth="1"/>
    <col min="17" max="17" width="16" style="23" customWidth="1"/>
    <col min="18" max="18" width="20.5546875" style="23" customWidth="1"/>
    <col min="19" max="19" width="16" style="23" customWidth="1"/>
    <col min="20" max="20" width="20.33203125" style="23" customWidth="1"/>
    <col min="21" max="21" width="16" style="23" customWidth="1"/>
    <col min="22" max="22" width="18.44140625" style="23" customWidth="1"/>
    <col min="23" max="23" width="16" style="47" customWidth="1"/>
    <col min="24" max="24" width="20" style="49" customWidth="1"/>
    <col min="25" max="28" width="16" style="49" customWidth="1"/>
    <col min="29" max="29" width="16.33203125" style="49" customWidth="1"/>
    <col min="30" max="16384" width="9.109375" style="49"/>
  </cols>
  <sheetData>
    <row r="1" spans="1:33" s="1" customFormat="1">
      <c r="C1" s="26"/>
      <c r="D1" s="26"/>
      <c r="E1" s="26"/>
      <c r="F1" s="26"/>
      <c r="G1" s="26"/>
      <c r="H1" s="26"/>
      <c r="I1" s="26"/>
      <c r="J1" s="26"/>
      <c r="K1" s="26"/>
      <c r="L1" s="26"/>
      <c r="M1" s="26"/>
      <c r="N1" s="26"/>
      <c r="O1" s="26"/>
      <c r="P1" s="26"/>
      <c r="Q1" s="26"/>
      <c r="R1" s="26"/>
      <c r="S1" s="26"/>
      <c r="T1" s="26"/>
      <c r="U1" s="26"/>
      <c r="V1" s="26"/>
      <c r="W1" s="26"/>
      <c r="X1" s="26"/>
      <c r="Y1" s="26"/>
      <c r="Z1" s="26"/>
      <c r="AA1" s="26"/>
      <c r="AB1" s="26"/>
      <c r="AC1" s="26"/>
    </row>
    <row r="2" spans="1:33" s="1" customFormat="1" ht="18">
      <c r="C2" s="26"/>
      <c r="D2" s="125" t="s">
        <v>380</v>
      </c>
      <c r="E2" s="126"/>
      <c r="F2" s="127"/>
      <c r="G2" s="128"/>
      <c r="H2" s="128"/>
      <c r="I2" s="129"/>
      <c r="J2" s="128"/>
      <c r="K2" s="128"/>
      <c r="L2" s="128"/>
      <c r="M2" s="128"/>
      <c r="N2" s="26"/>
      <c r="O2" s="26"/>
      <c r="P2" s="26"/>
      <c r="Q2" s="26"/>
      <c r="R2" s="26"/>
      <c r="S2" s="26"/>
      <c r="T2" s="26"/>
      <c r="U2" s="26"/>
      <c r="V2" s="26"/>
      <c r="W2" s="26"/>
      <c r="X2" s="26"/>
      <c r="Y2" s="26"/>
      <c r="Z2" s="26"/>
      <c r="AA2" s="26"/>
      <c r="AB2" s="26"/>
      <c r="AC2" s="26"/>
    </row>
    <row r="3" spans="1:33" s="1" customFormat="1" ht="21" customHeight="1">
      <c r="C3" s="26"/>
      <c r="D3" s="233" t="s">
        <v>694</v>
      </c>
      <c r="E3" s="227"/>
      <c r="F3" s="228"/>
      <c r="G3" s="233"/>
      <c r="H3" s="233"/>
      <c r="I3" s="251"/>
      <c r="J3" s="252"/>
      <c r="K3" s="252"/>
      <c r="L3" s="252"/>
      <c r="M3" s="252"/>
      <c r="N3" s="253"/>
      <c r="O3" s="253"/>
      <c r="P3" s="253"/>
      <c r="Q3" s="253"/>
      <c r="R3" s="253"/>
      <c r="S3" s="253"/>
      <c r="T3" s="253"/>
      <c r="U3" s="253"/>
      <c r="V3" s="253"/>
      <c r="W3" s="26"/>
      <c r="X3" s="26"/>
      <c r="Y3" s="26"/>
      <c r="Z3" s="26"/>
      <c r="AA3" s="26"/>
      <c r="AB3" s="26"/>
      <c r="AC3" s="26"/>
    </row>
    <row r="4" spans="1:33" s="1" customFormat="1" ht="15.6">
      <c r="C4" s="26"/>
      <c r="D4" s="82" t="s">
        <v>435</v>
      </c>
      <c r="E4" s="78"/>
      <c r="F4" s="79"/>
      <c r="G4" s="71"/>
      <c r="H4" s="71"/>
      <c r="I4" s="71"/>
      <c r="J4" s="71"/>
      <c r="K4" s="71"/>
      <c r="L4" s="71"/>
      <c r="M4" s="71"/>
      <c r="N4" s="26"/>
      <c r="O4" s="26"/>
      <c r="P4" s="26"/>
      <c r="Q4" s="26"/>
      <c r="R4" s="26"/>
      <c r="S4" s="26"/>
      <c r="T4" s="26"/>
      <c r="U4" s="26"/>
      <c r="V4" s="26"/>
      <c r="W4" s="26"/>
      <c r="X4" s="26"/>
      <c r="Y4" s="26"/>
      <c r="Z4" s="26"/>
      <c r="AA4" s="26"/>
      <c r="AB4" s="26"/>
      <c r="AC4" s="26"/>
    </row>
    <row r="5" spans="1:33" s="1" customFormat="1" ht="15.6">
      <c r="C5" s="26"/>
      <c r="D5" s="82" t="s">
        <v>372</v>
      </c>
      <c r="E5" s="78"/>
      <c r="F5" s="79"/>
      <c r="G5" s="71"/>
      <c r="H5" s="71"/>
      <c r="I5" s="71"/>
      <c r="J5" s="71"/>
      <c r="K5" s="71"/>
      <c r="L5" s="71"/>
      <c r="M5" s="71"/>
      <c r="N5" s="26"/>
      <c r="O5" s="26"/>
      <c r="P5" s="26"/>
      <c r="Q5" s="26"/>
      <c r="R5" s="26"/>
      <c r="S5" s="26"/>
      <c r="T5" s="26"/>
      <c r="U5" s="26"/>
      <c r="V5" s="26"/>
      <c r="W5" s="26"/>
      <c r="X5" s="26"/>
      <c r="Y5" s="26"/>
      <c r="Z5" s="26"/>
      <c r="AA5" s="26"/>
      <c r="AB5" s="26"/>
      <c r="AC5" s="26"/>
    </row>
    <row r="6" spans="1:33" s="1" customFormat="1" ht="15" thickBot="1">
      <c r="C6" s="26"/>
      <c r="D6" s="26"/>
      <c r="E6" s="26"/>
      <c r="F6" s="26"/>
      <c r="G6" s="26"/>
      <c r="H6" s="26"/>
      <c r="I6" s="26"/>
      <c r="J6" s="26"/>
      <c r="K6" s="26"/>
      <c r="L6" s="26"/>
      <c r="M6" s="26"/>
      <c r="N6" s="26"/>
      <c r="O6" s="26"/>
      <c r="P6" s="26"/>
      <c r="Q6" s="26"/>
      <c r="R6" s="26"/>
      <c r="S6" s="26"/>
      <c r="T6" s="26"/>
      <c r="U6" s="26"/>
      <c r="V6" s="26"/>
      <c r="W6" s="26"/>
      <c r="X6" s="26"/>
      <c r="Y6" s="26"/>
      <c r="Z6" s="26"/>
      <c r="AA6" s="26"/>
      <c r="AB6" s="26"/>
      <c r="AC6" s="26"/>
    </row>
    <row r="7" spans="1:33" ht="30.75" customHeight="1" thickTop="1">
      <c r="A7" s="563" t="s">
        <v>78</v>
      </c>
      <c r="B7" s="4" t="s">
        <v>13</v>
      </c>
      <c r="C7" s="556" t="s">
        <v>22</v>
      </c>
      <c r="D7" s="557"/>
      <c r="E7" s="556" t="s">
        <v>19</v>
      </c>
      <c r="F7" s="557"/>
      <c r="G7" s="556" t="s">
        <v>24</v>
      </c>
      <c r="H7" s="557"/>
      <c r="I7" s="556" t="s">
        <v>25</v>
      </c>
      <c r="J7" s="557"/>
      <c r="K7" s="556" t="s">
        <v>805</v>
      </c>
      <c r="L7" s="557"/>
      <c r="M7" s="556" t="s">
        <v>27</v>
      </c>
      <c r="N7" s="557"/>
      <c r="O7" s="558" t="s">
        <v>46</v>
      </c>
      <c r="P7" s="559"/>
      <c r="Q7" s="558" t="s">
        <v>32</v>
      </c>
      <c r="R7" s="559"/>
      <c r="S7" s="558" t="s">
        <v>412</v>
      </c>
      <c r="T7" s="559"/>
      <c r="U7" s="558" t="s">
        <v>624</v>
      </c>
      <c r="V7" s="559"/>
      <c r="W7" s="558" t="s">
        <v>625</v>
      </c>
      <c r="X7" s="559"/>
      <c r="Y7" s="556" t="s">
        <v>16</v>
      </c>
      <c r="Z7" s="557"/>
      <c r="AA7" s="556" t="s">
        <v>52</v>
      </c>
      <c r="AB7" s="557"/>
      <c r="AC7" s="556" t="s">
        <v>45</v>
      </c>
      <c r="AD7" s="557"/>
      <c r="AE7" s="4" t="s">
        <v>40</v>
      </c>
    </row>
    <row r="8" spans="1:33" ht="18" customHeight="1" thickBot="1">
      <c r="A8" s="563"/>
      <c r="B8" s="8" t="s">
        <v>36</v>
      </c>
      <c r="C8" s="7" t="s">
        <v>376</v>
      </c>
      <c r="D8" s="6" t="s">
        <v>20</v>
      </c>
      <c r="E8" s="7" t="s">
        <v>31</v>
      </c>
      <c r="F8" s="6" t="s">
        <v>20</v>
      </c>
      <c r="G8" s="7" t="s">
        <v>23</v>
      </c>
      <c r="H8" s="6" t="s">
        <v>20</v>
      </c>
      <c r="I8" s="7" t="s">
        <v>23</v>
      </c>
      <c r="J8" s="6" t="s">
        <v>20</v>
      </c>
      <c r="K8" s="7" t="s">
        <v>23</v>
      </c>
      <c r="L8" s="6" t="s">
        <v>20</v>
      </c>
      <c r="M8" s="7" t="s">
        <v>23</v>
      </c>
      <c r="N8" s="6" t="s">
        <v>20</v>
      </c>
      <c r="O8" s="7" t="s">
        <v>28</v>
      </c>
      <c r="P8" s="6" t="s">
        <v>20</v>
      </c>
      <c r="Q8" s="7" t="s">
        <v>28</v>
      </c>
      <c r="R8" s="6" t="s">
        <v>20</v>
      </c>
      <c r="S8" s="216" t="s">
        <v>626</v>
      </c>
      <c r="T8" s="6" t="s">
        <v>20</v>
      </c>
      <c r="U8" s="7" t="s">
        <v>628</v>
      </c>
      <c r="V8" s="6" t="s">
        <v>20</v>
      </c>
      <c r="W8" s="7" t="s">
        <v>628</v>
      </c>
      <c r="X8" s="6" t="s">
        <v>20</v>
      </c>
      <c r="Y8" s="7" t="s">
        <v>17</v>
      </c>
      <c r="Z8" s="6" t="s">
        <v>20</v>
      </c>
      <c r="AA8" s="7" t="s">
        <v>37</v>
      </c>
      <c r="AB8" s="6" t="s">
        <v>35</v>
      </c>
      <c r="AC8" s="7" t="s">
        <v>44</v>
      </c>
      <c r="AD8" s="6" t="s">
        <v>622</v>
      </c>
      <c r="AE8" s="9" t="s">
        <v>43</v>
      </c>
    </row>
    <row r="9" spans="1:33" ht="17.25" customHeight="1" thickTop="1" thickBot="1">
      <c r="A9" s="243">
        <f>VALUE(CONCATENATE(LEFT(Annee_financiere,FIND("-",Annee_financiere)-1),"-",A22))</f>
        <v>43556</v>
      </c>
      <c r="B9" s="254"/>
      <c r="C9" s="255"/>
      <c r="D9" s="256"/>
      <c r="E9" s="255"/>
      <c r="F9" s="256"/>
      <c r="G9" s="255"/>
      <c r="H9" s="256"/>
      <c r="I9" s="255"/>
      <c r="J9" s="256"/>
      <c r="K9" s="420"/>
      <c r="L9" s="420"/>
      <c r="M9" s="255"/>
      <c r="N9" s="256"/>
      <c r="O9" s="255"/>
      <c r="P9" s="256"/>
      <c r="Q9" s="255"/>
      <c r="R9" s="256"/>
      <c r="S9" s="255"/>
      <c r="T9" s="256"/>
      <c r="U9" s="255"/>
      <c r="V9" s="256"/>
      <c r="W9" s="255"/>
      <c r="X9" s="256"/>
      <c r="Y9" s="99" t="e">
        <f t="shared" ref="Y9:Y21" si="0">C9*kWh_Élect_to_GJ+E9*m3_GazNat_to_GJ+G9*L_Mazout2_to_GJ+I9*L_Mazout6_to_GJ+M9*L_Propane_to_GJ+O9*kg_Bois8_to_GJ+Q9*kg_Bois35_to_GJ+S9*lbs_vapeur_to_GJ+U9*MBTU_eaurefroidie_to_GJ+W9*MBTU_eauchaude_to_GJ+K9*L_Diesel_to_GJ</f>
        <v>#NAME?</v>
      </c>
      <c r="Z9" s="258">
        <f>D9+F9+H9+J9+N9+P9+R9+T9+V9+X9+L9</f>
        <v>0</v>
      </c>
      <c r="AA9" s="17" t="str">
        <f t="shared" ref="AA9:AA21" si="1">IF(ISERROR(Y9/B9),"",Y9/B9)</f>
        <v/>
      </c>
      <c r="AB9" s="18" t="str">
        <f t="shared" ref="AB9:AB21" si="2">IF(ISERROR(Z9/B9),"",Z9/B9)</f>
        <v/>
      </c>
      <c r="AC9" s="102" t="e">
        <f>(C9*kWh_Élect_to_kgGES+E9*IF(U_GNat="[m³]",m3_GazNat_to_kgGES,Conversion!$H$27)+G9*IF(U_Ma2="[l]",L_Mazout2_to_kgGES,Conversion!$H$29)+I9*IF(U_Ma6="[l]",L_Mazout6_to_kgGES,Conversion!$H$31)+K9*IF(U_Dies="[l]",L_diesel_to_kgGES,Conversion!$H$33)+M9*IF(U_Prop="[l]",L_Propane_to_kgGES,Conversion!$H$35)+O9*IF(U_Bois20="[1000 kg MG]",Conversion!$H$36,Conversion!$H$37)+Q9*IF(U_Bois45="[1000 kg MG]",Conversion!$H$38,Conversion!$H$39)+S9*lbs_vapeur_to_kgGES+U9*MBTU_eaurefroidie_to_kgGES+W9*MBTU_eauchaude_to_kgGES)/1000</f>
        <v>#NAME?</v>
      </c>
      <c r="AD9" s="103">
        <f t="shared" ref="AD9:AD21" si="3">(IF(ISERROR(AC9/B9),0,(AC9/B9)))*1000</f>
        <v>0</v>
      </c>
      <c r="AE9" s="5">
        <f t="shared" ref="AE9:AE20" si="4">INDEX(plage_DJ,MATCH(A9,plage_date),3)</f>
        <v>0</v>
      </c>
      <c r="AG9" s="49">
        <v>12</v>
      </c>
    </row>
    <row r="10" spans="1:33" ht="17.25" customHeight="1" thickTop="1" thickBot="1">
      <c r="A10" s="244">
        <f>DATE(YEAR(A9),MONTH(A9)+1,DAY(A9))</f>
        <v>43586</v>
      </c>
      <c r="B10" s="254"/>
      <c r="C10" s="255"/>
      <c r="D10" s="256"/>
      <c r="E10" s="255"/>
      <c r="F10" s="256"/>
      <c r="G10" s="255"/>
      <c r="H10" s="256"/>
      <c r="I10" s="255"/>
      <c r="J10" s="256"/>
      <c r="K10" s="420"/>
      <c r="L10" s="420"/>
      <c r="M10" s="255"/>
      <c r="N10" s="256"/>
      <c r="O10" s="255"/>
      <c r="P10" s="256"/>
      <c r="Q10" s="255"/>
      <c r="R10" s="256"/>
      <c r="S10" s="255"/>
      <c r="T10" s="256"/>
      <c r="U10" s="255"/>
      <c r="V10" s="256"/>
      <c r="W10" s="255"/>
      <c r="X10" s="256"/>
      <c r="Y10" s="99" t="e">
        <f t="shared" si="0"/>
        <v>#NAME?</v>
      </c>
      <c r="Z10" s="258">
        <f t="shared" ref="Z10:Z21" si="5">D10+F10+H10+J10+N10+P10+R10+T10+V10+X10+L10</f>
        <v>0</v>
      </c>
      <c r="AA10" s="17" t="str">
        <f t="shared" si="1"/>
        <v/>
      </c>
      <c r="AB10" s="18" t="str">
        <f t="shared" si="2"/>
        <v/>
      </c>
      <c r="AC10" s="102" t="e">
        <f>(C10*kWh_Élect_to_kgGES+E10*IF(U_GNat="[m³]",m3_GazNat_to_kgGES,Conversion!$H$27)+G10*IF(U_Ma2="[l]",L_Mazout2_to_kgGES,Conversion!$H$29)+I10*IF(U_Ma6="[l]",L_Mazout6_to_kgGES,Conversion!$H$31)+K10*IF(U_Dies="[l]",L_diesel_to_kgGES,Conversion!$H$33)+M10*IF(U_Prop="[l]",L_Propane_to_kgGES,Conversion!$H$35)+O10*IF(U_Bois20="[1000 kg MG]",Conversion!$H$36,Conversion!$H$37)+Q10*IF(U_Bois45="[1000 kg MG]",Conversion!$H$38,Conversion!$H$39)+S10*lbs_vapeur_to_kgGES+U10*MBTU_eaurefroidie_to_kgGES+W10*MBTU_eauchaude_to_kgGES)/1000</f>
        <v>#NAME?</v>
      </c>
      <c r="AD10" s="103">
        <f t="shared" si="3"/>
        <v>0</v>
      </c>
      <c r="AE10" s="5">
        <f t="shared" si="4"/>
        <v>0</v>
      </c>
      <c r="AF10" s="49">
        <f>SUM(AE9)</f>
        <v>0</v>
      </c>
      <c r="AG10" s="49">
        <v>11</v>
      </c>
    </row>
    <row r="11" spans="1:33" ht="17.25" customHeight="1" thickTop="1" thickBot="1">
      <c r="A11" s="244">
        <f t="shared" ref="A11:A20" si="6">DATE(YEAR(A10),MONTH(A10)+1,DAY(A10))</f>
        <v>43617</v>
      </c>
      <c r="B11" s="254"/>
      <c r="C11" s="255"/>
      <c r="D11" s="256"/>
      <c r="E11" s="255"/>
      <c r="F11" s="256"/>
      <c r="G11" s="255"/>
      <c r="H11" s="256"/>
      <c r="I11" s="255"/>
      <c r="J11" s="256"/>
      <c r="K11" s="420"/>
      <c r="L11" s="420"/>
      <c r="M11" s="255"/>
      <c r="N11" s="256"/>
      <c r="O11" s="255"/>
      <c r="P11" s="256"/>
      <c r="Q11" s="255"/>
      <c r="R11" s="256"/>
      <c r="S11" s="255"/>
      <c r="T11" s="256"/>
      <c r="U11" s="255"/>
      <c r="V11" s="256"/>
      <c r="W11" s="255"/>
      <c r="X11" s="256"/>
      <c r="Y11" s="99" t="e">
        <f t="shared" si="0"/>
        <v>#NAME?</v>
      </c>
      <c r="Z11" s="258">
        <f t="shared" si="5"/>
        <v>0</v>
      </c>
      <c r="AA11" s="17" t="str">
        <f t="shared" si="1"/>
        <v/>
      </c>
      <c r="AB11" s="18" t="str">
        <f t="shared" si="2"/>
        <v/>
      </c>
      <c r="AC11" s="102" t="e">
        <f>(C11*kWh_Élect_to_kgGES+E11*IF(U_GNat="[m³]",m3_GazNat_to_kgGES,Conversion!$H$27)+G11*IF(U_Ma2="[l]",L_Mazout2_to_kgGES,Conversion!$H$29)+I11*IF(U_Ma6="[l]",L_Mazout6_to_kgGES,Conversion!$H$31)+K11*IF(U_Dies="[l]",L_diesel_to_kgGES,Conversion!$H$33)+M11*IF(U_Prop="[l]",L_Propane_to_kgGES,Conversion!$H$35)+O11*IF(U_Bois20="[1000 kg MG]",Conversion!$H$36,Conversion!$H$37)+Q11*IF(U_Bois45="[1000 kg MG]",Conversion!$H$38,Conversion!$H$39)+S11*lbs_vapeur_to_kgGES+U11*MBTU_eaurefroidie_to_kgGES+W11*MBTU_eauchaude_to_kgGES)/1000</f>
        <v>#NAME?</v>
      </c>
      <c r="AD11" s="103">
        <f t="shared" si="3"/>
        <v>0</v>
      </c>
      <c r="AE11" s="5">
        <f t="shared" si="4"/>
        <v>0</v>
      </c>
      <c r="AF11" s="49">
        <f>SUM(AE9:AE10)</f>
        <v>0</v>
      </c>
      <c r="AG11" s="49">
        <v>10</v>
      </c>
    </row>
    <row r="12" spans="1:33" ht="17.25" customHeight="1" thickTop="1" thickBot="1">
      <c r="A12" s="244">
        <f t="shared" si="6"/>
        <v>43647</v>
      </c>
      <c r="B12" s="254"/>
      <c r="C12" s="255"/>
      <c r="D12" s="256"/>
      <c r="E12" s="255"/>
      <c r="F12" s="256"/>
      <c r="G12" s="255"/>
      <c r="H12" s="256"/>
      <c r="I12" s="255"/>
      <c r="J12" s="256"/>
      <c r="K12" s="420"/>
      <c r="L12" s="420"/>
      <c r="M12" s="255"/>
      <c r="N12" s="256"/>
      <c r="O12" s="255"/>
      <c r="P12" s="256"/>
      <c r="Q12" s="255"/>
      <c r="R12" s="256"/>
      <c r="S12" s="255"/>
      <c r="T12" s="256"/>
      <c r="U12" s="255"/>
      <c r="V12" s="256"/>
      <c r="W12" s="255"/>
      <c r="X12" s="256"/>
      <c r="Y12" s="99" t="e">
        <f t="shared" si="0"/>
        <v>#NAME?</v>
      </c>
      <c r="Z12" s="258">
        <f t="shared" si="5"/>
        <v>0</v>
      </c>
      <c r="AA12" s="17" t="str">
        <f t="shared" si="1"/>
        <v/>
      </c>
      <c r="AB12" s="18" t="str">
        <f t="shared" si="2"/>
        <v/>
      </c>
      <c r="AC12" s="102" t="e">
        <f>(C12*kWh_Élect_to_kgGES+E12*IF(U_GNat="[m³]",m3_GazNat_to_kgGES,Conversion!$H$27)+G12*IF(U_Ma2="[l]",L_Mazout2_to_kgGES,Conversion!$H$29)+I12*IF(U_Ma6="[l]",L_Mazout6_to_kgGES,Conversion!$H$31)+K12*IF(U_Dies="[l]",L_diesel_to_kgGES,Conversion!$H$33)+M12*IF(U_Prop="[l]",L_Propane_to_kgGES,Conversion!$H$35)+O12*IF(U_Bois20="[1000 kg MG]",Conversion!$H$36,Conversion!$H$37)+Q12*IF(U_Bois45="[1000 kg MG]",Conversion!$H$38,Conversion!$H$39)+S12*lbs_vapeur_to_kgGES+U12*MBTU_eaurefroidie_to_kgGES+W12*MBTU_eauchaude_to_kgGES)/1000</f>
        <v>#NAME?</v>
      </c>
      <c r="AD12" s="103">
        <f t="shared" si="3"/>
        <v>0</v>
      </c>
      <c r="AE12" s="5">
        <f t="shared" si="4"/>
        <v>0</v>
      </c>
      <c r="AF12" s="49">
        <f>SUM(AE9:AE11)</f>
        <v>0</v>
      </c>
      <c r="AG12" s="49">
        <v>9</v>
      </c>
    </row>
    <row r="13" spans="1:33" ht="17.25" customHeight="1" thickTop="1" thickBot="1">
      <c r="A13" s="244">
        <f t="shared" si="6"/>
        <v>43678</v>
      </c>
      <c r="B13" s="254"/>
      <c r="C13" s="255"/>
      <c r="D13" s="256"/>
      <c r="E13" s="255"/>
      <c r="F13" s="256"/>
      <c r="G13" s="255"/>
      <c r="H13" s="256"/>
      <c r="I13" s="255"/>
      <c r="J13" s="256"/>
      <c r="K13" s="420"/>
      <c r="L13" s="420"/>
      <c r="M13" s="255"/>
      <c r="N13" s="256"/>
      <c r="O13" s="255"/>
      <c r="P13" s="256"/>
      <c r="Q13" s="255"/>
      <c r="R13" s="256"/>
      <c r="S13" s="255"/>
      <c r="T13" s="256"/>
      <c r="U13" s="255"/>
      <c r="V13" s="256"/>
      <c r="W13" s="255"/>
      <c r="X13" s="256"/>
      <c r="Y13" s="99" t="e">
        <f t="shared" si="0"/>
        <v>#NAME?</v>
      </c>
      <c r="Z13" s="258">
        <f t="shared" si="5"/>
        <v>0</v>
      </c>
      <c r="AA13" s="17" t="str">
        <f t="shared" si="1"/>
        <v/>
      </c>
      <c r="AB13" s="18" t="str">
        <f t="shared" si="2"/>
        <v/>
      </c>
      <c r="AC13" s="102" t="e">
        <f>(C13*kWh_Élect_to_kgGES+E13*IF(U_GNat="[m³]",m3_GazNat_to_kgGES,Conversion!$H$27)+G13*IF(U_Ma2="[l]",L_Mazout2_to_kgGES,Conversion!$H$29)+I13*IF(U_Ma6="[l]",L_Mazout6_to_kgGES,Conversion!$H$31)+K13*IF(U_Dies="[l]",L_diesel_to_kgGES,Conversion!$H$33)+M13*IF(U_Prop="[l]",L_Propane_to_kgGES,Conversion!$H$35)+O13*IF(U_Bois20="[1000 kg MG]",Conversion!$H$36,Conversion!$H$37)+Q13*IF(U_Bois45="[1000 kg MG]",Conversion!$H$38,Conversion!$H$39)+S13*lbs_vapeur_to_kgGES+U13*MBTU_eaurefroidie_to_kgGES+W13*MBTU_eauchaude_to_kgGES)/1000</f>
        <v>#NAME?</v>
      </c>
      <c r="AD13" s="103">
        <f t="shared" si="3"/>
        <v>0</v>
      </c>
      <c r="AE13" s="5">
        <f t="shared" si="4"/>
        <v>0</v>
      </c>
      <c r="AF13" s="49">
        <f>SUM(AE9:AE12)</f>
        <v>0</v>
      </c>
      <c r="AG13" s="49">
        <v>8</v>
      </c>
    </row>
    <row r="14" spans="1:33" ht="17.25" customHeight="1" thickTop="1" thickBot="1">
      <c r="A14" s="244">
        <f t="shared" si="6"/>
        <v>43709</v>
      </c>
      <c r="B14" s="254"/>
      <c r="C14" s="255"/>
      <c r="D14" s="256"/>
      <c r="E14" s="255"/>
      <c r="F14" s="256"/>
      <c r="G14" s="255"/>
      <c r="H14" s="256"/>
      <c r="I14" s="255"/>
      <c r="J14" s="256"/>
      <c r="K14" s="420"/>
      <c r="L14" s="420"/>
      <c r="M14" s="255"/>
      <c r="N14" s="256"/>
      <c r="O14" s="255"/>
      <c r="P14" s="256"/>
      <c r="Q14" s="255"/>
      <c r="R14" s="256"/>
      <c r="S14" s="255"/>
      <c r="T14" s="256"/>
      <c r="U14" s="255"/>
      <c r="V14" s="256"/>
      <c r="W14" s="255"/>
      <c r="X14" s="256"/>
      <c r="Y14" s="99" t="e">
        <f t="shared" si="0"/>
        <v>#NAME?</v>
      </c>
      <c r="Z14" s="258">
        <f t="shared" si="5"/>
        <v>0</v>
      </c>
      <c r="AA14" s="17" t="str">
        <f t="shared" si="1"/>
        <v/>
      </c>
      <c r="AB14" s="18" t="str">
        <f t="shared" si="2"/>
        <v/>
      </c>
      <c r="AC14" s="102" t="e">
        <f>(C14*kWh_Élect_to_kgGES+E14*IF(U_GNat="[m³]",m3_GazNat_to_kgGES,Conversion!$H$27)+G14*IF(U_Ma2="[l]",L_Mazout2_to_kgGES,Conversion!$H$29)+I14*IF(U_Ma6="[l]",L_Mazout6_to_kgGES,Conversion!$H$31)+K14*IF(U_Dies="[l]",L_diesel_to_kgGES,Conversion!$H$33)+M14*IF(U_Prop="[l]",L_Propane_to_kgGES,Conversion!$H$35)+O14*IF(U_Bois20="[1000 kg MG]",Conversion!$H$36,Conversion!$H$37)+Q14*IF(U_Bois45="[1000 kg MG]",Conversion!$H$38,Conversion!$H$39)+S14*lbs_vapeur_to_kgGES+U14*MBTU_eaurefroidie_to_kgGES+W14*MBTU_eauchaude_to_kgGES)/1000</f>
        <v>#NAME?</v>
      </c>
      <c r="AD14" s="103">
        <f t="shared" si="3"/>
        <v>0</v>
      </c>
      <c r="AE14" s="5">
        <f t="shared" si="4"/>
        <v>0</v>
      </c>
      <c r="AF14" s="49">
        <f>SUM(AE9:AE13)</f>
        <v>0</v>
      </c>
      <c r="AG14" s="49">
        <v>7</v>
      </c>
    </row>
    <row r="15" spans="1:33" ht="17.25" customHeight="1" thickTop="1" thickBot="1">
      <c r="A15" s="244">
        <f t="shared" si="6"/>
        <v>43739</v>
      </c>
      <c r="B15" s="254"/>
      <c r="C15" s="255"/>
      <c r="D15" s="256"/>
      <c r="E15" s="255"/>
      <c r="F15" s="256"/>
      <c r="G15" s="255"/>
      <c r="H15" s="256"/>
      <c r="I15" s="255"/>
      <c r="J15" s="256"/>
      <c r="K15" s="420"/>
      <c r="L15" s="420"/>
      <c r="M15" s="255"/>
      <c r="N15" s="256"/>
      <c r="O15" s="255"/>
      <c r="P15" s="256"/>
      <c r="Q15" s="255"/>
      <c r="R15" s="256"/>
      <c r="S15" s="255"/>
      <c r="T15" s="256"/>
      <c r="U15" s="255"/>
      <c r="V15" s="256"/>
      <c r="W15" s="255"/>
      <c r="X15" s="256"/>
      <c r="Y15" s="99" t="e">
        <f t="shared" si="0"/>
        <v>#NAME?</v>
      </c>
      <c r="Z15" s="258">
        <f t="shared" si="5"/>
        <v>0</v>
      </c>
      <c r="AA15" s="17" t="str">
        <f t="shared" si="1"/>
        <v/>
      </c>
      <c r="AB15" s="18" t="str">
        <f t="shared" si="2"/>
        <v/>
      </c>
      <c r="AC15" s="102" t="e">
        <f>(C15*kWh_Élect_to_kgGES+E15*IF(U_GNat="[m³]",m3_GazNat_to_kgGES,Conversion!$H$27)+G15*IF(U_Ma2="[l]",L_Mazout2_to_kgGES,Conversion!$H$29)+I15*IF(U_Ma6="[l]",L_Mazout6_to_kgGES,Conversion!$H$31)+K15*IF(U_Dies="[l]",L_diesel_to_kgGES,Conversion!$H$33)+M15*IF(U_Prop="[l]",L_Propane_to_kgGES,Conversion!$H$35)+O15*IF(U_Bois20="[1000 kg MG]",Conversion!$H$36,Conversion!$H$37)+Q15*IF(U_Bois45="[1000 kg MG]",Conversion!$H$38,Conversion!$H$39)+S15*lbs_vapeur_to_kgGES+U15*MBTU_eaurefroidie_to_kgGES+W15*MBTU_eauchaude_to_kgGES)/1000</f>
        <v>#NAME?</v>
      </c>
      <c r="AD15" s="103">
        <f t="shared" si="3"/>
        <v>0</v>
      </c>
      <c r="AE15" s="5">
        <f t="shared" si="4"/>
        <v>0</v>
      </c>
      <c r="AF15" s="49">
        <f>SUM(AE9:AE14)</f>
        <v>0</v>
      </c>
      <c r="AG15" s="49">
        <v>6</v>
      </c>
    </row>
    <row r="16" spans="1:33" ht="17.25" customHeight="1" thickTop="1" thickBot="1">
      <c r="A16" s="244">
        <f t="shared" si="6"/>
        <v>43770</v>
      </c>
      <c r="B16" s="254"/>
      <c r="C16" s="255"/>
      <c r="D16" s="256"/>
      <c r="E16" s="255"/>
      <c r="F16" s="256"/>
      <c r="G16" s="255"/>
      <c r="H16" s="256"/>
      <c r="I16" s="255"/>
      <c r="J16" s="256"/>
      <c r="K16" s="420"/>
      <c r="L16" s="420"/>
      <c r="M16" s="255"/>
      <c r="N16" s="256"/>
      <c r="O16" s="255"/>
      <c r="P16" s="256"/>
      <c r="Q16" s="255"/>
      <c r="R16" s="256"/>
      <c r="S16" s="255"/>
      <c r="T16" s="256"/>
      <c r="U16" s="255"/>
      <c r="V16" s="256"/>
      <c r="W16" s="255"/>
      <c r="X16" s="256"/>
      <c r="Y16" s="99" t="e">
        <f t="shared" si="0"/>
        <v>#NAME?</v>
      </c>
      <c r="Z16" s="258">
        <f t="shared" si="5"/>
        <v>0</v>
      </c>
      <c r="AA16" s="17" t="str">
        <f t="shared" si="1"/>
        <v/>
      </c>
      <c r="AB16" s="18" t="str">
        <f t="shared" si="2"/>
        <v/>
      </c>
      <c r="AC16" s="102" t="e">
        <f>(C16*kWh_Élect_to_kgGES+E16*IF(U_GNat="[m³]",m3_GazNat_to_kgGES,Conversion!$H$27)+G16*IF(U_Ma2="[l]",L_Mazout2_to_kgGES,Conversion!$H$29)+I16*IF(U_Ma6="[l]",L_Mazout6_to_kgGES,Conversion!$H$31)+K16*IF(U_Dies="[l]",L_diesel_to_kgGES,Conversion!$H$33)+M16*IF(U_Prop="[l]",L_Propane_to_kgGES,Conversion!$H$35)+O16*IF(U_Bois20="[1000 kg MG]",Conversion!$H$36,Conversion!$H$37)+Q16*IF(U_Bois45="[1000 kg MG]",Conversion!$H$38,Conversion!$H$39)+S16*lbs_vapeur_to_kgGES+U16*MBTU_eaurefroidie_to_kgGES+W16*MBTU_eauchaude_to_kgGES)/1000</f>
        <v>#NAME?</v>
      </c>
      <c r="AD16" s="103">
        <f t="shared" si="3"/>
        <v>0</v>
      </c>
      <c r="AE16" s="5">
        <f t="shared" si="4"/>
        <v>0</v>
      </c>
      <c r="AF16" s="49">
        <f>SUM(AE9:AE15)</f>
        <v>0</v>
      </c>
      <c r="AG16" s="49">
        <v>5</v>
      </c>
    </row>
    <row r="17" spans="1:33" ht="17.25" customHeight="1" thickTop="1" thickBot="1">
      <c r="A17" s="244">
        <f t="shared" si="6"/>
        <v>43800</v>
      </c>
      <c r="B17" s="254"/>
      <c r="C17" s="255"/>
      <c r="D17" s="256"/>
      <c r="E17" s="255"/>
      <c r="F17" s="256"/>
      <c r="G17" s="255"/>
      <c r="H17" s="256"/>
      <c r="I17" s="255"/>
      <c r="J17" s="256"/>
      <c r="K17" s="420"/>
      <c r="L17" s="420"/>
      <c r="M17" s="255"/>
      <c r="N17" s="256"/>
      <c r="O17" s="255"/>
      <c r="P17" s="256"/>
      <c r="Q17" s="255"/>
      <c r="R17" s="256"/>
      <c r="S17" s="255"/>
      <c r="T17" s="256"/>
      <c r="U17" s="255"/>
      <c r="V17" s="256"/>
      <c r="W17" s="255"/>
      <c r="X17" s="256"/>
      <c r="Y17" s="99" t="e">
        <f t="shared" si="0"/>
        <v>#NAME?</v>
      </c>
      <c r="Z17" s="258">
        <f t="shared" si="5"/>
        <v>0</v>
      </c>
      <c r="AA17" s="17" t="str">
        <f t="shared" si="1"/>
        <v/>
      </c>
      <c r="AB17" s="18" t="str">
        <f t="shared" si="2"/>
        <v/>
      </c>
      <c r="AC17" s="102" t="e">
        <f>(C17*kWh_Élect_to_kgGES+E17*IF(U_GNat="[m³]",m3_GazNat_to_kgGES,Conversion!$H$27)+G17*IF(U_Ma2="[l]",L_Mazout2_to_kgGES,Conversion!$H$29)+I17*IF(U_Ma6="[l]",L_Mazout6_to_kgGES,Conversion!$H$31)+K17*IF(U_Dies="[l]",L_diesel_to_kgGES,Conversion!$H$33)+M17*IF(U_Prop="[l]",L_Propane_to_kgGES,Conversion!$H$35)+O17*IF(U_Bois20="[1000 kg MG]",Conversion!$H$36,Conversion!$H$37)+Q17*IF(U_Bois45="[1000 kg MG]",Conversion!$H$38,Conversion!$H$39)+S17*lbs_vapeur_to_kgGES+U17*MBTU_eaurefroidie_to_kgGES+W17*MBTU_eauchaude_to_kgGES)/1000</f>
        <v>#NAME?</v>
      </c>
      <c r="AD17" s="103">
        <f t="shared" si="3"/>
        <v>0</v>
      </c>
      <c r="AE17" s="5">
        <f t="shared" si="4"/>
        <v>0</v>
      </c>
      <c r="AF17" s="49">
        <f>SUM(AE9:AE16)</f>
        <v>0</v>
      </c>
      <c r="AG17" s="49">
        <v>4</v>
      </c>
    </row>
    <row r="18" spans="1:33" ht="17.25" customHeight="1" thickTop="1" thickBot="1">
      <c r="A18" s="244">
        <f t="shared" si="6"/>
        <v>43831</v>
      </c>
      <c r="B18" s="254"/>
      <c r="C18" s="255"/>
      <c r="D18" s="256"/>
      <c r="E18" s="255"/>
      <c r="F18" s="256"/>
      <c r="G18" s="255"/>
      <c r="H18" s="256"/>
      <c r="I18" s="255"/>
      <c r="J18" s="256"/>
      <c r="K18" s="420"/>
      <c r="L18" s="420"/>
      <c r="M18" s="255"/>
      <c r="N18" s="256"/>
      <c r="O18" s="255"/>
      <c r="P18" s="256"/>
      <c r="Q18" s="255"/>
      <c r="R18" s="256"/>
      <c r="S18" s="255"/>
      <c r="T18" s="256"/>
      <c r="U18" s="255"/>
      <c r="V18" s="256"/>
      <c r="W18" s="255"/>
      <c r="X18" s="256"/>
      <c r="Y18" s="99" t="e">
        <f t="shared" si="0"/>
        <v>#NAME?</v>
      </c>
      <c r="Z18" s="258">
        <f t="shared" si="5"/>
        <v>0</v>
      </c>
      <c r="AA18" s="17" t="str">
        <f t="shared" si="1"/>
        <v/>
      </c>
      <c r="AB18" s="18" t="str">
        <f t="shared" si="2"/>
        <v/>
      </c>
      <c r="AC18" s="102" t="e">
        <f>(C18*kWh_Élect_to_kgGES+E18*IF(U_GNat="[m³]",m3_GazNat_to_kgGES,Conversion!$H$27)+G18*IF(U_Ma2="[l]",L_Mazout2_to_kgGES,Conversion!$H$29)+I18*IF(U_Ma6="[l]",L_Mazout6_to_kgGES,Conversion!$H$31)+K18*IF(U_Dies="[l]",L_diesel_to_kgGES,Conversion!$H$33)+M18*IF(U_Prop="[l]",L_Propane_to_kgGES,Conversion!$H$35)+O18*IF(U_Bois20="[1000 kg MG]",Conversion!$H$36,Conversion!$H$37)+Q18*IF(U_Bois45="[1000 kg MG]",Conversion!$H$38,Conversion!$H$39)+S18*lbs_vapeur_to_kgGES+U18*MBTU_eaurefroidie_to_kgGES+W18*MBTU_eauchaude_to_kgGES)/1000</f>
        <v>#NAME?</v>
      </c>
      <c r="AD18" s="103">
        <f t="shared" si="3"/>
        <v>0</v>
      </c>
      <c r="AE18" s="5">
        <f t="shared" si="4"/>
        <v>0</v>
      </c>
      <c r="AF18" s="49">
        <f>SUM(AE9:AE17)</f>
        <v>0</v>
      </c>
      <c r="AG18" s="49">
        <v>3</v>
      </c>
    </row>
    <row r="19" spans="1:33" ht="17.25" customHeight="1" thickTop="1" thickBot="1">
      <c r="A19" s="244">
        <f t="shared" si="6"/>
        <v>43862</v>
      </c>
      <c r="B19" s="254"/>
      <c r="C19" s="255"/>
      <c r="D19" s="256"/>
      <c r="E19" s="255"/>
      <c r="F19" s="256"/>
      <c r="G19" s="255"/>
      <c r="H19" s="256"/>
      <c r="I19" s="255"/>
      <c r="J19" s="256"/>
      <c r="K19" s="420"/>
      <c r="L19" s="420"/>
      <c r="M19" s="255"/>
      <c r="N19" s="256"/>
      <c r="O19" s="255"/>
      <c r="P19" s="256"/>
      <c r="Q19" s="255"/>
      <c r="R19" s="256"/>
      <c r="S19" s="255"/>
      <c r="T19" s="256"/>
      <c r="U19" s="255"/>
      <c r="V19" s="256"/>
      <c r="W19" s="255"/>
      <c r="X19" s="256"/>
      <c r="Y19" s="99" t="e">
        <f t="shared" si="0"/>
        <v>#NAME?</v>
      </c>
      <c r="Z19" s="258">
        <f t="shared" si="5"/>
        <v>0</v>
      </c>
      <c r="AA19" s="17" t="str">
        <f t="shared" si="1"/>
        <v/>
      </c>
      <c r="AB19" s="18" t="str">
        <f t="shared" si="2"/>
        <v/>
      </c>
      <c r="AC19" s="102" t="e">
        <f>(C19*kWh_Élect_to_kgGES+E19*IF(U_GNat="[m³]",m3_GazNat_to_kgGES,Conversion!$H$27)+G19*IF(U_Ma2="[l]",L_Mazout2_to_kgGES,Conversion!$H$29)+I19*IF(U_Ma6="[l]",L_Mazout6_to_kgGES,Conversion!$H$31)+K19*IF(U_Dies="[l]",L_diesel_to_kgGES,Conversion!$H$33)+M19*IF(U_Prop="[l]",L_Propane_to_kgGES,Conversion!$H$35)+O19*IF(U_Bois20="[1000 kg MG]",Conversion!$H$36,Conversion!$H$37)+Q19*IF(U_Bois45="[1000 kg MG]",Conversion!$H$38,Conversion!$H$39)+S19*lbs_vapeur_to_kgGES+U19*MBTU_eaurefroidie_to_kgGES+W19*MBTU_eauchaude_to_kgGES)/1000</f>
        <v>#NAME?</v>
      </c>
      <c r="AD19" s="103">
        <f t="shared" si="3"/>
        <v>0</v>
      </c>
      <c r="AE19" s="5">
        <f t="shared" si="4"/>
        <v>0</v>
      </c>
      <c r="AF19" s="49">
        <f>SUM(AE9:AE18)</f>
        <v>0</v>
      </c>
      <c r="AG19" s="49">
        <v>2</v>
      </c>
    </row>
    <row r="20" spans="1:33" ht="17.25" customHeight="1" thickTop="1" thickBot="1">
      <c r="A20" s="245">
        <f t="shared" si="6"/>
        <v>43891</v>
      </c>
      <c r="B20" s="254"/>
      <c r="C20" s="255"/>
      <c r="D20" s="256"/>
      <c r="E20" s="255"/>
      <c r="F20" s="256"/>
      <c r="G20" s="255"/>
      <c r="H20" s="256"/>
      <c r="I20" s="255"/>
      <c r="J20" s="256"/>
      <c r="K20" s="420"/>
      <c r="L20" s="420"/>
      <c r="M20" s="255"/>
      <c r="N20" s="256"/>
      <c r="O20" s="255"/>
      <c r="P20" s="256"/>
      <c r="Q20" s="255"/>
      <c r="R20" s="256"/>
      <c r="S20" s="255"/>
      <c r="T20" s="256"/>
      <c r="U20" s="255"/>
      <c r="V20" s="256"/>
      <c r="W20" s="255"/>
      <c r="X20" s="256"/>
      <c r="Y20" s="99" t="e">
        <f t="shared" si="0"/>
        <v>#NAME?</v>
      </c>
      <c r="Z20" s="258">
        <f t="shared" si="5"/>
        <v>0</v>
      </c>
      <c r="AA20" s="17" t="str">
        <f t="shared" si="1"/>
        <v/>
      </c>
      <c r="AB20" s="18" t="str">
        <f t="shared" si="2"/>
        <v/>
      </c>
      <c r="AC20" s="102" t="e">
        <f>(C20*kWh_Élect_to_kgGES+E20*IF(U_GNat="[m³]",m3_GazNat_to_kgGES,Conversion!$H$27)+G20*IF(U_Ma2="[l]",L_Mazout2_to_kgGES,Conversion!$H$29)+I20*IF(U_Ma6="[l]",L_Mazout6_to_kgGES,Conversion!$H$31)+K20*IF(U_Dies="[l]",L_diesel_to_kgGES,Conversion!$H$33)+M20*IF(U_Prop="[l]",L_Propane_to_kgGES,Conversion!$H$35)+O20*IF(U_Bois20="[1000 kg MG]",Conversion!$H$36,Conversion!$H$37)+Q20*IF(U_Bois45="[1000 kg MG]",Conversion!$H$38,Conversion!$H$39)+S20*lbs_vapeur_to_kgGES+U20*MBTU_eaurefroidie_to_kgGES+W20*MBTU_eauchaude_to_kgGES)/1000</f>
        <v>#NAME?</v>
      </c>
      <c r="AD20" s="103">
        <f t="shared" si="3"/>
        <v>0</v>
      </c>
      <c r="AE20" s="5">
        <f t="shared" si="4"/>
        <v>0</v>
      </c>
      <c r="AF20" s="49">
        <f>SUM(AE9:AE19)</f>
        <v>0</v>
      </c>
      <c r="AG20" s="49">
        <v>1</v>
      </c>
    </row>
    <row r="21" spans="1:33" ht="20.25" customHeight="1" thickTop="1">
      <c r="A21" s="3" t="s">
        <v>53</v>
      </c>
      <c r="B21" s="35">
        <f>IF(ISERROR(AVERAGE(B9:B20)),0,AVERAGE(B9:B20))</f>
        <v>0</v>
      </c>
      <c r="C21" s="35">
        <f>SUM(C9:C20)</f>
        <v>0</v>
      </c>
      <c r="D21" s="261">
        <f>SUM(D9:D20)</f>
        <v>0</v>
      </c>
      <c r="E21" s="35">
        <f>SUM(E9:E20)</f>
        <v>0</v>
      </c>
      <c r="F21" s="261">
        <f t="shared" ref="F21:X21" si="7">SUM(F9:F20)</f>
        <v>0</v>
      </c>
      <c r="G21" s="35">
        <f t="shared" si="7"/>
        <v>0</v>
      </c>
      <c r="H21" s="260">
        <f t="shared" si="7"/>
        <v>0</v>
      </c>
      <c r="I21" s="35">
        <f t="shared" si="7"/>
        <v>0</v>
      </c>
      <c r="J21" s="260">
        <f t="shared" si="7"/>
        <v>0</v>
      </c>
      <c r="K21" s="35">
        <f t="shared" si="7"/>
        <v>0</v>
      </c>
      <c r="L21" s="259">
        <f t="shared" si="7"/>
        <v>0</v>
      </c>
      <c r="M21" s="35">
        <f t="shared" si="7"/>
        <v>0</v>
      </c>
      <c r="N21" s="260">
        <f t="shared" si="7"/>
        <v>0</v>
      </c>
      <c r="O21" s="35">
        <f t="shared" si="7"/>
        <v>0</v>
      </c>
      <c r="P21" s="260">
        <f t="shared" si="7"/>
        <v>0</v>
      </c>
      <c r="Q21" s="35">
        <f t="shared" si="7"/>
        <v>0</v>
      </c>
      <c r="R21" s="260">
        <f t="shared" si="7"/>
        <v>0</v>
      </c>
      <c r="S21" s="88">
        <f t="shared" si="7"/>
        <v>0</v>
      </c>
      <c r="T21" s="262">
        <f t="shared" si="7"/>
        <v>0</v>
      </c>
      <c r="U21" s="88">
        <f t="shared" si="7"/>
        <v>0</v>
      </c>
      <c r="V21" s="262">
        <f t="shared" si="7"/>
        <v>0</v>
      </c>
      <c r="W21" s="88">
        <f t="shared" si="7"/>
        <v>0</v>
      </c>
      <c r="X21" s="262">
        <f t="shared" si="7"/>
        <v>0</v>
      </c>
      <c r="Y21" s="484" t="e">
        <f t="shared" si="0"/>
        <v>#NAME?</v>
      </c>
      <c r="Z21" s="485">
        <f t="shared" si="5"/>
        <v>0</v>
      </c>
      <c r="AA21" s="265" t="str">
        <f t="shared" si="1"/>
        <v/>
      </c>
      <c r="AB21" s="266" t="str">
        <f t="shared" si="2"/>
        <v/>
      </c>
      <c r="AC21" s="267" t="e">
        <f>(C21*kWh_Élect_to_kgGES+E21*IF(U_GNat="[m³]",m3_GazNat_to_kgGES,Conversion!$H$27)+G21*IF(U_Ma2="[l]",L_Mazout2_to_kgGES,Conversion!$H$29)+I21*IF(U_Ma6="[l]",L_Mazout6_to_kgGES,Conversion!$H$31)+K21*IF(U_Dies="[l]",L_diesel_to_kgGES,Conversion!$H$33)+M21*IF(U_Prop="[l]",L_Propane_to_kgGES,Conversion!$H$35)+O21*IF(U_Bois20="[1000 kg MG]",Conversion!$H$36,Conversion!$H$37)+Q21*IF(U_Bois45="[1000 kg MG]",Conversion!$H$38,Conversion!$H$39)+S21*lbs_vapeur_to_kgGES+U21*MBTU_eaurefroidie_to_kgGES+W21*MBTU_eauchaude_to_kgGES)/1000</f>
        <v>#NAME?</v>
      </c>
      <c r="AD21" s="267">
        <f t="shared" si="3"/>
        <v>0</v>
      </c>
      <c r="AE21" s="268">
        <f>SUM(AE9:AE20)</f>
        <v>0</v>
      </c>
    </row>
    <row r="22" spans="1:33">
      <c r="A22" s="27">
        <v>2019</v>
      </c>
      <c r="B22" s="27" t="s">
        <v>246</v>
      </c>
      <c r="C22" s="28" t="s">
        <v>247</v>
      </c>
      <c r="D22" s="28" t="s">
        <v>248</v>
      </c>
      <c r="E22" s="28" t="s">
        <v>249</v>
      </c>
      <c r="F22" s="28" t="s">
        <v>250</v>
      </c>
      <c r="G22" s="28" t="s">
        <v>251</v>
      </c>
      <c r="H22" s="28" t="s">
        <v>252</v>
      </c>
      <c r="I22" s="28" t="s">
        <v>253</v>
      </c>
      <c r="J22" s="28" t="s">
        <v>254</v>
      </c>
      <c r="K22" s="28" t="s">
        <v>255</v>
      </c>
      <c r="L22" s="28" t="s">
        <v>256</v>
      </c>
      <c r="M22" s="28" t="s">
        <v>257</v>
      </c>
      <c r="N22" s="28" t="s">
        <v>258</v>
      </c>
      <c r="O22" s="28" t="s">
        <v>259</v>
      </c>
      <c r="P22" s="28" t="s">
        <v>260</v>
      </c>
      <c r="Q22" s="28"/>
      <c r="R22" s="28"/>
      <c r="S22" s="28"/>
      <c r="T22" s="28"/>
      <c r="U22" s="28"/>
      <c r="V22" s="28"/>
      <c r="W22" s="47" t="s">
        <v>261</v>
      </c>
      <c r="X22" s="47" t="s">
        <v>262</v>
      </c>
      <c r="Y22" s="47" t="s">
        <v>263</v>
      </c>
      <c r="Z22" s="47" t="s">
        <v>264</v>
      </c>
      <c r="AA22" s="47" t="s">
        <v>265</v>
      </c>
      <c r="AB22" s="48" t="s">
        <v>266</v>
      </c>
      <c r="AC22" s="47" t="s">
        <v>267</v>
      </c>
    </row>
    <row r="23" spans="1:33" ht="15">
      <c r="A23" s="52" t="s">
        <v>352</v>
      </c>
      <c r="B23" s="49"/>
      <c r="C23" s="47"/>
      <c r="D23" s="47"/>
      <c r="E23" s="47"/>
      <c r="F23" s="47"/>
      <c r="G23" s="51"/>
      <c r="H23" s="50"/>
      <c r="I23" s="47"/>
      <c r="J23" s="47"/>
      <c r="K23" s="47"/>
      <c r="L23" s="47"/>
      <c r="M23" s="47"/>
      <c r="N23" s="47"/>
      <c r="O23" s="47"/>
      <c r="P23" s="47"/>
      <c r="Q23" s="47"/>
      <c r="R23" s="47"/>
      <c r="S23" s="47"/>
      <c r="T23" s="47"/>
      <c r="U23" s="47"/>
      <c r="V23" s="47"/>
      <c r="X23" s="47"/>
      <c r="Y23" s="47"/>
      <c r="Z23" s="47"/>
      <c r="AA23" s="47"/>
      <c r="AB23" s="48"/>
      <c r="AC23" s="47"/>
    </row>
    <row r="24" spans="1:33" ht="15" thickBot="1">
      <c r="A24" s="25"/>
      <c r="B24" s="49"/>
      <c r="C24" s="47"/>
      <c r="D24" s="47"/>
      <c r="E24" s="47"/>
      <c r="F24" s="47"/>
      <c r="G24" s="47"/>
      <c r="I24" s="47"/>
      <c r="J24" s="47"/>
      <c r="K24" s="47"/>
      <c r="L24" s="47"/>
      <c r="M24" s="47"/>
      <c r="N24" s="47"/>
      <c r="O24" s="47"/>
      <c r="P24" s="47"/>
      <c r="Q24" s="47"/>
      <c r="R24" s="47"/>
      <c r="S24" s="47"/>
      <c r="T24" s="47"/>
      <c r="U24" s="47"/>
      <c r="V24" s="47"/>
      <c r="X24" s="47"/>
      <c r="Y24" s="47"/>
      <c r="Z24" s="47"/>
      <c r="AA24" s="47"/>
      <c r="AB24" s="48"/>
      <c r="AC24" s="47"/>
    </row>
    <row r="25" spans="1:33" ht="18.600000000000001" thickTop="1">
      <c r="A25" s="560" t="s">
        <v>804</v>
      </c>
      <c r="B25" s="561"/>
      <c r="C25" s="561"/>
      <c r="D25" s="561"/>
      <c r="E25" s="561"/>
      <c r="F25" s="561"/>
      <c r="G25" s="561"/>
      <c r="H25" s="562"/>
      <c r="X25" s="47"/>
      <c r="Y25" s="47">
        <f>Lim_bas</f>
        <v>0</v>
      </c>
      <c r="Z25" s="47">
        <f>Lim_haut</f>
        <v>0</v>
      </c>
      <c r="AA25" s="47"/>
      <c r="AB25" s="47"/>
      <c r="AC25" s="47"/>
    </row>
    <row r="26" spans="1:33" ht="19.8">
      <c r="A26" s="53"/>
      <c r="B26" s="23"/>
      <c r="X26" s="47"/>
      <c r="Y26" s="47"/>
      <c r="Z26" s="47"/>
      <c r="AA26" s="47"/>
      <c r="AB26" s="47"/>
      <c r="AC26" s="47"/>
    </row>
    <row r="27" spans="1:33" ht="19.8">
      <c r="A27" s="53" t="s">
        <v>686</v>
      </c>
      <c r="X27" s="47"/>
      <c r="Y27" s="47"/>
      <c r="Z27" s="47"/>
      <c r="AA27" s="47"/>
      <c r="AB27" s="47"/>
      <c r="AC27" s="47"/>
    </row>
    <row r="28" spans="1:33" ht="19.8">
      <c r="A28" s="53"/>
      <c r="X28" s="47"/>
      <c r="Y28" s="47"/>
      <c r="Z28" s="47"/>
      <c r="AA28" s="47"/>
      <c r="AB28" s="47"/>
      <c r="AC28" s="47"/>
    </row>
    <row r="29" spans="1:33" s="231" customFormat="1" ht="15" thickBot="1">
      <c r="A29" s="232" t="s">
        <v>681</v>
      </c>
      <c r="B29" s="229"/>
      <c r="C29" s="229"/>
      <c r="D29" s="229"/>
      <c r="E29" s="229"/>
      <c r="F29" s="229"/>
      <c r="I29" s="230"/>
    </row>
    <row r="30" spans="1:33" s="231" customFormat="1" ht="15.6" thickTop="1" thickBot="1">
      <c r="A30" s="232" t="s">
        <v>682</v>
      </c>
      <c r="B30" s="229"/>
      <c r="C30" s="229"/>
      <c r="D30" s="229"/>
      <c r="E30" s="229"/>
      <c r="F30" s="229"/>
      <c r="I30" s="230"/>
    </row>
    <row r="31" spans="1:33" s="231" customFormat="1" ht="15.6" thickTop="1" thickBot="1">
      <c r="A31" s="232" t="s">
        <v>683</v>
      </c>
      <c r="B31" s="229"/>
      <c r="C31" s="229"/>
      <c r="D31" s="229"/>
      <c r="E31" s="229"/>
      <c r="F31" s="229"/>
      <c r="I31" s="230"/>
    </row>
    <row r="32" spans="1:33" s="231" customFormat="1" ht="15.6" thickTop="1" thickBot="1">
      <c r="A32" s="232" t="s">
        <v>684</v>
      </c>
      <c r="B32" s="229"/>
      <c r="C32" s="229"/>
      <c r="D32" s="229"/>
      <c r="E32" s="229"/>
      <c r="F32" s="229"/>
      <c r="I32" s="230"/>
    </row>
    <row r="33" spans="1:31" s="231" customFormat="1" ht="15.6" thickTop="1" thickBot="1">
      <c r="A33" s="232" t="s">
        <v>685</v>
      </c>
      <c r="B33" s="229"/>
      <c r="C33" s="229"/>
      <c r="D33" s="229"/>
      <c r="E33" s="229"/>
      <c r="F33" s="229"/>
      <c r="I33" s="230"/>
    </row>
    <row r="34" spans="1:31" ht="30" customHeight="1" thickTop="1" thickBot="1">
      <c r="A34" s="23"/>
      <c r="B34" s="23"/>
    </row>
    <row r="35" spans="1:31" ht="159" customHeight="1" thickTop="1">
      <c r="A35" s="556" t="s">
        <v>80</v>
      </c>
      <c r="B35" s="557"/>
      <c r="C35" s="564" t="s">
        <v>342</v>
      </c>
      <c r="D35" s="564"/>
      <c r="E35" s="564"/>
      <c r="F35" s="564"/>
      <c r="G35" s="564"/>
      <c r="H35" s="564"/>
      <c r="I35" s="564"/>
      <c r="J35" s="564"/>
      <c r="K35" s="564"/>
      <c r="L35" s="564"/>
      <c r="W35" s="220"/>
      <c r="X35" s="220"/>
      <c r="Y35" s="220"/>
      <c r="Z35" s="220"/>
      <c r="AA35" s="220"/>
      <c r="AB35" s="220"/>
      <c r="AC35" s="296"/>
      <c r="AD35" s="297"/>
      <c r="AE35" s="297"/>
    </row>
    <row r="36" spans="1:31" ht="15" thickBot="1">
      <c r="A36" s="23"/>
      <c r="B36" s="23"/>
      <c r="W36" s="220"/>
      <c r="X36" s="220"/>
      <c r="Y36" s="220"/>
      <c r="Z36" s="220"/>
      <c r="AA36" s="220"/>
      <c r="AB36" s="220"/>
      <c r="AC36" s="296"/>
      <c r="AD36" s="297"/>
      <c r="AE36" s="297"/>
    </row>
    <row r="37" spans="1:31" ht="44.4" thickTop="1" thickBot="1">
      <c r="B37" s="12" t="s">
        <v>64</v>
      </c>
      <c r="C37" s="12" t="s">
        <v>91</v>
      </c>
      <c r="D37" s="12" t="s">
        <v>338</v>
      </c>
      <c r="E37" s="12" t="s">
        <v>75</v>
      </c>
      <c r="F37" s="12"/>
      <c r="G37" s="12" t="s">
        <v>72</v>
      </c>
      <c r="H37" s="12" t="s">
        <v>71</v>
      </c>
      <c r="I37" s="12" t="s">
        <v>340</v>
      </c>
      <c r="J37" s="12" t="s">
        <v>339</v>
      </c>
      <c r="W37" s="220"/>
      <c r="X37" s="221" t="s">
        <v>54</v>
      </c>
      <c r="Y37" s="222">
        <f>((1-Facteur_variable)+Facteur_variable*DJC_tot_19_20/DJC_tot_09_10)*GJ_Tot_09_10+GJ_Ajust_NP_Cour_19_20</f>
        <v>0</v>
      </c>
      <c r="Z37" s="223" t="s">
        <v>322</v>
      </c>
      <c r="AA37" s="220"/>
      <c r="AB37" s="220"/>
      <c r="AC37" s="296"/>
      <c r="AD37" s="297"/>
      <c r="AE37" s="297"/>
    </row>
    <row r="38" spans="1:31" ht="35.25" customHeight="1" thickTop="1">
      <c r="B38" s="36" t="s">
        <v>336</v>
      </c>
      <c r="C38" s="36"/>
      <c r="D38" s="36"/>
      <c r="E38" s="55"/>
      <c r="F38" s="54" t="str">
        <f>IF(D38="électrique","kWh",IF(D38="Gaz naturel","m³",IF(LEFT(D38,1)="R","1000 kg","l")))</f>
        <v>l</v>
      </c>
      <c r="G38" s="36"/>
      <c r="H38" s="37"/>
      <c r="I38" s="38">
        <f>IF(COUNTA(G38)=1,IF(C38="Réduction",-1,IF(C38="Augmentation",1,0))*E38*INDEX(Conversion!$A$24:$J$40,MATCH(D38,Conversion!$J$24:$J$40,0),9),0)</f>
        <v>0</v>
      </c>
      <c r="J38" s="38">
        <f t="shared" ref="J38:J44" si="8">IF(G38="Non",I38*L38,IF(G38="Oui",I38*K38,0))</f>
        <v>0</v>
      </c>
      <c r="K38" s="56" t="e">
        <f t="shared" ref="K38:K44" si="9">(DJC_tot_19_20-INDEX($A$9:$AF$20,MATCH(H38,$A$9:$A$20,0),24))/DJC_tot_19_20</f>
        <v>#N/A</v>
      </c>
      <c r="L38" s="56" t="e">
        <f t="shared" ref="L38:L44" si="10">INDEX($A$9:$AG$20,MATCH(H38,$A$9:$A$20,0),25)/12</f>
        <v>#N/A</v>
      </c>
      <c r="W38" s="223"/>
      <c r="X38" s="224" t="s">
        <v>55</v>
      </c>
      <c r="Y38" s="223" t="e">
        <f>GJ_Tot_19_20</f>
        <v>#NAME?</v>
      </c>
      <c r="Z38" s="223"/>
      <c r="AA38" s="220"/>
      <c r="AB38" s="220"/>
      <c r="AC38" s="296"/>
      <c r="AD38" s="297"/>
      <c r="AE38" s="297"/>
    </row>
    <row r="39" spans="1:31" ht="35.25" customHeight="1">
      <c r="B39" s="36" t="s">
        <v>330</v>
      </c>
      <c r="C39" s="36"/>
      <c r="D39" s="36"/>
      <c r="E39" s="55"/>
      <c r="F39" s="54" t="str">
        <f t="shared" ref="F39:F44" si="11">IF(D39="électrique","kWh",IF(D39="Gaz naturel","m³",IF(LEFT(D39,1)="R","1000 kg","l")))</f>
        <v>l</v>
      </c>
      <c r="G39" s="36"/>
      <c r="H39" s="37"/>
      <c r="I39" s="38">
        <f>IF(COUNTA(G39)=1,IF(C39="Réduction",-1,IF(C39="Augmentation",1,0))*E39*INDEX(Conversion!$A$24:$J$40,MATCH(D39,Conversion!$J$24:$J$40,0),9),0)</f>
        <v>0</v>
      </c>
      <c r="J39" s="38">
        <f t="shared" si="8"/>
        <v>0</v>
      </c>
      <c r="K39" s="56" t="e">
        <f t="shared" si="9"/>
        <v>#N/A</v>
      </c>
      <c r="L39" s="56" t="e">
        <f t="shared" si="10"/>
        <v>#N/A</v>
      </c>
      <c r="W39" s="223"/>
      <c r="X39" s="224" t="s">
        <v>56</v>
      </c>
      <c r="Y39" s="223">
        <f>Sup_09_10</f>
        <v>0</v>
      </c>
      <c r="Z39" s="223"/>
      <c r="AA39" s="220"/>
      <c r="AB39" s="220"/>
      <c r="AC39" s="296"/>
      <c r="AD39" s="297"/>
      <c r="AE39" s="297"/>
    </row>
    <row r="40" spans="1:31" ht="35.25" customHeight="1">
      <c r="B40" s="36" t="s">
        <v>331</v>
      </c>
      <c r="C40" s="36"/>
      <c r="D40" s="36"/>
      <c r="E40" s="55"/>
      <c r="F40" s="54" t="str">
        <f t="shared" si="11"/>
        <v>l</v>
      </c>
      <c r="G40" s="36"/>
      <c r="H40" s="37"/>
      <c r="I40" s="38">
        <f>IF(COUNTA(G40)=1,IF(C40="Réduction",-1,IF(C40="Augmentation",1,0))*E40*INDEX(Conversion!$A$24:$J$40,MATCH(D40,Conversion!$J$24:$J$40,0),9),0)</f>
        <v>0</v>
      </c>
      <c r="J40" s="38">
        <f t="shared" si="8"/>
        <v>0</v>
      </c>
      <c r="K40" s="56" t="e">
        <f t="shared" si="9"/>
        <v>#N/A</v>
      </c>
      <c r="L40" s="56" t="e">
        <f t="shared" si="10"/>
        <v>#N/A</v>
      </c>
      <c r="W40" s="220"/>
      <c r="X40" s="224" t="s">
        <v>57</v>
      </c>
      <c r="Y40" s="220">
        <f>Sup_19_20</f>
        <v>0</v>
      </c>
      <c r="Z40" s="223"/>
      <c r="AA40" s="220"/>
      <c r="AB40" s="220"/>
      <c r="AC40" s="296"/>
      <c r="AD40" s="297"/>
      <c r="AE40" s="297"/>
    </row>
    <row r="41" spans="1:31" ht="35.25" customHeight="1">
      <c r="B41" s="36" t="s">
        <v>332</v>
      </c>
      <c r="C41" s="36"/>
      <c r="D41" s="36"/>
      <c r="E41" s="55"/>
      <c r="F41" s="54" t="str">
        <f t="shared" si="11"/>
        <v>l</v>
      </c>
      <c r="G41" s="36"/>
      <c r="H41" s="37"/>
      <c r="I41" s="38">
        <f>IF(COUNTA(G41)=1,IF(C41="Réduction",-1,IF(C41="Augmentation",1,0))*E41*INDEX(Conversion!$A$24:$J$40,MATCH(D41,Conversion!$J$24:$J$40,0),9),0)</f>
        <v>0</v>
      </c>
      <c r="J41" s="38">
        <f t="shared" si="8"/>
        <v>0</v>
      </c>
      <c r="K41" s="56" t="e">
        <f t="shared" si="9"/>
        <v>#N/A</v>
      </c>
      <c r="L41" s="56" t="e">
        <f t="shared" si="10"/>
        <v>#N/A</v>
      </c>
      <c r="W41" s="220"/>
      <c r="X41" s="220"/>
      <c r="Y41" s="225" t="e">
        <f>GJTotRef_Ajust_19_20/Sup_09_10</f>
        <v>#DIV/0!</v>
      </c>
      <c r="Z41" s="223" t="s">
        <v>323</v>
      </c>
      <c r="AA41" s="220"/>
      <c r="AB41" s="220"/>
      <c r="AC41" s="296"/>
      <c r="AD41" s="297"/>
      <c r="AE41" s="297"/>
    </row>
    <row r="42" spans="1:31" ht="35.25" customHeight="1">
      <c r="B42" s="36" t="s">
        <v>333</v>
      </c>
      <c r="C42" s="36"/>
      <c r="D42" s="36"/>
      <c r="E42" s="55"/>
      <c r="F42" s="54" t="str">
        <f t="shared" si="11"/>
        <v>l</v>
      </c>
      <c r="G42" s="36"/>
      <c r="H42" s="37"/>
      <c r="I42" s="38">
        <f>IF(COUNTA(G42)=1,IF(C42="Réduction",-1,IF(C42="Augmentation",1,0))*E42*INDEX(Conversion!$A$24:$J$40,MATCH(D42,Conversion!$J$24:$J$40,0),9),0)</f>
        <v>0</v>
      </c>
      <c r="J42" s="38">
        <f t="shared" si="8"/>
        <v>0</v>
      </c>
      <c r="K42" s="56" t="e">
        <f t="shared" si="9"/>
        <v>#N/A</v>
      </c>
      <c r="L42" s="56" t="e">
        <f t="shared" si="10"/>
        <v>#N/A</v>
      </c>
      <c r="W42" s="223"/>
      <c r="X42" s="223"/>
      <c r="Y42" s="226">
        <f>J45</f>
        <v>0</v>
      </c>
      <c r="Z42" s="223" t="s">
        <v>324</v>
      </c>
      <c r="AA42" s="223"/>
      <c r="AB42" s="223"/>
      <c r="AC42" s="297"/>
      <c r="AD42" s="297"/>
      <c r="AE42" s="297"/>
    </row>
    <row r="43" spans="1:31" ht="35.25" customHeight="1">
      <c r="B43" s="36" t="s">
        <v>334</v>
      </c>
      <c r="C43" s="36"/>
      <c r="D43" s="36"/>
      <c r="E43" s="55"/>
      <c r="F43" s="54" t="str">
        <f t="shared" si="11"/>
        <v>l</v>
      </c>
      <c r="G43" s="36"/>
      <c r="H43" s="37"/>
      <c r="I43" s="38">
        <f>IF(COUNTA(G43)=1,IF(C43="Réduction",-1,IF(C43="Augmentation",1,0))*E43*INDEX(Conversion!$A$24:$J$40,MATCH(D43,Conversion!$J$24:$J$40,0),9),0)</f>
        <v>0</v>
      </c>
      <c r="J43" s="38">
        <f t="shared" si="8"/>
        <v>0</v>
      </c>
      <c r="K43" s="56" t="e">
        <f t="shared" si="9"/>
        <v>#N/A</v>
      </c>
      <c r="L43" s="56" t="e">
        <f t="shared" si="10"/>
        <v>#N/A</v>
      </c>
      <c r="W43" s="223"/>
      <c r="X43" s="223"/>
      <c r="Y43" s="226">
        <f>I45</f>
        <v>0</v>
      </c>
      <c r="Z43" s="223" t="s">
        <v>325</v>
      </c>
      <c r="AA43" s="223"/>
      <c r="AB43" s="223"/>
      <c r="AC43" s="297"/>
      <c r="AD43" s="297"/>
      <c r="AE43" s="297"/>
    </row>
    <row r="44" spans="1:31" ht="35.25" customHeight="1" thickBot="1">
      <c r="B44" s="36" t="s">
        <v>335</v>
      </c>
      <c r="C44" s="36"/>
      <c r="D44" s="36"/>
      <c r="E44" s="55"/>
      <c r="F44" s="54" t="str">
        <f t="shared" si="11"/>
        <v>l</v>
      </c>
      <c r="G44" s="36"/>
      <c r="H44" s="37"/>
      <c r="I44" s="38">
        <f>IF(COUNTA(G44)=1,IF(C44="Réduction",-1,IF(C44="Augmentation",1,0))*E44*INDEX(Conversion!$A$24:$J$40,MATCH(D44,Conversion!$J$24:$J$40,0),9),0)</f>
        <v>0</v>
      </c>
      <c r="J44" s="38">
        <f t="shared" si="8"/>
        <v>0</v>
      </c>
      <c r="K44" s="56" t="e">
        <f t="shared" si="9"/>
        <v>#N/A</v>
      </c>
      <c r="L44" s="56" t="e">
        <f t="shared" si="10"/>
        <v>#N/A</v>
      </c>
      <c r="W44" s="223"/>
      <c r="X44" s="223"/>
      <c r="Y44" s="223"/>
      <c r="Z44" s="223"/>
      <c r="AA44" s="223"/>
      <c r="AB44" s="223"/>
      <c r="AC44" s="297"/>
      <c r="AD44" s="297"/>
      <c r="AE44" s="297"/>
    </row>
    <row r="45" spans="1:31" ht="25.5" customHeight="1" thickTop="1" thickBot="1">
      <c r="B45" s="21" t="s">
        <v>16</v>
      </c>
      <c r="C45" s="19"/>
      <c r="D45" s="19"/>
      <c r="E45" s="19"/>
      <c r="F45" s="19"/>
      <c r="G45" s="19"/>
      <c r="H45" s="19"/>
      <c r="I45" s="20">
        <f>SUM(I38:I44)</f>
        <v>0</v>
      </c>
      <c r="J45" s="20">
        <f>SUM(J38:J44)</f>
        <v>0</v>
      </c>
      <c r="W45" s="223"/>
      <c r="X45" s="223"/>
      <c r="Y45" s="223"/>
      <c r="Z45" s="223"/>
      <c r="AA45" s="223"/>
      <c r="AB45" s="223"/>
      <c r="AC45" s="297"/>
      <c r="AD45" s="297"/>
      <c r="AE45" s="297"/>
    </row>
    <row r="46" spans="1:31" ht="15" thickTop="1">
      <c r="I46" s="1"/>
      <c r="J46" s="24"/>
      <c r="W46" s="297"/>
      <c r="X46" s="297"/>
      <c r="Y46" s="297"/>
      <c r="Z46" s="297"/>
      <c r="AA46" s="297"/>
      <c r="AB46" s="297"/>
      <c r="AC46" s="297"/>
      <c r="AD46" s="297"/>
      <c r="AE46" s="297"/>
    </row>
    <row r="47" spans="1:31">
      <c r="W47" s="49"/>
    </row>
    <row r="48" spans="1:31">
      <c r="W48" s="49"/>
    </row>
    <row r="49" spans="1:23" ht="16.5" customHeight="1">
      <c r="W49" s="49"/>
    </row>
    <row r="50" spans="1:23">
      <c r="W50" s="49"/>
    </row>
    <row r="51" spans="1:23" ht="16.5" customHeight="1">
      <c r="W51" s="49"/>
    </row>
    <row r="52" spans="1:23">
      <c r="A52" s="29"/>
      <c r="B52" s="29"/>
      <c r="C52" s="30"/>
      <c r="D52" s="30"/>
      <c r="E52" s="30"/>
      <c r="F52" s="30"/>
      <c r="G52" s="30"/>
      <c r="H52" s="30"/>
      <c r="W52" s="49"/>
    </row>
    <row r="53" spans="1:23">
      <c r="A53" s="29"/>
      <c r="B53" s="29"/>
      <c r="C53" s="30"/>
      <c r="D53" s="30"/>
      <c r="E53" s="30"/>
      <c r="F53" s="30"/>
      <c r="G53" s="30"/>
      <c r="H53" s="30"/>
      <c r="W53" s="49"/>
    </row>
    <row r="54" spans="1:23">
      <c r="A54" s="29"/>
      <c r="B54" s="27"/>
      <c r="C54" s="28" t="s">
        <v>65</v>
      </c>
      <c r="D54" s="28" t="s">
        <v>70</v>
      </c>
      <c r="E54" s="28"/>
      <c r="F54" s="28"/>
      <c r="G54" s="28" t="s">
        <v>73</v>
      </c>
      <c r="H54" s="30"/>
    </row>
    <row r="55" spans="1:23">
      <c r="A55" s="29"/>
      <c r="B55" s="27"/>
      <c r="C55" s="28" t="s">
        <v>66</v>
      </c>
      <c r="D55" s="28" t="s">
        <v>19</v>
      </c>
      <c r="E55" s="28"/>
      <c r="F55" s="28"/>
      <c r="G55" s="28" t="s">
        <v>74</v>
      </c>
      <c r="H55" s="30"/>
    </row>
    <row r="56" spans="1:23">
      <c r="A56" s="29"/>
      <c r="B56" s="27"/>
      <c r="C56" s="28"/>
      <c r="D56" s="28" t="s">
        <v>67</v>
      </c>
      <c r="E56" s="28"/>
      <c r="F56" s="28"/>
      <c r="G56" s="28"/>
      <c r="H56" s="30"/>
    </row>
    <row r="57" spans="1:23">
      <c r="A57" s="29"/>
      <c r="B57" s="27"/>
      <c r="C57" s="28"/>
      <c r="D57" s="28" t="s">
        <v>25</v>
      </c>
      <c r="E57" s="28"/>
      <c r="F57" s="28"/>
      <c r="G57" s="28"/>
      <c r="H57" s="30"/>
    </row>
    <row r="58" spans="1:23">
      <c r="A58" s="29"/>
      <c r="B58" s="27"/>
      <c r="C58" s="28"/>
      <c r="D58" s="28" t="s">
        <v>27</v>
      </c>
      <c r="E58" s="28"/>
      <c r="F58" s="28"/>
      <c r="G58" s="28"/>
      <c r="H58" s="30"/>
    </row>
    <row r="59" spans="1:23">
      <c r="A59" s="29"/>
      <c r="B59" s="27"/>
      <c r="C59" s="28"/>
      <c r="D59" s="28" t="s">
        <v>68</v>
      </c>
      <c r="E59" s="28"/>
      <c r="F59" s="28"/>
      <c r="G59" s="28"/>
      <c r="H59" s="30"/>
    </row>
    <row r="60" spans="1:23">
      <c r="A60" s="29"/>
      <c r="B60" s="27"/>
      <c r="C60" s="28"/>
      <c r="D60" s="28" t="s">
        <v>69</v>
      </c>
      <c r="E60" s="28"/>
      <c r="F60" s="28"/>
      <c r="G60" s="28"/>
      <c r="H60" s="30"/>
    </row>
    <row r="61" spans="1:23">
      <c r="A61" s="29"/>
      <c r="B61" s="27"/>
      <c r="C61" s="28"/>
      <c r="D61" s="28" t="s">
        <v>77</v>
      </c>
      <c r="E61" s="28"/>
      <c r="F61" s="28"/>
      <c r="G61" s="28"/>
      <c r="H61" s="30"/>
    </row>
    <row r="62" spans="1:23">
      <c r="A62" s="29"/>
      <c r="B62" s="27"/>
      <c r="C62" s="28"/>
      <c r="D62" s="28"/>
      <c r="E62" s="28"/>
      <c r="F62" s="28"/>
      <c r="G62" s="28"/>
      <c r="H62" s="30"/>
    </row>
    <row r="63" spans="1:23">
      <c r="A63" s="29"/>
      <c r="B63" s="29"/>
      <c r="C63" s="30"/>
      <c r="D63" s="30"/>
      <c r="E63" s="30"/>
      <c r="F63" s="30"/>
      <c r="G63" s="30"/>
      <c r="H63" s="30"/>
    </row>
    <row r="64" spans="1:23">
      <c r="A64" s="29"/>
      <c r="B64" s="29"/>
      <c r="C64" s="30"/>
      <c r="D64" s="30"/>
      <c r="E64" s="30"/>
      <c r="F64" s="30"/>
      <c r="G64" s="30"/>
      <c r="H64" s="30"/>
    </row>
    <row r="65" spans="1:23">
      <c r="A65" s="29"/>
      <c r="B65" s="29"/>
      <c r="C65" s="30"/>
      <c r="D65" s="30"/>
      <c r="E65" s="30"/>
      <c r="F65" s="30"/>
      <c r="G65" s="30"/>
      <c r="H65" s="30"/>
    </row>
    <row r="66" spans="1:23">
      <c r="A66" s="29"/>
      <c r="B66" s="29"/>
      <c r="C66" s="30"/>
      <c r="D66" s="30"/>
      <c r="E66" s="30"/>
      <c r="F66" s="30"/>
      <c r="G66" s="30"/>
      <c r="H66" s="30"/>
    </row>
    <row r="67" spans="1:23">
      <c r="A67" s="29"/>
      <c r="B67" s="29"/>
      <c r="C67" s="30"/>
      <c r="D67" s="30"/>
      <c r="E67" s="30"/>
      <c r="F67" s="30"/>
      <c r="G67" s="30"/>
      <c r="H67" s="30"/>
    </row>
    <row r="68" spans="1:23">
      <c r="A68" s="29"/>
      <c r="B68" s="29"/>
      <c r="C68" s="30"/>
      <c r="D68" s="30"/>
      <c r="E68" s="29"/>
      <c r="F68" s="29"/>
      <c r="G68" s="29"/>
      <c r="H68" s="29"/>
      <c r="I68" s="1"/>
      <c r="J68" s="1"/>
      <c r="K68" s="1"/>
      <c r="L68" s="1"/>
      <c r="M68" s="1"/>
      <c r="N68" s="1"/>
      <c r="O68" s="1"/>
      <c r="P68" s="1"/>
      <c r="Q68" s="1"/>
      <c r="R68" s="1"/>
      <c r="S68" s="1"/>
      <c r="T68" s="1"/>
      <c r="U68" s="1"/>
      <c r="V68" s="1"/>
      <c r="W68" s="49"/>
    </row>
    <row r="69" spans="1:23">
      <c r="A69" s="29"/>
      <c r="B69" s="29"/>
      <c r="C69" s="30"/>
      <c r="D69" s="30"/>
      <c r="E69" s="29"/>
      <c r="F69" s="29"/>
      <c r="G69" s="29"/>
      <c r="H69" s="29"/>
      <c r="I69" s="1"/>
      <c r="J69" s="1"/>
      <c r="K69" s="1"/>
      <c r="L69" s="1"/>
      <c r="M69" s="1"/>
      <c r="N69" s="1"/>
      <c r="O69" s="1"/>
      <c r="P69" s="1"/>
      <c r="Q69" s="1"/>
      <c r="R69" s="1"/>
      <c r="S69" s="1"/>
      <c r="T69" s="1"/>
      <c r="U69" s="1"/>
      <c r="V69" s="1"/>
      <c r="W69" s="49"/>
    </row>
    <row r="70" spans="1:23" ht="16.5" customHeight="1">
      <c r="E70" s="1"/>
      <c r="F70" s="1"/>
      <c r="G70" s="1"/>
      <c r="H70" s="1"/>
      <c r="I70" s="1"/>
      <c r="J70" s="1"/>
      <c r="K70" s="1"/>
      <c r="L70" s="1"/>
      <c r="M70" s="1"/>
      <c r="N70" s="1"/>
      <c r="O70" s="1"/>
      <c r="P70" s="1"/>
      <c r="Q70" s="1"/>
      <c r="R70" s="1"/>
      <c r="S70" s="1"/>
      <c r="T70" s="1"/>
      <c r="U70" s="1"/>
      <c r="V70" s="1"/>
      <c r="W70" s="49"/>
    </row>
    <row r="71" spans="1:23">
      <c r="E71" s="1"/>
      <c r="F71" s="1"/>
      <c r="G71" s="1"/>
      <c r="H71" s="1"/>
      <c r="I71" s="1"/>
      <c r="J71" s="1"/>
      <c r="K71" s="1"/>
      <c r="L71" s="1"/>
      <c r="M71" s="1"/>
      <c r="N71" s="1"/>
      <c r="O71" s="1"/>
      <c r="P71" s="1"/>
      <c r="Q71" s="1"/>
      <c r="R71" s="1"/>
      <c r="S71" s="1"/>
      <c r="T71" s="1"/>
      <c r="U71" s="1"/>
      <c r="V71" s="1"/>
      <c r="W71" s="49"/>
    </row>
    <row r="72" spans="1:23">
      <c r="E72" s="1"/>
      <c r="F72" s="1"/>
      <c r="G72" s="1"/>
      <c r="H72" s="1"/>
      <c r="I72" s="1"/>
      <c r="J72" s="1"/>
      <c r="K72" s="1"/>
      <c r="L72" s="1"/>
      <c r="M72" s="1"/>
      <c r="N72" s="1"/>
      <c r="O72" s="1"/>
      <c r="P72" s="1"/>
      <c r="Q72" s="1"/>
      <c r="R72" s="1"/>
      <c r="S72" s="1"/>
      <c r="T72" s="1"/>
      <c r="U72" s="1"/>
      <c r="V72" s="1"/>
      <c r="W72" s="49"/>
    </row>
    <row r="73" spans="1:23">
      <c r="E73" s="1"/>
      <c r="F73" s="1"/>
      <c r="G73" s="1"/>
      <c r="H73" s="1"/>
      <c r="I73" s="1"/>
      <c r="J73" s="1"/>
      <c r="K73" s="1"/>
      <c r="L73" s="1"/>
      <c r="M73" s="1"/>
      <c r="N73" s="1"/>
      <c r="O73" s="1"/>
      <c r="P73" s="1"/>
      <c r="Q73" s="1"/>
      <c r="R73" s="1"/>
      <c r="S73" s="1"/>
      <c r="T73" s="1"/>
      <c r="U73" s="1"/>
      <c r="V73" s="1"/>
      <c r="W73" s="49"/>
    </row>
    <row r="74" spans="1:23">
      <c r="E74" s="1"/>
      <c r="F74" s="1"/>
      <c r="G74" s="1"/>
      <c r="H74" s="1"/>
      <c r="I74" s="1"/>
      <c r="J74" s="1"/>
      <c r="K74" s="1"/>
      <c r="L74" s="1"/>
      <c r="M74" s="1"/>
      <c r="N74" s="1"/>
      <c r="O74" s="1"/>
      <c r="P74" s="1"/>
      <c r="Q74" s="1"/>
      <c r="R74" s="1"/>
      <c r="S74" s="1"/>
      <c r="T74" s="1"/>
      <c r="U74" s="1"/>
      <c r="V74" s="1"/>
      <c r="W74" s="49"/>
    </row>
    <row r="75" spans="1:23">
      <c r="E75" s="1"/>
      <c r="F75" s="1"/>
      <c r="G75" s="1"/>
      <c r="H75" s="1"/>
      <c r="I75" s="1"/>
      <c r="J75" s="1"/>
      <c r="K75" s="1"/>
      <c r="L75" s="1"/>
      <c r="M75" s="1"/>
      <c r="N75" s="1"/>
      <c r="O75" s="1"/>
      <c r="P75" s="1"/>
      <c r="Q75" s="1"/>
      <c r="R75" s="1"/>
      <c r="S75" s="1"/>
      <c r="T75" s="1"/>
      <c r="U75" s="1"/>
      <c r="V75" s="1"/>
      <c r="W75" s="49"/>
    </row>
    <row r="76" spans="1:23">
      <c r="E76" s="1"/>
      <c r="F76" s="1"/>
      <c r="G76" s="1"/>
      <c r="H76" s="1"/>
      <c r="I76" s="1"/>
      <c r="J76" s="1"/>
      <c r="K76" s="1"/>
      <c r="L76" s="1"/>
      <c r="M76" s="1"/>
      <c r="N76" s="1"/>
      <c r="O76" s="1"/>
      <c r="P76" s="1"/>
      <c r="Q76" s="1"/>
      <c r="R76" s="1"/>
      <c r="S76" s="1"/>
      <c r="T76" s="1"/>
      <c r="U76" s="1"/>
      <c r="V76" s="1"/>
      <c r="W76" s="49"/>
    </row>
    <row r="77" spans="1:23">
      <c r="E77" s="1"/>
      <c r="F77" s="1"/>
      <c r="G77" s="1"/>
      <c r="H77" s="1"/>
      <c r="I77" s="1"/>
      <c r="J77" s="1"/>
      <c r="K77" s="1"/>
      <c r="L77" s="1"/>
      <c r="M77" s="1"/>
      <c r="N77" s="1"/>
      <c r="O77" s="1"/>
      <c r="P77" s="1"/>
      <c r="Q77" s="1"/>
      <c r="R77" s="1"/>
      <c r="S77" s="1"/>
      <c r="T77" s="1"/>
      <c r="U77" s="1"/>
      <c r="V77" s="1"/>
      <c r="W77" s="49"/>
    </row>
    <row r="78" spans="1:23">
      <c r="E78" s="1"/>
      <c r="F78" s="1"/>
      <c r="G78" s="1"/>
      <c r="H78" s="1"/>
      <c r="I78" s="1"/>
      <c r="J78" s="1"/>
      <c r="K78" s="1"/>
      <c r="L78" s="1"/>
      <c r="M78" s="1"/>
      <c r="N78" s="1"/>
      <c r="O78" s="1"/>
      <c r="P78" s="1"/>
      <c r="Q78" s="1"/>
      <c r="R78" s="1"/>
      <c r="S78" s="1"/>
      <c r="T78" s="1"/>
      <c r="U78" s="1"/>
      <c r="V78" s="1"/>
      <c r="W78" s="49"/>
    </row>
    <row r="79" spans="1:23">
      <c r="E79" s="1"/>
      <c r="F79" s="1"/>
      <c r="G79" s="1"/>
      <c r="H79" s="1"/>
      <c r="I79" s="1"/>
      <c r="J79" s="1"/>
      <c r="K79" s="1"/>
      <c r="L79" s="1"/>
      <c r="M79" s="1"/>
      <c r="N79" s="1"/>
      <c r="O79" s="1"/>
      <c r="P79" s="1"/>
      <c r="Q79" s="1"/>
      <c r="R79" s="1"/>
      <c r="S79" s="1"/>
      <c r="T79" s="1"/>
      <c r="U79" s="1"/>
      <c r="V79" s="1"/>
      <c r="W79" s="49"/>
    </row>
    <row r="80" spans="1:23" ht="16.5" customHeight="1">
      <c r="E80" s="1"/>
      <c r="F80" s="1"/>
      <c r="G80" s="1"/>
      <c r="H80" s="1"/>
      <c r="I80" s="1"/>
      <c r="J80" s="1"/>
      <c r="K80" s="1"/>
      <c r="L80" s="1"/>
      <c r="M80" s="1"/>
      <c r="N80" s="1"/>
      <c r="O80" s="1"/>
      <c r="P80" s="1"/>
      <c r="Q80" s="1"/>
      <c r="R80" s="1"/>
      <c r="S80" s="1"/>
      <c r="T80" s="1"/>
      <c r="U80" s="1"/>
      <c r="V80" s="1"/>
      <c r="W80" s="49"/>
    </row>
    <row r="81" spans="5:23">
      <c r="E81" s="1"/>
      <c r="F81" s="1"/>
      <c r="G81" s="1"/>
      <c r="H81" s="1"/>
      <c r="I81" s="1"/>
      <c r="J81" s="1"/>
      <c r="K81" s="1"/>
      <c r="L81" s="1"/>
      <c r="M81" s="1"/>
      <c r="N81" s="1"/>
      <c r="O81" s="1"/>
      <c r="P81" s="1"/>
      <c r="Q81" s="1"/>
      <c r="R81" s="1"/>
      <c r="S81" s="1"/>
      <c r="T81" s="1"/>
      <c r="U81" s="1"/>
      <c r="V81" s="1"/>
      <c r="W81" s="49"/>
    </row>
    <row r="82" spans="5:23" ht="16.5" customHeight="1">
      <c r="E82" s="1"/>
      <c r="F82" s="1"/>
      <c r="G82" s="1"/>
      <c r="H82" s="1"/>
      <c r="I82" s="1"/>
      <c r="J82" s="1"/>
      <c r="K82" s="1"/>
      <c r="L82" s="1"/>
      <c r="M82" s="1"/>
      <c r="N82" s="1"/>
      <c r="O82" s="1"/>
      <c r="P82" s="1"/>
      <c r="Q82" s="1"/>
      <c r="R82" s="1"/>
      <c r="S82" s="1"/>
      <c r="T82" s="1"/>
      <c r="U82" s="1"/>
      <c r="V82" s="1"/>
      <c r="W82" s="49"/>
    </row>
    <row r="83" spans="5:23">
      <c r="E83" s="1"/>
      <c r="F83" s="1"/>
      <c r="G83" s="1"/>
      <c r="H83" s="1"/>
      <c r="I83" s="1"/>
      <c r="J83" s="1"/>
      <c r="K83" s="1"/>
      <c r="L83" s="1"/>
      <c r="M83" s="1"/>
      <c r="N83" s="1"/>
      <c r="O83" s="1"/>
      <c r="P83" s="1"/>
      <c r="Q83" s="1"/>
      <c r="R83" s="1"/>
      <c r="S83" s="1"/>
      <c r="T83" s="1"/>
      <c r="U83" s="1"/>
      <c r="V83" s="1"/>
      <c r="W83" s="49"/>
    </row>
    <row r="84" spans="5:23">
      <c r="E84" s="1"/>
      <c r="F84" s="1"/>
      <c r="G84" s="1"/>
      <c r="H84" s="1"/>
      <c r="I84" s="1"/>
      <c r="J84" s="1"/>
      <c r="K84" s="1"/>
      <c r="L84" s="1"/>
      <c r="M84" s="1"/>
      <c r="N84" s="1"/>
      <c r="O84" s="1"/>
      <c r="P84" s="1"/>
      <c r="Q84" s="1"/>
      <c r="R84" s="1"/>
      <c r="S84" s="1"/>
      <c r="T84" s="1"/>
      <c r="U84" s="1"/>
      <c r="V84" s="1"/>
      <c r="W84" s="49"/>
    </row>
    <row r="85" spans="5:23">
      <c r="E85" s="1"/>
      <c r="F85" s="1"/>
      <c r="G85" s="1"/>
      <c r="H85" s="1"/>
      <c r="I85" s="1"/>
      <c r="J85" s="1"/>
      <c r="K85" s="1"/>
      <c r="L85" s="1"/>
      <c r="M85" s="1"/>
      <c r="N85" s="1"/>
      <c r="O85" s="1"/>
      <c r="P85" s="1"/>
      <c r="Q85" s="1"/>
      <c r="R85" s="1"/>
      <c r="S85" s="1"/>
      <c r="T85" s="1"/>
      <c r="U85" s="1"/>
      <c r="V85" s="1"/>
      <c r="W85" s="49"/>
    </row>
    <row r="86" spans="5:23">
      <c r="E86" s="1"/>
      <c r="F86" s="1"/>
      <c r="G86" s="1"/>
      <c r="H86" s="1"/>
      <c r="I86" s="1"/>
      <c r="J86" s="1"/>
      <c r="K86" s="1"/>
      <c r="L86" s="1"/>
      <c r="M86" s="1"/>
      <c r="N86" s="1"/>
      <c r="O86" s="1"/>
      <c r="P86" s="1"/>
      <c r="Q86" s="1"/>
      <c r="R86" s="1"/>
      <c r="S86" s="1"/>
      <c r="T86" s="1"/>
      <c r="U86" s="1"/>
      <c r="V86" s="1"/>
      <c r="W86" s="49"/>
    </row>
    <row r="87" spans="5:23">
      <c r="E87" s="1"/>
      <c r="F87" s="1"/>
      <c r="G87" s="1"/>
      <c r="H87" s="1"/>
      <c r="I87" s="1"/>
      <c r="J87" s="1"/>
      <c r="K87" s="1"/>
      <c r="L87" s="1"/>
      <c r="M87" s="1"/>
      <c r="N87" s="1"/>
      <c r="O87" s="1"/>
      <c r="P87" s="1"/>
      <c r="Q87" s="1"/>
      <c r="R87" s="1"/>
      <c r="S87" s="1"/>
      <c r="T87" s="1"/>
      <c r="U87" s="1"/>
      <c r="V87" s="1"/>
      <c r="W87" s="49"/>
    </row>
    <row r="88" spans="5:23">
      <c r="E88" s="1"/>
      <c r="F88" s="1"/>
      <c r="G88" s="1"/>
      <c r="H88" s="1"/>
      <c r="I88" s="1"/>
      <c r="J88" s="1"/>
      <c r="K88" s="1"/>
      <c r="L88" s="1"/>
      <c r="M88" s="1"/>
      <c r="N88" s="1"/>
      <c r="O88" s="1"/>
      <c r="P88" s="1"/>
      <c r="Q88" s="1"/>
      <c r="R88" s="1"/>
      <c r="S88" s="1"/>
      <c r="T88" s="1"/>
      <c r="U88" s="1"/>
      <c r="V88" s="1"/>
      <c r="W88" s="49"/>
    </row>
    <row r="89" spans="5:23">
      <c r="E89" s="1"/>
      <c r="F89" s="1"/>
      <c r="G89" s="1"/>
      <c r="H89" s="1"/>
      <c r="I89" s="1"/>
      <c r="J89" s="1"/>
      <c r="K89" s="1"/>
      <c r="L89" s="1"/>
      <c r="M89" s="1"/>
      <c r="N89" s="1"/>
      <c r="O89" s="1"/>
      <c r="P89" s="1"/>
      <c r="Q89" s="1"/>
      <c r="R89" s="1"/>
      <c r="S89" s="1"/>
      <c r="T89" s="1"/>
      <c r="U89" s="1"/>
      <c r="V89" s="1"/>
      <c r="W89" s="49"/>
    </row>
    <row r="90" spans="5:23">
      <c r="E90" s="1"/>
      <c r="F90" s="1"/>
      <c r="G90" s="1"/>
      <c r="H90" s="1"/>
      <c r="I90" s="1"/>
      <c r="J90" s="1"/>
      <c r="K90" s="1"/>
      <c r="L90" s="1"/>
      <c r="M90" s="1"/>
      <c r="N90" s="1"/>
      <c r="O90" s="1"/>
      <c r="P90" s="1"/>
      <c r="Q90" s="1"/>
      <c r="R90" s="1"/>
      <c r="S90" s="1"/>
      <c r="T90" s="1"/>
      <c r="U90" s="1"/>
      <c r="V90" s="1"/>
      <c r="W90" s="49"/>
    </row>
    <row r="91" spans="5:23">
      <c r="E91" s="1"/>
      <c r="F91" s="1"/>
      <c r="G91" s="1"/>
      <c r="H91" s="1"/>
      <c r="I91" s="1"/>
      <c r="J91" s="1"/>
      <c r="K91" s="1"/>
      <c r="L91" s="1"/>
      <c r="M91" s="1"/>
      <c r="N91" s="1"/>
      <c r="O91" s="1"/>
      <c r="P91" s="1"/>
      <c r="Q91" s="1"/>
      <c r="R91" s="1"/>
      <c r="S91" s="1"/>
      <c r="T91" s="1"/>
      <c r="U91" s="1"/>
      <c r="V91" s="1"/>
      <c r="W91" s="49"/>
    </row>
    <row r="92" spans="5:23">
      <c r="E92" s="1"/>
      <c r="F92" s="1"/>
      <c r="G92" s="1"/>
      <c r="H92" s="1"/>
      <c r="I92" s="1"/>
      <c r="J92" s="1"/>
      <c r="K92" s="1"/>
      <c r="L92" s="1"/>
      <c r="M92" s="1"/>
      <c r="N92" s="1"/>
      <c r="O92" s="1"/>
      <c r="P92" s="1"/>
      <c r="Q92" s="1"/>
      <c r="R92" s="1"/>
      <c r="S92" s="1"/>
      <c r="T92" s="1"/>
      <c r="U92" s="1"/>
      <c r="V92" s="1"/>
      <c r="W92" s="49"/>
    </row>
    <row r="93" spans="5:23">
      <c r="E93" s="1"/>
      <c r="F93" s="1"/>
      <c r="G93" s="1"/>
      <c r="H93" s="1"/>
      <c r="I93" s="1"/>
      <c r="J93" s="1"/>
      <c r="K93" s="1"/>
      <c r="L93" s="1"/>
      <c r="M93" s="1"/>
      <c r="N93" s="1"/>
      <c r="O93" s="1"/>
      <c r="P93" s="1"/>
      <c r="Q93" s="1"/>
      <c r="R93" s="1"/>
      <c r="S93" s="1"/>
      <c r="T93" s="1"/>
      <c r="U93" s="1"/>
      <c r="V93" s="1"/>
      <c r="W93" s="49"/>
    </row>
    <row r="94" spans="5:23">
      <c r="E94" s="1"/>
      <c r="F94" s="1"/>
      <c r="G94" s="1"/>
      <c r="H94" s="1"/>
      <c r="I94" s="1"/>
      <c r="J94" s="1"/>
      <c r="K94" s="1"/>
      <c r="L94" s="1"/>
      <c r="M94" s="1"/>
      <c r="N94" s="1"/>
      <c r="O94" s="1"/>
      <c r="P94" s="1"/>
      <c r="Q94" s="1"/>
      <c r="R94" s="1"/>
      <c r="S94" s="1"/>
      <c r="T94" s="1"/>
      <c r="U94" s="1"/>
      <c r="V94" s="1"/>
      <c r="W94" s="49"/>
    </row>
    <row r="95" spans="5:23">
      <c r="E95" s="1"/>
      <c r="F95" s="1"/>
      <c r="G95" s="1"/>
      <c r="H95" s="1"/>
      <c r="I95" s="1"/>
      <c r="J95" s="1"/>
      <c r="K95" s="1"/>
      <c r="L95" s="1"/>
      <c r="M95" s="1"/>
      <c r="N95" s="1"/>
      <c r="O95" s="1"/>
      <c r="P95" s="1"/>
      <c r="Q95" s="1"/>
      <c r="R95" s="1"/>
      <c r="S95" s="1"/>
      <c r="T95" s="1"/>
      <c r="U95" s="1"/>
      <c r="V95" s="1"/>
      <c r="W95" s="49"/>
    </row>
    <row r="96" spans="5:23">
      <c r="E96" s="1"/>
      <c r="F96" s="1"/>
      <c r="G96" s="1"/>
      <c r="H96" s="1"/>
      <c r="I96" s="1"/>
      <c r="J96" s="1"/>
      <c r="K96" s="1"/>
      <c r="L96" s="1"/>
      <c r="M96" s="1"/>
      <c r="N96" s="1"/>
      <c r="O96" s="1"/>
      <c r="P96" s="1"/>
      <c r="Q96" s="1"/>
      <c r="R96" s="1"/>
      <c r="S96" s="1"/>
      <c r="T96" s="1"/>
      <c r="U96" s="1"/>
      <c r="V96" s="1"/>
      <c r="W96" s="49"/>
    </row>
    <row r="97" spans="5:23">
      <c r="E97" s="1"/>
      <c r="F97" s="1"/>
      <c r="G97" s="1"/>
      <c r="H97" s="1"/>
      <c r="I97" s="1"/>
      <c r="J97" s="1"/>
      <c r="K97" s="1"/>
      <c r="L97" s="1"/>
      <c r="M97" s="1"/>
      <c r="N97" s="1"/>
      <c r="O97" s="1"/>
      <c r="P97" s="1"/>
      <c r="Q97" s="1"/>
      <c r="R97" s="1"/>
      <c r="S97" s="1"/>
      <c r="T97" s="1"/>
      <c r="U97" s="1"/>
      <c r="V97" s="1"/>
      <c r="W97" s="49"/>
    </row>
    <row r="98" spans="5:23">
      <c r="E98" s="1"/>
      <c r="F98" s="1"/>
      <c r="G98" s="1"/>
      <c r="H98" s="1"/>
      <c r="I98" s="1"/>
      <c r="J98" s="1"/>
      <c r="K98" s="1"/>
      <c r="L98" s="1"/>
      <c r="M98" s="1"/>
      <c r="N98" s="1"/>
      <c r="O98" s="1"/>
      <c r="P98" s="1"/>
      <c r="Q98" s="1"/>
      <c r="R98" s="1"/>
      <c r="S98" s="1"/>
      <c r="T98" s="1"/>
      <c r="U98" s="1"/>
      <c r="V98" s="1"/>
      <c r="W98" s="49"/>
    </row>
    <row r="99" spans="5:23">
      <c r="E99" s="1"/>
      <c r="F99" s="1"/>
      <c r="G99" s="1"/>
      <c r="H99" s="1"/>
      <c r="I99" s="1"/>
      <c r="J99" s="1"/>
      <c r="K99" s="1"/>
      <c r="L99" s="1"/>
      <c r="M99" s="1"/>
      <c r="N99" s="1"/>
      <c r="O99" s="1"/>
      <c r="P99" s="1"/>
      <c r="Q99" s="1"/>
      <c r="R99" s="1"/>
      <c r="S99" s="1"/>
      <c r="T99" s="1"/>
      <c r="U99" s="1"/>
      <c r="V99" s="1"/>
      <c r="W99" s="49"/>
    </row>
    <row r="100" spans="5:23">
      <c r="E100" s="1"/>
      <c r="F100" s="1"/>
      <c r="G100" s="1"/>
      <c r="H100" s="1"/>
      <c r="I100" s="1"/>
      <c r="J100" s="1"/>
      <c r="K100" s="1"/>
      <c r="L100" s="1"/>
      <c r="M100" s="1"/>
      <c r="N100" s="1"/>
      <c r="O100" s="1"/>
      <c r="P100" s="1"/>
      <c r="Q100" s="1"/>
      <c r="R100" s="1"/>
      <c r="S100" s="1"/>
      <c r="T100" s="1"/>
      <c r="U100" s="1"/>
      <c r="V100" s="1"/>
      <c r="W100" s="49"/>
    </row>
    <row r="101" spans="5:23">
      <c r="E101" s="1"/>
      <c r="F101" s="1"/>
      <c r="G101" s="1"/>
      <c r="H101" s="1"/>
      <c r="I101" s="1"/>
      <c r="J101" s="1"/>
      <c r="K101" s="1"/>
      <c r="L101" s="1"/>
      <c r="M101" s="1"/>
      <c r="N101" s="1"/>
      <c r="O101" s="1"/>
      <c r="P101" s="1"/>
      <c r="Q101" s="1"/>
      <c r="R101" s="1"/>
      <c r="S101" s="1"/>
      <c r="T101" s="1"/>
      <c r="U101" s="1"/>
      <c r="V101" s="1"/>
      <c r="W101" s="49"/>
    </row>
    <row r="102" spans="5:23">
      <c r="E102" s="1"/>
      <c r="F102" s="1"/>
      <c r="G102" s="1"/>
      <c r="H102" s="1"/>
      <c r="I102" s="1"/>
      <c r="J102" s="1"/>
      <c r="K102" s="1"/>
      <c r="L102" s="1"/>
      <c r="M102" s="1"/>
      <c r="N102" s="1"/>
      <c r="O102" s="1"/>
      <c r="P102" s="1"/>
      <c r="Q102" s="1"/>
      <c r="R102" s="1"/>
      <c r="S102" s="1"/>
      <c r="T102" s="1"/>
      <c r="U102" s="1"/>
      <c r="V102" s="1"/>
      <c r="W102" s="49"/>
    </row>
    <row r="103" spans="5:23">
      <c r="E103" s="1"/>
      <c r="F103" s="1"/>
      <c r="G103" s="1"/>
      <c r="H103" s="1"/>
      <c r="I103" s="1"/>
      <c r="J103" s="1"/>
      <c r="K103" s="1"/>
      <c r="L103" s="1"/>
      <c r="M103" s="1"/>
      <c r="N103" s="1"/>
      <c r="O103" s="1"/>
      <c r="P103" s="1"/>
      <c r="Q103" s="1"/>
      <c r="R103" s="1"/>
      <c r="S103" s="1"/>
      <c r="T103" s="1"/>
      <c r="U103" s="1"/>
      <c r="V103" s="1"/>
      <c r="W103" s="49"/>
    </row>
    <row r="104" spans="5:23">
      <c r="E104" s="1"/>
      <c r="F104" s="1"/>
      <c r="G104" s="1"/>
      <c r="H104" s="1"/>
      <c r="I104" s="1"/>
      <c r="J104" s="1"/>
      <c r="K104" s="1"/>
      <c r="L104" s="1"/>
      <c r="M104" s="1"/>
      <c r="N104" s="1"/>
      <c r="O104" s="1"/>
      <c r="P104" s="1"/>
      <c r="Q104" s="1"/>
      <c r="R104" s="1"/>
      <c r="S104" s="1"/>
      <c r="T104" s="1"/>
      <c r="U104" s="1"/>
      <c r="V104" s="1"/>
      <c r="W104" s="49"/>
    </row>
  </sheetData>
  <sheetProtection formatCells="0" formatColumns="0" formatRows="0" insertColumns="0" insertRows="0" insertHyperlinks="0" deleteColumns="0" deleteRows="0" sort="0" autoFilter="0" pivotTables="0"/>
  <mergeCells count="18">
    <mergeCell ref="M7:N7"/>
    <mergeCell ref="A35:B35"/>
    <mergeCell ref="C35:L35"/>
    <mergeCell ref="A7:A8"/>
    <mergeCell ref="C7:D7"/>
    <mergeCell ref="E7:F7"/>
    <mergeCell ref="K7:L7"/>
    <mergeCell ref="A25:H25"/>
    <mergeCell ref="G7:H7"/>
    <mergeCell ref="I7:J7"/>
    <mergeCell ref="S7:T7"/>
    <mergeCell ref="U7:V7"/>
    <mergeCell ref="AA7:AB7"/>
    <mergeCell ref="AC7:AD7"/>
    <mergeCell ref="O7:P7"/>
    <mergeCell ref="W7:X7"/>
    <mergeCell ref="Q7:R7"/>
    <mergeCell ref="Y7:Z7"/>
  </mergeCells>
  <phoneticPr fontId="23" type="noConversion"/>
  <conditionalFormatting sqref="A25">
    <cfRule type="cellIs" dxfId="12" priority="4" stopIfTrue="1" operator="greaterThan">
      <formula>$Z$25</formula>
    </cfRule>
    <cfRule type="cellIs" dxfId="11" priority="5" stopIfTrue="1" operator="lessThan">
      <formula>$Y$25</formula>
    </cfRule>
  </conditionalFormatting>
  <conditionalFormatting sqref="AA21">
    <cfRule type="cellIs" dxfId="10" priority="1" stopIfTrue="1" operator="greaterThan">
      <formula>$Z$25</formula>
    </cfRule>
    <cfRule type="cellIs" dxfId="9" priority="2" stopIfTrue="1" operator="lessThan">
      <formula>$Y$25</formula>
    </cfRule>
    <cfRule type="cellIs" dxfId="8" priority="3" stopIfTrue="1" operator="lessThan">
      <formula>$Y$25</formula>
    </cfRule>
    <cfRule type="cellIs" dxfId="7" priority="16" stopIfTrue="1" operator="lessThan">
      <formula>$Y$25</formula>
    </cfRule>
  </conditionalFormatting>
  <dataValidations count="6">
    <dataValidation type="whole" errorStyle="warning" allowBlank="1" showInputMessage="1" showErrorMessage="1" errorTitle="TEST" error="la valeur entrée semble suspecte" sqref="AA9:AA20">
      <formula1>0.15/12</formula1>
      <formula2>4.06/12</formula2>
    </dataValidation>
    <dataValidation type="list" allowBlank="1" showInputMessage="1" showErrorMessage="1" sqref="D38:D44">
      <formula1>$D$54:$D$61</formula1>
    </dataValidation>
    <dataValidation type="list" allowBlank="1" showInputMessage="1" showErrorMessage="1" sqref="G38:G44">
      <formula1>$G$54:$G$55</formula1>
    </dataValidation>
    <dataValidation type="list" allowBlank="1" showInputMessage="1" showErrorMessage="1" sqref="H38:H44">
      <formula1>$A$9:$A$20</formula1>
    </dataValidation>
    <dataValidation type="list" allowBlank="1" showInputMessage="1" showErrorMessage="1" sqref="C38:C44">
      <formula1>$C$54:$C$55</formula1>
    </dataValidation>
    <dataValidation type="list" allowBlank="1" showInputMessage="1" showErrorMessage="1" sqref="D45">
      <formula1>$D$54:$D$60</formula1>
    </dataValidation>
  </dataValidations>
  <hyperlinks>
    <hyperlink ref="A7" location="Résumé!A1" display="Résumé!A1"/>
  </hyperlinks>
  <pageMargins left="0.70866141732283472" right="0.70866141732283472" top="0.74803149606299213" bottom="0.74803149606299213" header="0.31496062992125984" footer="0.31496062992125984"/>
  <pageSetup paperSize="5" scale="42" orientation="landscape" r:id="rId1"/>
  <headerFooter>
    <oddFooter>&amp;L&amp;D&amp;R&amp;Z&amp;F</oddFooter>
  </headerFooter>
  <rowBreaks count="1" manualBreakCount="1">
    <brk id="34" max="22" man="1"/>
  </rowBreaks>
  <colBreaks count="1" manualBreakCount="1">
    <brk id="29" min="6" max="34" man="1"/>
  </colBreaks>
  <ignoredErrors>
    <ignoredError sqref="Y41"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2711" r:id="rId4" name="Check Box 183">
              <controlPr defaultSize="0" autoFill="0" autoLine="0" autoPict="0">
                <anchor moveWithCells="1">
                  <from>
                    <xdr:col>0</xdr:col>
                    <xdr:colOff>723900</xdr:colOff>
                    <xdr:row>27</xdr:row>
                    <xdr:rowOff>220980</xdr:rowOff>
                  </from>
                  <to>
                    <xdr:col>7</xdr:col>
                    <xdr:colOff>342900</xdr:colOff>
                    <xdr:row>29</xdr:row>
                    <xdr:rowOff>0</xdr:rowOff>
                  </to>
                </anchor>
              </controlPr>
            </control>
          </mc:Choice>
        </mc:AlternateContent>
        <mc:AlternateContent xmlns:mc="http://schemas.openxmlformats.org/markup-compatibility/2006">
          <mc:Choice Requires="x14">
            <control shapeId="22712" r:id="rId5" name="Check Box 184">
              <controlPr defaultSize="0" autoFill="0" autoLine="0" autoPict="0">
                <anchor moveWithCells="1">
                  <from>
                    <xdr:col>0</xdr:col>
                    <xdr:colOff>723900</xdr:colOff>
                    <xdr:row>29</xdr:row>
                    <xdr:rowOff>22860</xdr:rowOff>
                  </from>
                  <to>
                    <xdr:col>5</xdr:col>
                    <xdr:colOff>106680</xdr:colOff>
                    <xdr:row>30</xdr:row>
                    <xdr:rowOff>0</xdr:rowOff>
                  </to>
                </anchor>
              </controlPr>
            </control>
          </mc:Choice>
        </mc:AlternateContent>
        <mc:AlternateContent xmlns:mc="http://schemas.openxmlformats.org/markup-compatibility/2006">
          <mc:Choice Requires="x14">
            <control shapeId="22713" r:id="rId6" name="Check Box 185">
              <controlPr defaultSize="0" autoFill="0" autoLine="0" autoPict="0">
                <anchor moveWithCells="1">
                  <from>
                    <xdr:col>0</xdr:col>
                    <xdr:colOff>723900</xdr:colOff>
                    <xdr:row>30</xdr:row>
                    <xdr:rowOff>30480</xdr:rowOff>
                  </from>
                  <to>
                    <xdr:col>5</xdr:col>
                    <xdr:colOff>114300</xdr:colOff>
                    <xdr:row>31</xdr:row>
                    <xdr:rowOff>0</xdr:rowOff>
                  </to>
                </anchor>
              </controlPr>
            </control>
          </mc:Choice>
        </mc:AlternateContent>
        <mc:AlternateContent xmlns:mc="http://schemas.openxmlformats.org/markup-compatibility/2006">
          <mc:Choice Requires="x14">
            <control shapeId="22714" r:id="rId7" name="Check Box 186">
              <controlPr defaultSize="0" autoFill="0" autoLine="0" autoPict="0">
                <anchor moveWithCells="1">
                  <from>
                    <xdr:col>0</xdr:col>
                    <xdr:colOff>723900</xdr:colOff>
                    <xdr:row>31</xdr:row>
                    <xdr:rowOff>45720</xdr:rowOff>
                  </from>
                  <to>
                    <xdr:col>5</xdr:col>
                    <xdr:colOff>251460</xdr:colOff>
                    <xdr:row>32</xdr:row>
                    <xdr:rowOff>0</xdr:rowOff>
                  </to>
                </anchor>
              </controlPr>
            </control>
          </mc:Choice>
        </mc:AlternateContent>
        <mc:AlternateContent xmlns:mc="http://schemas.openxmlformats.org/markup-compatibility/2006">
          <mc:Choice Requires="x14">
            <control shapeId="22715" r:id="rId8" name="Check Box 187">
              <controlPr defaultSize="0" autoFill="0" autoLine="0" autoPict="0">
                <anchor moveWithCells="1">
                  <from>
                    <xdr:col>0</xdr:col>
                    <xdr:colOff>723900</xdr:colOff>
                    <xdr:row>32</xdr:row>
                    <xdr:rowOff>7620</xdr:rowOff>
                  </from>
                  <to>
                    <xdr:col>4</xdr:col>
                    <xdr:colOff>822960</xdr:colOff>
                    <xdr:row>33</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dimension ref="A1:AG104"/>
  <sheetViews>
    <sheetView topLeftCell="A7" zoomScale="80" zoomScaleNormal="80" workbookViewId="0">
      <selection activeCell="B21" sqref="B21"/>
    </sheetView>
  </sheetViews>
  <sheetFormatPr baseColWidth="10" defaultColWidth="9.109375" defaultRowHeight="14.4"/>
  <cols>
    <col min="1" max="1" width="16.5546875" style="1" customWidth="1"/>
    <col min="2" max="2" width="19" style="1" customWidth="1"/>
    <col min="3" max="3" width="20.6640625" style="23" customWidth="1"/>
    <col min="4" max="22" width="16" style="23" customWidth="1"/>
    <col min="23" max="23" width="16" style="47" customWidth="1"/>
    <col min="24" max="28" width="16" style="49" customWidth="1"/>
    <col min="29" max="29" width="16.33203125" style="49" customWidth="1"/>
    <col min="30" max="16384" width="9.109375" style="49"/>
  </cols>
  <sheetData>
    <row r="1" spans="1:33" s="1" customFormat="1">
      <c r="C1" s="26"/>
      <c r="D1" s="26"/>
      <c r="E1" s="26"/>
      <c r="F1" s="26"/>
      <c r="G1" s="26"/>
      <c r="H1" s="26"/>
      <c r="I1" s="26"/>
      <c r="J1" s="26"/>
      <c r="K1" s="26"/>
      <c r="L1" s="26"/>
      <c r="M1" s="26"/>
      <c r="N1" s="26"/>
      <c r="O1" s="26"/>
      <c r="P1" s="26"/>
      <c r="Q1" s="26"/>
      <c r="R1" s="26"/>
      <c r="S1" s="26"/>
      <c r="T1" s="26"/>
      <c r="U1" s="26"/>
      <c r="V1" s="26"/>
      <c r="W1" s="26"/>
      <c r="X1" s="26"/>
      <c r="Y1" s="26"/>
      <c r="Z1" s="26"/>
      <c r="AA1" s="26"/>
      <c r="AB1" s="26"/>
      <c r="AC1" s="26"/>
    </row>
    <row r="2" spans="1:33" s="1" customFormat="1" ht="18">
      <c r="C2" s="26"/>
      <c r="D2" s="125" t="s">
        <v>380</v>
      </c>
      <c r="E2" s="126"/>
      <c r="F2" s="127"/>
      <c r="G2" s="128"/>
      <c r="H2" s="128"/>
      <c r="I2" s="129"/>
      <c r="J2" s="128"/>
      <c r="K2" s="128"/>
      <c r="L2" s="128"/>
      <c r="M2" s="128"/>
      <c r="N2" s="26"/>
      <c r="O2" s="26"/>
      <c r="P2" s="26"/>
      <c r="Q2" s="26"/>
      <c r="R2" s="26"/>
      <c r="S2" s="26"/>
      <c r="T2" s="26"/>
      <c r="U2" s="26"/>
      <c r="V2" s="26"/>
      <c r="W2" s="26"/>
      <c r="X2" s="26"/>
      <c r="Y2" s="26"/>
      <c r="Z2" s="26"/>
      <c r="AA2" s="26"/>
      <c r="AB2" s="26"/>
      <c r="AC2" s="26"/>
    </row>
    <row r="3" spans="1:33" s="1" customFormat="1" ht="18.75" customHeight="1">
      <c r="C3" s="26"/>
      <c r="D3" s="233" t="s">
        <v>694</v>
      </c>
      <c r="E3" s="227"/>
      <c r="F3" s="228"/>
      <c r="G3" s="233"/>
      <c r="H3" s="233"/>
      <c r="I3" s="251"/>
      <c r="J3" s="252"/>
      <c r="K3" s="252"/>
      <c r="L3" s="252"/>
      <c r="M3" s="252"/>
      <c r="N3" s="253"/>
      <c r="O3" s="253"/>
      <c r="P3" s="253"/>
      <c r="Q3" s="253"/>
      <c r="R3" s="257"/>
      <c r="S3" s="257"/>
      <c r="T3" s="257"/>
      <c r="U3" s="257"/>
      <c r="V3" s="257"/>
      <c r="W3" s="26"/>
      <c r="X3" s="26"/>
      <c r="Y3" s="26"/>
      <c r="Z3" s="26"/>
      <c r="AA3" s="26"/>
      <c r="AB3" s="26"/>
      <c r="AC3" s="26"/>
    </row>
    <row r="4" spans="1:33" s="1" customFormat="1" ht="15.6">
      <c r="C4" s="26"/>
      <c r="D4" s="82" t="s">
        <v>435</v>
      </c>
      <c r="E4" s="78"/>
      <c r="F4" s="79"/>
      <c r="G4" s="71"/>
      <c r="H4" s="71"/>
      <c r="I4" s="71"/>
      <c r="J4" s="71"/>
      <c r="K4" s="71"/>
      <c r="L4" s="71"/>
      <c r="M4" s="71"/>
      <c r="N4" s="26"/>
      <c r="O4" s="26"/>
      <c r="P4" s="26"/>
      <c r="Q4" s="26"/>
      <c r="R4" s="26"/>
      <c r="S4" s="26"/>
      <c r="T4" s="26"/>
      <c r="U4" s="26"/>
      <c r="V4" s="26"/>
      <c r="W4" s="26"/>
      <c r="X4" s="26"/>
      <c r="Y4" s="26"/>
      <c r="Z4" s="26"/>
      <c r="AA4" s="26"/>
      <c r="AB4" s="26"/>
      <c r="AC4" s="26"/>
    </row>
    <row r="5" spans="1:33" s="1" customFormat="1" ht="15.6">
      <c r="C5" s="26"/>
      <c r="D5" s="82" t="s">
        <v>372</v>
      </c>
      <c r="E5" s="78"/>
      <c r="F5" s="79"/>
      <c r="G5" s="71"/>
      <c r="H5" s="71"/>
      <c r="I5" s="71"/>
      <c r="J5" s="71"/>
      <c r="K5" s="71"/>
      <c r="L5" s="71"/>
      <c r="M5" s="71"/>
      <c r="N5" s="26"/>
      <c r="O5" s="26"/>
      <c r="P5" s="26"/>
      <c r="Q5" s="26"/>
      <c r="R5" s="26"/>
      <c r="S5" s="26"/>
      <c r="T5" s="26"/>
      <c r="U5" s="26"/>
      <c r="V5" s="26"/>
      <c r="W5" s="26"/>
      <c r="X5" s="26"/>
      <c r="Y5" s="26"/>
      <c r="Z5" s="26"/>
      <c r="AA5" s="26"/>
      <c r="AB5" s="26"/>
      <c r="AC5" s="26"/>
    </row>
    <row r="6" spans="1:33" s="1" customFormat="1" ht="15" thickBot="1">
      <c r="C6" s="26"/>
      <c r="D6" s="26"/>
      <c r="E6" s="26"/>
      <c r="F6" s="26"/>
      <c r="G6" s="26"/>
      <c r="H6" s="26"/>
      <c r="I6" s="26"/>
      <c r="J6" s="26"/>
      <c r="K6" s="26"/>
      <c r="L6" s="26"/>
      <c r="M6" s="26"/>
      <c r="N6" s="26"/>
      <c r="O6" s="26"/>
      <c r="P6" s="26"/>
      <c r="Q6" s="26"/>
      <c r="R6" s="26"/>
      <c r="S6" s="26"/>
      <c r="T6" s="26"/>
      <c r="U6" s="26"/>
      <c r="V6" s="26"/>
      <c r="W6" s="26"/>
      <c r="X6" s="26"/>
      <c r="Y6" s="26"/>
      <c r="Z6" s="26"/>
      <c r="AA6" s="26"/>
      <c r="AB6" s="26"/>
      <c r="AC6" s="26"/>
    </row>
    <row r="7" spans="1:33" ht="30.75" customHeight="1" thickTop="1">
      <c r="A7" s="563" t="s">
        <v>78</v>
      </c>
      <c r="B7" s="4" t="s">
        <v>13</v>
      </c>
      <c r="C7" s="556" t="s">
        <v>22</v>
      </c>
      <c r="D7" s="557"/>
      <c r="E7" s="556" t="s">
        <v>19</v>
      </c>
      <c r="F7" s="557"/>
      <c r="G7" s="556" t="s">
        <v>24</v>
      </c>
      <c r="H7" s="557"/>
      <c r="I7" s="556" t="s">
        <v>25</v>
      </c>
      <c r="J7" s="557"/>
      <c r="K7" s="556" t="s">
        <v>805</v>
      </c>
      <c r="L7" s="557"/>
      <c r="M7" s="556" t="s">
        <v>27</v>
      </c>
      <c r="N7" s="557"/>
      <c r="O7" s="558" t="s">
        <v>46</v>
      </c>
      <c r="P7" s="559"/>
      <c r="Q7" s="558" t="s">
        <v>32</v>
      </c>
      <c r="R7" s="559"/>
      <c r="S7" s="558" t="s">
        <v>412</v>
      </c>
      <c r="T7" s="559"/>
      <c r="U7" s="558" t="s">
        <v>624</v>
      </c>
      <c r="V7" s="559"/>
      <c r="W7" s="558" t="s">
        <v>625</v>
      </c>
      <c r="X7" s="559"/>
      <c r="Y7" s="556" t="s">
        <v>16</v>
      </c>
      <c r="Z7" s="557"/>
      <c r="AA7" s="556" t="s">
        <v>52</v>
      </c>
      <c r="AB7" s="557"/>
      <c r="AC7" s="556" t="s">
        <v>45</v>
      </c>
      <c r="AD7" s="557"/>
      <c r="AE7" s="4" t="s">
        <v>40</v>
      </c>
    </row>
    <row r="8" spans="1:33" ht="18" customHeight="1" thickBot="1">
      <c r="A8" s="563"/>
      <c r="B8" s="8" t="s">
        <v>36</v>
      </c>
      <c r="C8" s="7" t="s">
        <v>376</v>
      </c>
      <c r="D8" s="6" t="s">
        <v>20</v>
      </c>
      <c r="E8" s="7" t="s">
        <v>31</v>
      </c>
      <c r="F8" s="6" t="s">
        <v>20</v>
      </c>
      <c r="G8" s="7" t="s">
        <v>23</v>
      </c>
      <c r="H8" s="6" t="s">
        <v>20</v>
      </c>
      <c r="I8" s="7" t="s">
        <v>23</v>
      </c>
      <c r="J8" s="6" t="s">
        <v>20</v>
      </c>
      <c r="K8" s="7" t="s">
        <v>23</v>
      </c>
      <c r="L8" s="6" t="s">
        <v>20</v>
      </c>
      <c r="M8" s="7" t="s">
        <v>23</v>
      </c>
      <c r="N8" s="6" t="s">
        <v>20</v>
      </c>
      <c r="O8" s="7" t="s">
        <v>28</v>
      </c>
      <c r="P8" s="6" t="s">
        <v>20</v>
      </c>
      <c r="Q8" s="7" t="s">
        <v>28</v>
      </c>
      <c r="R8" s="6" t="s">
        <v>20</v>
      </c>
      <c r="S8" s="216" t="s">
        <v>626</v>
      </c>
      <c r="T8" s="6" t="s">
        <v>20</v>
      </c>
      <c r="U8" s="7" t="s">
        <v>628</v>
      </c>
      <c r="V8" s="6" t="s">
        <v>20</v>
      </c>
      <c r="W8" s="7" t="s">
        <v>628</v>
      </c>
      <c r="X8" s="6" t="s">
        <v>20</v>
      </c>
      <c r="Y8" s="7" t="s">
        <v>17</v>
      </c>
      <c r="Z8" s="6" t="s">
        <v>20</v>
      </c>
      <c r="AA8" s="7" t="s">
        <v>37</v>
      </c>
      <c r="AB8" s="6" t="s">
        <v>35</v>
      </c>
      <c r="AC8" s="7" t="s">
        <v>44</v>
      </c>
      <c r="AD8" s="6" t="s">
        <v>622</v>
      </c>
      <c r="AE8" s="9" t="s">
        <v>43</v>
      </c>
    </row>
    <row r="9" spans="1:33" ht="17.25" customHeight="1" thickTop="1" thickBot="1">
      <c r="A9" s="243">
        <f>VALUE(CONCATENATE(LEFT(Annee_financiere,FIND("-",Annee_financiere)-1),"-",A22))</f>
        <v>43922</v>
      </c>
      <c r="B9" s="254"/>
      <c r="C9" s="255"/>
      <c r="D9" s="256"/>
      <c r="E9" s="255"/>
      <c r="F9" s="256"/>
      <c r="G9" s="255"/>
      <c r="H9" s="256"/>
      <c r="I9" s="255"/>
      <c r="J9" s="256"/>
      <c r="K9" s="420"/>
      <c r="L9" s="420"/>
      <c r="M9" s="255"/>
      <c r="N9" s="256"/>
      <c r="O9" s="255"/>
      <c r="P9" s="256"/>
      <c r="Q9" s="255"/>
      <c r="R9" s="256"/>
      <c r="S9" s="255"/>
      <c r="T9" s="256"/>
      <c r="U9" s="255"/>
      <c r="V9" s="256"/>
      <c r="W9" s="255"/>
      <c r="X9" s="256"/>
      <c r="Y9" s="99" t="e">
        <f t="shared" ref="Y9:Y21" si="0">C9*kWh_Élect_to_GJ+E9*m3_GazNat_to_GJ+G9*L_Mazout2_to_GJ+I9*L_Mazout6_to_GJ+M9*L_Propane_to_GJ+O9*kg_Bois8_to_GJ+Q9*kg_Bois35_to_GJ+S9*lbs_vapeur_to_GJ+U9*MBTU_eaurefroidie_to_GJ+W9*MBTU_eauchaude_to_GJ+K9*L_Diesel_to_GJ</f>
        <v>#NAME?</v>
      </c>
      <c r="Z9" s="258">
        <f>D9+F9+H9+J9+N9+P9+R9+T9+V9+X9+L9</f>
        <v>0</v>
      </c>
      <c r="AA9" s="17" t="str">
        <f t="shared" ref="AA9:AA21" si="1">IF(ISERROR(Y9/B9),"",Y9/B9)</f>
        <v/>
      </c>
      <c r="AB9" s="18" t="str">
        <f t="shared" ref="AB9:AB21" si="2">IF(ISERROR(Z9/B9),"",Z9/B9)</f>
        <v/>
      </c>
      <c r="AC9" s="102" t="e">
        <f>(C9*kWh_Élect_to_kgGES+E9*IF(U_GNat="[m³]",m3_GazNat_to_kgGES,Conversion!$H$27)+G9*IF(U_Ma2="[l]",L_Mazout2_to_kgGES,Conversion!$H$29)+I9*IF(U_Ma6="[l]",L_Mazout6_to_kgGES,Conversion!$H$31)+K9*IF(U_Dies="[l]",L_diesel_to_kgGES,Conversion!$H$33)+M9*IF(U_Prop="[l]",L_Propane_to_kgGES,Conversion!$H$35)+O9*IF(U_Bois20="[1000 kg MG]",Conversion!$H$36,Conversion!$H$37)+Q9*IF(U_Bois45="[1000 kg MG]",Conversion!$H$38,Conversion!$H$39)+S9*lbs_vapeur_to_kgGES+U9*MBTU_eaurefroidie_to_kgGES+W9*MBTU_eauchaude_to_kgGES)/1000</f>
        <v>#NAME?</v>
      </c>
      <c r="AD9" s="103">
        <f t="shared" ref="AD9:AD21" si="3">(IF(ISERROR(AC9/B9),0,(AC9/B9)))*1000</f>
        <v>0</v>
      </c>
      <c r="AE9" s="5">
        <f t="shared" ref="AE9:AE20" si="4">INDEX(plage_DJ,MATCH(A9,plage_date),3)</f>
        <v>0</v>
      </c>
      <c r="AG9" s="49">
        <v>12</v>
      </c>
    </row>
    <row r="10" spans="1:33" ht="17.25" customHeight="1" thickTop="1" thickBot="1">
      <c r="A10" s="244">
        <f>DATE(YEAR(A9),MONTH(A9)+1,DAY(A9))</f>
        <v>43952</v>
      </c>
      <c r="B10" s="254"/>
      <c r="C10" s="255"/>
      <c r="D10" s="256"/>
      <c r="E10" s="255"/>
      <c r="F10" s="256"/>
      <c r="G10" s="255"/>
      <c r="H10" s="256"/>
      <c r="I10" s="255"/>
      <c r="J10" s="256"/>
      <c r="K10" s="420"/>
      <c r="L10" s="420"/>
      <c r="M10" s="255"/>
      <c r="N10" s="256"/>
      <c r="O10" s="255"/>
      <c r="P10" s="256"/>
      <c r="Q10" s="255"/>
      <c r="R10" s="256"/>
      <c r="S10" s="255"/>
      <c r="T10" s="256"/>
      <c r="U10" s="255"/>
      <c r="V10" s="256"/>
      <c r="W10" s="255"/>
      <c r="X10" s="256"/>
      <c r="Y10" s="99" t="e">
        <f t="shared" si="0"/>
        <v>#NAME?</v>
      </c>
      <c r="Z10" s="258">
        <f t="shared" ref="Z10:Z21" si="5">D10+F10+H10+J10+N10+P10+R10+T10+V10+X10+L10</f>
        <v>0</v>
      </c>
      <c r="AA10" s="17" t="str">
        <f t="shared" si="1"/>
        <v/>
      </c>
      <c r="AB10" s="18" t="str">
        <f t="shared" si="2"/>
        <v/>
      </c>
      <c r="AC10" s="102" t="e">
        <f>(C10*kWh_Élect_to_kgGES+E10*IF(U_GNat="[m³]",m3_GazNat_to_kgGES,Conversion!$H$27)+G10*IF(U_Ma2="[l]",L_Mazout2_to_kgGES,Conversion!$H$29)+I10*IF(U_Ma6="[l]",L_Mazout6_to_kgGES,Conversion!$H$31)+K10*IF(U_Dies="[l]",L_diesel_to_kgGES,Conversion!$H$33)+M10*IF(U_Prop="[l]",L_Propane_to_kgGES,Conversion!$H$35)+O10*IF(U_Bois20="[1000 kg MG]",Conversion!$H$36,Conversion!$H$37)+Q10*IF(U_Bois45="[1000 kg MG]",Conversion!$H$38,Conversion!$H$39)+S10*lbs_vapeur_to_kgGES+U10*MBTU_eaurefroidie_to_kgGES+W10*MBTU_eauchaude_to_kgGES)/1000</f>
        <v>#NAME?</v>
      </c>
      <c r="AD10" s="103">
        <f t="shared" si="3"/>
        <v>0</v>
      </c>
      <c r="AE10" s="5">
        <f t="shared" si="4"/>
        <v>0</v>
      </c>
      <c r="AF10" s="49">
        <f>SUM(AE9)</f>
        <v>0</v>
      </c>
      <c r="AG10" s="49">
        <v>11</v>
      </c>
    </row>
    <row r="11" spans="1:33" ht="17.25" customHeight="1" thickTop="1" thickBot="1">
      <c r="A11" s="244">
        <f t="shared" ref="A11:A20" si="6">DATE(YEAR(A10),MONTH(A10)+1,DAY(A10))</f>
        <v>43983</v>
      </c>
      <c r="B11" s="254"/>
      <c r="C11" s="255"/>
      <c r="D11" s="256"/>
      <c r="E11" s="255"/>
      <c r="F11" s="256"/>
      <c r="G11" s="255"/>
      <c r="H11" s="256"/>
      <c r="I11" s="255"/>
      <c r="J11" s="256"/>
      <c r="K11" s="420"/>
      <c r="L11" s="420"/>
      <c r="M11" s="255"/>
      <c r="N11" s="256"/>
      <c r="O11" s="255"/>
      <c r="P11" s="256"/>
      <c r="Q11" s="255"/>
      <c r="R11" s="256"/>
      <c r="S11" s="255"/>
      <c r="T11" s="256"/>
      <c r="U11" s="255"/>
      <c r="V11" s="256"/>
      <c r="W11" s="255"/>
      <c r="X11" s="256"/>
      <c r="Y11" s="99" t="e">
        <f t="shared" si="0"/>
        <v>#NAME?</v>
      </c>
      <c r="Z11" s="258">
        <f t="shared" si="5"/>
        <v>0</v>
      </c>
      <c r="AA11" s="17" t="str">
        <f t="shared" si="1"/>
        <v/>
      </c>
      <c r="AB11" s="18" t="str">
        <f t="shared" si="2"/>
        <v/>
      </c>
      <c r="AC11" s="102" t="e">
        <f>(C11*kWh_Élect_to_kgGES+E11*IF(U_GNat="[m³]",m3_GazNat_to_kgGES,Conversion!$H$27)+G11*IF(U_Ma2="[l]",L_Mazout2_to_kgGES,Conversion!$H$29)+I11*IF(U_Ma6="[l]",L_Mazout6_to_kgGES,Conversion!$H$31)+K11*IF(U_Dies="[l]",L_diesel_to_kgGES,Conversion!$H$33)+M11*IF(U_Prop="[l]",L_Propane_to_kgGES,Conversion!$H$35)+O11*IF(U_Bois20="[1000 kg MG]",Conversion!$H$36,Conversion!$H$37)+Q11*IF(U_Bois45="[1000 kg MG]",Conversion!$H$38,Conversion!$H$39)+S11*lbs_vapeur_to_kgGES+U11*MBTU_eaurefroidie_to_kgGES+W11*MBTU_eauchaude_to_kgGES)/1000</f>
        <v>#NAME?</v>
      </c>
      <c r="AD11" s="103">
        <f t="shared" si="3"/>
        <v>0</v>
      </c>
      <c r="AE11" s="5">
        <f t="shared" si="4"/>
        <v>0</v>
      </c>
      <c r="AF11" s="49">
        <f>SUM(AE9:AE10)</f>
        <v>0</v>
      </c>
      <c r="AG11" s="49">
        <v>10</v>
      </c>
    </row>
    <row r="12" spans="1:33" ht="17.25" customHeight="1" thickTop="1" thickBot="1">
      <c r="A12" s="244">
        <f t="shared" si="6"/>
        <v>44013</v>
      </c>
      <c r="B12" s="254"/>
      <c r="C12" s="255"/>
      <c r="D12" s="256"/>
      <c r="E12" s="255"/>
      <c r="F12" s="256"/>
      <c r="G12" s="255"/>
      <c r="H12" s="256"/>
      <c r="I12" s="255"/>
      <c r="J12" s="256"/>
      <c r="K12" s="420"/>
      <c r="L12" s="420"/>
      <c r="M12" s="255"/>
      <c r="N12" s="256"/>
      <c r="O12" s="255"/>
      <c r="P12" s="256"/>
      <c r="Q12" s="255"/>
      <c r="R12" s="256"/>
      <c r="S12" s="255"/>
      <c r="T12" s="256"/>
      <c r="U12" s="255"/>
      <c r="V12" s="256"/>
      <c r="W12" s="255"/>
      <c r="X12" s="256"/>
      <c r="Y12" s="99" t="e">
        <f t="shared" si="0"/>
        <v>#NAME?</v>
      </c>
      <c r="Z12" s="258">
        <f t="shared" si="5"/>
        <v>0</v>
      </c>
      <c r="AA12" s="17" t="str">
        <f t="shared" si="1"/>
        <v/>
      </c>
      <c r="AB12" s="18" t="str">
        <f t="shared" si="2"/>
        <v/>
      </c>
      <c r="AC12" s="102" t="e">
        <f>(C12*kWh_Élect_to_kgGES+E12*IF(U_GNat="[m³]",m3_GazNat_to_kgGES,Conversion!$H$27)+G12*IF(U_Ma2="[l]",L_Mazout2_to_kgGES,Conversion!$H$29)+I12*IF(U_Ma6="[l]",L_Mazout6_to_kgGES,Conversion!$H$31)+K12*IF(U_Dies="[l]",L_diesel_to_kgGES,Conversion!$H$33)+M12*IF(U_Prop="[l]",L_Propane_to_kgGES,Conversion!$H$35)+O12*IF(U_Bois20="[1000 kg MG]",Conversion!$H$36,Conversion!$H$37)+Q12*IF(U_Bois45="[1000 kg MG]",Conversion!$H$38,Conversion!$H$39)+S12*lbs_vapeur_to_kgGES+U12*MBTU_eaurefroidie_to_kgGES+W12*MBTU_eauchaude_to_kgGES)/1000</f>
        <v>#NAME?</v>
      </c>
      <c r="AD12" s="103">
        <f t="shared" si="3"/>
        <v>0</v>
      </c>
      <c r="AE12" s="5">
        <f t="shared" si="4"/>
        <v>0</v>
      </c>
      <c r="AF12" s="49">
        <f>SUM(AE9:AE11)</f>
        <v>0</v>
      </c>
      <c r="AG12" s="49">
        <v>9</v>
      </c>
    </row>
    <row r="13" spans="1:33" ht="17.25" customHeight="1" thickTop="1" thickBot="1">
      <c r="A13" s="244">
        <f t="shared" si="6"/>
        <v>44044</v>
      </c>
      <c r="B13" s="254"/>
      <c r="C13" s="255"/>
      <c r="D13" s="256"/>
      <c r="E13" s="255"/>
      <c r="F13" s="256"/>
      <c r="G13" s="255"/>
      <c r="H13" s="256"/>
      <c r="I13" s="255"/>
      <c r="J13" s="256"/>
      <c r="K13" s="420"/>
      <c r="L13" s="420"/>
      <c r="M13" s="255"/>
      <c r="N13" s="256"/>
      <c r="O13" s="255"/>
      <c r="P13" s="256"/>
      <c r="Q13" s="255"/>
      <c r="R13" s="256"/>
      <c r="S13" s="255"/>
      <c r="T13" s="256"/>
      <c r="U13" s="255"/>
      <c r="V13" s="256"/>
      <c r="W13" s="255"/>
      <c r="X13" s="256"/>
      <c r="Y13" s="99" t="e">
        <f t="shared" si="0"/>
        <v>#NAME?</v>
      </c>
      <c r="Z13" s="258">
        <f t="shared" si="5"/>
        <v>0</v>
      </c>
      <c r="AA13" s="17" t="str">
        <f t="shared" si="1"/>
        <v/>
      </c>
      <c r="AB13" s="18" t="str">
        <f t="shared" si="2"/>
        <v/>
      </c>
      <c r="AC13" s="102" t="e">
        <f>(C13*kWh_Élect_to_kgGES+E13*IF(U_GNat="[m³]",m3_GazNat_to_kgGES,Conversion!$H$27)+G13*IF(U_Ma2="[l]",L_Mazout2_to_kgGES,Conversion!$H$29)+I13*IF(U_Ma6="[l]",L_Mazout6_to_kgGES,Conversion!$H$31)+K13*IF(U_Dies="[l]",L_diesel_to_kgGES,Conversion!$H$33)+M13*IF(U_Prop="[l]",L_Propane_to_kgGES,Conversion!$H$35)+O13*IF(U_Bois20="[1000 kg MG]",Conversion!$H$36,Conversion!$H$37)+Q13*IF(U_Bois45="[1000 kg MG]",Conversion!$H$38,Conversion!$H$39)+S13*lbs_vapeur_to_kgGES+U13*MBTU_eaurefroidie_to_kgGES+W13*MBTU_eauchaude_to_kgGES)/1000</f>
        <v>#NAME?</v>
      </c>
      <c r="AD13" s="103">
        <f t="shared" si="3"/>
        <v>0</v>
      </c>
      <c r="AE13" s="5">
        <f t="shared" si="4"/>
        <v>0</v>
      </c>
      <c r="AF13" s="49">
        <f>SUM(AE9:AE12)</f>
        <v>0</v>
      </c>
      <c r="AG13" s="49">
        <v>8</v>
      </c>
    </row>
    <row r="14" spans="1:33" ht="17.25" customHeight="1" thickTop="1" thickBot="1">
      <c r="A14" s="244">
        <f t="shared" si="6"/>
        <v>44075</v>
      </c>
      <c r="B14" s="254"/>
      <c r="C14" s="255"/>
      <c r="D14" s="256"/>
      <c r="E14" s="255"/>
      <c r="F14" s="256"/>
      <c r="G14" s="255"/>
      <c r="H14" s="256"/>
      <c r="I14" s="255"/>
      <c r="J14" s="256"/>
      <c r="K14" s="420"/>
      <c r="L14" s="420"/>
      <c r="M14" s="255"/>
      <c r="N14" s="256"/>
      <c r="O14" s="255"/>
      <c r="P14" s="256"/>
      <c r="Q14" s="255"/>
      <c r="R14" s="256"/>
      <c r="S14" s="255"/>
      <c r="T14" s="256"/>
      <c r="U14" s="255"/>
      <c r="V14" s="256"/>
      <c r="W14" s="255"/>
      <c r="X14" s="256"/>
      <c r="Y14" s="99" t="e">
        <f t="shared" si="0"/>
        <v>#NAME?</v>
      </c>
      <c r="Z14" s="258">
        <f t="shared" si="5"/>
        <v>0</v>
      </c>
      <c r="AA14" s="17" t="str">
        <f t="shared" si="1"/>
        <v/>
      </c>
      <c r="AB14" s="18" t="str">
        <f t="shared" si="2"/>
        <v/>
      </c>
      <c r="AC14" s="102" t="e">
        <f>(C14*kWh_Élect_to_kgGES+E14*IF(U_GNat="[m³]",m3_GazNat_to_kgGES,Conversion!$H$27)+G14*IF(U_Ma2="[l]",L_Mazout2_to_kgGES,Conversion!$H$29)+I14*IF(U_Ma6="[l]",L_Mazout6_to_kgGES,Conversion!$H$31)+K14*IF(U_Dies="[l]",L_diesel_to_kgGES,Conversion!$H$33)+M14*IF(U_Prop="[l]",L_Propane_to_kgGES,Conversion!$H$35)+O14*IF(U_Bois20="[1000 kg MG]",Conversion!$H$36,Conversion!$H$37)+Q14*IF(U_Bois45="[1000 kg MG]",Conversion!$H$38,Conversion!$H$39)+S14*lbs_vapeur_to_kgGES+U14*MBTU_eaurefroidie_to_kgGES+W14*MBTU_eauchaude_to_kgGES)/1000</f>
        <v>#NAME?</v>
      </c>
      <c r="AD14" s="103">
        <f t="shared" si="3"/>
        <v>0</v>
      </c>
      <c r="AE14" s="5">
        <f t="shared" si="4"/>
        <v>0</v>
      </c>
      <c r="AF14" s="49">
        <f>SUM(AE9:AE13)</f>
        <v>0</v>
      </c>
      <c r="AG14" s="49">
        <v>7</v>
      </c>
    </row>
    <row r="15" spans="1:33" ht="17.25" customHeight="1" thickTop="1" thickBot="1">
      <c r="A15" s="244">
        <f t="shared" si="6"/>
        <v>44105</v>
      </c>
      <c r="B15" s="254"/>
      <c r="C15" s="255"/>
      <c r="D15" s="256"/>
      <c r="E15" s="255"/>
      <c r="F15" s="256"/>
      <c r="G15" s="255"/>
      <c r="H15" s="256"/>
      <c r="I15" s="255"/>
      <c r="J15" s="256"/>
      <c r="K15" s="420"/>
      <c r="L15" s="420"/>
      <c r="M15" s="255"/>
      <c r="N15" s="256"/>
      <c r="O15" s="255"/>
      <c r="P15" s="256"/>
      <c r="Q15" s="255"/>
      <c r="R15" s="256"/>
      <c r="S15" s="255"/>
      <c r="T15" s="256"/>
      <c r="U15" s="255"/>
      <c r="V15" s="256"/>
      <c r="W15" s="255"/>
      <c r="X15" s="256"/>
      <c r="Y15" s="99" t="e">
        <f t="shared" si="0"/>
        <v>#NAME?</v>
      </c>
      <c r="Z15" s="258">
        <f t="shared" si="5"/>
        <v>0</v>
      </c>
      <c r="AA15" s="17" t="str">
        <f t="shared" si="1"/>
        <v/>
      </c>
      <c r="AB15" s="18" t="str">
        <f t="shared" si="2"/>
        <v/>
      </c>
      <c r="AC15" s="102" t="e">
        <f>(C15*kWh_Élect_to_kgGES+E15*IF(U_GNat="[m³]",m3_GazNat_to_kgGES,Conversion!$H$27)+G15*IF(U_Ma2="[l]",L_Mazout2_to_kgGES,Conversion!$H$29)+I15*IF(U_Ma6="[l]",L_Mazout6_to_kgGES,Conversion!$H$31)+K15*IF(U_Dies="[l]",L_diesel_to_kgGES,Conversion!$H$33)+M15*IF(U_Prop="[l]",L_Propane_to_kgGES,Conversion!$H$35)+O15*IF(U_Bois20="[1000 kg MG]",Conversion!$H$36,Conversion!$H$37)+Q15*IF(U_Bois45="[1000 kg MG]",Conversion!$H$38,Conversion!$H$39)+S15*lbs_vapeur_to_kgGES+U15*MBTU_eaurefroidie_to_kgGES+W15*MBTU_eauchaude_to_kgGES)/1000</f>
        <v>#NAME?</v>
      </c>
      <c r="AD15" s="103">
        <f t="shared" si="3"/>
        <v>0</v>
      </c>
      <c r="AE15" s="5">
        <f t="shared" si="4"/>
        <v>0</v>
      </c>
      <c r="AF15" s="49">
        <f>SUM(AE9:AE14)</f>
        <v>0</v>
      </c>
      <c r="AG15" s="49">
        <v>6</v>
      </c>
    </row>
    <row r="16" spans="1:33" ht="17.25" customHeight="1" thickTop="1" thickBot="1">
      <c r="A16" s="244">
        <f t="shared" si="6"/>
        <v>44136</v>
      </c>
      <c r="B16" s="254"/>
      <c r="C16" s="255"/>
      <c r="D16" s="256"/>
      <c r="E16" s="255"/>
      <c r="F16" s="256"/>
      <c r="G16" s="255"/>
      <c r="H16" s="256"/>
      <c r="I16" s="255"/>
      <c r="J16" s="256"/>
      <c r="K16" s="420"/>
      <c r="L16" s="420"/>
      <c r="M16" s="255"/>
      <c r="N16" s="256"/>
      <c r="O16" s="255"/>
      <c r="P16" s="256"/>
      <c r="Q16" s="255"/>
      <c r="R16" s="256"/>
      <c r="S16" s="255"/>
      <c r="T16" s="256"/>
      <c r="U16" s="255"/>
      <c r="V16" s="256"/>
      <c r="W16" s="255"/>
      <c r="X16" s="256"/>
      <c r="Y16" s="99" t="e">
        <f t="shared" si="0"/>
        <v>#NAME?</v>
      </c>
      <c r="Z16" s="258">
        <f t="shared" si="5"/>
        <v>0</v>
      </c>
      <c r="AA16" s="17" t="str">
        <f t="shared" si="1"/>
        <v/>
      </c>
      <c r="AB16" s="18" t="str">
        <f t="shared" si="2"/>
        <v/>
      </c>
      <c r="AC16" s="102" t="e">
        <f>(C16*kWh_Élect_to_kgGES+E16*IF(U_GNat="[m³]",m3_GazNat_to_kgGES,Conversion!$H$27)+G16*IF(U_Ma2="[l]",L_Mazout2_to_kgGES,Conversion!$H$29)+I16*IF(U_Ma6="[l]",L_Mazout6_to_kgGES,Conversion!$H$31)+K16*IF(U_Dies="[l]",L_diesel_to_kgGES,Conversion!$H$33)+M16*IF(U_Prop="[l]",L_Propane_to_kgGES,Conversion!$H$35)+O16*IF(U_Bois20="[1000 kg MG]",Conversion!$H$36,Conversion!$H$37)+Q16*IF(U_Bois45="[1000 kg MG]",Conversion!$H$38,Conversion!$H$39)+S16*lbs_vapeur_to_kgGES+U16*MBTU_eaurefroidie_to_kgGES+W16*MBTU_eauchaude_to_kgGES)/1000</f>
        <v>#NAME?</v>
      </c>
      <c r="AD16" s="103">
        <f t="shared" si="3"/>
        <v>0</v>
      </c>
      <c r="AE16" s="5">
        <f t="shared" si="4"/>
        <v>0</v>
      </c>
      <c r="AF16" s="49">
        <f>SUM(AE9:AE15)</f>
        <v>0</v>
      </c>
      <c r="AG16" s="49">
        <v>5</v>
      </c>
    </row>
    <row r="17" spans="1:33" ht="17.25" customHeight="1" thickTop="1" thickBot="1">
      <c r="A17" s="244">
        <f t="shared" si="6"/>
        <v>44166</v>
      </c>
      <c r="B17" s="254"/>
      <c r="C17" s="255"/>
      <c r="D17" s="256"/>
      <c r="E17" s="255"/>
      <c r="F17" s="256"/>
      <c r="G17" s="255"/>
      <c r="H17" s="256"/>
      <c r="I17" s="255"/>
      <c r="J17" s="256"/>
      <c r="K17" s="420"/>
      <c r="L17" s="420"/>
      <c r="M17" s="255"/>
      <c r="N17" s="256"/>
      <c r="O17" s="255"/>
      <c r="P17" s="256"/>
      <c r="Q17" s="255"/>
      <c r="R17" s="256"/>
      <c r="S17" s="255"/>
      <c r="T17" s="256"/>
      <c r="U17" s="255"/>
      <c r="V17" s="256"/>
      <c r="W17" s="255"/>
      <c r="X17" s="256"/>
      <c r="Y17" s="99" t="e">
        <f t="shared" si="0"/>
        <v>#NAME?</v>
      </c>
      <c r="Z17" s="258">
        <f t="shared" si="5"/>
        <v>0</v>
      </c>
      <c r="AA17" s="17" t="str">
        <f t="shared" si="1"/>
        <v/>
      </c>
      <c r="AB17" s="18" t="str">
        <f t="shared" si="2"/>
        <v/>
      </c>
      <c r="AC17" s="102" t="e">
        <f>(C17*kWh_Élect_to_kgGES+E17*IF(U_GNat="[m³]",m3_GazNat_to_kgGES,Conversion!$H$27)+G17*IF(U_Ma2="[l]",L_Mazout2_to_kgGES,Conversion!$H$29)+I17*IF(U_Ma6="[l]",L_Mazout6_to_kgGES,Conversion!$H$31)+K17*IF(U_Dies="[l]",L_diesel_to_kgGES,Conversion!$H$33)+M17*IF(U_Prop="[l]",L_Propane_to_kgGES,Conversion!$H$35)+O17*IF(U_Bois20="[1000 kg MG]",Conversion!$H$36,Conversion!$H$37)+Q17*IF(U_Bois45="[1000 kg MG]",Conversion!$H$38,Conversion!$H$39)+S17*lbs_vapeur_to_kgGES+U17*MBTU_eaurefroidie_to_kgGES+W17*MBTU_eauchaude_to_kgGES)/1000</f>
        <v>#NAME?</v>
      </c>
      <c r="AD17" s="103">
        <f t="shared" si="3"/>
        <v>0</v>
      </c>
      <c r="AE17" s="5">
        <f t="shared" si="4"/>
        <v>0</v>
      </c>
      <c r="AF17" s="49">
        <f>SUM(AE9:AE16)</f>
        <v>0</v>
      </c>
      <c r="AG17" s="49">
        <v>4</v>
      </c>
    </row>
    <row r="18" spans="1:33" ht="17.25" customHeight="1" thickTop="1" thickBot="1">
      <c r="A18" s="244">
        <f t="shared" si="6"/>
        <v>44197</v>
      </c>
      <c r="B18" s="254"/>
      <c r="C18" s="255"/>
      <c r="D18" s="256"/>
      <c r="E18" s="255"/>
      <c r="F18" s="256"/>
      <c r="G18" s="255"/>
      <c r="H18" s="256"/>
      <c r="I18" s="255"/>
      <c r="J18" s="256"/>
      <c r="K18" s="420"/>
      <c r="L18" s="420"/>
      <c r="M18" s="255"/>
      <c r="N18" s="256"/>
      <c r="O18" s="255"/>
      <c r="P18" s="256"/>
      <c r="Q18" s="255"/>
      <c r="R18" s="256"/>
      <c r="S18" s="255"/>
      <c r="T18" s="256"/>
      <c r="U18" s="255"/>
      <c r="V18" s="256"/>
      <c r="W18" s="255"/>
      <c r="X18" s="256"/>
      <c r="Y18" s="99" t="e">
        <f t="shared" si="0"/>
        <v>#NAME?</v>
      </c>
      <c r="Z18" s="258">
        <f t="shared" si="5"/>
        <v>0</v>
      </c>
      <c r="AA18" s="17" t="str">
        <f t="shared" si="1"/>
        <v/>
      </c>
      <c r="AB18" s="18" t="str">
        <f t="shared" si="2"/>
        <v/>
      </c>
      <c r="AC18" s="102" t="e">
        <f>(C18*kWh_Élect_to_kgGES+E18*IF(U_GNat="[m³]",m3_GazNat_to_kgGES,Conversion!$H$27)+G18*IF(U_Ma2="[l]",L_Mazout2_to_kgGES,Conversion!$H$29)+I18*IF(U_Ma6="[l]",L_Mazout6_to_kgGES,Conversion!$H$31)+K18*IF(U_Dies="[l]",L_diesel_to_kgGES,Conversion!$H$33)+M18*IF(U_Prop="[l]",L_Propane_to_kgGES,Conversion!$H$35)+O18*IF(U_Bois20="[1000 kg MG]",Conversion!$H$36,Conversion!$H$37)+Q18*IF(U_Bois45="[1000 kg MG]",Conversion!$H$38,Conversion!$H$39)+S18*lbs_vapeur_to_kgGES+U18*MBTU_eaurefroidie_to_kgGES+W18*MBTU_eauchaude_to_kgGES)/1000</f>
        <v>#NAME?</v>
      </c>
      <c r="AD18" s="103">
        <f t="shared" si="3"/>
        <v>0</v>
      </c>
      <c r="AE18" s="5">
        <f t="shared" si="4"/>
        <v>0</v>
      </c>
      <c r="AF18" s="49">
        <f>SUM(AE9:AE17)</f>
        <v>0</v>
      </c>
      <c r="AG18" s="49">
        <v>3</v>
      </c>
    </row>
    <row r="19" spans="1:33" ht="17.25" customHeight="1" thickTop="1" thickBot="1">
      <c r="A19" s="244">
        <f t="shared" si="6"/>
        <v>44228</v>
      </c>
      <c r="B19" s="254"/>
      <c r="C19" s="255"/>
      <c r="D19" s="256"/>
      <c r="E19" s="255"/>
      <c r="F19" s="256"/>
      <c r="G19" s="255"/>
      <c r="H19" s="256"/>
      <c r="I19" s="255"/>
      <c r="J19" s="256"/>
      <c r="K19" s="420"/>
      <c r="L19" s="420"/>
      <c r="M19" s="255"/>
      <c r="N19" s="256"/>
      <c r="O19" s="255"/>
      <c r="P19" s="256"/>
      <c r="Q19" s="255"/>
      <c r="R19" s="256"/>
      <c r="S19" s="255"/>
      <c r="T19" s="256"/>
      <c r="U19" s="255"/>
      <c r="V19" s="256"/>
      <c r="W19" s="255"/>
      <c r="X19" s="256"/>
      <c r="Y19" s="99" t="e">
        <f t="shared" si="0"/>
        <v>#NAME?</v>
      </c>
      <c r="Z19" s="258">
        <f t="shared" si="5"/>
        <v>0</v>
      </c>
      <c r="AA19" s="17" t="str">
        <f t="shared" si="1"/>
        <v/>
      </c>
      <c r="AB19" s="18" t="str">
        <f t="shared" si="2"/>
        <v/>
      </c>
      <c r="AC19" s="102" t="e">
        <f>(C19*kWh_Élect_to_kgGES+E19*IF(U_GNat="[m³]",m3_GazNat_to_kgGES,Conversion!$H$27)+G19*IF(U_Ma2="[l]",L_Mazout2_to_kgGES,Conversion!$H$29)+I19*IF(U_Ma6="[l]",L_Mazout6_to_kgGES,Conversion!$H$31)+K19*IF(U_Dies="[l]",L_diesel_to_kgGES,Conversion!$H$33)+M19*IF(U_Prop="[l]",L_Propane_to_kgGES,Conversion!$H$35)+O19*IF(U_Bois20="[1000 kg MG]",Conversion!$H$36,Conversion!$H$37)+Q19*IF(U_Bois45="[1000 kg MG]",Conversion!$H$38,Conversion!$H$39)+S19*lbs_vapeur_to_kgGES+U19*MBTU_eaurefroidie_to_kgGES+W19*MBTU_eauchaude_to_kgGES)/1000</f>
        <v>#NAME?</v>
      </c>
      <c r="AD19" s="103">
        <f t="shared" si="3"/>
        <v>0</v>
      </c>
      <c r="AE19" s="5">
        <f t="shared" si="4"/>
        <v>0</v>
      </c>
      <c r="AF19" s="49">
        <f>SUM(AE9:AE18)</f>
        <v>0</v>
      </c>
      <c r="AG19" s="49">
        <v>2</v>
      </c>
    </row>
    <row r="20" spans="1:33" ht="17.25" customHeight="1" thickTop="1" thickBot="1">
      <c r="A20" s="245">
        <f t="shared" si="6"/>
        <v>44256</v>
      </c>
      <c r="B20" s="254"/>
      <c r="C20" s="255"/>
      <c r="D20" s="256"/>
      <c r="E20" s="255"/>
      <c r="F20" s="256"/>
      <c r="G20" s="255"/>
      <c r="H20" s="256"/>
      <c r="I20" s="255"/>
      <c r="J20" s="256"/>
      <c r="K20" s="420"/>
      <c r="L20" s="420"/>
      <c r="M20" s="255"/>
      <c r="N20" s="256"/>
      <c r="O20" s="255"/>
      <c r="P20" s="256"/>
      <c r="Q20" s="255"/>
      <c r="R20" s="256"/>
      <c r="S20" s="255"/>
      <c r="T20" s="256"/>
      <c r="U20" s="255"/>
      <c r="V20" s="256"/>
      <c r="W20" s="255"/>
      <c r="X20" s="256"/>
      <c r="Y20" s="99" t="e">
        <f t="shared" si="0"/>
        <v>#NAME?</v>
      </c>
      <c r="Z20" s="258">
        <f t="shared" si="5"/>
        <v>0</v>
      </c>
      <c r="AA20" s="17" t="str">
        <f t="shared" si="1"/>
        <v/>
      </c>
      <c r="AB20" s="18" t="str">
        <f t="shared" si="2"/>
        <v/>
      </c>
      <c r="AC20" s="102" t="e">
        <f>(C20*kWh_Élect_to_kgGES+E20*IF(U_GNat="[m³]",m3_GazNat_to_kgGES,Conversion!$H$27)+G20*IF(U_Ma2="[l]",L_Mazout2_to_kgGES,Conversion!$H$29)+I20*IF(U_Ma6="[l]",L_Mazout6_to_kgGES,Conversion!$H$31)+K20*IF(U_Dies="[l]",L_diesel_to_kgGES,Conversion!$H$33)+M20*IF(U_Prop="[l]",L_Propane_to_kgGES,Conversion!$H$35)+O20*IF(U_Bois20="[1000 kg MG]",Conversion!$H$36,Conversion!$H$37)+Q20*IF(U_Bois45="[1000 kg MG]",Conversion!$H$38,Conversion!$H$39)+S20*lbs_vapeur_to_kgGES+U20*MBTU_eaurefroidie_to_kgGES+W20*MBTU_eauchaude_to_kgGES)/1000</f>
        <v>#NAME?</v>
      </c>
      <c r="AD20" s="103">
        <f t="shared" si="3"/>
        <v>0</v>
      </c>
      <c r="AE20" s="5">
        <f t="shared" si="4"/>
        <v>0</v>
      </c>
      <c r="AF20" s="49">
        <f>SUM(AE9:AE19)</f>
        <v>0</v>
      </c>
      <c r="AG20" s="49">
        <v>1</v>
      </c>
    </row>
    <row r="21" spans="1:33" ht="20.25" customHeight="1" thickTop="1">
      <c r="A21" s="3" t="s">
        <v>53</v>
      </c>
      <c r="B21" s="35">
        <f>IF(ISERROR(AVERAGE(B9:B20)),0,AVERAGE(B9:B20))</f>
        <v>0</v>
      </c>
      <c r="C21" s="35">
        <f>SUM(C9:C20)</f>
        <v>0</v>
      </c>
      <c r="D21" s="261">
        <f>SUM(D9:D20)</f>
        <v>0</v>
      </c>
      <c r="E21" s="35">
        <f>SUM(E9:E20)</f>
        <v>0</v>
      </c>
      <c r="F21" s="261">
        <f t="shared" ref="F21:X21" si="7">SUM(F9:F20)</f>
        <v>0</v>
      </c>
      <c r="G21" s="35">
        <f t="shared" si="7"/>
        <v>0</v>
      </c>
      <c r="H21" s="260">
        <f t="shared" si="7"/>
        <v>0</v>
      </c>
      <c r="I21" s="35">
        <f t="shared" si="7"/>
        <v>0</v>
      </c>
      <c r="J21" s="260">
        <f t="shared" si="7"/>
        <v>0</v>
      </c>
      <c r="K21" s="35">
        <f t="shared" si="7"/>
        <v>0</v>
      </c>
      <c r="L21" s="259">
        <f t="shared" si="7"/>
        <v>0</v>
      </c>
      <c r="M21" s="35">
        <f t="shared" si="7"/>
        <v>0</v>
      </c>
      <c r="N21" s="260">
        <f t="shared" si="7"/>
        <v>0</v>
      </c>
      <c r="O21" s="35">
        <f t="shared" si="7"/>
        <v>0</v>
      </c>
      <c r="P21" s="260">
        <f t="shared" si="7"/>
        <v>0</v>
      </c>
      <c r="Q21" s="35">
        <f t="shared" si="7"/>
        <v>0</v>
      </c>
      <c r="R21" s="260">
        <f t="shared" si="7"/>
        <v>0</v>
      </c>
      <c r="S21" s="88">
        <f t="shared" si="7"/>
        <v>0</v>
      </c>
      <c r="T21" s="262">
        <f t="shared" si="7"/>
        <v>0</v>
      </c>
      <c r="U21" s="88">
        <f t="shared" si="7"/>
        <v>0</v>
      </c>
      <c r="V21" s="262">
        <f t="shared" si="7"/>
        <v>0</v>
      </c>
      <c r="W21" s="88">
        <f t="shared" si="7"/>
        <v>0</v>
      </c>
      <c r="X21" s="262">
        <f t="shared" si="7"/>
        <v>0</v>
      </c>
      <c r="Y21" s="264" t="e">
        <f t="shared" si="0"/>
        <v>#NAME?</v>
      </c>
      <c r="Z21" s="486">
        <f t="shared" si="5"/>
        <v>0</v>
      </c>
      <c r="AA21" s="265" t="str">
        <f t="shared" si="1"/>
        <v/>
      </c>
      <c r="AB21" s="266" t="str">
        <f t="shared" si="2"/>
        <v/>
      </c>
      <c r="AC21" s="267" t="e">
        <f>(C21*kWh_Élect_to_kgGES+E21*IF(U_GNat="[m³]",m3_GazNat_to_kgGES,Conversion!$H$27)+G21*IF(U_Ma2="[l]",L_Mazout2_to_kgGES,Conversion!$H$29)+I21*IF(U_Ma6="[l]",L_Mazout6_to_kgGES,Conversion!$H$31)+K21*IF(U_Dies="[l]",L_diesel_to_kgGES,Conversion!$H$33)+M21*IF(U_Prop="[l]",L_Propane_to_kgGES,Conversion!$H$35)+O21*IF(U_Bois20="[1000 kg MG]",Conversion!$H$36,Conversion!$H$37)+Q21*IF(U_Bois45="[1000 kg MG]",Conversion!$H$38,Conversion!$H$39)+S21*lbs_vapeur_to_kgGES+U21*MBTU_eaurefroidie_to_kgGES+W21*MBTU_eauchaude_to_kgGES)/1000</f>
        <v>#NAME?</v>
      </c>
      <c r="AD21" s="267">
        <f t="shared" si="3"/>
        <v>0</v>
      </c>
      <c r="AE21" s="268">
        <f>SUM(AE9:AE20)</f>
        <v>0</v>
      </c>
    </row>
    <row r="22" spans="1:33">
      <c r="A22" s="27">
        <v>2020</v>
      </c>
      <c r="B22" s="27" t="s">
        <v>268</v>
      </c>
      <c r="C22" s="28" t="s">
        <v>269</v>
      </c>
      <c r="D22" s="28" t="s">
        <v>270</v>
      </c>
      <c r="E22" s="28" t="s">
        <v>271</v>
      </c>
      <c r="F22" s="28" t="s">
        <v>272</v>
      </c>
      <c r="G22" s="28" t="s">
        <v>273</v>
      </c>
      <c r="H22" s="28" t="s">
        <v>274</v>
      </c>
      <c r="I22" s="28" t="s">
        <v>275</v>
      </c>
      <c r="J22" s="28" t="s">
        <v>276</v>
      </c>
      <c r="K22" s="28" t="s">
        <v>277</v>
      </c>
      <c r="L22" s="28" t="s">
        <v>278</v>
      </c>
      <c r="M22" s="28" t="s">
        <v>279</v>
      </c>
      <c r="N22" s="28" t="s">
        <v>280</v>
      </c>
      <c r="O22" s="28" t="s">
        <v>281</v>
      </c>
      <c r="P22" s="28" t="s">
        <v>282</v>
      </c>
      <c r="Q22" s="28"/>
      <c r="R22" s="28"/>
      <c r="S22" s="28"/>
      <c r="T22" s="28"/>
      <c r="U22" s="28"/>
      <c r="V22" s="28"/>
      <c r="W22" s="47" t="s">
        <v>283</v>
      </c>
      <c r="X22" s="47" t="s">
        <v>284</v>
      </c>
      <c r="Y22" s="47" t="s">
        <v>285</v>
      </c>
      <c r="Z22" s="47" t="s">
        <v>286</v>
      </c>
      <c r="AA22" s="47" t="s">
        <v>287</v>
      </c>
      <c r="AB22" s="48" t="s">
        <v>288</v>
      </c>
      <c r="AC22" s="47" t="s">
        <v>289</v>
      </c>
    </row>
    <row r="23" spans="1:33" ht="15">
      <c r="A23" s="52" t="s">
        <v>352</v>
      </c>
      <c r="B23" s="49"/>
      <c r="C23" s="47"/>
      <c r="D23" s="47"/>
      <c r="E23" s="47"/>
      <c r="F23" s="47"/>
      <c r="G23" s="51"/>
      <c r="H23" s="50"/>
      <c r="I23" s="47"/>
      <c r="J23" s="47"/>
      <c r="K23" s="47"/>
      <c r="L23" s="47"/>
      <c r="M23" s="47"/>
      <c r="N23" s="47"/>
      <c r="O23" s="47"/>
      <c r="P23" s="47"/>
      <c r="Q23" s="47"/>
      <c r="R23" s="47"/>
      <c r="S23" s="47"/>
      <c r="T23" s="47"/>
      <c r="U23" s="47"/>
      <c r="V23" s="47"/>
      <c r="X23" s="47"/>
      <c r="Y23" s="47"/>
      <c r="Z23" s="47"/>
      <c r="AA23" s="47"/>
      <c r="AB23" s="48"/>
      <c r="AC23" s="47"/>
    </row>
    <row r="24" spans="1:33" ht="15" thickBot="1">
      <c r="A24" s="25"/>
      <c r="B24" s="49"/>
      <c r="C24" s="47"/>
      <c r="D24" s="47"/>
      <c r="E24" s="47"/>
      <c r="F24" s="47"/>
      <c r="G24" s="47"/>
      <c r="I24" s="47"/>
      <c r="J24" s="47"/>
      <c r="K24" s="47"/>
      <c r="L24" s="47"/>
      <c r="M24" s="47"/>
      <c r="N24" s="47"/>
      <c r="O24" s="47"/>
      <c r="P24" s="47"/>
      <c r="Q24" s="47"/>
      <c r="R24" s="47"/>
      <c r="S24" s="47"/>
      <c r="T24" s="47"/>
      <c r="U24" s="47"/>
      <c r="V24" s="47"/>
      <c r="X24" s="47"/>
      <c r="Y24" s="47"/>
      <c r="Z24" s="47"/>
      <c r="AA24" s="47"/>
      <c r="AB24" s="48"/>
      <c r="AC24" s="47"/>
    </row>
    <row r="25" spans="1:33" ht="18.600000000000001" thickTop="1">
      <c r="A25" s="560" t="s">
        <v>804</v>
      </c>
      <c r="B25" s="561"/>
      <c r="C25" s="561"/>
      <c r="D25" s="561"/>
      <c r="E25" s="561"/>
      <c r="F25" s="561"/>
      <c r="G25" s="561"/>
      <c r="H25" s="562"/>
      <c r="X25" s="47"/>
      <c r="Y25" s="47">
        <f>Lim_bas</f>
        <v>0</v>
      </c>
      <c r="Z25" s="47">
        <f>Lim_haut</f>
        <v>0</v>
      </c>
      <c r="AA25" s="47"/>
      <c r="AB25" s="47"/>
      <c r="AC25" s="47"/>
    </row>
    <row r="26" spans="1:33" ht="19.8">
      <c r="A26" s="53"/>
      <c r="B26" s="23"/>
      <c r="X26" s="47"/>
      <c r="Y26" s="47"/>
      <c r="Z26" s="47"/>
      <c r="AA26" s="47"/>
      <c r="AB26" s="47"/>
      <c r="AC26" s="47"/>
    </row>
    <row r="27" spans="1:33" ht="19.8">
      <c r="A27" s="53" t="s">
        <v>686</v>
      </c>
      <c r="X27" s="47"/>
      <c r="Y27" s="47"/>
      <c r="Z27" s="47"/>
      <c r="AA27" s="47"/>
      <c r="AB27" s="47"/>
      <c r="AC27" s="47"/>
    </row>
    <row r="28" spans="1:33" ht="19.8">
      <c r="A28" s="53"/>
      <c r="X28" s="47"/>
      <c r="Y28" s="47"/>
      <c r="Z28" s="47"/>
      <c r="AA28" s="47"/>
      <c r="AB28" s="47"/>
      <c r="AC28" s="47"/>
    </row>
    <row r="29" spans="1:33" s="231" customFormat="1" ht="15" thickBot="1">
      <c r="A29" s="232" t="s">
        <v>681</v>
      </c>
      <c r="B29" s="229"/>
      <c r="C29" s="229"/>
      <c r="D29" s="229"/>
      <c r="E29" s="229"/>
      <c r="F29" s="229"/>
      <c r="I29" s="230"/>
    </row>
    <row r="30" spans="1:33" s="231" customFormat="1" ht="15.6" thickTop="1" thickBot="1">
      <c r="A30" s="232" t="s">
        <v>682</v>
      </c>
      <c r="B30" s="229"/>
      <c r="C30" s="229"/>
      <c r="D30" s="229"/>
      <c r="E30" s="229"/>
      <c r="F30" s="229"/>
      <c r="I30" s="230"/>
    </row>
    <row r="31" spans="1:33" s="231" customFormat="1" ht="15.6" thickTop="1" thickBot="1">
      <c r="A31" s="232" t="s">
        <v>683</v>
      </c>
      <c r="B31" s="229"/>
      <c r="C31" s="229"/>
      <c r="D31" s="229"/>
      <c r="E31" s="229"/>
      <c r="F31" s="229"/>
      <c r="I31" s="230"/>
    </row>
    <row r="32" spans="1:33" s="231" customFormat="1" ht="15.6" thickTop="1" thickBot="1">
      <c r="A32" s="232" t="s">
        <v>684</v>
      </c>
      <c r="B32" s="229"/>
      <c r="C32" s="229"/>
      <c r="D32" s="229"/>
      <c r="E32" s="229"/>
      <c r="F32" s="229"/>
      <c r="I32" s="230"/>
    </row>
    <row r="33" spans="1:29" s="231" customFormat="1" ht="15.6" thickTop="1" thickBot="1">
      <c r="A33" s="232" t="s">
        <v>685</v>
      </c>
      <c r="B33" s="229"/>
      <c r="C33" s="229"/>
      <c r="D33" s="229"/>
      <c r="E33" s="229"/>
      <c r="F33" s="229"/>
      <c r="I33" s="230"/>
    </row>
    <row r="34" spans="1:29" ht="30" customHeight="1" thickTop="1" thickBot="1">
      <c r="A34" s="23"/>
      <c r="B34" s="23"/>
    </row>
    <row r="35" spans="1:29" ht="159" customHeight="1" thickTop="1">
      <c r="A35" s="556" t="s">
        <v>80</v>
      </c>
      <c r="B35" s="557"/>
      <c r="C35" s="564" t="s">
        <v>342</v>
      </c>
      <c r="D35" s="564"/>
      <c r="E35" s="564"/>
      <c r="F35" s="564"/>
      <c r="G35" s="564"/>
      <c r="H35" s="564"/>
      <c r="I35" s="564"/>
      <c r="J35" s="564"/>
      <c r="K35" s="564"/>
      <c r="L35" s="564"/>
      <c r="W35" s="220"/>
      <c r="X35" s="220"/>
      <c r="Y35" s="220"/>
      <c r="Z35" s="220"/>
      <c r="AA35" s="220"/>
      <c r="AB35" s="220"/>
      <c r="AC35" s="47"/>
    </row>
    <row r="36" spans="1:29" ht="15" thickBot="1">
      <c r="A36" s="23"/>
      <c r="B36" s="23"/>
      <c r="W36" s="220"/>
      <c r="X36" s="220"/>
      <c r="Y36" s="220"/>
      <c r="Z36" s="220"/>
      <c r="AA36" s="220"/>
      <c r="AB36" s="220"/>
      <c r="AC36" s="47"/>
    </row>
    <row r="37" spans="1:29" ht="44.4" thickTop="1" thickBot="1">
      <c r="B37" s="12" t="s">
        <v>64</v>
      </c>
      <c r="C37" s="12" t="s">
        <v>91</v>
      </c>
      <c r="D37" s="12" t="s">
        <v>338</v>
      </c>
      <c r="E37" s="12" t="s">
        <v>75</v>
      </c>
      <c r="F37" s="12"/>
      <c r="G37" s="12" t="s">
        <v>72</v>
      </c>
      <c r="H37" s="12" t="s">
        <v>71</v>
      </c>
      <c r="I37" s="12" t="s">
        <v>340</v>
      </c>
      <c r="J37" s="12" t="s">
        <v>339</v>
      </c>
      <c r="V37" s="295"/>
      <c r="W37" s="220"/>
      <c r="X37" s="221" t="s">
        <v>54</v>
      </c>
      <c r="Y37" s="222">
        <f>((1-Facteur_variable)+Facteur_variable*DJC_tot_20_21/DJC_tot_09_10)*GJ_Tot_09_10+GJ_Ajust_NP_Cour_20_21</f>
        <v>0</v>
      </c>
      <c r="Z37" s="223" t="s">
        <v>326</v>
      </c>
      <c r="AA37" s="220"/>
      <c r="AB37" s="220"/>
      <c r="AC37" s="47"/>
    </row>
    <row r="38" spans="1:29" ht="35.25" customHeight="1" thickTop="1">
      <c r="B38" s="36" t="s">
        <v>336</v>
      </c>
      <c r="C38" s="36"/>
      <c r="D38" s="36"/>
      <c r="E38" s="55"/>
      <c r="F38" s="54" t="str">
        <f>IF(D38="électrique","kWh",IF(D38="Gaz naturel","m³",IF(LEFT(D38,1)="R","1000 kg","l")))</f>
        <v>l</v>
      </c>
      <c r="G38" s="36"/>
      <c r="H38" s="37"/>
      <c r="I38" s="38">
        <f>IF(COUNTA(G38)=1,IF(C38="Réduction",-1,IF(C38="Augmentation",1,0))*E38*INDEX(Conversion!$A$24:$J$40,MATCH(D38,Conversion!$J$24:$J$40,0),9),0)</f>
        <v>0</v>
      </c>
      <c r="J38" s="38">
        <f t="shared" ref="J38:J44" si="8">IF(G38="Non",I38*L38,IF(G38="Oui",I38*K38,0))</f>
        <v>0</v>
      </c>
      <c r="K38" s="56" t="e">
        <f t="shared" ref="K38:K44" si="9">(DJC_tot_20_21-INDEX($A$9:$AF$20,MATCH(H38,$A$9:$A$20,0),24))/DJC_tot_20_21</f>
        <v>#N/A</v>
      </c>
      <c r="L38" s="56" t="e">
        <f t="shared" ref="L38:L44" si="10">INDEX($A$9:$AG$20,MATCH(H38,$A$9:$A$20,0),25)/12</f>
        <v>#N/A</v>
      </c>
      <c r="V38" s="295"/>
      <c r="W38" s="223"/>
      <c r="X38" s="224" t="s">
        <v>55</v>
      </c>
      <c r="Y38" s="223" t="e">
        <f>GJ_Tot_20_21</f>
        <v>#NAME?</v>
      </c>
      <c r="Z38" s="223"/>
      <c r="AA38" s="220"/>
      <c r="AB38" s="220"/>
      <c r="AC38" s="47"/>
    </row>
    <row r="39" spans="1:29" ht="35.25" customHeight="1">
      <c r="B39" s="36" t="s">
        <v>330</v>
      </c>
      <c r="C39" s="36"/>
      <c r="D39" s="36"/>
      <c r="E39" s="55"/>
      <c r="F39" s="54" t="str">
        <f t="shared" ref="F39:F44" si="11">IF(D39="électrique","kWh",IF(D39="Gaz naturel","m³",IF(LEFT(D39,1)="R","1000 kg","l")))</f>
        <v>l</v>
      </c>
      <c r="G39" s="36"/>
      <c r="H39" s="37"/>
      <c r="I39" s="38">
        <f>IF(COUNTA(G39)=1,IF(C39="Réduction",-1,IF(C39="Augmentation",1,0))*E39*INDEX(Conversion!$A$24:$J$40,MATCH(D39,Conversion!$J$24:$J$40,0),9),0)</f>
        <v>0</v>
      </c>
      <c r="J39" s="38">
        <f t="shared" si="8"/>
        <v>0</v>
      </c>
      <c r="K39" s="56" t="e">
        <f t="shared" si="9"/>
        <v>#N/A</v>
      </c>
      <c r="L39" s="56" t="e">
        <f t="shared" si="10"/>
        <v>#N/A</v>
      </c>
      <c r="V39" s="295"/>
      <c r="W39" s="223"/>
      <c r="X39" s="224" t="s">
        <v>56</v>
      </c>
      <c r="Y39" s="223">
        <f>Sup_09_10</f>
        <v>0</v>
      </c>
      <c r="Z39" s="223"/>
      <c r="AA39" s="220"/>
      <c r="AB39" s="220"/>
      <c r="AC39" s="47"/>
    </row>
    <row r="40" spans="1:29" ht="35.25" customHeight="1">
      <c r="B40" s="36" t="s">
        <v>331</v>
      </c>
      <c r="C40" s="36"/>
      <c r="D40" s="36"/>
      <c r="E40" s="55"/>
      <c r="F40" s="54" t="str">
        <f t="shared" si="11"/>
        <v>l</v>
      </c>
      <c r="G40" s="36"/>
      <c r="H40" s="37"/>
      <c r="I40" s="38">
        <f>IF(COUNTA(G40)=1,IF(C40="Réduction",-1,IF(C40="Augmentation",1,0))*E40*INDEX(Conversion!$A$24:$J$40,MATCH(D40,Conversion!$J$24:$J$40,0),9),0)</f>
        <v>0</v>
      </c>
      <c r="J40" s="38">
        <f t="shared" si="8"/>
        <v>0</v>
      </c>
      <c r="K40" s="56" t="e">
        <f t="shared" si="9"/>
        <v>#N/A</v>
      </c>
      <c r="L40" s="56" t="e">
        <f t="shared" si="10"/>
        <v>#N/A</v>
      </c>
      <c r="V40" s="295"/>
      <c r="W40" s="220"/>
      <c r="X40" s="224" t="s">
        <v>57</v>
      </c>
      <c r="Y40" s="220">
        <f>Sup_20_21</f>
        <v>0</v>
      </c>
      <c r="Z40" s="223"/>
      <c r="AA40" s="220"/>
      <c r="AB40" s="220"/>
      <c r="AC40" s="47"/>
    </row>
    <row r="41" spans="1:29" ht="35.25" customHeight="1">
      <c r="B41" s="36" t="s">
        <v>332</v>
      </c>
      <c r="C41" s="36"/>
      <c r="D41" s="36"/>
      <c r="E41" s="55"/>
      <c r="F41" s="54" t="str">
        <f t="shared" si="11"/>
        <v>l</v>
      </c>
      <c r="G41" s="36"/>
      <c r="H41" s="37"/>
      <c r="I41" s="38">
        <f>IF(COUNTA(G41)=1,IF(C41="Réduction",-1,IF(C41="Augmentation",1,0))*E41*INDEX(Conversion!$A$24:$J$40,MATCH(D41,Conversion!$J$24:$J$40,0),9),0)</f>
        <v>0</v>
      </c>
      <c r="J41" s="38">
        <f t="shared" si="8"/>
        <v>0</v>
      </c>
      <c r="K41" s="56" t="e">
        <f t="shared" si="9"/>
        <v>#N/A</v>
      </c>
      <c r="L41" s="56" t="e">
        <f t="shared" si="10"/>
        <v>#N/A</v>
      </c>
      <c r="V41" s="295"/>
      <c r="W41" s="220"/>
      <c r="X41" s="220"/>
      <c r="Y41" s="225" t="e">
        <f>GJTotRef_Ajust_20_21/Sup_09_10</f>
        <v>#DIV/0!</v>
      </c>
      <c r="Z41" s="223" t="s">
        <v>327</v>
      </c>
      <c r="AA41" s="220"/>
      <c r="AB41" s="220"/>
      <c r="AC41" s="47"/>
    </row>
    <row r="42" spans="1:29" ht="35.25" customHeight="1">
      <c r="B42" s="36" t="s">
        <v>333</v>
      </c>
      <c r="C42" s="36"/>
      <c r="D42" s="36"/>
      <c r="E42" s="55"/>
      <c r="F42" s="54" t="str">
        <f t="shared" si="11"/>
        <v>l</v>
      </c>
      <c r="G42" s="36"/>
      <c r="H42" s="37"/>
      <c r="I42" s="38">
        <f>IF(COUNTA(G42)=1,IF(C42="Réduction",-1,IF(C42="Augmentation",1,0))*E42*INDEX(Conversion!$A$24:$J$40,MATCH(D42,Conversion!$J$24:$J$40,0),9),0)</f>
        <v>0</v>
      </c>
      <c r="J42" s="38">
        <f t="shared" si="8"/>
        <v>0</v>
      </c>
      <c r="K42" s="56" t="e">
        <f t="shared" si="9"/>
        <v>#N/A</v>
      </c>
      <c r="L42" s="56" t="e">
        <f t="shared" si="10"/>
        <v>#N/A</v>
      </c>
      <c r="V42" s="295"/>
      <c r="W42" s="223"/>
      <c r="X42" s="223"/>
      <c r="Y42" s="226">
        <f>J45</f>
        <v>0</v>
      </c>
      <c r="Z42" s="223" t="s">
        <v>328</v>
      </c>
      <c r="AA42" s="223"/>
      <c r="AB42" s="223"/>
    </row>
    <row r="43" spans="1:29" ht="35.25" customHeight="1">
      <c r="B43" s="36" t="s">
        <v>334</v>
      </c>
      <c r="C43" s="36"/>
      <c r="D43" s="36"/>
      <c r="E43" s="55"/>
      <c r="F43" s="54" t="str">
        <f t="shared" si="11"/>
        <v>l</v>
      </c>
      <c r="G43" s="36"/>
      <c r="H43" s="37"/>
      <c r="I43" s="38">
        <f>IF(COUNTA(G43)=1,IF(C43="Réduction",-1,IF(C43="Augmentation",1,0))*E43*INDEX(Conversion!$A$24:$J$40,MATCH(D43,Conversion!$J$24:$J$40,0),9),0)</f>
        <v>0</v>
      </c>
      <c r="J43" s="38">
        <f t="shared" si="8"/>
        <v>0</v>
      </c>
      <c r="K43" s="56" t="e">
        <f t="shared" si="9"/>
        <v>#N/A</v>
      </c>
      <c r="L43" s="56" t="e">
        <f t="shared" si="10"/>
        <v>#N/A</v>
      </c>
      <c r="V43" s="295"/>
      <c r="W43" s="223"/>
      <c r="X43" s="223"/>
      <c r="Y43" s="226">
        <f>I45</f>
        <v>0</v>
      </c>
      <c r="Z43" s="223" t="s">
        <v>329</v>
      </c>
      <c r="AA43" s="223"/>
      <c r="AB43" s="223"/>
    </row>
    <row r="44" spans="1:29" ht="35.25" customHeight="1" thickBot="1">
      <c r="B44" s="36" t="s">
        <v>335</v>
      </c>
      <c r="C44" s="36"/>
      <c r="D44" s="36"/>
      <c r="E44" s="55"/>
      <c r="F44" s="54" t="str">
        <f t="shared" si="11"/>
        <v>l</v>
      </c>
      <c r="G44" s="36"/>
      <c r="H44" s="37"/>
      <c r="I44" s="38">
        <f>IF(COUNTA(G44)=1,IF(C44="Réduction",-1,IF(C44="Augmentation",1,0))*E44*INDEX(Conversion!$A$24:$J$40,MATCH(D44,Conversion!$J$24:$J$40,0),9),0)</f>
        <v>0</v>
      </c>
      <c r="J44" s="38">
        <f t="shared" si="8"/>
        <v>0</v>
      </c>
      <c r="K44" s="56" t="e">
        <f t="shared" si="9"/>
        <v>#N/A</v>
      </c>
      <c r="L44" s="56" t="e">
        <f t="shared" si="10"/>
        <v>#N/A</v>
      </c>
      <c r="V44" s="295"/>
      <c r="W44" s="223"/>
      <c r="X44" s="223"/>
      <c r="Y44" s="223"/>
      <c r="Z44" s="223"/>
      <c r="AA44" s="223"/>
      <c r="AB44" s="223"/>
    </row>
    <row r="45" spans="1:29" ht="25.5" customHeight="1" thickTop="1" thickBot="1">
      <c r="B45" s="21" t="s">
        <v>16</v>
      </c>
      <c r="C45" s="19"/>
      <c r="D45" s="19"/>
      <c r="E45" s="19"/>
      <c r="F45" s="19"/>
      <c r="G45" s="19"/>
      <c r="H45" s="19"/>
      <c r="I45" s="20">
        <f>SUM(I38:I44)</f>
        <v>0</v>
      </c>
      <c r="J45" s="20">
        <f>SUM(J38:J44)</f>
        <v>0</v>
      </c>
      <c r="V45" s="295"/>
      <c r="W45" s="223"/>
      <c r="X45" s="223"/>
      <c r="Y45" s="223"/>
      <c r="Z45" s="223"/>
      <c r="AA45" s="223"/>
      <c r="AB45" s="223"/>
    </row>
    <row r="46" spans="1:29" ht="15" thickTop="1">
      <c r="I46" s="1"/>
      <c r="J46" s="24"/>
      <c r="W46" s="49"/>
    </row>
    <row r="47" spans="1:29">
      <c r="W47" s="49"/>
    </row>
    <row r="48" spans="1:29">
      <c r="W48" s="49"/>
    </row>
    <row r="49" spans="1:23" ht="16.5" customHeight="1">
      <c r="W49" s="49"/>
    </row>
    <row r="50" spans="1:23">
      <c r="W50" s="49"/>
    </row>
    <row r="51" spans="1:23" ht="16.5" customHeight="1">
      <c r="W51" s="49"/>
    </row>
    <row r="52" spans="1:23">
      <c r="A52" s="29"/>
      <c r="B52" s="29"/>
      <c r="C52" s="30"/>
      <c r="D52" s="30"/>
      <c r="E52" s="30"/>
      <c r="F52" s="30"/>
      <c r="G52" s="30"/>
      <c r="H52" s="30"/>
      <c r="W52" s="49"/>
    </row>
    <row r="53" spans="1:23">
      <c r="A53" s="29"/>
      <c r="B53" s="29"/>
      <c r="C53" s="30"/>
      <c r="D53" s="30"/>
      <c r="E53" s="30"/>
      <c r="F53" s="30"/>
      <c r="G53" s="30"/>
      <c r="H53" s="30"/>
      <c r="W53" s="49"/>
    </row>
    <row r="54" spans="1:23">
      <c r="A54" s="29"/>
      <c r="B54" s="27"/>
      <c r="C54" s="28" t="s">
        <v>65</v>
      </c>
      <c r="D54" s="28" t="s">
        <v>70</v>
      </c>
      <c r="E54" s="28"/>
      <c r="F54" s="28"/>
      <c r="G54" s="28" t="s">
        <v>73</v>
      </c>
      <c r="H54" s="30"/>
    </row>
    <row r="55" spans="1:23">
      <c r="A55" s="29"/>
      <c r="B55" s="27"/>
      <c r="C55" s="28" t="s">
        <v>66</v>
      </c>
      <c r="D55" s="28" t="s">
        <v>19</v>
      </c>
      <c r="E55" s="28"/>
      <c r="F55" s="28"/>
      <c r="G55" s="28" t="s">
        <v>74</v>
      </c>
      <c r="H55" s="30"/>
    </row>
    <row r="56" spans="1:23">
      <c r="A56" s="29"/>
      <c r="B56" s="27"/>
      <c r="C56" s="28"/>
      <c r="D56" s="28" t="s">
        <v>67</v>
      </c>
      <c r="E56" s="28"/>
      <c r="F56" s="28"/>
      <c r="G56" s="28"/>
      <c r="H56" s="30"/>
    </row>
    <row r="57" spans="1:23">
      <c r="A57" s="29"/>
      <c r="B57" s="27"/>
      <c r="C57" s="28"/>
      <c r="D57" s="28" t="s">
        <v>25</v>
      </c>
      <c r="E57" s="28"/>
      <c r="F57" s="28"/>
      <c r="G57" s="28"/>
      <c r="H57" s="30"/>
    </row>
    <row r="58" spans="1:23">
      <c r="A58" s="29"/>
      <c r="B58" s="27"/>
      <c r="C58" s="28"/>
      <c r="D58" s="28" t="s">
        <v>27</v>
      </c>
      <c r="E58" s="28"/>
      <c r="F58" s="28"/>
      <c r="G58" s="28"/>
      <c r="H58" s="30"/>
    </row>
    <row r="59" spans="1:23">
      <c r="A59" s="29"/>
      <c r="B59" s="27"/>
      <c r="C59" s="28"/>
      <c r="D59" s="28" t="s">
        <v>68</v>
      </c>
      <c r="E59" s="28"/>
      <c r="F59" s="28"/>
      <c r="G59" s="28"/>
      <c r="H59" s="30"/>
    </row>
    <row r="60" spans="1:23">
      <c r="A60" s="29"/>
      <c r="B60" s="27"/>
      <c r="C60" s="28"/>
      <c r="D60" s="28" t="s">
        <v>69</v>
      </c>
      <c r="E60" s="28"/>
      <c r="F60" s="28"/>
      <c r="G60" s="28"/>
      <c r="H60" s="30"/>
    </row>
    <row r="61" spans="1:23">
      <c r="A61" s="29"/>
      <c r="B61" s="27"/>
      <c r="C61" s="28"/>
      <c r="D61" s="28" t="s">
        <v>77</v>
      </c>
      <c r="E61" s="28"/>
      <c r="F61" s="28"/>
      <c r="G61" s="28"/>
      <c r="H61" s="30"/>
    </row>
    <row r="62" spans="1:23">
      <c r="A62" s="29"/>
      <c r="B62" s="27"/>
      <c r="C62" s="28"/>
      <c r="D62" s="28"/>
      <c r="E62" s="28"/>
      <c r="F62" s="28"/>
      <c r="G62" s="28"/>
      <c r="H62" s="30"/>
    </row>
    <row r="63" spans="1:23">
      <c r="A63" s="29"/>
      <c r="B63" s="29"/>
      <c r="C63" s="30"/>
      <c r="D63" s="30"/>
      <c r="E63" s="30"/>
      <c r="F63" s="30"/>
      <c r="G63" s="30"/>
      <c r="H63" s="30"/>
    </row>
    <row r="64" spans="1:23">
      <c r="A64" s="29"/>
      <c r="B64" s="29"/>
      <c r="C64" s="30"/>
      <c r="D64" s="30"/>
      <c r="E64" s="30"/>
      <c r="F64" s="30"/>
      <c r="G64" s="30"/>
      <c r="H64" s="30"/>
    </row>
    <row r="65" spans="1:23">
      <c r="A65" s="29"/>
      <c r="B65" s="29"/>
      <c r="C65" s="30"/>
      <c r="D65" s="30"/>
      <c r="E65" s="30"/>
      <c r="F65" s="30"/>
      <c r="G65" s="30"/>
      <c r="H65" s="30"/>
    </row>
    <row r="66" spans="1:23">
      <c r="A66" s="29"/>
      <c r="B66" s="29"/>
      <c r="C66" s="30"/>
      <c r="D66" s="30"/>
      <c r="E66" s="30"/>
      <c r="F66" s="30"/>
      <c r="G66" s="30"/>
      <c r="H66" s="30"/>
    </row>
    <row r="67" spans="1:23">
      <c r="A67" s="29"/>
      <c r="B67" s="29"/>
      <c r="C67" s="30"/>
      <c r="D67" s="30"/>
      <c r="E67" s="30"/>
      <c r="F67" s="30"/>
      <c r="G67" s="30"/>
      <c r="H67" s="30"/>
    </row>
    <row r="68" spans="1:23">
      <c r="A68" s="29"/>
      <c r="B68" s="29"/>
      <c r="C68" s="30"/>
      <c r="D68" s="30"/>
      <c r="E68" s="29"/>
      <c r="F68" s="29"/>
      <c r="G68" s="29"/>
      <c r="H68" s="29"/>
      <c r="I68" s="1"/>
      <c r="J68" s="1"/>
      <c r="K68" s="1"/>
      <c r="L68" s="1"/>
      <c r="M68" s="1"/>
      <c r="N68" s="1"/>
      <c r="O68" s="1"/>
      <c r="P68" s="1"/>
      <c r="Q68" s="1"/>
      <c r="R68" s="1"/>
      <c r="S68" s="1"/>
      <c r="T68" s="1"/>
      <c r="U68" s="1"/>
      <c r="V68" s="1"/>
      <c r="W68" s="49"/>
    </row>
    <row r="69" spans="1:23">
      <c r="A69" s="29"/>
      <c r="B69" s="29"/>
      <c r="C69" s="30"/>
      <c r="D69" s="30"/>
      <c r="E69" s="29"/>
      <c r="F69" s="29"/>
      <c r="G69" s="29"/>
      <c r="H69" s="29"/>
      <c r="I69" s="1"/>
      <c r="J69" s="1"/>
      <c r="K69" s="1"/>
      <c r="L69" s="1"/>
      <c r="M69" s="1"/>
      <c r="N69" s="1"/>
      <c r="O69" s="1"/>
      <c r="P69" s="1"/>
      <c r="Q69" s="1"/>
      <c r="R69" s="1"/>
      <c r="S69" s="1"/>
      <c r="T69" s="1"/>
      <c r="U69" s="1"/>
      <c r="V69" s="1"/>
      <c r="W69" s="49"/>
    </row>
    <row r="70" spans="1:23" ht="16.5" customHeight="1">
      <c r="E70" s="1"/>
      <c r="F70" s="1"/>
      <c r="G70" s="1"/>
      <c r="H70" s="1"/>
      <c r="I70" s="1"/>
      <c r="J70" s="1"/>
      <c r="K70" s="1"/>
      <c r="L70" s="1"/>
      <c r="M70" s="1"/>
      <c r="N70" s="1"/>
      <c r="O70" s="1"/>
      <c r="P70" s="1"/>
      <c r="Q70" s="1"/>
      <c r="R70" s="1"/>
      <c r="S70" s="1"/>
      <c r="T70" s="1"/>
      <c r="U70" s="1"/>
      <c r="V70" s="1"/>
      <c r="W70" s="49"/>
    </row>
    <row r="71" spans="1:23">
      <c r="E71" s="1"/>
      <c r="F71" s="1"/>
      <c r="G71" s="1"/>
      <c r="H71" s="1"/>
      <c r="I71" s="1"/>
      <c r="J71" s="1"/>
      <c r="K71" s="1"/>
      <c r="L71" s="1"/>
      <c r="M71" s="1"/>
      <c r="N71" s="1"/>
      <c r="O71" s="1"/>
      <c r="P71" s="1"/>
      <c r="Q71" s="1"/>
      <c r="R71" s="1"/>
      <c r="S71" s="1"/>
      <c r="T71" s="1"/>
      <c r="U71" s="1"/>
      <c r="V71" s="1"/>
      <c r="W71" s="49"/>
    </row>
    <row r="72" spans="1:23">
      <c r="E72" s="1"/>
      <c r="F72" s="1"/>
      <c r="G72" s="1"/>
      <c r="H72" s="1"/>
      <c r="I72" s="1"/>
      <c r="J72" s="1"/>
      <c r="K72" s="1"/>
      <c r="L72" s="1"/>
      <c r="M72" s="1"/>
      <c r="N72" s="1"/>
      <c r="O72" s="1"/>
      <c r="P72" s="1"/>
      <c r="Q72" s="1"/>
      <c r="R72" s="1"/>
      <c r="S72" s="1"/>
      <c r="T72" s="1"/>
      <c r="U72" s="1"/>
      <c r="V72" s="1"/>
      <c r="W72" s="49"/>
    </row>
    <row r="73" spans="1:23">
      <c r="E73" s="1"/>
      <c r="F73" s="1"/>
      <c r="G73" s="1"/>
      <c r="H73" s="1"/>
      <c r="I73" s="1"/>
      <c r="J73" s="1"/>
      <c r="K73" s="1"/>
      <c r="L73" s="1"/>
      <c r="M73" s="1"/>
      <c r="N73" s="1"/>
      <c r="O73" s="1"/>
      <c r="P73" s="1"/>
      <c r="Q73" s="1"/>
      <c r="R73" s="1"/>
      <c r="S73" s="1"/>
      <c r="T73" s="1"/>
      <c r="U73" s="1"/>
      <c r="V73" s="1"/>
      <c r="W73" s="49"/>
    </row>
    <row r="74" spans="1:23">
      <c r="E74" s="1"/>
      <c r="F74" s="1"/>
      <c r="G74" s="1"/>
      <c r="H74" s="1"/>
      <c r="I74" s="1"/>
      <c r="J74" s="1"/>
      <c r="K74" s="1"/>
      <c r="L74" s="1"/>
      <c r="M74" s="1"/>
      <c r="N74" s="1"/>
      <c r="O74" s="1"/>
      <c r="P74" s="1"/>
      <c r="Q74" s="1"/>
      <c r="R74" s="1"/>
      <c r="S74" s="1"/>
      <c r="T74" s="1"/>
      <c r="U74" s="1"/>
      <c r="V74" s="1"/>
      <c r="W74" s="49"/>
    </row>
    <row r="75" spans="1:23">
      <c r="E75" s="1"/>
      <c r="F75" s="1"/>
      <c r="G75" s="1"/>
      <c r="H75" s="1"/>
      <c r="I75" s="1"/>
      <c r="J75" s="1"/>
      <c r="K75" s="1"/>
      <c r="L75" s="1"/>
      <c r="M75" s="1"/>
      <c r="N75" s="1"/>
      <c r="O75" s="1"/>
      <c r="P75" s="1"/>
      <c r="Q75" s="1"/>
      <c r="R75" s="1"/>
      <c r="S75" s="1"/>
      <c r="T75" s="1"/>
      <c r="U75" s="1"/>
      <c r="V75" s="1"/>
      <c r="W75" s="49"/>
    </row>
    <row r="76" spans="1:23">
      <c r="E76" s="1"/>
      <c r="F76" s="1"/>
      <c r="G76" s="1"/>
      <c r="H76" s="1"/>
      <c r="I76" s="1"/>
      <c r="J76" s="1"/>
      <c r="K76" s="1"/>
      <c r="L76" s="1"/>
      <c r="M76" s="1"/>
      <c r="N76" s="1"/>
      <c r="O76" s="1"/>
      <c r="P76" s="1"/>
      <c r="Q76" s="1"/>
      <c r="R76" s="1"/>
      <c r="S76" s="1"/>
      <c r="T76" s="1"/>
      <c r="U76" s="1"/>
      <c r="V76" s="1"/>
      <c r="W76" s="49"/>
    </row>
    <row r="77" spans="1:23">
      <c r="E77" s="1"/>
      <c r="F77" s="1"/>
      <c r="G77" s="1"/>
      <c r="H77" s="1"/>
      <c r="I77" s="1"/>
      <c r="J77" s="1"/>
      <c r="K77" s="1"/>
      <c r="L77" s="1"/>
      <c r="M77" s="1"/>
      <c r="N77" s="1"/>
      <c r="O77" s="1"/>
      <c r="P77" s="1"/>
      <c r="Q77" s="1"/>
      <c r="R77" s="1"/>
      <c r="S77" s="1"/>
      <c r="T77" s="1"/>
      <c r="U77" s="1"/>
      <c r="V77" s="1"/>
      <c r="W77" s="49"/>
    </row>
    <row r="78" spans="1:23">
      <c r="E78" s="1"/>
      <c r="F78" s="1"/>
      <c r="G78" s="1"/>
      <c r="H78" s="1"/>
      <c r="I78" s="1"/>
      <c r="J78" s="1"/>
      <c r="K78" s="1"/>
      <c r="L78" s="1"/>
      <c r="M78" s="1"/>
      <c r="N78" s="1"/>
      <c r="O78" s="1"/>
      <c r="P78" s="1"/>
      <c r="Q78" s="1"/>
      <c r="R78" s="1"/>
      <c r="S78" s="1"/>
      <c r="T78" s="1"/>
      <c r="U78" s="1"/>
      <c r="V78" s="1"/>
      <c r="W78" s="49"/>
    </row>
    <row r="79" spans="1:23">
      <c r="E79" s="1"/>
      <c r="F79" s="1"/>
      <c r="G79" s="1"/>
      <c r="H79" s="1"/>
      <c r="I79" s="1"/>
      <c r="J79" s="1"/>
      <c r="K79" s="1"/>
      <c r="L79" s="1"/>
      <c r="M79" s="1"/>
      <c r="N79" s="1"/>
      <c r="O79" s="1"/>
      <c r="P79" s="1"/>
      <c r="Q79" s="1"/>
      <c r="R79" s="1"/>
      <c r="S79" s="1"/>
      <c r="T79" s="1"/>
      <c r="U79" s="1"/>
      <c r="V79" s="1"/>
      <c r="W79" s="49"/>
    </row>
    <row r="80" spans="1:23" ht="16.5" customHeight="1">
      <c r="E80" s="1"/>
      <c r="F80" s="1"/>
      <c r="G80" s="1"/>
      <c r="H80" s="1"/>
      <c r="I80" s="1"/>
      <c r="J80" s="1"/>
      <c r="K80" s="1"/>
      <c r="L80" s="1"/>
      <c r="M80" s="1"/>
      <c r="N80" s="1"/>
      <c r="O80" s="1"/>
      <c r="P80" s="1"/>
      <c r="Q80" s="1"/>
      <c r="R80" s="1"/>
      <c r="S80" s="1"/>
      <c r="T80" s="1"/>
      <c r="U80" s="1"/>
      <c r="V80" s="1"/>
      <c r="W80" s="49"/>
    </row>
    <row r="81" spans="5:23">
      <c r="E81" s="1"/>
      <c r="F81" s="1"/>
      <c r="G81" s="1"/>
      <c r="H81" s="1"/>
      <c r="I81" s="1"/>
      <c r="J81" s="1"/>
      <c r="K81" s="1"/>
      <c r="L81" s="1"/>
      <c r="M81" s="1"/>
      <c r="N81" s="1"/>
      <c r="O81" s="1"/>
      <c r="P81" s="1"/>
      <c r="Q81" s="1"/>
      <c r="R81" s="1"/>
      <c r="S81" s="1"/>
      <c r="T81" s="1"/>
      <c r="U81" s="1"/>
      <c r="V81" s="1"/>
      <c r="W81" s="49"/>
    </row>
    <row r="82" spans="5:23" ht="16.5" customHeight="1">
      <c r="E82" s="1"/>
      <c r="F82" s="1"/>
      <c r="G82" s="1"/>
      <c r="H82" s="1"/>
      <c r="I82" s="1"/>
      <c r="J82" s="1"/>
      <c r="K82" s="1"/>
      <c r="L82" s="1"/>
      <c r="M82" s="1"/>
      <c r="N82" s="1"/>
      <c r="O82" s="1"/>
      <c r="P82" s="1"/>
      <c r="Q82" s="1"/>
      <c r="R82" s="1"/>
      <c r="S82" s="1"/>
      <c r="T82" s="1"/>
      <c r="U82" s="1"/>
      <c r="V82" s="1"/>
      <c r="W82" s="49"/>
    </row>
    <row r="83" spans="5:23">
      <c r="E83" s="1"/>
      <c r="F83" s="1"/>
      <c r="G83" s="1"/>
      <c r="H83" s="1"/>
      <c r="I83" s="1"/>
      <c r="J83" s="1"/>
      <c r="K83" s="1"/>
      <c r="L83" s="1"/>
      <c r="M83" s="1"/>
      <c r="N83" s="1"/>
      <c r="O83" s="1"/>
      <c r="P83" s="1"/>
      <c r="Q83" s="1"/>
      <c r="R83" s="1"/>
      <c r="S83" s="1"/>
      <c r="T83" s="1"/>
      <c r="U83" s="1"/>
      <c r="V83" s="1"/>
      <c r="W83" s="49"/>
    </row>
    <row r="84" spans="5:23">
      <c r="E84" s="1"/>
      <c r="F84" s="1"/>
      <c r="G84" s="1"/>
      <c r="H84" s="1"/>
      <c r="I84" s="1"/>
      <c r="J84" s="1"/>
      <c r="K84" s="1"/>
      <c r="L84" s="1"/>
      <c r="M84" s="1"/>
      <c r="N84" s="1"/>
      <c r="O84" s="1"/>
      <c r="P84" s="1"/>
      <c r="Q84" s="1"/>
      <c r="R84" s="1"/>
      <c r="S84" s="1"/>
      <c r="T84" s="1"/>
      <c r="U84" s="1"/>
      <c r="V84" s="1"/>
      <c r="W84" s="49"/>
    </row>
    <row r="85" spans="5:23">
      <c r="E85" s="1"/>
      <c r="F85" s="1"/>
      <c r="G85" s="1"/>
      <c r="H85" s="1"/>
      <c r="I85" s="1"/>
      <c r="J85" s="1"/>
      <c r="K85" s="1"/>
      <c r="L85" s="1"/>
      <c r="M85" s="1"/>
      <c r="N85" s="1"/>
      <c r="O85" s="1"/>
      <c r="P85" s="1"/>
      <c r="Q85" s="1"/>
      <c r="R85" s="1"/>
      <c r="S85" s="1"/>
      <c r="T85" s="1"/>
      <c r="U85" s="1"/>
      <c r="V85" s="1"/>
      <c r="W85" s="49"/>
    </row>
    <row r="86" spans="5:23">
      <c r="E86" s="1"/>
      <c r="F86" s="1"/>
      <c r="G86" s="1"/>
      <c r="H86" s="1"/>
      <c r="I86" s="1"/>
      <c r="J86" s="1"/>
      <c r="K86" s="1"/>
      <c r="L86" s="1"/>
      <c r="M86" s="1"/>
      <c r="N86" s="1"/>
      <c r="O86" s="1"/>
      <c r="P86" s="1"/>
      <c r="Q86" s="1"/>
      <c r="R86" s="1"/>
      <c r="S86" s="1"/>
      <c r="T86" s="1"/>
      <c r="U86" s="1"/>
      <c r="V86" s="1"/>
      <c r="W86" s="49"/>
    </row>
    <row r="87" spans="5:23">
      <c r="E87" s="1"/>
      <c r="F87" s="1"/>
      <c r="G87" s="1"/>
      <c r="H87" s="1"/>
      <c r="I87" s="1"/>
      <c r="J87" s="1"/>
      <c r="K87" s="1"/>
      <c r="L87" s="1"/>
      <c r="M87" s="1"/>
      <c r="N87" s="1"/>
      <c r="O87" s="1"/>
      <c r="P87" s="1"/>
      <c r="Q87" s="1"/>
      <c r="R87" s="1"/>
      <c r="S87" s="1"/>
      <c r="T87" s="1"/>
      <c r="U87" s="1"/>
      <c r="V87" s="1"/>
      <c r="W87" s="49"/>
    </row>
    <row r="88" spans="5:23">
      <c r="E88" s="1"/>
      <c r="F88" s="1"/>
      <c r="G88" s="1"/>
      <c r="H88" s="1"/>
      <c r="I88" s="1"/>
      <c r="J88" s="1"/>
      <c r="K88" s="1"/>
      <c r="L88" s="1"/>
      <c r="M88" s="1"/>
      <c r="N88" s="1"/>
      <c r="O88" s="1"/>
      <c r="P88" s="1"/>
      <c r="Q88" s="1"/>
      <c r="R88" s="1"/>
      <c r="S88" s="1"/>
      <c r="T88" s="1"/>
      <c r="U88" s="1"/>
      <c r="V88" s="1"/>
      <c r="W88" s="49"/>
    </row>
    <row r="89" spans="5:23">
      <c r="E89" s="1"/>
      <c r="F89" s="1"/>
      <c r="G89" s="1"/>
      <c r="H89" s="1"/>
      <c r="I89" s="1"/>
      <c r="J89" s="1"/>
      <c r="K89" s="1"/>
      <c r="L89" s="1"/>
      <c r="M89" s="1"/>
      <c r="N89" s="1"/>
      <c r="O89" s="1"/>
      <c r="P89" s="1"/>
      <c r="Q89" s="1"/>
      <c r="R89" s="1"/>
      <c r="S89" s="1"/>
      <c r="T89" s="1"/>
      <c r="U89" s="1"/>
      <c r="V89" s="1"/>
      <c r="W89" s="49"/>
    </row>
    <row r="90" spans="5:23">
      <c r="E90" s="1"/>
      <c r="F90" s="1"/>
      <c r="G90" s="1"/>
      <c r="H90" s="1"/>
      <c r="I90" s="1"/>
      <c r="J90" s="1"/>
      <c r="K90" s="1"/>
      <c r="L90" s="1"/>
      <c r="M90" s="1"/>
      <c r="N90" s="1"/>
      <c r="O90" s="1"/>
      <c r="P90" s="1"/>
      <c r="Q90" s="1"/>
      <c r="R90" s="1"/>
      <c r="S90" s="1"/>
      <c r="T90" s="1"/>
      <c r="U90" s="1"/>
      <c r="V90" s="1"/>
      <c r="W90" s="49"/>
    </row>
    <row r="91" spans="5:23">
      <c r="E91" s="1"/>
      <c r="F91" s="1"/>
      <c r="G91" s="1"/>
      <c r="H91" s="1"/>
      <c r="I91" s="1"/>
      <c r="J91" s="1"/>
      <c r="K91" s="1"/>
      <c r="L91" s="1"/>
      <c r="M91" s="1"/>
      <c r="N91" s="1"/>
      <c r="O91" s="1"/>
      <c r="P91" s="1"/>
      <c r="Q91" s="1"/>
      <c r="R91" s="1"/>
      <c r="S91" s="1"/>
      <c r="T91" s="1"/>
      <c r="U91" s="1"/>
      <c r="V91" s="1"/>
      <c r="W91" s="49"/>
    </row>
    <row r="92" spans="5:23">
      <c r="E92" s="1"/>
      <c r="F92" s="1"/>
      <c r="G92" s="1"/>
      <c r="H92" s="1"/>
      <c r="I92" s="1"/>
      <c r="J92" s="1"/>
      <c r="K92" s="1"/>
      <c r="L92" s="1"/>
      <c r="M92" s="1"/>
      <c r="N92" s="1"/>
      <c r="O92" s="1"/>
      <c r="P92" s="1"/>
      <c r="Q92" s="1"/>
      <c r="R92" s="1"/>
      <c r="S92" s="1"/>
      <c r="T92" s="1"/>
      <c r="U92" s="1"/>
      <c r="V92" s="1"/>
      <c r="W92" s="49"/>
    </row>
    <row r="93" spans="5:23">
      <c r="E93" s="1"/>
      <c r="F93" s="1"/>
      <c r="G93" s="1"/>
      <c r="H93" s="1"/>
      <c r="I93" s="1"/>
      <c r="J93" s="1"/>
      <c r="K93" s="1"/>
      <c r="L93" s="1"/>
      <c r="M93" s="1"/>
      <c r="N93" s="1"/>
      <c r="O93" s="1"/>
      <c r="P93" s="1"/>
      <c r="Q93" s="1"/>
      <c r="R93" s="1"/>
      <c r="S93" s="1"/>
      <c r="T93" s="1"/>
      <c r="U93" s="1"/>
      <c r="V93" s="1"/>
      <c r="W93" s="49"/>
    </row>
    <row r="94" spans="5:23">
      <c r="E94" s="1"/>
      <c r="F94" s="1"/>
      <c r="G94" s="1"/>
      <c r="H94" s="1"/>
      <c r="I94" s="1"/>
      <c r="J94" s="1"/>
      <c r="K94" s="1"/>
      <c r="L94" s="1"/>
      <c r="M94" s="1"/>
      <c r="N94" s="1"/>
      <c r="O94" s="1"/>
      <c r="P94" s="1"/>
      <c r="Q94" s="1"/>
      <c r="R94" s="1"/>
      <c r="S94" s="1"/>
      <c r="T94" s="1"/>
      <c r="U94" s="1"/>
      <c r="V94" s="1"/>
      <c r="W94" s="49"/>
    </row>
    <row r="95" spans="5:23">
      <c r="E95" s="1"/>
      <c r="F95" s="1"/>
      <c r="G95" s="1"/>
      <c r="H95" s="1"/>
      <c r="I95" s="1"/>
      <c r="J95" s="1"/>
      <c r="K95" s="1"/>
      <c r="L95" s="1"/>
      <c r="M95" s="1"/>
      <c r="N95" s="1"/>
      <c r="O95" s="1"/>
      <c r="P95" s="1"/>
      <c r="Q95" s="1"/>
      <c r="R95" s="1"/>
      <c r="S95" s="1"/>
      <c r="T95" s="1"/>
      <c r="U95" s="1"/>
      <c r="V95" s="1"/>
      <c r="W95" s="49"/>
    </row>
    <row r="96" spans="5:23">
      <c r="E96" s="1"/>
      <c r="F96" s="1"/>
      <c r="G96" s="1"/>
      <c r="H96" s="1"/>
      <c r="I96" s="1"/>
      <c r="J96" s="1"/>
      <c r="K96" s="1"/>
      <c r="L96" s="1"/>
      <c r="M96" s="1"/>
      <c r="N96" s="1"/>
      <c r="O96" s="1"/>
      <c r="P96" s="1"/>
      <c r="Q96" s="1"/>
      <c r="R96" s="1"/>
      <c r="S96" s="1"/>
      <c r="T96" s="1"/>
      <c r="U96" s="1"/>
      <c r="V96" s="1"/>
      <c r="W96" s="49"/>
    </row>
    <row r="97" spans="5:23">
      <c r="E97" s="1"/>
      <c r="F97" s="1"/>
      <c r="G97" s="1"/>
      <c r="H97" s="1"/>
      <c r="I97" s="1"/>
      <c r="J97" s="1"/>
      <c r="K97" s="1"/>
      <c r="L97" s="1"/>
      <c r="M97" s="1"/>
      <c r="N97" s="1"/>
      <c r="O97" s="1"/>
      <c r="P97" s="1"/>
      <c r="Q97" s="1"/>
      <c r="R97" s="1"/>
      <c r="S97" s="1"/>
      <c r="T97" s="1"/>
      <c r="U97" s="1"/>
      <c r="V97" s="1"/>
      <c r="W97" s="49"/>
    </row>
    <row r="98" spans="5:23">
      <c r="E98" s="1"/>
      <c r="F98" s="1"/>
      <c r="G98" s="1"/>
      <c r="H98" s="1"/>
      <c r="I98" s="1"/>
      <c r="J98" s="1"/>
      <c r="K98" s="1"/>
      <c r="L98" s="1"/>
      <c r="M98" s="1"/>
      <c r="N98" s="1"/>
      <c r="O98" s="1"/>
      <c r="P98" s="1"/>
      <c r="Q98" s="1"/>
      <c r="R98" s="1"/>
      <c r="S98" s="1"/>
      <c r="T98" s="1"/>
      <c r="U98" s="1"/>
      <c r="V98" s="1"/>
      <c r="W98" s="49"/>
    </row>
    <row r="99" spans="5:23">
      <c r="E99" s="1"/>
      <c r="F99" s="1"/>
      <c r="G99" s="1"/>
      <c r="H99" s="1"/>
      <c r="I99" s="1"/>
      <c r="J99" s="1"/>
      <c r="K99" s="1"/>
      <c r="L99" s="1"/>
      <c r="M99" s="1"/>
      <c r="N99" s="1"/>
      <c r="O99" s="1"/>
      <c r="P99" s="1"/>
      <c r="Q99" s="1"/>
      <c r="R99" s="1"/>
      <c r="S99" s="1"/>
      <c r="T99" s="1"/>
      <c r="U99" s="1"/>
      <c r="V99" s="1"/>
      <c r="W99" s="49"/>
    </row>
    <row r="100" spans="5:23">
      <c r="E100" s="1"/>
      <c r="F100" s="1"/>
      <c r="G100" s="1"/>
      <c r="H100" s="1"/>
      <c r="I100" s="1"/>
      <c r="J100" s="1"/>
      <c r="K100" s="1"/>
      <c r="L100" s="1"/>
      <c r="M100" s="1"/>
      <c r="N100" s="1"/>
      <c r="O100" s="1"/>
      <c r="P100" s="1"/>
      <c r="Q100" s="1"/>
      <c r="R100" s="1"/>
      <c r="S100" s="1"/>
      <c r="T100" s="1"/>
      <c r="U100" s="1"/>
      <c r="V100" s="1"/>
      <c r="W100" s="49"/>
    </row>
    <row r="101" spans="5:23">
      <c r="E101" s="1"/>
      <c r="F101" s="1"/>
      <c r="G101" s="1"/>
      <c r="H101" s="1"/>
      <c r="I101" s="1"/>
      <c r="J101" s="1"/>
      <c r="K101" s="1"/>
      <c r="L101" s="1"/>
      <c r="M101" s="1"/>
      <c r="N101" s="1"/>
      <c r="O101" s="1"/>
      <c r="P101" s="1"/>
      <c r="Q101" s="1"/>
      <c r="R101" s="1"/>
      <c r="S101" s="1"/>
      <c r="T101" s="1"/>
      <c r="U101" s="1"/>
      <c r="V101" s="1"/>
      <c r="W101" s="49"/>
    </row>
    <row r="102" spans="5:23">
      <c r="E102" s="1"/>
      <c r="F102" s="1"/>
      <c r="G102" s="1"/>
      <c r="H102" s="1"/>
      <c r="I102" s="1"/>
      <c r="J102" s="1"/>
      <c r="K102" s="1"/>
      <c r="L102" s="1"/>
      <c r="M102" s="1"/>
      <c r="N102" s="1"/>
      <c r="O102" s="1"/>
      <c r="P102" s="1"/>
      <c r="Q102" s="1"/>
      <c r="R102" s="1"/>
      <c r="S102" s="1"/>
      <c r="T102" s="1"/>
      <c r="U102" s="1"/>
      <c r="V102" s="1"/>
      <c r="W102" s="49"/>
    </row>
    <row r="103" spans="5:23">
      <c r="E103" s="1"/>
      <c r="F103" s="1"/>
      <c r="G103" s="1"/>
      <c r="H103" s="1"/>
      <c r="I103" s="1"/>
      <c r="J103" s="1"/>
      <c r="K103" s="1"/>
      <c r="L103" s="1"/>
      <c r="M103" s="1"/>
      <c r="N103" s="1"/>
      <c r="O103" s="1"/>
      <c r="P103" s="1"/>
      <c r="Q103" s="1"/>
      <c r="R103" s="1"/>
      <c r="S103" s="1"/>
      <c r="T103" s="1"/>
      <c r="U103" s="1"/>
      <c r="V103" s="1"/>
      <c r="W103" s="49"/>
    </row>
    <row r="104" spans="5:23">
      <c r="E104" s="1"/>
      <c r="F104" s="1"/>
      <c r="G104" s="1"/>
      <c r="H104" s="1"/>
      <c r="I104" s="1"/>
      <c r="J104" s="1"/>
      <c r="K104" s="1"/>
      <c r="L104" s="1"/>
      <c r="M104" s="1"/>
      <c r="N104" s="1"/>
      <c r="O104" s="1"/>
      <c r="P104" s="1"/>
      <c r="Q104" s="1"/>
      <c r="R104" s="1"/>
      <c r="S104" s="1"/>
      <c r="T104" s="1"/>
      <c r="U104" s="1"/>
      <c r="V104" s="1"/>
      <c r="W104" s="49"/>
    </row>
  </sheetData>
  <sheetProtection formatCells="0" formatColumns="0" formatRows="0" insertColumns="0" insertRows="0" insertHyperlinks="0" deleteColumns="0" deleteRows="0" sort="0" autoFilter="0" pivotTables="0"/>
  <mergeCells count="18">
    <mergeCell ref="M7:N7"/>
    <mergeCell ref="A35:B35"/>
    <mergeCell ref="C35:L35"/>
    <mergeCell ref="A7:A8"/>
    <mergeCell ref="C7:D7"/>
    <mergeCell ref="E7:F7"/>
    <mergeCell ref="K7:L7"/>
    <mergeCell ref="A25:H25"/>
    <mergeCell ref="G7:H7"/>
    <mergeCell ref="I7:J7"/>
    <mergeCell ref="S7:T7"/>
    <mergeCell ref="U7:V7"/>
    <mergeCell ref="AA7:AB7"/>
    <mergeCell ref="AC7:AD7"/>
    <mergeCell ref="O7:P7"/>
    <mergeCell ref="W7:X7"/>
    <mergeCell ref="Q7:R7"/>
    <mergeCell ref="Y7:Z7"/>
  </mergeCells>
  <phoneticPr fontId="23" type="noConversion"/>
  <conditionalFormatting sqref="A25">
    <cfRule type="cellIs" dxfId="6" priority="4" stopIfTrue="1" operator="greaterThan">
      <formula>$Z$25</formula>
    </cfRule>
    <cfRule type="cellIs" dxfId="5" priority="5" stopIfTrue="1" operator="lessThan">
      <formula>$Y$25</formula>
    </cfRule>
  </conditionalFormatting>
  <conditionalFormatting sqref="AA21">
    <cfRule type="cellIs" dxfId="4" priority="1" stopIfTrue="1" operator="greaterThan">
      <formula>$Z$25</formula>
    </cfRule>
    <cfRule type="cellIs" dxfId="3" priority="2" stopIfTrue="1" operator="lessThan">
      <formula>$Y$25</formula>
    </cfRule>
    <cfRule type="cellIs" dxfId="2" priority="3" stopIfTrue="1" operator="lessThan">
      <formula>$Y$25</formula>
    </cfRule>
    <cfRule type="cellIs" dxfId="1" priority="16" stopIfTrue="1" operator="lessThan">
      <formula>$Y$25</formula>
    </cfRule>
  </conditionalFormatting>
  <dataValidations disablePrompts="1" count="6">
    <dataValidation type="whole" errorStyle="warning" allowBlank="1" showInputMessage="1" showErrorMessage="1" errorTitle="TEST" error="la valeur entrée semble suspecte" sqref="AA9:AA20">
      <formula1>0.15/12</formula1>
      <formula2>4.06/12</formula2>
    </dataValidation>
    <dataValidation type="list" allowBlank="1" showInputMessage="1" showErrorMessage="1" sqref="D38:D44">
      <formula1>$D$54:$D$61</formula1>
    </dataValidation>
    <dataValidation type="list" allowBlank="1" showInputMessage="1" showErrorMessage="1" sqref="G38:G44">
      <formula1>$G$54:$G$55</formula1>
    </dataValidation>
    <dataValidation type="list" allowBlank="1" showInputMessage="1" showErrorMessage="1" sqref="H38:H44">
      <formula1>$A$9:$A$20</formula1>
    </dataValidation>
    <dataValidation type="list" allowBlank="1" showInputMessage="1" showErrorMessage="1" sqref="C38:C44">
      <formula1>$C$54:$C$55</formula1>
    </dataValidation>
    <dataValidation type="list" allowBlank="1" showInputMessage="1" showErrorMessage="1" sqref="D45">
      <formula1>$D$54:$D$60</formula1>
    </dataValidation>
  </dataValidations>
  <hyperlinks>
    <hyperlink ref="A7" location="Résumé!A1" display="Résumé!A1"/>
  </hyperlinks>
  <pageMargins left="0.70866141732283472" right="0.70866141732283472" top="0.74803149606299213" bottom="0.74803149606299213" header="0.31496062992125984" footer="0.31496062992125984"/>
  <pageSetup paperSize="5" scale="42" orientation="landscape" r:id="rId1"/>
  <headerFooter>
    <oddFooter>&amp;L&amp;D&amp;R&amp;Z&amp;F</oddFooter>
  </headerFooter>
  <rowBreaks count="1" manualBreakCount="1">
    <brk id="34" max="22" man="1"/>
  </rowBreaks>
  <colBreaks count="1" manualBreakCount="1">
    <brk id="29" min="6" max="35" man="1"/>
  </colBreaks>
  <ignoredErrors>
    <ignoredError sqref="Y41"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3740" r:id="rId4" name="Check Box 188">
              <controlPr defaultSize="0" autoFill="0" autoLine="0" autoPict="0">
                <anchor moveWithCells="1">
                  <from>
                    <xdr:col>0</xdr:col>
                    <xdr:colOff>723900</xdr:colOff>
                    <xdr:row>27</xdr:row>
                    <xdr:rowOff>220980</xdr:rowOff>
                  </from>
                  <to>
                    <xdr:col>7</xdr:col>
                    <xdr:colOff>335280</xdr:colOff>
                    <xdr:row>29</xdr:row>
                    <xdr:rowOff>0</xdr:rowOff>
                  </to>
                </anchor>
              </controlPr>
            </control>
          </mc:Choice>
        </mc:AlternateContent>
        <mc:AlternateContent xmlns:mc="http://schemas.openxmlformats.org/markup-compatibility/2006">
          <mc:Choice Requires="x14">
            <control shapeId="23741" r:id="rId5" name="Check Box 189">
              <controlPr defaultSize="0" autoFill="0" autoLine="0" autoPict="0">
                <anchor moveWithCells="1">
                  <from>
                    <xdr:col>0</xdr:col>
                    <xdr:colOff>723900</xdr:colOff>
                    <xdr:row>29</xdr:row>
                    <xdr:rowOff>22860</xdr:rowOff>
                  </from>
                  <to>
                    <xdr:col>4</xdr:col>
                    <xdr:colOff>1021080</xdr:colOff>
                    <xdr:row>30</xdr:row>
                    <xdr:rowOff>7620</xdr:rowOff>
                  </to>
                </anchor>
              </controlPr>
            </control>
          </mc:Choice>
        </mc:AlternateContent>
        <mc:AlternateContent xmlns:mc="http://schemas.openxmlformats.org/markup-compatibility/2006">
          <mc:Choice Requires="x14">
            <control shapeId="23742" r:id="rId6" name="Check Box 190">
              <controlPr defaultSize="0" autoFill="0" autoLine="0" autoPict="0">
                <anchor moveWithCells="1">
                  <from>
                    <xdr:col>0</xdr:col>
                    <xdr:colOff>723900</xdr:colOff>
                    <xdr:row>30</xdr:row>
                    <xdr:rowOff>30480</xdr:rowOff>
                  </from>
                  <to>
                    <xdr:col>4</xdr:col>
                    <xdr:colOff>1036320</xdr:colOff>
                    <xdr:row>31</xdr:row>
                    <xdr:rowOff>7620</xdr:rowOff>
                  </to>
                </anchor>
              </controlPr>
            </control>
          </mc:Choice>
        </mc:AlternateContent>
        <mc:AlternateContent xmlns:mc="http://schemas.openxmlformats.org/markup-compatibility/2006">
          <mc:Choice Requires="x14">
            <control shapeId="23743" r:id="rId7" name="Check Box 191">
              <controlPr defaultSize="0" autoFill="0" autoLine="0" autoPict="0">
                <anchor moveWithCells="1">
                  <from>
                    <xdr:col>0</xdr:col>
                    <xdr:colOff>723900</xdr:colOff>
                    <xdr:row>31</xdr:row>
                    <xdr:rowOff>45720</xdr:rowOff>
                  </from>
                  <to>
                    <xdr:col>5</xdr:col>
                    <xdr:colOff>106680</xdr:colOff>
                    <xdr:row>31</xdr:row>
                    <xdr:rowOff>198120</xdr:rowOff>
                  </to>
                </anchor>
              </controlPr>
            </control>
          </mc:Choice>
        </mc:AlternateContent>
        <mc:AlternateContent xmlns:mc="http://schemas.openxmlformats.org/markup-compatibility/2006">
          <mc:Choice Requires="x14">
            <control shapeId="23744" r:id="rId8" name="Check Box 192">
              <controlPr defaultSize="0" autoFill="0" autoLine="0" autoPict="0">
                <anchor moveWithCells="1">
                  <from>
                    <xdr:col>0</xdr:col>
                    <xdr:colOff>723900</xdr:colOff>
                    <xdr:row>32</xdr:row>
                    <xdr:rowOff>7620</xdr:rowOff>
                  </from>
                  <to>
                    <xdr:col>4</xdr:col>
                    <xdr:colOff>678180</xdr:colOff>
                    <xdr:row>33</xdr:row>
                    <xdr:rowOff>7620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tabColor rgb="FFFFC000"/>
  </sheetPr>
  <dimension ref="A1:BK248"/>
  <sheetViews>
    <sheetView zoomScaleNormal="100" workbookViewId="0">
      <pane ySplit="4" topLeftCell="A185" activePane="bottomLeft" state="frozenSplit"/>
      <selection activeCell="Q27" sqref="Q27:W36"/>
      <selection pane="bottomLeft" activeCell="C205" sqref="C205"/>
    </sheetView>
  </sheetViews>
  <sheetFormatPr baseColWidth="10" defaultColWidth="9.109375" defaultRowHeight="14.4"/>
  <cols>
    <col min="1" max="1" width="13.6640625" style="78" customWidth="1"/>
    <col min="2" max="2" width="13.33203125" style="78" customWidth="1"/>
    <col min="3" max="3" width="17.5546875" style="71" customWidth="1"/>
    <col min="4" max="4" width="27.44140625" style="71" customWidth="1"/>
    <col min="5" max="7" width="9.6640625" style="71" customWidth="1"/>
    <col min="8" max="8" width="14.109375" style="341" customWidth="1"/>
    <col min="9" max="9" width="14.6640625" style="341" customWidth="1"/>
    <col min="10" max="11" width="9.109375" style="342" customWidth="1"/>
    <col min="12" max="12" width="9.109375" style="332" customWidth="1"/>
    <col min="13" max="16384" width="9.109375" style="71"/>
  </cols>
  <sheetData>
    <row r="1" spans="1:63" s="333" customFormat="1" ht="15" customHeight="1">
      <c r="A1" s="571" t="s">
        <v>81</v>
      </c>
      <c r="B1" s="571"/>
      <c r="C1" s="571"/>
      <c r="D1" s="571"/>
      <c r="E1" s="71"/>
      <c r="F1" s="71"/>
      <c r="G1" s="71"/>
      <c r="H1" s="569" t="s">
        <v>82</v>
      </c>
      <c r="I1" s="569"/>
      <c r="J1" s="569"/>
      <c r="K1" s="569"/>
      <c r="L1" s="332"/>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row>
    <row r="2" spans="1:63" s="333" customFormat="1" ht="21.75" customHeight="1">
      <c r="A2" s="571"/>
      <c r="B2" s="571"/>
      <c r="C2" s="571"/>
      <c r="D2" s="571"/>
      <c r="E2" s="71"/>
      <c r="F2" s="71"/>
      <c r="G2" s="71"/>
      <c r="H2" s="569"/>
      <c r="I2" s="569"/>
      <c r="J2" s="569"/>
      <c r="K2" s="569"/>
      <c r="L2" s="332"/>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row>
    <row r="3" spans="1:63" s="333" customFormat="1" ht="18" customHeight="1">
      <c r="A3" s="570" t="s">
        <v>38</v>
      </c>
      <c r="B3" s="570" t="s">
        <v>39</v>
      </c>
      <c r="C3" s="357" t="s">
        <v>40</v>
      </c>
      <c r="D3" s="357" t="s">
        <v>41</v>
      </c>
      <c r="E3" s="71"/>
      <c r="F3" s="71"/>
      <c r="G3" s="71"/>
      <c r="H3" s="568" t="s">
        <v>38</v>
      </c>
      <c r="I3" s="568" t="s">
        <v>39</v>
      </c>
      <c r="J3" s="334" t="s">
        <v>40</v>
      </c>
      <c r="K3" s="334" t="s">
        <v>41</v>
      </c>
      <c r="L3" s="332"/>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row>
    <row r="4" spans="1:63" s="333" customFormat="1" ht="18" customHeight="1">
      <c r="A4" s="570"/>
      <c r="B4" s="570"/>
      <c r="C4" s="357" t="s">
        <v>42</v>
      </c>
      <c r="D4" s="357" t="s">
        <v>42</v>
      </c>
      <c r="E4" s="71"/>
      <c r="F4" s="71"/>
      <c r="G4" s="71"/>
      <c r="H4" s="568"/>
      <c r="I4" s="568"/>
      <c r="J4" s="334" t="s">
        <v>42</v>
      </c>
      <c r="K4" s="334" t="s">
        <v>42</v>
      </c>
      <c r="L4" s="332"/>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row>
    <row r="5" spans="1:63" s="333" customFormat="1">
      <c r="A5" s="343" t="s">
        <v>81</v>
      </c>
      <c r="B5" s="344"/>
      <c r="C5" s="345"/>
      <c r="D5" s="345"/>
      <c r="E5" s="71"/>
      <c r="F5" s="71"/>
      <c r="G5" s="71" t="s">
        <v>82</v>
      </c>
      <c r="H5" s="335"/>
      <c r="I5" s="335"/>
      <c r="J5" s="334"/>
      <c r="K5" s="334"/>
      <c r="L5" s="332"/>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row>
    <row r="6" spans="1:63" s="333" customFormat="1">
      <c r="A6" s="346"/>
      <c r="B6" s="346"/>
      <c r="C6" s="347"/>
      <c r="D6" s="347"/>
      <c r="E6" s="71"/>
      <c r="F6" s="71"/>
      <c r="G6" s="71"/>
      <c r="H6" s="335"/>
      <c r="I6" s="335"/>
      <c r="J6" s="334"/>
      <c r="K6" s="334"/>
      <c r="L6" s="332"/>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row>
    <row r="7" spans="1:63" s="333" customFormat="1">
      <c r="A7" s="346" t="s">
        <v>38</v>
      </c>
      <c r="B7" s="346" t="s">
        <v>39</v>
      </c>
      <c r="C7" s="347" t="s">
        <v>40</v>
      </c>
      <c r="D7" s="347" t="s">
        <v>41</v>
      </c>
      <c r="E7" s="71"/>
      <c r="F7" s="71"/>
      <c r="G7" s="71" t="s">
        <v>38</v>
      </c>
      <c r="H7" s="335" t="s">
        <v>39</v>
      </c>
      <c r="I7" s="335" t="s">
        <v>40</v>
      </c>
      <c r="J7" s="334" t="s">
        <v>41</v>
      </c>
      <c r="K7" s="334"/>
      <c r="L7" s="332"/>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row>
    <row r="8" spans="1:63" s="333" customFormat="1">
      <c r="A8" s="346"/>
      <c r="B8" s="346"/>
      <c r="C8" s="347" t="s">
        <v>42</v>
      </c>
      <c r="D8" s="347" t="s">
        <v>42</v>
      </c>
      <c r="E8" s="71"/>
      <c r="F8" s="71"/>
      <c r="G8" s="71"/>
      <c r="H8" s="335"/>
      <c r="I8" s="335" t="s">
        <v>42</v>
      </c>
      <c r="J8" s="334" t="s">
        <v>42</v>
      </c>
      <c r="K8" s="334"/>
      <c r="L8" s="332"/>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row>
    <row r="9" spans="1:63" s="333" customFormat="1">
      <c r="A9" s="346">
        <v>37257</v>
      </c>
      <c r="B9" s="346">
        <v>37287</v>
      </c>
      <c r="C9" s="347">
        <v>695.7</v>
      </c>
      <c r="D9" s="347">
        <v>0</v>
      </c>
      <c r="E9" s="71" t="s">
        <v>1005</v>
      </c>
      <c r="F9" s="71">
        <v>2002</v>
      </c>
      <c r="G9" s="71"/>
      <c r="H9" s="335">
        <v>37287</v>
      </c>
      <c r="I9" s="335" t="e">
        <v>#NAME?</v>
      </c>
      <c r="J9" s="334">
        <v>0</v>
      </c>
      <c r="K9" s="334"/>
      <c r="L9" s="332"/>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row>
    <row r="10" spans="1:63" s="333" customFormat="1">
      <c r="A10" s="346">
        <v>37288</v>
      </c>
      <c r="B10" s="346">
        <v>37315</v>
      </c>
      <c r="C10" s="347">
        <v>643.29999999999995</v>
      </c>
      <c r="D10" s="347">
        <v>0</v>
      </c>
      <c r="E10" s="71" t="s">
        <v>1006</v>
      </c>
      <c r="F10" s="71">
        <v>2002</v>
      </c>
      <c r="G10" s="71">
        <v>37288</v>
      </c>
      <c r="H10" s="335">
        <v>37315</v>
      </c>
      <c r="I10" s="335">
        <v>750.2</v>
      </c>
      <c r="J10" s="334">
        <v>0</v>
      </c>
      <c r="K10" s="334"/>
      <c r="L10" s="332"/>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row>
    <row r="11" spans="1:63" s="333" customFormat="1">
      <c r="A11" s="346">
        <v>37316</v>
      </c>
      <c r="B11" s="346">
        <v>37346</v>
      </c>
      <c r="C11" s="347">
        <v>616.20000000000005</v>
      </c>
      <c r="D11" s="347">
        <v>0</v>
      </c>
      <c r="E11" s="71" t="s">
        <v>1007</v>
      </c>
      <c r="F11" s="71">
        <v>2002</v>
      </c>
      <c r="G11" s="71">
        <v>37316</v>
      </c>
      <c r="H11" s="335">
        <v>37346</v>
      </c>
      <c r="I11" s="335">
        <v>712.2</v>
      </c>
      <c r="J11" s="334">
        <v>0</v>
      </c>
      <c r="K11" s="334"/>
      <c r="L11" s="332"/>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row>
    <row r="12" spans="1:63" s="333" customFormat="1">
      <c r="A12" s="346">
        <v>37347</v>
      </c>
      <c r="B12" s="346">
        <v>37376</v>
      </c>
      <c r="C12" s="347">
        <v>336.6</v>
      </c>
      <c r="D12" s="347">
        <v>3.2</v>
      </c>
      <c r="E12" s="71" t="s">
        <v>1008</v>
      </c>
      <c r="F12" s="71">
        <v>2002</v>
      </c>
      <c r="G12" s="71">
        <v>37347</v>
      </c>
      <c r="H12" s="335">
        <v>37376</v>
      </c>
      <c r="I12" s="335">
        <v>427.2</v>
      </c>
      <c r="J12" s="334">
        <v>0</v>
      </c>
      <c r="K12" s="334"/>
      <c r="L12" s="332"/>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row>
    <row r="13" spans="1:63" s="333" customFormat="1">
      <c r="A13" s="346">
        <v>37377</v>
      </c>
      <c r="B13" s="346">
        <v>37407</v>
      </c>
      <c r="C13" s="347">
        <v>214.4</v>
      </c>
      <c r="D13" s="347">
        <v>6.6</v>
      </c>
      <c r="E13" s="71" t="s">
        <v>1009</v>
      </c>
      <c r="F13" s="71">
        <v>2002</v>
      </c>
      <c r="G13" s="71">
        <v>37377</v>
      </c>
      <c r="H13" s="335">
        <v>37407</v>
      </c>
      <c r="I13" s="335">
        <v>273.60000000000002</v>
      </c>
      <c r="J13" s="334">
        <v>1.4</v>
      </c>
      <c r="K13" s="334"/>
      <c r="L13" s="332"/>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row>
    <row r="14" spans="1:63" s="333" customFormat="1">
      <c r="A14" s="346">
        <v>37408</v>
      </c>
      <c r="B14" s="346">
        <v>37437</v>
      </c>
      <c r="C14" s="347">
        <v>53.3</v>
      </c>
      <c r="D14" s="347">
        <v>38.1</v>
      </c>
      <c r="E14" s="71" t="s">
        <v>1010</v>
      </c>
      <c r="F14" s="71">
        <v>2002</v>
      </c>
      <c r="G14" s="71">
        <v>37408</v>
      </c>
      <c r="H14" s="335">
        <v>37437</v>
      </c>
      <c r="I14" s="335">
        <v>107.1</v>
      </c>
      <c r="J14" s="334">
        <v>13.8</v>
      </c>
      <c r="K14" s="334"/>
      <c r="L14" s="332"/>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row>
    <row r="15" spans="1:63" s="333" customFormat="1">
      <c r="A15" s="346">
        <v>37438</v>
      </c>
      <c r="B15" s="346">
        <v>37468</v>
      </c>
      <c r="C15" s="347">
        <v>2.9</v>
      </c>
      <c r="D15" s="347">
        <v>130.19999999999999</v>
      </c>
      <c r="E15" s="71" t="s">
        <v>1011</v>
      </c>
      <c r="F15" s="71">
        <v>2002</v>
      </c>
      <c r="G15" s="71">
        <v>37438</v>
      </c>
      <c r="H15" s="335">
        <v>37468</v>
      </c>
      <c r="I15" s="335">
        <v>18.8</v>
      </c>
      <c r="J15" s="334">
        <v>74.900000000000006</v>
      </c>
      <c r="K15" s="334"/>
      <c r="L15" s="332"/>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row>
    <row r="16" spans="1:63" s="333" customFormat="1">
      <c r="A16" s="346">
        <v>37469</v>
      </c>
      <c r="B16" s="346">
        <v>37499</v>
      </c>
      <c r="C16" s="347">
        <v>4.3</v>
      </c>
      <c r="D16" s="347">
        <v>123.1</v>
      </c>
      <c r="E16" s="71" t="s">
        <v>1012</v>
      </c>
      <c r="F16" s="71">
        <v>2002</v>
      </c>
      <c r="G16" s="71">
        <v>37469</v>
      </c>
      <c r="H16" s="335">
        <v>37499</v>
      </c>
      <c r="I16" s="335">
        <v>23.4</v>
      </c>
      <c r="J16" s="334">
        <v>66.599999999999994</v>
      </c>
      <c r="K16" s="334"/>
      <c r="L16" s="332"/>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row>
    <row r="17" spans="1:63" s="333" customFormat="1">
      <c r="A17" s="346">
        <v>37500</v>
      </c>
      <c r="B17" s="346">
        <v>37529</v>
      </c>
      <c r="C17" s="347">
        <v>51</v>
      </c>
      <c r="D17" s="347">
        <v>60.1</v>
      </c>
      <c r="E17" s="71" t="s">
        <v>1013</v>
      </c>
      <c r="F17" s="71">
        <v>2002</v>
      </c>
      <c r="G17" s="71">
        <v>37500</v>
      </c>
      <c r="H17" s="335">
        <v>37529</v>
      </c>
      <c r="I17" s="335">
        <v>99.2</v>
      </c>
      <c r="J17" s="334">
        <v>27.8</v>
      </c>
      <c r="K17" s="334"/>
      <c r="L17" s="332"/>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row>
    <row r="18" spans="1:63" s="333" customFormat="1">
      <c r="A18" s="346">
        <v>37530</v>
      </c>
      <c r="B18" s="346">
        <v>37560</v>
      </c>
      <c r="C18" s="347">
        <v>343.7</v>
      </c>
      <c r="D18" s="347">
        <v>3.3</v>
      </c>
      <c r="E18" s="71" t="s">
        <v>1014</v>
      </c>
      <c r="F18" s="71">
        <v>2002</v>
      </c>
      <c r="G18" s="71">
        <v>37530</v>
      </c>
      <c r="H18" s="335">
        <v>37560</v>
      </c>
      <c r="I18" s="335">
        <v>411</v>
      </c>
      <c r="J18" s="334">
        <v>0.5</v>
      </c>
      <c r="K18" s="334"/>
      <c r="L18" s="332"/>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row>
    <row r="19" spans="1:63" s="333" customFormat="1">
      <c r="A19" s="346">
        <v>37561</v>
      </c>
      <c r="B19" s="346">
        <v>37590</v>
      </c>
      <c r="C19" s="347">
        <v>517.1</v>
      </c>
      <c r="D19" s="347">
        <v>0</v>
      </c>
      <c r="E19" s="71" t="s">
        <v>1015</v>
      </c>
      <c r="F19" s="71">
        <v>2002</v>
      </c>
      <c r="G19" s="71">
        <v>37561</v>
      </c>
      <c r="H19" s="335">
        <v>37590</v>
      </c>
      <c r="I19" s="335">
        <v>610.70000000000005</v>
      </c>
      <c r="J19" s="334">
        <v>0</v>
      </c>
      <c r="K19" s="334"/>
      <c r="L19" s="332"/>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row>
    <row r="20" spans="1:63" s="333" customFormat="1">
      <c r="A20" s="346">
        <v>37591</v>
      </c>
      <c r="B20" s="346">
        <v>37621</v>
      </c>
      <c r="C20" s="347">
        <v>699.9</v>
      </c>
      <c r="D20" s="347">
        <v>0</v>
      </c>
      <c r="E20" s="71" t="s">
        <v>1016</v>
      </c>
      <c r="F20" s="71">
        <v>2002</v>
      </c>
      <c r="G20" s="71">
        <v>37591</v>
      </c>
      <c r="H20" s="335">
        <v>37621</v>
      </c>
      <c r="I20" s="335">
        <v>797</v>
      </c>
      <c r="J20" s="334">
        <v>0</v>
      </c>
      <c r="K20" s="334"/>
      <c r="L20" s="332"/>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row>
    <row r="21" spans="1:63" s="333" customFormat="1">
      <c r="A21" s="346">
        <v>37622</v>
      </c>
      <c r="B21" s="346">
        <v>37652</v>
      </c>
      <c r="C21" s="347">
        <v>948.3</v>
      </c>
      <c r="D21" s="347">
        <v>0</v>
      </c>
      <c r="E21" s="71" t="s">
        <v>1005</v>
      </c>
      <c r="F21" s="71">
        <v>2003</v>
      </c>
      <c r="G21" s="71">
        <v>37622</v>
      </c>
      <c r="H21" s="335">
        <v>37652</v>
      </c>
      <c r="I21" s="335">
        <v>1012.6</v>
      </c>
      <c r="J21" s="334">
        <v>0</v>
      </c>
      <c r="K21" s="334"/>
      <c r="L21" s="332"/>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row>
    <row r="22" spans="1:63" s="333" customFormat="1">
      <c r="A22" s="346">
        <v>37653</v>
      </c>
      <c r="B22" s="346">
        <v>37680</v>
      </c>
      <c r="C22" s="347">
        <v>805.6</v>
      </c>
      <c r="D22" s="347">
        <v>0</v>
      </c>
      <c r="E22" s="71" t="s">
        <v>1006</v>
      </c>
      <c r="F22" s="71">
        <v>2003</v>
      </c>
      <c r="G22" s="71">
        <v>37653</v>
      </c>
      <c r="H22" s="335">
        <v>37680</v>
      </c>
      <c r="I22" s="335">
        <v>876.5</v>
      </c>
      <c r="J22" s="334">
        <v>0</v>
      </c>
      <c r="K22" s="334"/>
      <c r="L22" s="332"/>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row>
    <row r="23" spans="1:63" s="333" customFormat="1">
      <c r="A23" s="346">
        <v>37681</v>
      </c>
      <c r="B23" s="346">
        <v>37711</v>
      </c>
      <c r="C23" s="347">
        <v>674.9</v>
      </c>
      <c r="D23" s="347">
        <v>0</v>
      </c>
      <c r="E23" s="71" t="s">
        <v>1007</v>
      </c>
      <c r="F23" s="71">
        <v>2003</v>
      </c>
      <c r="G23" s="71">
        <v>37681</v>
      </c>
      <c r="H23" s="335">
        <v>37711</v>
      </c>
      <c r="I23" s="335">
        <v>747.7</v>
      </c>
      <c r="J23" s="334">
        <v>0</v>
      </c>
      <c r="K23" s="334"/>
      <c r="L23" s="332"/>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row>
    <row r="24" spans="1:63" s="333" customFormat="1">
      <c r="A24" s="346">
        <v>37712</v>
      </c>
      <c r="B24" s="346">
        <v>37741</v>
      </c>
      <c r="C24" s="347">
        <v>413.1</v>
      </c>
      <c r="D24" s="347">
        <v>0</v>
      </c>
      <c r="E24" s="71" t="s">
        <v>1008</v>
      </c>
      <c r="F24" s="71">
        <v>2003</v>
      </c>
      <c r="G24" s="71">
        <v>37712</v>
      </c>
      <c r="H24" s="335">
        <v>37741</v>
      </c>
      <c r="I24" s="335">
        <v>506.1</v>
      </c>
      <c r="J24" s="334">
        <v>0</v>
      </c>
      <c r="K24" s="334"/>
      <c r="L24" s="332"/>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row>
    <row r="25" spans="1:63" s="333" customFormat="1">
      <c r="A25" s="346">
        <v>37742</v>
      </c>
      <c r="B25" s="346">
        <v>37772</v>
      </c>
      <c r="C25" s="347">
        <v>144.80000000000001</v>
      </c>
      <c r="D25" s="347">
        <v>3.4</v>
      </c>
      <c r="E25" s="71" t="s">
        <v>1009</v>
      </c>
      <c r="F25" s="71">
        <v>2003</v>
      </c>
      <c r="G25" s="71">
        <v>37742</v>
      </c>
      <c r="H25" s="335">
        <v>37772</v>
      </c>
      <c r="I25" s="335">
        <v>225.7</v>
      </c>
      <c r="J25" s="334">
        <v>2</v>
      </c>
      <c r="K25" s="334"/>
      <c r="L25" s="332"/>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row>
    <row r="26" spans="1:63" s="333" customFormat="1">
      <c r="A26" s="346">
        <v>37773</v>
      </c>
      <c r="B26" s="346">
        <v>37802</v>
      </c>
      <c r="C26" s="347">
        <v>39.9</v>
      </c>
      <c r="D26" s="347">
        <v>64.099999999999994</v>
      </c>
      <c r="E26" s="71" t="s">
        <v>1010</v>
      </c>
      <c r="F26" s="71">
        <v>2003</v>
      </c>
      <c r="G26" s="71">
        <v>37773</v>
      </c>
      <c r="H26" s="335">
        <v>37802</v>
      </c>
      <c r="I26" s="335">
        <v>71.599999999999994</v>
      </c>
      <c r="J26" s="334">
        <v>43.9</v>
      </c>
      <c r="K26" s="334"/>
      <c r="L26" s="332"/>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row>
    <row r="27" spans="1:63" s="333" customFormat="1">
      <c r="A27" s="346">
        <v>37803</v>
      </c>
      <c r="B27" s="346">
        <v>37833</v>
      </c>
      <c r="C27" s="347">
        <v>0.8</v>
      </c>
      <c r="D27" s="347">
        <v>112.6</v>
      </c>
      <c r="E27" s="71" t="s">
        <v>1011</v>
      </c>
      <c r="F27" s="71">
        <v>2003</v>
      </c>
      <c r="G27" s="71">
        <v>37803</v>
      </c>
      <c r="H27" s="335">
        <v>37833</v>
      </c>
      <c r="I27" s="335">
        <v>19</v>
      </c>
      <c r="J27" s="334">
        <v>33.299999999999997</v>
      </c>
      <c r="K27" s="334"/>
      <c r="L27" s="332"/>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row>
    <row r="28" spans="1:63" s="333" customFormat="1">
      <c r="A28" s="346">
        <v>37834</v>
      </c>
      <c r="B28" s="346">
        <v>37864</v>
      </c>
      <c r="C28" s="347">
        <v>10.199999999999999</v>
      </c>
      <c r="D28" s="347">
        <v>121.5</v>
      </c>
      <c r="E28" s="71" t="s">
        <v>1012</v>
      </c>
      <c r="F28" s="71">
        <v>2003</v>
      </c>
      <c r="G28" s="71">
        <v>37834</v>
      </c>
      <c r="H28" s="335">
        <v>37864</v>
      </c>
      <c r="I28" s="335">
        <v>46.3</v>
      </c>
      <c r="J28" s="334">
        <v>48.6</v>
      </c>
      <c r="K28" s="334"/>
      <c r="L28" s="332"/>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row>
    <row r="29" spans="1:63" s="333" customFormat="1">
      <c r="A29" s="346">
        <v>37865</v>
      </c>
      <c r="B29" s="346">
        <v>37894</v>
      </c>
      <c r="C29" s="347">
        <v>43.2</v>
      </c>
      <c r="D29" s="347">
        <v>33</v>
      </c>
      <c r="E29" s="71" t="s">
        <v>1013</v>
      </c>
      <c r="F29" s="71">
        <v>2003</v>
      </c>
      <c r="G29" s="71">
        <v>37865</v>
      </c>
      <c r="H29" s="335">
        <v>37894</v>
      </c>
      <c r="I29" s="335">
        <v>90.3</v>
      </c>
      <c r="J29" s="334">
        <v>8.5</v>
      </c>
      <c r="K29" s="334"/>
      <c r="L29" s="332"/>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row>
    <row r="30" spans="1:63" s="333" customFormat="1">
      <c r="A30" s="346">
        <v>37895</v>
      </c>
      <c r="B30" s="346">
        <v>37925</v>
      </c>
      <c r="C30" s="347">
        <v>310.2</v>
      </c>
      <c r="D30" s="347">
        <v>0</v>
      </c>
      <c r="E30" s="71" t="s">
        <v>1014</v>
      </c>
      <c r="F30" s="71">
        <v>2003</v>
      </c>
      <c r="G30" s="71">
        <v>37895</v>
      </c>
      <c r="H30" s="335">
        <v>37925</v>
      </c>
      <c r="I30" s="335">
        <v>358</v>
      </c>
      <c r="J30" s="334">
        <v>0</v>
      </c>
      <c r="K30" s="334"/>
      <c r="L30" s="332"/>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row>
    <row r="31" spans="1:63" s="333" customFormat="1">
      <c r="A31" s="346">
        <v>37926</v>
      </c>
      <c r="B31" s="346">
        <v>37955</v>
      </c>
      <c r="C31" s="347">
        <v>453.7</v>
      </c>
      <c r="D31" s="347">
        <v>0</v>
      </c>
      <c r="E31" s="71" t="s">
        <v>1015</v>
      </c>
      <c r="F31" s="71">
        <v>2003</v>
      </c>
      <c r="G31" s="71">
        <v>37926</v>
      </c>
      <c r="H31" s="335">
        <v>37955</v>
      </c>
      <c r="I31" s="335">
        <v>526.29999999999995</v>
      </c>
      <c r="J31" s="334">
        <v>0</v>
      </c>
      <c r="K31" s="334"/>
      <c r="L31" s="332"/>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row>
    <row r="32" spans="1:63" s="333" customFormat="1">
      <c r="A32" s="346">
        <v>37956</v>
      </c>
      <c r="B32" s="346">
        <v>37986</v>
      </c>
      <c r="C32" s="347">
        <v>710.8</v>
      </c>
      <c r="D32" s="347">
        <v>0</v>
      </c>
      <c r="E32" s="71" t="s">
        <v>1016</v>
      </c>
      <c r="F32" s="71">
        <v>2003</v>
      </c>
      <c r="G32" s="71">
        <v>37956</v>
      </c>
      <c r="H32" s="335">
        <v>37986</v>
      </c>
      <c r="I32" s="335">
        <v>757.2</v>
      </c>
      <c r="J32" s="334">
        <v>0</v>
      </c>
      <c r="K32" s="334"/>
      <c r="L32" s="332"/>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row>
    <row r="33" spans="1:63" s="333" customFormat="1">
      <c r="A33" s="346">
        <v>37987</v>
      </c>
      <c r="B33" s="346">
        <v>38017</v>
      </c>
      <c r="C33" s="347">
        <v>1026.4000000000001</v>
      </c>
      <c r="D33" s="347">
        <v>0</v>
      </c>
      <c r="E33" s="71" t="s">
        <v>1005</v>
      </c>
      <c r="F33" s="71">
        <v>2004</v>
      </c>
      <c r="G33" s="71">
        <v>37987</v>
      </c>
      <c r="H33" s="335">
        <v>38017</v>
      </c>
      <c r="I33" s="335">
        <v>1085.9000000000001</v>
      </c>
      <c r="J33" s="334">
        <v>0</v>
      </c>
      <c r="K33" s="334"/>
      <c r="L33" s="332"/>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row>
    <row r="34" spans="1:63" s="333" customFormat="1">
      <c r="A34" s="346">
        <v>38018</v>
      </c>
      <c r="B34" s="346">
        <v>38046</v>
      </c>
      <c r="C34" s="347">
        <v>750.8</v>
      </c>
      <c r="D34" s="347">
        <v>0</v>
      </c>
      <c r="E34" s="71" t="s">
        <v>1006</v>
      </c>
      <c r="F34" s="71">
        <v>2004</v>
      </c>
      <c r="G34" s="71">
        <v>38018</v>
      </c>
      <c r="H34" s="335">
        <v>38046</v>
      </c>
      <c r="I34" s="335">
        <v>803.1</v>
      </c>
      <c r="J34" s="334">
        <v>0</v>
      </c>
      <c r="K34" s="334"/>
      <c r="L34" s="332"/>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row>
    <row r="35" spans="1:63" s="333" customFormat="1">
      <c r="A35" s="346">
        <v>38047</v>
      </c>
      <c r="B35" s="346">
        <v>38077</v>
      </c>
      <c r="C35" s="347">
        <v>567.6</v>
      </c>
      <c r="D35" s="347">
        <v>0</v>
      </c>
      <c r="E35" s="71" t="s">
        <v>1007</v>
      </c>
      <c r="F35" s="71">
        <v>2004</v>
      </c>
      <c r="G35" s="71">
        <v>38047</v>
      </c>
      <c r="H35" s="335">
        <v>38077</v>
      </c>
      <c r="I35" s="335">
        <v>664.8</v>
      </c>
      <c r="J35" s="334">
        <v>0</v>
      </c>
      <c r="K35" s="334"/>
      <c r="L35" s="332"/>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row>
    <row r="36" spans="1:63" s="333" customFormat="1">
      <c r="A36" s="346">
        <v>38078</v>
      </c>
      <c r="B36" s="346">
        <v>38107</v>
      </c>
      <c r="C36" s="347">
        <v>361.5</v>
      </c>
      <c r="D36" s="347">
        <v>2.4</v>
      </c>
      <c r="E36" s="71" t="s">
        <v>1008</v>
      </c>
      <c r="F36" s="71">
        <v>2004</v>
      </c>
      <c r="G36" s="71">
        <v>38078</v>
      </c>
      <c r="H36" s="335">
        <v>38107</v>
      </c>
      <c r="I36" s="335">
        <v>434.3</v>
      </c>
      <c r="J36" s="334">
        <v>0</v>
      </c>
      <c r="K36" s="334"/>
      <c r="L36" s="332"/>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row>
    <row r="37" spans="1:63" s="333" customFormat="1">
      <c r="A37" s="346">
        <v>38108</v>
      </c>
      <c r="B37" s="346">
        <v>38138</v>
      </c>
      <c r="C37" s="347">
        <v>144.9</v>
      </c>
      <c r="D37" s="347">
        <v>3.8</v>
      </c>
      <c r="E37" s="71" t="s">
        <v>1009</v>
      </c>
      <c r="F37" s="71">
        <v>2004</v>
      </c>
      <c r="G37" s="71">
        <v>38108</v>
      </c>
      <c r="H37" s="335">
        <v>38138</v>
      </c>
      <c r="I37" s="335">
        <v>233.1</v>
      </c>
      <c r="J37" s="334">
        <v>0</v>
      </c>
      <c r="K37" s="334"/>
      <c r="L37" s="332"/>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row>
    <row r="38" spans="1:63" s="333" customFormat="1">
      <c r="A38" s="346">
        <v>38139</v>
      </c>
      <c r="B38" s="346">
        <v>38168</v>
      </c>
      <c r="C38" s="347">
        <v>45.5</v>
      </c>
      <c r="D38" s="347">
        <v>31.4</v>
      </c>
      <c r="E38" s="71" t="s">
        <v>1010</v>
      </c>
      <c r="F38" s="71">
        <v>2004</v>
      </c>
      <c r="G38" s="71">
        <v>38139</v>
      </c>
      <c r="H38" s="335">
        <v>38168</v>
      </c>
      <c r="I38" s="335">
        <v>97.2</v>
      </c>
      <c r="J38" s="334">
        <v>4</v>
      </c>
      <c r="K38" s="334"/>
      <c r="L38" s="332"/>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row>
    <row r="39" spans="1:63" s="333" customFormat="1">
      <c r="A39" s="346">
        <v>38169</v>
      </c>
      <c r="B39" s="346">
        <v>38199</v>
      </c>
      <c r="C39" s="347">
        <v>0.7</v>
      </c>
      <c r="D39" s="347">
        <v>108.9</v>
      </c>
      <c r="E39" s="71" t="s">
        <v>1011</v>
      </c>
      <c r="F39" s="71">
        <v>2004</v>
      </c>
      <c r="G39" s="71">
        <v>38169</v>
      </c>
      <c r="H39" s="335">
        <v>38199</v>
      </c>
      <c r="I39" s="335">
        <v>7.9</v>
      </c>
      <c r="J39" s="334">
        <v>55</v>
      </c>
      <c r="K39" s="334"/>
      <c r="L39" s="332"/>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row>
    <row r="40" spans="1:63" s="333" customFormat="1">
      <c r="A40" s="346">
        <v>38200</v>
      </c>
      <c r="B40" s="346">
        <v>38230</v>
      </c>
      <c r="C40" s="347">
        <v>18.399999999999999</v>
      </c>
      <c r="D40" s="347">
        <v>59.2</v>
      </c>
      <c r="E40" s="71" t="s">
        <v>1012</v>
      </c>
      <c r="F40" s="71">
        <v>2004</v>
      </c>
      <c r="G40" s="71">
        <v>38200</v>
      </c>
      <c r="H40" s="335">
        <v>38230</v>
      </c>
      <c r="I40" s="335">
        <v>36.1</v>
      </c>
      <c r="J40" s="334">
        <v>27.6</v>
      </c>
      <c r="K40" s="334"/>
      <c r="L40" s="332"/>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row>
    <row r="41" spans="1:63" s="333" customFormat="1">
      <c r="A41" s="346">
        <v>38231</v>
      </c>
      <c r="B41" s="346">
        <v>38260</v>
      </c>
      <c r="C41" s="347">
        <v>60.9</v>
      </c>
      <c r="D41" s="347">
        <v>11.6</v>
      </c>
      <c r="E41" s="71" t="s">
        <v>1013</v>
      </c>
      <c r="F41" s="71">
        <v>2004</v>
      </c>
      <c r="G41" s="71">
        <v>38231</v>
      </c>
      <c r="H41" s="335">
        <v>38260</v>
      </c>
      <c r="I41" s="335">
        <v>130.6</v>
      </c>
      <c r="J41" s="334">
        <v>1.8</v>
      </c>
      <c r="K41" s="334"/>
      <c r="L41" s="332"/>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row>
    <row r="42" spans="1:63" s="333" customFormat="1">
      <c r="A42" s="346">
        <v>38261</v>
      </c>
      <c r="B42" s="346">
        <v>38291</v>
      </c>
      <c r="C42" s="347">
        <v>281.8</v>
      </c>
      <c r="D42" s="347">
        <v>0.5</v>
      </c>
      <c r="E42" s="71" t="s">
        <v>1014</v>
      </c>
      <c r="F42" s="71">
        <v>2004</v>
      </c>
      <c r="G42" s="71">
        <v>38261</v>
      </c>
      <c r="H42" s="335">
        <v>38291</v>
      </c>
      <c r="I42" s="335">
        <v>309.89999999999998</v>
      </c>
      <c r="J42" s="334">
        <v>0</v>
      </c>
      <c r="K42" s="334"/>
      <c r="L42" s="332"/>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row>
    <row r="43" spans="1:63" s="333" customFormat="1">
      <c r="A43" s="346">
        <v>38292</v>
      </c>
      <c r="B43" s="346">
        <v>38321</v>
      </c>
      <c r="C43" s="347">
        <v>472.6</v>
      </c>
      <c r="D43" s="347">
        <v>0</v>
      </c>
      <c r="E43" s="71" t="s">
        <v>1015</v>
      </c>
      <c r="F43" s="71">
        <v>2004</v>
      </c>
      <c r="G43" s="71">
        <v>38292</v>
      </c>
      <c r="H43" s="335">
        <v>38321</v>
      </c>
      <c r="I43" s="335">
        <v>549</v>
      </c>
      <c r="J43" s="334">
        <v>0</v>
      </c>
      <c r="K43" s="334"/>
      <c r="L43" s="332"/>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row>
    <row r="44" spans="1:63" s="333" customFormat="1">
      <c r="A44" s="346">
        <v>38322</v>
      </c>
      <c r="B44" s="346">
        <v>38352</v>
      </c>
      <c r="C44" s="347">
        <v>787.5</v>
      </c>
      <c r="D44" s="347">
        <v>0</v>
      </c>
      <c r="E44" s="71" t="s">
        <v>1016</v>
      </c>
      <c r="F44" s="71">
        <v>2004</v>
      </c>
      <c r="G44" s="71">
        <v>38322</v>
      </c>
      <c r="H44" s="335">
        <v>38352</v>
      </c>
      <c r="I44" s="335">
        <v>872.2</v>
      </c>
      <c r="J44" s="334">
        <v>0</v>
      </c>
      <c r="K44" s="334"/>
      <c r="L44" s="332"/>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row>
    <row r="45" spans="1:63" s="333" customFormat="1">
      <c r="A45" s="346">
        <v>38353</v>
      </c>
      <c r="B45" s="346">
        <v>38383</v>
      </c>
      <c r="C45" s="347">
        <v>898.4</v>
      </c>
      <c r="D45" s="347">
        <v>0</v>
      </c>
      <c r="E45" s="71" t="s">
        <v>1005</v>
      </c>
      <c r="F45" s="71">
        <v>2005</v>
      </c>
      <c r="G45" s="71">
        <v>38353</v>
      </c>
      <c r="H45" s="335">
        <v>38383</v>
      </c>
      <c r="I45" s="335">
        <v>1005.1</v>
      </c>
      <c r="J45" s="334">
        <v>0</v>
      </c>
      <c r="K45" s="334"/>
      <c r="L45" s="332"/>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row>
    <row r="46" spans="1:63" s="333" customFormat="1">
      <c r="A46" s="346">
        <v>38384</v>
      </c>
      <c r="B46" s="346">
        <v>38411</v>
      </c>
      <c r="C46" s="347">
        <v>686.7</v>
      </c>
      <c r="D46" s="347">
        <v>0</v>
      </c>
      <c r="E46" s="71" t="s">
        <v>1006</v>
      </c>
      <c r="F46" s="71">
        <v>2005</v>
      </c>
      <c r="G46" s="71">
        <v>38384</v>
      </c>
      <c r="H46" s="335">
        <v>38411</v>
      </c>
      <c r="I46" s="335">
        <v>741.4</v>
      </c>
      <c r="J46" s="334">
        <v>0</v>
      </c>
      <c r="K46" s="334"/>
      <c r="L46" s="332"/>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row>
    <row r="47" spans="1:63" s="333" customFormat="1">
      <c r="A47" s="346">
        <v>38412</v>
      </c>
      <c r="B47" s="346">
        <v>38442</v>
      </c>
      <c r="C47" s="347">
        <v>659.4</v>
      </c>
      <c r="D47" s="347">
        <v>0</v>
      </c>
      <c r="E47" s="71" t="s">
        <v>1007</v>
      </c>
      <c r="F47" s="71">
        <v>2005</v>
      </c>
      <c r="G47" s="71">
        <v>38412</v>
      </c>
      <c r="H47" s="335">
        <v>38442</v>
      </c>
      <c r="I47" s="335">
        <v>701.1</v>
      </c>
      <c r="J47" s="334">
        <v>0</v>
      </c>
      <c r="K47" s="334"/>
      <c r="L47" s="332"/>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row>
    <row r="48" spans="1:63" s="333" customFormat="1">
      <c r="A48" s="346">
        <v>38443</v>
      </c>
      <c r="B48" s="346">
        <v>38472</v>
      </c>
      <c r="C48" s="347">
        <v>308.39999999999998</v>
      </c>
      <c r="D48" s="347">
        <v>0</v>
      </c>
      <c r="E48" s="71" t="s">
        <v>1008</v>
      </c>
      <c r="F48" s="71">
        <v>2005</v>
      </c>
      <c r="G48" s="71">
        <v>38443</v>
      </c>
      <c r="H48" s="335">
        <v>38472</v>
      </c>
      <c r="I48" s="335">
        <v>394.8</v>
      </c>
      <c r="J48" s="334">
        <v>0</v>
      </c>
      <c r="K48" s="334"/>
      <c r="L48" s="332"/>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row>
    <row r="49" spans="1:63" s="333" customFormat="1">
      <c r="A49" s="346">
        <v>38473</v>
      </c>
      <c r="B49" s="346">
        <v>38503</v>
      </c>
      <c r="C49" s="347">
        <v>190.3</v>
      </c>
      <c r="D49" s="347">
        <v>0.89999999999999858</v>
      </c>
      <c r="E49" s="71" t="s">
        <v>1009</v>
      </c>
      <c r="F49" s="71">
        <v>2005</v>
      </c>
      <c r="G49" s="71">
        <v>38473</v>
      </c>
      <c r="H49" s="335">
        <v>38503</v>
      </c>
      <c r="I49" s="335">
        <v>236.3</v>
      </c>
      <c r="J49" s="334">
        <v>0</v>
      </c>
      <c r="K49" s="334"/>
      <c r="L49" s="332"/>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row>
    <row r="50" spans="1:63" s="333" customFormat="1">
      <c r="A50" s="346">
        <v>38504</v>
      </c>
      <c r="B50" s="346">
        <v>38533</v>
      </c>
      <c r="C50" s="347">
        <v>16.2</v>
      </c>
      <c r="D50" s="347">
        <v>121.3</v>
      </c>
      <c r="E50" s="71" t="s">
        <v>1010</v>
      </c>
      <c r="F50" s="71">
        <v>2005</v>
      </c>
      <c r="G50" s="71">
        <v>38504</v>
      </c>
      <c r="H50" s="335">
        <v>38533</v>
      </c>
      <c r="I50" s="335">
        <v>61.9</v>
      </c>
      <c r="J50" s="334">
        <v>57.4</v>
      </c>
      <c r="K50" s="334"/>
      <c r="L50" s="332"/>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row>
    <row r="51" spans="1:63" s="333" customFormat="1">
      <c r="A51" s="346">
        <v>38534</v>
      </c>
      <c r="B51" s="346">
        <v>38564</v>
      </c>
      <c r="C51" s="347">
        <v>2.7</v>
      </c>
      <c r="D51" s="347">
        <v>132.6</v>
      </c>
      <c r="E51" s="71" t="s">
        <v>1011</v>
      </c>
      <c r="F51" s="71">
        <v>2005</v>
      </c>
      <c r="G51" s="71">
        <v>38534</v>
      </c>
      <c r="H51" s="335">
        <v>38564</v>
      </c>
      <c r="I51" s="335">
        <v>10.199999999999999</v>
      </c>
      <c r="J51" s="334">
        <v>84.5</v>
      </c>
      <c r="K51" s="334"/>
      <c r="L51" s="332"/>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row>
    <row r="52" spans="1:63" s="333" customFormat="1">
      <c r="A52" s="346">
        <v>38565</v>
      </c>
      <c r="B52" s="346">
        <v>38595</v>
      </c>
      <c r="C52" s="347">
        <v>6.2</v>
      </c>
      <c r="D52" s="347">
        <v>122.1</v>
      </c>
      <c r="E52" s="71" t="s">
        <v>1012</v>
      </c>
      <c r="F52" s="71">
        <v>2005</v>
      </c>
      <c r="G52" s="71">
        <v>38565</v>
      </c>
      <c r="H52" s="335">
        <v>38595</v>
      </c>
      <c r="I52" s="335">
        <v>16.8</v>
      </c>
      <c r="J52" s="334">
        <v>55.5</v>
      </c>
      <c r="K52" s="334"/>
      <c r="L52" s="332"/>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row>
    <row r="53" spans="1:63" s="333" customFormat="1">
      <c r="A53" s="346">
        <v>38596</v>
      </c>
      <c r="B53" s="346">
        <v>38625</v>
      </c>
      <c r="C53" s="347">
        <v>54.3</v>
      </c>
      <c r="D53" s="347">
        <v>37.1</v>
      </c>
      <c r="E53" s="71" t="s">
        <v>1013</v>
      </c>
      <c r="F53" s="71">
        <v>2005</v>
      </c>
      <c r="G53" s="71">
        <v>38596</v>
      </c>
      <c r="H53" s="335">
        <v>38625</v>
      </c>
      <c r="I53" s="335">
        <v>111.1</v>
      </c>
      <c r="J53" s="334">
        <v>13.2</v>
      </c>
      <c r="K53" s="334"/>
      <c r="L53" s="332"/>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row>
    <row r="54" spans="1:63" s="333" customFormat="1">
      <c r="A54" s="346">
        <v>38626</v>
      </c>
      <c r="B54" s="346">
        <v>38656</v>
      </c>
      <c r="C54" s="347">
        <v>253</v>
      </c>
      <c r="D54" s="347">
        <v>8.6</v>
      </c>
      <c r="E54" s="71" t="s">
        <v>1014</v>
      </c>
      <c r="F54" s="71">
        <v>2005</v>
      </c>
      <c r="G54" s="71">
        <v>38626</v>
      </c>
      <c r="H54" s="335">
        <v>38656</v>
      </c>
      <c r="I54" s="335">
        <v>293.60000000000002</v>
      </c>
      <c r="J54" s="334">
        <v>0.39999999999999858</v>
      </c>
      <c r="K54" s="334"/>
      <c r="L54" s="332"/>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row>
    <row r="55" spans="1:63" s="333" customFormat="1">
      <c r="A55" s="346">
        <v>38657</v>
      </c>
      <c r="B55" s="346">
        <v>38686</v>
      </c>
      <c r="C55" s="347">
        <v>454.7</v>
      </c>
      <c r="D55" s="347">
        <v>0</v>
      </c>
      <c r="E55" s="71" t="s">
        <v>1015</v>
      </c>
      <c r="F55" s="71">
        <v>2005</v>
      </c>
      <c r="G55" s="71">
        <v>38657</v>
      </c>
      <c r="H55" s="335">
        <v>38686</v>
      </c>
      <c r="I55" s="335">
        <v>537.1</v>
      </c>
      <c r="J55" s="334">
        <v>0</v>
      </c>
      <c r="K55" s="334"/>
      <c r="L55" s="332"/>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row>
    <row r="56" spans="1:63" s="333" customFormat="1">
      <c r="A56" s="346">
        <v>38687</v>
      </c>
      <c r="B56" s="346">
        <v>38717</v>
      </c>
      <c r="C56" s="347">
        <v>682.6</v>
      </c>
      <c r="D56" s="347">
        <v>0</v>
      </c>
      <c r="E56" s="71" t="s">
        <v>1016</v>
      </c>
      <c r="F56" s="71">
        <v>2005</v>
      </c>
      <c r="G56" s="71">
        <v>38687</v>
      </c>
      <c r="H56" s="335">
        <v>38717</v>
      </c>
      <c r="I56" s="335">
        <v>811.8</v>
      </c>
      <c r="J56" s="334">
        <v>0</v>
      </c>
      <c r="K56" s="334"/>
      <c r="L56" s="332"/>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row>
    <row r="57" spans="1:63" s="333" customFormat="1">
      <c r="A57" s="346">
        <v>38718</v>
      </c>
      <c r="B57" s="346">
        <v>38748</v>
      </c>
      <c r="C57" s="347">
        <v>697.4</v>
      </c>
      <c r="D57" s="347">
        <v>0</v>
      </c>
      <c r="E57" s="71" t="s">
        <v>1005</v>
      </c>
      <c r="F57" s="71">
        <v>2006</v>
      </c>
      <c r="G57" s="71">
        <v>38718</v>
      </c>
      <c r="H57" s="335">
        <v>38748</v>
      </c>
      <c r="I57" s="335">
        <v>777.2</v>
      </c>
      <c r="J57" s="334">
        <v>0</v>
      </c>
      <c r="K57" s="334"/>
      <c r="L57" s="332"/>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row>
    <row r="58" spans="1:63" s="333" customFormat="1">
      <c r="A58" s="346">
        <v>38749</v>
      </c>
      <c r="B58" s="346">
        <v>38776</v>
      </c>
      <c r="C58" s="347">
        <v>694</v>
      </c>
      <c r="D58" s="347">
        <v>0</v>
      </c>
      <c r="E58" s="71" t="s">
        <v>1006</v>
      </c>
      <c r="F58" s="71">
        <v>2006</v>
      </c>
      <c r="G58" s="71">
        <v>38749</v>
      </c>
      <c r="H58" s="335">
        <v>38776</v>
      </c>
      <c r="I58" s="335">
        <v>789.5</v>
      </c>
      <c r="J58" s="334">
        <v>0</v>
      </c>
      <c r="K58" s="334"/>
      <c r="L58" s="332"/>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row>
    <row r="59" spans="1:63" s="333" customFormat="1">
      <c r="A59" s="346">
        <v>38777</v>
      </c>
      <c r="B59" s="346">
        <v>38807</v>
      </c>
      <c r="C59" s="347">
        <v>576.5</v>
      </c>
      <c r="D59" s="347">
        <v>0</v>
      </c>
      <c r="E59" s="71" t="s">
        <v>1007</v>
      </c>
      <c r="F59" s="71">
        <v>2006</v>
      </c>
      <c r="G59" s="71">
        <v>38777</v>
      </c>
      <c r="H59" s="335">
        <v>38807</v>
      </c>
      <c r="I59" s="335">
        <v>632</v>
      </c>
      <c r="J59" s="334">
        <v>0</v>
      </c>
      <c r="K59" s="334"/>
      <c r="L59" s="332"/>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row>
    <row r="60" spans="1:63" s="333" customFormat="1">
      <c r="A60" s="346">
        <v>38808</v>
      </c>
      <c r="B60" s="346">
        <v>38837</v>
      </c>
      <c r="C60" s="347">
        <v>313</v>
      </c>
      <c r="D60" s="347">
        <v>0</v>
      </c>
      <c r="E60" s="71" t="s">
        <v>1008</v>
      </c>
      <c r="F60" s="71">
        <v>2006</v>
      </c>
      <c r="G60" s="71">
        <v>38808</v>
      </c>
      <c r="H60" s="335">
        <v>38837</v>
      </c>
      <c r="I60" s="335">
        <v>375.6</v>
      </c>
      <c r="J60" s="334">
        <v>0</v>
      </c>
      <c r="K60" s="334"/>
      <c r="L60" s="332"/>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row>
    <row r="61" spans="1:63" s="333" customFormat="1">
      <c r="A61" s="346">
        <v>38838</v>
      </c>
      <c r="B61" s="346">
        <v>38868</v>
      </c>
      <c r="C61" s="347">
        <v>126.6</v>
      </c>
      <c r="D61" s="347">
        <v>17.8</v>
      </c>
      <c r="E61" s="71" t="s">
        <v>1009</v>
      </c>
      <c r="F61" s="71">
        <v>2006</v>
      </c>
      <c r="G61" s="71">
        <v>38838</v>
      </c>
      <c r="H61" s="335">
        <v>38868</v>
      </c>
      <c r="I61" s="335">
        <v>171.4</v>
      </c>
      <c r="J61" s="334">
        <v>1.5</v>
      </c>
      <c r="K61" s="334"/>
      <c r="L61" s="332"/>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row>
    <row r="62" spans="1:63" s="333" customFormat="1">
      <c r="A62" s="346">
        <v>38869</v>
      </c>
      <c r="B62" s="346">
        <v>38898</v>
      </c>
      <c r="C62" s="347">
        <v>23.8</v>
      </c>
      <c r="D62" s="347">
        <v>59</v>
      </c>
      <c r="E62" s="71" t="s">
        <v>1010</v>
      </c>
      <c r="F62" s="71">
        <v>2006</v>
      </c>
      <c r="G62" s="71">
        <v>38869</v>
      </c>
      <c r="H62" s="335">
        <v>38898</v>
      </c>
      <c r="I62" s="335">
        <v>36</v>
      </c>
      <c r="J62" s="334">
        <v>35.4</v>
      </c>
      <c r="K62" s="334"/>
      <c r="L62" s="332"/>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row>
    <row r="63" spans="1:63" s="333" customFormat="1">
      <c r="A63" s="346">
        <v>38899</v>
      </c>
      <c r="B63" s="346">
        <v>38929</v>
      </c>
      <c r="C63" s="347">
        <v>0</v>
      </c>
      <c r="D63" s="347">
        <v>141.9</v>
      </c>
      <c r="E63" s="71" t="s">
        <v>1011</v>
      </c>
      <c r="F63" s="71">
        <v>2006</v>
      </c>
      <c r="G63" s="71">
        <v>38899</v>
      </c>
      <c r="H63" s="335">
        <v>38929</v>
      </c>
      <c r="I63" s="335">
        <v>4.5</v>
      </c>
      <c r="J63" s="334">
        <v>89.9</v>
      </c>
      <c r="K63" s="334"/>
      <c r="L63" s="332"/>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row>
    <row r="64" spans="1:63" s="333" customFormat="1">
      <c r="A64" s="346">
        <v>38930</v>
      </c>
      <c r="B64" s="346">
        <v>38960</v>
      </c>
      <c r="C64" s="347">
        <v>23.9</v>
      </c>
      <c r="D64" s="347">
        <v>65</v>
      </c>
      <c r="E64" s="71" t="s">
        <v>1012</v>
      </c>
      <c r="F64" s="71">
        <v>2006</v>
      </c>
      <c r="G64" s="71">
        <v>38930</v>
      </c>
      <c r="H64" s="335">
        <v>38960</v>
      </c>
      <c r="I64" s="335">
        <v>53.7</v>
      </c>
      <c r="J64" s="334">
        <v>33</v>
      </c>
      <c r="K64" s="334"/>
      <c r="L64" s="332"/>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row>
    <row r="65" spans="1:63" s="333" customFormat="1">
      <c r="A65" s="346">
        <v>38961</v>
      </c>
      <c r="B65" s="346">
        <v>38990</v>
      </c>
      <c r="C65" s="347">
        <v>96.1</v>
      </c>
      <c r="D65" s="347">
        <v>7.5</v>
      </c>
      <c r="E65" s="71" t="s">
        <v>1013</v>
      </c>
      <c r="F65" s="71">
        <v>2006</v>
      </c>
      <c r="G65" s="71">
        <v>38961</v>
      </c>
      <c r="H65" s="335">
        <v>38990</v>
      </c>
      <c r="I65" s="335">
        <v>151.5</v>
      </c>
      <c r="J65" s="334">
        <v>0</v>
      </c>
      <c r="K65" s="334"/>
      <c r="L65" s="332"/>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row>
    <row r="66" spans="1:63" s="333" customFormat="1">
      <c r="A66" s="346">
        <v>38991</v>
      </c>
      <c r="B66" s="346">
        <v>39021</v>
      </c>
      <c r="C66" s="347">
        <v>312.89999999999998</v>
      </c>
      <c r="D66" s="347">
        <v>0</v>
      </c>
      <c r="E66" s="71" t="s">
        <v>1014</v>
      </c>
      <c r="F66" s="71">
        <v>2006</v>
      </c>
      <c r="G66" s="71">
        <v>38991</v>
      </c>
      <c r="H66" s="335">
        <v>39021</v>
      </c>
      <c r="I66" s="335">
        <v>350.2</v>
      </c>
      <c r="J66" s="334">
        <v>0</v>
      </c>
      <c r="K66" s="334"/>
      <c r="L66" s="332"/>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row>
    <row r="67" spans="1:63" s="333" customFormat="1">
      <c r="A67" s="346">
        <v>39022</v>
      </c>
      <c r="B67" s="346">
        <v>39051</v>
      </c>
      <c r="C67" s="347">
        <v>407.2</v>
      </c>
      <c r="D67" s="347">
        <v>0</v>
      </c>
      <c r="E67" s="71" t="s">
        <v>1015</v>
      </c>
      <c r="F67" s="71">
        <v>2006</v>
      </c>
      <c r="G67" s="71">
        <v>39022</v>
      </c>
      <c r="H67" s="335">
        <v>39051</v>
      </c>
      <c r="I67" s="335">
        <v>452.2</v>
      </c>
      <c r="J67" s="334">
        <v>0</v>
      </c>
      <c r="K67" s="334"/>
      <c r="L67" s="332"/>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row>
    <row r="68" spans="1:63" s="333" customFormat="1">
      <c r="A68" s="346">
        <v>39052</v>
      </c>
      <c r="B68" s="346">
        <v>39082</v>
      </c>
      <c r="C68" s="347">
        <v>595.9</v>
      </c>
      <c r="D68" s="347">
        <v>0</v>
      </c>
      <c r="E68" s="71" t="s">
        <v>1016</v>
      </c>
      <c r="F68" s="71">
        <v>2006</v>
      </c>
      <c r="G68" s="71">
        <v>39052</v>
      </c>
      <c r="H68" s="335">
        <v>39082</v>
      </c>
      <c r="I68" s="335">
        <v>703.6</v>
      </c>
      <c r="J68" s="334">
        <v>0</v>
      </c>
      <c r="K68" s="334"/>
      <c r="L68" s="332"/>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row>
    <row r="69" spans="1:63" s="333" customFormat="1">
      <c r="A69" s="346">
        <v>39083</v>
      </c>
      <c r="B69" s="346">
        <v>39113</v>
      </c>
      <c r="C69" s="347">
        <v>775.6</v>
      </c>
      <c r="D69" s="347">
        <v>0</v>
      </c>
      <c r="E69" s="71" t="s">
        <v>1005</v>
      </c>
      <c r="F69" s="71">
        <v>2007</v>
      </c>
      <c r="G69" s="71">
        <v>39083</v>
      </c>
      <c r="H69" s="335">
        <v>39113</v>
      </c>
      <c r="I69" s="335">
        <v>880.6</v>
      </c>
      <c r="J69" s="334">
        <v>0</v>
      </c>
      <c r="K69" s="334"/>
      <c r="L69" s="332"/>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row>
    <row r="70" spans="1:63" s="333" customFormat="1">
      <c r="A70" s="346">
        <v>39114</v>
      </c>
      <c r="B70" s="346">
        <v>39141</v>
      </c>
      <c r="C70" s="347">
        <v>809.7</v>
      </c>
      <c r="D70" s="347">
        <v>0</v>
      </c>
      <c r="E70" s="71" t="s">
        <v>1006</v>
      </c>
      <c r="F70" s="71">
        <v>2007</v>
      </c>
      <c r="G70" s="71">
        <v>39114</v>
      </c>
      <c r="H70" s="335">
        <v>39141</v>
      </c>
      <c r="I70" s="335">
        <v>864.4</v>
      </c>
      <c r="J70" s="334">
        <v>0</v>
      </c>
      <c r="K70" s="334"/>
      <c r="L70" s="332"/>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row>
    <row r="71" spans="1:63" s="333" customFormat="1">
      <c r="A71" s="346">
        <v>39142</v>
      </c>
      <c r="B71" s="346">
        <v>39172</v>
      </c>
      <c r="C71" s="347">
        <v>644.9</v>
      </c>
      <c r="D71" s="347">
        <v>0</v>
      </c>
      <c r="E71" s="71" t="s">
        <v>1007</v>
      </c>
      <c r="F71" s="71">
        <v>2007</v>
      </c>
      <c r="G71" s="71">
        <v>39142</v>
      </c>
      <c r="H71" s="335">
        <v>39172</v>
      </c>
      <c r="I71" s="335">
        <v>722.9</v>
      </c>
      <c r="J71" s="334">
        <v>0</v>
      </c>
      <c r="K71" s="334"/>
      <c r="L71" s="332"/>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row>
    <row r="72" spans="1:63" s="333" customFormat="1">
      <c r="A72" s="346">
        <v>39173</v>
      </c>
      <c r="B72" s="346">
        <v>39202</v>
      </c>
      <c r="C72" s="347">
        <v>366.4</v>
      </c>
      <c r="D72" s="347">
        <v>0</v>
      </c>
      <c r="E72" s="71" t="s">
        <v>1008</v>
      </c>
      <c r="F72" s="71">
        <v>2007</v>
      </c>
      <c r="G72" s="71">
        <v>39173</v>
      </c>
      <c r="H72" s="335">
        <v>39202</v>
      </c>
      <c r="I72" s="335">
        <v>441.9</v>
      </c>
      <c r="J72" s="334">
        <v>0</v>
      </c>
      <c r="K72" s="334"/>
      <c r="L72" s="332"/>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row>
    <row r="73" spans="1:63" s="333" customFormat="1">
      <c r="A73" s="346">
        <v>39203</v>
      </c>
      <c r="B73" s="346">
        <v>39233</v>
      </c>
      <c r="C73" s="347">
        <v>152.9</v>
      </c>
      <c r="D73" s="347">
        <v>18</v>
      </c>
      <c r="E73" s="71" t="s">
        <v>1009</v>
      </c>
      <c r="F73" s="71">
        <v>2007</v>
      </c>
      <c r="G73" s="71">
        <v>39203</v>
      </c>
      <c r="H73" s="335">
        <v>39233</v>
      </c>
      <c r="I73" s="335">
        <v>196.6</v>
      </c>
      <c r="J73" s="334">
        <v>11.7</v>
      </c>
      <c r="K73" s="334"/>
      <c r="L73" s="332"/>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row>
    <row r="74" spans="1:63" s="333" customFormat="1">
      <c r="A74" s="346">
        <v>39234</v>
      </c>
      <c r="B74" s="346">
        <v>39263</v>
      </c>
      <c r="C74" s="347">
        <v>26</v>
      </c>
      <c r="D74" s="347">
        <v>74.900000000000006</v>
      </c>
      <c r="E74" s="71" t="s">
        <v>1010</v>
      </c>
      <c r="F74" s="71">
        <v>2007</v>
      </c>
      <c r="G74" s="71">
        <v>39234</v>
      </c>
      <c r="H74" s="335">
        <v>39263</v>
      </c>
      <c r="I74" s="335">
        <v>59.2</v>
      </c>
      <c r="J74" s="334">
        <v>21.9</v>
      </c>
      <c r="K74" s="334"/>
      <c r="L74" s="332"/>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row>
    <row r="75" spans="1:63" s="333" customFormat="1">
      <c r="A75" s="346">
        <v>39264</v>
      </c>
      <c r="B75" s="346">
        <v>39294</v>
      </c>
      <c r="C75" s="347" t="s">
        <v>416</v>
      </c>
      <c r="D75" s="347">
        <v>82.1</v>
      </c>
      <c r="E75" s="71" t="s">
        <v>1011</v>
      </c>
      <c r="F75" s="71">
        <v>2007</v>
      </c>
      <c r="G75" s="71">
        <v>39264</v>
      </c>
      <c r="H75" s="335">
        <v>39294</v>
      </c>
      <c r="I75" s="335">
        <v>21.6</v>
      </c>
      <c r="J75" s="334">
        <v>51</v>
      </c>
      <c r="K75" s="334"/>
      <c r="L75" s="332"/>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row>
    <row r="76" spans="1:63" s="333" customFormat="1">
      <c r="A76" s="346">
        <v>39295</v>
      </c>
      <c r="B76" s="346">
        <v>39325</v>
      </c>
      <c r="C76" s="347">
        <v>15.5</v>
      </c>
      <c r="D76" s="347">
        <v>80.8</v>
      </c>
      <c r="E76" s="71" t="s">
        <v>1012</v>
      </c>
      <c r="F76" s="71">
        <v>2007</v>
      </c>
      <c r="G76" s="71">
        <v>39295</v>
      </c>
      <c r="H76" s="335">
        <v>39325</v>
      </c>
      <c r="I76" s="335">
        <v>47.6</v>
      </c>
      <c r="J76" s="334">
        <v>25.4</v>
      </c>
      <c r="K76" s="334"/>
      <c r="L76" s="332"/>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row>
    <row r="77" spans="1:63" s="333" customFormat="1">
      <c r="A77" s="346">
        <v>39326</v>
      </c>
      <c r="B77" s="346">
        <v>39355</v>
      </c>
      <c r="C77" s="347">
        <v>69.900000000000006</v>
      </c>
      <c r="D77" s="347">
        <v>30.1</v>
      </c>
      <c r="E77" s="71" t="s">
        <v>1013</v>
      </c>
      <c r="F77" s="71">
        <v>2007</v>
      </c>
      <c r="G77" s="71">
        <v>39326</v>
      </c>
      <c r="H77" s="335">
        <v>39355</v>
      </c>
      <c r="I77" s="335">
        <v>129.4</v>
      </c>
      <c r="J77" s="334">
        <v>11.4</v>
      </c>
      <c r="K77" s="334"/>
      <c r="L77" s="332"/>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row>
    <row r="78" spans="1:63" s="333" customFormat="1">
      <c r="A78" s="346">
        <v>39356</v>
      </c>
      <c r="B78" s="346">
        <v>39386</v>
      </c>
      <c r="C78" s="347">
        <v>207.9</v>
      </c>
      <c r="D78" s="347">
        <v>3.1</v>
      </c>
      <c r="E78" s="71" t="s">
        <v>1014</v>
      </c>
      <c r="F78" s="71">
        <v>2007</v>
      </c>
      <c r="G78" s="71">
        <v>39356</v>
      </c>
      <c r="H78" s="335">
        <v>39386</v>
      </c>
      <c r="I78" s="335">
        <v>264.5</v>
      </c>
      <c r="J78" s="334">
        <v>0</v>
      </c>
      <c r="K78" s="334"/>
      <c r="L78" s="332"/>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row>
    <row r="79" spans="1:63" s="333" customFormat="1">
      <c r="A79" s="346">
        <v>39387</v>
      </c>
      <c r="B79" s="346">
        <v>39416</v>
      </c>
      <c r="C79" s="347">
        <v>509.7</v>
      </c>
      <c r="D79" s="347">
        <v>0</v>
      </c>
      <c r="E79" s="71" t="s">
        <v>1015</v>
      </c>
      <c r="F79" s="71">
        <v>2007</v>
      </c>
      <c r="G79" s="71">
        <v>39387</v>
      </c>
      <c r="H79" s="335">
        <v>39416</v>
      </c>
      <c r="I79" s="335">
        <v>554.4</v>
      </c>
      <c r="J79" s="334">
        <v>0</v>
      </c>
      <c r="K79" s="334"/>
      <c r="L79" s="332"/>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row>
    <row r="80" spans="1:63" s="333" customFormat="1">
      <c r="A80" s="346">
        <v>39417</v>
      </c>
      <c r="B80" s="346">
        <v>39447</v>
      </c>
      <c r="C80" s="347">
        <v>756.4</v>
      </c>
      <c r="D80" s="347">
        <v>0</v>
      </c>
      <c r="E80" s="71" t="s">
        <v>1016</v>
      </c>
      <c r="F80" s="71">
        <v>2007</v>
      </c>
      <c r="G80" s="71">
        <v>39417</v>
      </c>
      <c r="H80" s="335">
        <v>39447</v>
      </c>
      <c r="I80" s="335">
        <v>839.2</v>
      </c>
      <c r="J80" s="334">
        <v>0</v>
      </c>
      <c r="K80" s="334"/>
      <c r="L80" s="332"/>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row>
    <row r="81" spans="1:63" s="333" customFormat="1">
      <c r="A81" s="346">
        <v>39448</v>
      </c>
      <c r="B81" s="346">
        <v>39478</v>
      </c>
      <c r="C81" s="347">
        <v>749.3</v>
      </c>
      <c r="D81" s="347">
        <v>0</v>
      </c>
      <c r="E81" s="71" t="s">
        <v>1005</v>
      </c>
      <c r="F81" s="71">
        <v>2008</v>
      </c>
      <c r="G81" s="71">
        <v>39448</v>
      </c>
      <c r="H81" s="335">
        <v>39478</v>
      </c>
      <c r="I81" s="335">
        <v>852.7</v>
      </c>
      <c r="J81" s="334">
        <v>0</v>
      </c>
      <c r="K81" s="334"/>
      <c r="L81" s="332"/>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row>
    <row r="82" spans="1:63" s="333" customFormat="1">
      <c r="A82" s="346">
        <v>39479</v>
      </c>
      <c r="B82" s="346">
        <v>39507</v>
      </c>
      <c r="C82" s="347">
        <v>744.7</v>
      </c>
      <c r="D82" s="347">
        <v>0</v>
      </c>
      <c r="E82" s="71" t="s">
        <v>1006</v>
      </c>
      <c r="F82" s="71">
        <v>2008</v>
      </c>
      <c r="G82" s="71">
        <v>39479</v>
      </c>
      <c r="H82" s="335">
        <v>39507</v>
      </c>
      <c r="I82" s="335">
        <v>824.7</v>
      </c>
      <c r="J82" s="334">
        <v>0</v>
      </c>
      <c r="K82" s="334"/>
      <c r="L82" s="332"/>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row>
    <row r="83" spans="1:63" s="333" customFormat="1">
      <c r="A83" s="346">
        <v>39508</v>
      </c>
      <c r="B83" s="346">
        <v>39538</v>
      </c>
      <c r="C83" s="347">
        <v>690.8</v>
      </c>
      <c r="D83" s="347">
        <v>0</v>
      </c>
      <c r="E83" s="71" t="s">
        <v>1007</v>
      </c>
      <c r="F83" s="71">
        <v>2008</v>
      </c>
      <c r="G83" s="71">
        <v>39508</v>
      </c>
      <c r="H83" s="335">
        <v>39538</v>
      </c>
      <c r="I83" s="335">
        <v>765.8</v>
      </c>
      <c r="J83" s="334">
        <v>0</v>
      </c>
      <c r="K83" s="334"/>
      <c r="L83" s="332"/>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row>
    <row r="84" spans="1:63" s="333" customFormat="1">
      <c r="A84" s="346">
        <v>39539</v>
      </c>
      <c r="B84" s="346">
        <v>39568</v>
      </c>
      <c r="C84" s="347">
        <v>296</v>
      </c>
      <c r="D84" s="347">
        <v>0</v>
      </c>
      <c r="E84" s="71" t="s">
        <v>1008</v>
      </c>
      <c r="F84" s="71">
        <v>2008</v>
      </c>
      <c r="G84" s="71">
        <v>39539</v>
      </c>
      <c r="H84" s="335">
        <v>39568</v>
      </c>
      <c r="I84" s="335">
        <v>397.8</v>
      </c>
      <c r="J84" s="334">
        <v>0</v>
      </c>
      <c r="K84" s="334"/>
      <c r="L84" s="332"/>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row>
    <row r="85" spans="1:63" s="333" customFormat="1">
      <c r="A85" s="346">
        <v>39569</v>
      </c>
      <c r="B85" s="346">
        <v>39599</v>
      </c>
      <c r="C85" s="347">
        <v>172.3</v>
      </c>
      <c r="D85" s="347">
        <v>0</v>
      </c>
      <c r="E85" s="71" t="s">
        <v>1009</v>
      </c>
      <c r="F85" s="71">
        <v>2008</v>
      </c>
      <c r="G85" s="71">
        <v>39569</v>
      </c>
      <c r="H85" s="335">
        <v>39599</v>
      </c>
      <c r="I85" s="335">
        <v>226.3</v>
      </c>
      <c r="J85" s="334">
        <v>0</v>
      </c>
      <c r="K85" s="334"/>
      <c r="L85" s="332"/>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row>
    <row r="86" spans="1:63" s="333" customFormat="1">
      <c r="A86" s="346">
        <v>39600</v>
      </c>
      <c r="B86" s="346">
        <v>39629</v>
      </c>
      <c r="C86" s="347">
        <v>16.8</v>
      </c>
      <c r="D86" s="347">
        <v>72.400000000000006</v>
      </c>
      <c r="E86" s="71" t="s">
        <v>1010</v>
      </c>
      <c r="F86" s="71">
        <v>2008</v>
      </c>
      <c r="G86" s="71">
        <v>39600</v>
      </c>
      <c r="H86" s="335">
        <v>39629</v>
      </c>
      <c r="I86" s="335">
        <v>51.3</v>
      </c>
      <c r="J86" s="334">
        <v>17</v>
      </c>
      <c r="K86" s="334"/>
      <c r="L86" s="332"/>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row>
    <row r="87" spans="1:63" s="333" customFormat="1">
      <c r="A87" s="346">
        <v>39630</v>
      </c>
      <c r="B87" s="346">
        <v>39660</v>
      </c>
      <c r="C87" s="347">
        <v>0</v>
      </c>
      <c r="D87" s="347">
        <v>106.8</v>
      </c>
      <c r="E87" s="71" t="s">
        <v>1011</v>
      </c>
      <c r="F87" s="71">
        <v>2008</v>
      </c>
      <c r="G87" s="71">
        <v>39630</v>
      </c>
      <c r="H87" s="335">
        <v>39660</v>
      </c>
      <c r="I87" s="335">
        <v>4.5</v>
      </c>
      <c r="J87" s="334">
        <v>50.3</v>
      </c>
      <c r="K87" s="334"/>
      <c r="L87" s="332"/>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row>
    <row r="88" spans="1:63" s="333" customFormat="1">
      <c r="A88" s="346">
        <v>39661</v>
      </c>
      <c r="B88" s="346">
        <v>39691</v>
      </c>
      <c r="C88" s="347">
        <v>10.8</v>
      </c>
      <c r="D88" s="347">
        <v>62.7</v>
      </c>
      <c r="E88" s="71" t="s">
        <v>1012</v>
      </c>
      <c r="F88" s="71">
        <v>2008</v>
      </c>
      <c r="G88" s="71">
        <v>39661</v>
      </c>
      <c r="H88" s="335">
        <v>39691</v>
      </c>
      <c r="I88" s="335">
        <v>22.9</v>
      </c>
      <c r="J88" s="334">
        <v>22.6</v>
      </c>
      <c r="K88" s="334"/>
      <c r="L88" s="332"/>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row>
    <row r="89" spans="1:63" s="333" customFormat="1">
      <c r="A89" s="346">
        <v>39692</v>
      </c>
      <c r="B89" s="346">
        <v>39721</v>
      </c>
      <c r="C89" s="347">
        <v>72.099999999999994</v>
      </c>
      <c r="D89" s="347">
        <v>33</v>
      </c>
      <c r="E89" s="71" t="s">
        <v>1013</v>
      </c>
      <c r="F89" s="71">
        <v>2008</v>
      </c>
      <c r="G89" s="71">
        <v>39692</v>
      </c>
      <c r="H89" s="335">
        <v>39721</v>
      </c>
      <c r="I89" s="335">
        <v>132.6</v>
      </c>
      <c r="J89" s="334">
        <v>9.6</v>
      </c>
      <c r="K89" s="334"/>
      <c r="L89" s="332"/>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row>
    <row r="90" spans="1:63" s="333" customFormat="1">
      <c r="A90" s="346">
        <v>39722</v>
      </c>
      <c r="B90" s="346">
        <v>39752</v>
      </c>
      <c r="C90" s="347">
        <v>307.10000000000002</v>
      </c>
      <c r="D90" s="347">
        <v>0</v>
      </c>
      <c r="E90" s="71" t="s">
        <v>1014</v>
      </c>
      <c r="F90" s="71">
        <v>2008</v>
      </c>
      <c r="G90" s="71">
        <v>39722</v>
      </c>
      <c r="H90" s="335">
        <v>39752</v>
      </c>
      <c r="I90" s="335">
        <v>351.8</v>
      </c>
      <c r="J90" s="334">
        <v>0</v>
      </c>
      <c r="K90" s="334"/>
      <c r="L90" s="332"/>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row>
    <row r="91" spans="1:63" s="333" customFormat="1">
      <c r="A91" s="346">
        <v>39753</v>
      </c>
      <c r="B91" s="346">
        <v>39782</v>
      </c>
      <c r="C91" s="347">
        <v>467.9</v>
      </c>
      <c r="D91" s="347">
        <v>0</v>
      </c>
      <c r="E91" s="71" t="s">
        <v>1015</v>
      </c>
      <c r="F91" s="71">
        <v>2008</v>
      </c>
      <c r="G91" s="71">
        <v>39753</v>
      </c>
      <c r="H91" s="335">
        <v>39782</v>
      </c>
      <c r="I91" s="335">
        <v>514.5</v>
      </c>
      <c r="J91" s="334">
        <v>0</v>
      </c>
      <c r="K91" s="334"/>
      <c r="L91" s="332"/>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row>
    <row r="92" spans="1:63" s="333" customFormat="1">
      <c r="A92" s="346">
        <v>39783</v>
      </c>
      <c r="B92" s="346">
        <v>39813</v>
      </c>
      <c r="C92" s="347">
        <v>763.6</v>
      </c>
      <c r="D92" s="347">
        <v>0</v>
      </c>
      <c r="E92" s="71" t="s">
        <v>1016</v>
      </c>
      <c r="F92" s="71">
        <v>2008</v>
      </c>
      <c r="G92" s="71">
        <v>39783</v>
      </c>
      <c r="H92" s="335">
        <v>39813</v>
      </c>
      <c r="I92" s="335">
        <v>843.2</v>
      </c>
      <c r="J92" s="334">
        <v>0</v>
      </c>
      <c r="K92" s="334"/>
      <c r="L92" s="332"/>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row>
    <row r="93" spans="1:63" s="333" customFormat="1">
      <c r="A93" s="346">
        <v>39814</v>
      </c>
      <c r="B93" s="346">
        <v>39844</v>
      </c>
      <c r="C93" s="347">
        <v>956.2</v>
      </c>
      <c r="D93" s="347">
        <v>0</v>
      </c>
      <c r="E93" s="71" t="s">
        <v>1005</v>
      </c>
      <c r="F93" s="71">
        <v>2009</v>
      </c>
      <c r="G93" s="71">
        <v>39814</v>
      </c>
      <c r="H93" s="335">
        <v>39844</v>
      </c>
      <c r="I93" s="335">
        <v>1053</v>
      </c>
      <c r="J93" s="334">
        <v>0</v>
      </c>
      <c r="K93" s="334"/>
      <c r="L93" s="332"/>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row>
    <row r="94" spans="1:63" s="333" customFormat="1">
      <c r="A94" s="346">
        <v>39845</v>
      </c>
      <c r="B94" s="346">
        <v>39872</v>
      </c>
      <c r="C94" s="347">
        <v>701</v>
      </c>
      <c r="D94" s="347">
        <v>0</v>
      </c>
      <c r="E94" s="71" t="s">
        <v>1006</v>
      </c>
      <c r="F94" s="71">
        <v>2009</v>
      </c>
      <c r="G94" s="71">
        <v>39845</v>
      </c>
      <c r="H94" s="335">
        <v>39872</v>
      </c>
      <c r="I94" s="335">
        <v>756</v>
      </c>
      <c r="J94" s="334">
        <v>0</v>
      </c>
      <c r="K94" s="334"/>
      <c r="L94" s="332"/>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row>
    <row r="95" spans="1:63" s="333" customFormat="1">
      <c r="A95" s="346">
        <v>39873</v>
      </c>
      <c r="B95" s="346">
        <v>39903</v>
      </c>
      <c r="C95" s="347">
        <v>590.79999999999995</v>
      </c>
      <c r="D95" s="347">
        <v>0</v>
      </c>
      <c r="E95" s="71" t="s">
        <v>1007</v>
      </c>
      <c r="F95" s="71">
        <v>2009</v>
      </c>
      <c r="G95" s="71">
        <v>39873</v>
      </c>
      <c r="H95" s="335">
        <v>39903</v>
      </c>
      <c r="I95" s="335">
        <v>696.2</v>
      </c>
      <c r="J95" s="334">
        <v>0</v>
      </c>
      <c r="K95" s="334"/>
      <c r="L95" s="332"/>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row>
    <row r="96" spans="1:63" s="333" customFormat="1">
      <c r="A96" s="346">
        <v>39904</v>
      </c>
      <c r="B96" s="346">
        <v>39933</v>
      </c>
      <c r="C96" s="347">
        <v>313.8</v>
      </c>
      <c r="D96" s="347">
        <v>3.3</v>
      </c>
      <c r="E96" s="71" t="s">
        <v>1008</v>
      </c>
      <c r="F96" s="71">
        <v>2009</v>
      </c>
      <c r="G96" s="71">
        <v>39904</v>
      </c>
      <c r="H96" s="335">
        <v>39933</v>
      </c>
      <c r="I96" s="335">
        <v>363.9</v>
      </c>
      <c r="J96" s="334">
        <v>0</v>
      </c>
      <c r="K96" s="334"/>
      <c r="L96" s="332"/>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row>
    <row r="97" spans="1:63" s="333" customFormat="1">
      <c r="A97" s="346">
        <v>39934</v>
      </c>
      <c r="B97" s="346">
        <v>39964</v>
      </c>
      <c r="C97" s="347">
        <v>165.8</v>
      </c>
      <c r="D97" s="347">
        <v>1</v>
      </c>
      <c r="E97" s="71" t="s">
        <v>1009</v>
      </c>
      <c r="F97" s="71">
        <v>2009</v>
      </c>
      <c r="G97" s="71">
        <v>39934</v>
      </c>
      <c r="H97" s="335">
        <v>39964</v>
      </c>
      <c r="I97" s="335">
        <v>232.5</v>
      </c>
      <c r="J97" s="334">
        <v>0</v>
      </c>
      <c r="K97" s="334"/>
      <c r="L97" s="332"/>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row>
    <row r="98" spans="1:63" s="333" customFormat="1">
      <c r="A98" s="346">
        <v>39965</v>
      </c>
      <c r="B98" s="346">
        <v>39994</v>
      </c>
      <c r="C98" s="347">
        <v>45.6</v>
      </c>
      <c r="D98" s="347">
        <v>44.1</v>
      </c>
      <c r="E98" s="71" t="s">
        <v>1010</v>
      </c>
      <c r="F98" s="71">
        <v>2009</v>
      </c>
      <c r="G98" s="71">
        <v>39965</v>
      </c>
      <c r="H98" s="335">
        <v>39994</v>
      </c>
      <c r="I98" s="335">
        <v>69</v>
      </c>
      <c r="J98" s="334">
        <v>12.7</v>
      </c>
      <c r="K98" s="334"/>
      <c r="L98" s="332"/>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row>
    <row r="99" spans="1:63" s="333" customFormat="1">
      <c r="A99" s="346">
        <v>39995</v>
      </c>
      <c r="B99" s="346">
        <v>40025</v>
      </c>
      <c r="C99" s="347">
        <v>7.8</v>
      </c>
      <c r="D99" s="347">
        <v>70.7</v>
      </c>
      <c r="E99" s="71" t="s">
        <v>1011</v>
      </c>
      <c r="F99" s="71">
        <v>2009</v>
      </c>
      <c r="G99" s="71">
        <v>39995</v>
      </c>
      <c r="H99" s="335">
        <v>40025</v>
      </c>
      <c r="I99" s="335">
        <v>34.4</v>
      </c>
      <c r="J99" s="334">
        <v>27</v>
      </c>
      <c r="K99" s="334"/>
      <c r="L99" s="332"/>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row>
    <row r="100" spans="1:63" s="333" customFormat="1">
      <c r="A100" s="346">
        <v>40026</v>
      </c>
      <c r="B100" s="346">
        <v>40056</v>
      </c>
      <c r="C100" s="347">
        <v>20.100000000000001</v>
      </c>
      <c r="D100" s="347">
        <v>106.3</v>
      </c>
      <c r="E100" s="71" t="s">
        <v>1012</v>
      </c>
      <c r="F100" s="71">
        <v>2009</v>
      </c>
      <c r="G100" s="71">
        <v>40026</v>
      </c>
      <c r="H100" s="335">
        <v>40056</v>
      </c>
      <c r="I100" s="335">
        <v>33.299999999999997</v>
      </c>
      <c r="J100" s="334">
        <v>74.900000000000006</v>
      </c>
      <c r="K100" s="334"/>
      <c r="L100" s="332"/>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row>
    <row r="101" spans="1:63" s="333" customFormat="1">
      <c r="A101" s="346">
        <v>40057</v>
      </c>
      <c r="B101" s="346">
        <v>40086</v>
      </c>
      <c r="C101" s="347">
        <v>90.6</v>
      </c>
      <c r="D101" s="347">
        <v>8.9</v>
      </c>
      <c r="E101" s="71" t="s">
        <v>1013</v>
      </c>
      <c r="F101" s="71">
        <v>2009</v>
      </c>
      <c r="G101" s="71">
        <v>40057</v>
      </c>
      <c r="H101" s="335">
        <v>40086</v>
      </c>
      <c r="I101" s="335">
        <v>136.69999999999999</v>
      </c>
      <c r="J101" s="334">
        <v>2.6</v>
      </c>
      <c r="K101" s="334"/>
      <c r="L101" s="332"/>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row>
    <row r="102" spans="1:63" s="333" customFormat="1">
      <c r="A102" s="346">
        <v>40087</v>
      </c>
      <c r="B102" s="346">
        <v>40117</v>
      </c>
      <c r="C102" s="347">
        <v>342.7</v>
      </c>
      <c r="D102" s="347">
        <v>0</v>
      </c>
      <c r="E102" s="71" t="s">
        <v>1014</v>
      </c>
      <c r="F102" s="71">
        <v>2009</v>
      </c>
      <c r="G102" s="71">
        <v>40087</v>
      </c>
      <c r="H102" s="335">
        <v>40117</v>
      </c>
      <c r="I102" s="335">
        <v>401.5</v>
      </c>
      <c r="J102" s="334">
        <v>0</v>
      </c>
      <c r="K102" s="334"/>
      <c r="L102" s="332"/>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row>
    <row r="103" spans="1:63" s="333" customFormat="1">
      <c r="A103" s="346">
        <v>40118</v>
      </c>
      <c r="B103" s="346">
        <v>40147</v>
      </c>
      <c r="C103" s="347">
        <v>407.3</v>
      </c>
      <c r="D103" s="347">
        <v>0</v>
      </c>
      <c r="E103" s="71" t="s">
        <v>1015</v>
      </c>
      <c r="F103" s="71">
        <v>2009</v>
      </c>
      <c r="G103" s="71">
        <v>40118</v>
      </c>
      <c r="H103" s="335">
        <v>40147</v>
      </c>
      <c r="I103" s="335">
        <v>457.2</v>
      </c>
      <c r="J103" s="334">
        <v>0</v>
      </c>
      <c r="K103" s="334"/>
      <c r="L103" s="332"/>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row>
    <row r="104" spans="1:63" s="333" customFormat="1">
      <c r="A104" s="346">
        <v>40148</v>
      </c>
      <c r="B104" s="346">
        <v>40178</v>
      </c>
      <c r="C104" s="347">
        <v>724.6</v>
      </c>
      <c r="D104" s="347">
        <v>0</v>
      </c>
      <c r="E104" s="71" t="s">
        <v>1016</v>
      </c>
      <c r="F104" s="71">
        <v>2009</v>
      </c>
      <c r="G104" s="71">
        <v>40148</v>
      </c>
      <c r="H104" s="335">
        <v>40178</v>
      </c>
      <c r="I104" s="335">
        <v>780.2</v>
      </c>
      <c r="J104" s="334">
        <v>0</v>
      </c>
      <c r="K104" s="334"/>
      <c r="L104" s="332"/>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row>
    <row r="105" spans="1:63" s="333" customFormat="1">
      <c r="A105" s="346">
        <v>40179</v>
      </c>
      <c r="B105" s="346">
        <v>40209</v>
      </c>
      <c r="C105" s="347">
        <v>756.3</v>
      </c>
      <c r="D105" s="347">
        <v>0</v>
      </c>
      <c r="E105" s="71" t="s">
        <v>1005</v>
      </c>
      <c r="F105" s="71">
        <v>2010</v>
      </c>
      <c r="G105" s="71">
        <v>40179</v>
      </c>
      <c r="H105" s="335">
        <v>40209</v>
      </c>
      <c r="I105" s="335">
        <v>794.2</v>
      </c>
      <c r="J105" s="334">
        <v>0</v>
      </c>
      <c r="K105" s="334"/>
      <c r="L105" s="332"/>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row>
    <row r="106" spans="1:63" s="333" customFormat="1">
      <c r="A106" s="346">
        <v>40210</v>
      </c>
      <c r="B106" s="346">
        <v>40237</v>
      </c>
      <c r="C106" s="347">
        <v>636.29999999999995</v>
      </c>
      <c r="D106" s="347">
        <v>0</v>
      </c>
      <c r="E106" s="71" t="s">
        <v>1006</v>
      </c>
      <c r="F106" s="71">
        <v>2010</v>
      </c>
      <c r="G106" s="71">
        <v>40210</v>
      </c>
      <c r="H106" s="335">
        <v>40237</v>
      </c>
      <c r="I106" s="335">
        <v>652.29999999999995</v>
      </c>
      <c r="J106" s="334">
        <v>0</v>
      </c>
      <c r="K106" s="334"/>
      <c r="L106" s="332"/>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row>
    <row r="107" spans="1:63" s="333" customFormat="1">
      <c r="A107" s="346">
        <v>40238</v>
      </c>
      <c r="B107" s="346">
        <v>40268</v>
      </c>
      <c r="C107" s="347">
        <v>456.9</v>
      </c>
      <c r="D107" s="347">
        <v>0</v>
      </c>
      <c r="E107" s="71" t="s">
        <v>1007</v>
      </c>
      <c r="F107" s="71">
        <v>2010</v>
      </c>
      <c r="G107" s="71">
        <v>40238</v>
      </c>
      <c r="H107" s="335">
        <v>40268</v>
      </c>
      <c r="I107" s="335">
        <v>548.29999999999995</v>
      </c>
      <c r="J107" s="334">
        <v>0</v>
      </c>
      <c r="K107" s="334"/>
      <c r="L107" s="332"/>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row>
    <row r="108" spans="1:63" s="333" customFormat="1">
      <c r="A108" s="346">
        <v>40269</v>
      </c>
      <c r="B108" s="346">
        <v>40298</v>
      </c>
      <c r="C108" s="347">
        <v>256.3</v>
      </c>
      <c r="D108" s="347">
        <v>0.10000000000000142</v>
      </c>
      <c r="E108" s="71" t="s">
        <v>1008</v>
      </c>
      <c r="F108" s="71">
        <v>2010</v>
      </c>
      <c r="G108" s="71">
        <v>40269</v>
      </c>
      <c r="H108" s="335">
        <v>40298</v>
      </c>
      <c r="I108" s="335">
        <v>316.5</v>
      </c>
      <c r="J108" s="334">
        <v>0</v>
      </c>
      <c r="K108" s="334"/>
      <c r="L108" s="332"/>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1"/>
      <c r="BH108" s="71"/>
      <c r="BI108" s="71"/>
      <c r="BJ108" s="71"/>
      <c r="BK108" s="71"/>
    </row>
    <row r="109" spans="1:63" s="333" customFormat="1">
      <c r="A109" s="346">
        <v>40299</v>
      </c>
      <c r="B109" s="346">
        <v>40329</v>
      </c>
      <c r="C109" s="347">
        <v>107.9</v>
      </c>
      <c r="D109" s="347">
        <v>36.6</v>
      </c>
      <c r="E109" s="71" t="s">
        <v>1009</v>
      </c>
      <c r="F109" s="71">
        <v>2010</v>
      </c>
      <c r="G109" s="71">
        <v>40299</v>
      </c>
      <c r="H109" s="335">
        <v>40329</v>
      </c>
      <c r="I109" s="335">
        <v>161.30000000000001</v>
      </c>
      <c r="J109" s="334">
        <v>15.1</v>
      </c>
      <c r="K109" s="334"/>
      <c r="L109" s="332"/>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c r="BE109" s="71"/>
      <c r="BF109" s="71"/>
      <c r="BG109" s="71"/>
      <c r="BH109" s="71"/>
      <c r="BI109" s="71"/>
      <c r="BJ109" s="71"/>
      <c r="BK109" s="71"/>
    </row>
    <row r="110" spans="1:63" s="333" customFormat="1">
      <c r="A110" s="346">
        <v>40330</v>
      </c>
      <c r="B110" s="346">
        <v>40359</v>
      </c>
      <c r="C110" s="347">
        <v>32.4</v>
      </c>
      <c r="D110" s="347">
        <v>43.7</v>
      </c>
      <c r="E110" s="71" t="s">
        <v>1010</v>
      </c>
      <c r="F110" s="71">
        <v>2010</v>
      </c>
      <c r="G110" s="71">
        <v>40330</v>
      </c>
      <c r="H110" s="335">
        <v>40359</v>
      </c>
      <c r="I110" s="335">
        <v>57</v>
      </c>
      <c r="J110" s="334">
        <v>23.3</v>
      </c>
      <c r="K110" s="334"/>
      <c r="L110" s="332"/>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row>
    <row r="111" spans="1:63" s="333" customFormat="1">
      <c r="A111" s="346">
        <v>40360</v>
      </c>
      <c r="B111" s="346">
        <v>40390</v>
      </c>
      <c r="C111" s="347">
        <v>4.9000000000000004</v>
      </c>
      <c r="D111" s="347">
        <v>160</v>
      </c>
      <c r="E111" s="71" t="s">
        <v>1011</v>
      </c>
      <c r="F111" s="71">
        <v>2010</v>
      </c>
      <c r="G111" s="71">
        <v>40360</v>
      </c>
      <c r="H111" s="335">
        <v>40390</v>
      </c>
      <c r="I111" s="335">
        <v>12.7</v>
      </c>
      <c r="J111" s="334">
        <v>119.2</v>
      </c>
      <c r="K111" s="334"/>
      <c r="L111" s="332"/>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c r="BK111" s="71"/>
    </row>
    <row r="112" spans="1:63" s="333" customFormat="1">
      <c r="A112" s="346">
        <v>40391</v>
      </c>
      <c r="B112" s="346">
        <v>40421</v>
      </c>
      <c r="C112" s="347">
        <v>9.4</v>
      </c>
      <c r="D112" s="347">
        <v>99.2</v>
      </c>
      <c r="E112" s="71" t="s">
        <v>1012</v>
      </c>
      <c r="F112" s="71">
        <v>2010</v>
      </c>
      <c r="G112" s="71">
        <v>40391</v>
      </c>
      <c r="H112" s="335">
        <v>40421</v>
      </c>
      <c r="I112" s="335">
        <v>19.399999999999999</v>
      </c>
      <c r="J112" s="334">
        <v>59</v>
      </c>
      <c r="K112" s="334"/>
      <c r="L112" s="332"/>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row>
    <row r="113" spans="1:63" s="333" customFormat="1">
      <c r="A113" s="346">
        <v>40422</v>
      </c>
      <c r="B113" s="346">
        <v>40451</v>
      </c>
      <c r="C113" s="347">
        <v>84.4</v>
      </c>
      <c r="D113" s="347">
        <v>32.700000000000003</v>
      </c>
      <c r="E113" s="71" t="s">
        <v>1013</v>
      </c>
      <c r="F113" s="71">
        <v>2010</v>
      </c>
      <c r="G113" s="71">
        <v>40422</v>
      </c>
      <c r="H113" s="335">
        <v>40451</v>
      </c>
      <c r="I113" s="335">
        <v>147.6</v>
      </c>
      <c r="J113" s="334">
        <v>16.399999999999999</v>
      </c>
      <c r="K113" s="334"/>
      <c r="L113" s="332"/>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c r="BE113" s="71"/>
      <c r="BF113" s="71"/>
      <c r="BG113" s="71"/>
      <c r="BH113" s="71"/>
      <c r="BI113" s="71"/>
      <c r="BJ113" s="71"/>
      <c r="BK113" s="71"/>
    </row>
    <row r="114" spans="1:63" s="333" customFormat="1">
      <c r="A114" s="346">
        <v>40452</v>
      </c>
      <c r="B114" s="346">
        <v>40482</v>
      </c>
      <c r="C114" s="347">
        <v>300.5</v>
      </c>
      <c r="D114" s="347">
        <v>0</v>
      </c>
      <c r="E114" s="71" t="s">
        <v>1014</v>
      </c>
      <c r="F114" s="71">
        <v>2010</v>
      </c>
      <c r="G114" s="71">
        <v>40452</v>
      </c>
      <c r="H114" s="335">
        <v>40482</v>
      </c>
      <c r="I114" s="335">
        <v>353.4</v>
      </c>
      <c r="J114" s="334">
        <v>0</v>
      </c>
      <c r="K114" s="334"/>
      <c r="L114" s="332"/>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71"/>
      <c r="BE114" s="71"/>
      <c r="BF114" s="71"/>
      <c r="BG114" s="71"/>
      <c r="BH114" s="71"/>
      <c r="BI114" s="71"/>
      <c r="BJ114" s="71"/>
      <c r="BK114" s="71"/>
    </row>
    <row r="115" spans="1:63" s="333" customFormat="1">
      <c r="A115" s="346">
        <v>40483</v>
      </c>
      <c r="B115" s="346">
        <v>40512</v>
      </c>
      <c r="C115" s="347">
        <v>466.6</v>
      </c>
      <c r="D115" s="347">
        <v>0</v>
      </c>
      <c r="E115" s="71" t="s">
        <v>1015</v>
      </c>
      <c r="F115" s="71">
        <v>2010</v>
      </c>
      <c r="G115" s="71">
        <v>40483</v>
      </c>
      <c r="H115" s="335">
        <v>40512</v>
      </c>
      <c r="I115" s="335">
        <v>526.70000000000005</v>
      </c>
      <c r="J115" s="334">
        <v>0</v>
      </c>
      <c r="K115" s="334"/>
      <c r="L115" s="332"/>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BD115" s="71"/>
      <c r="BE115" s="71"/>
      <c r="BF115" s="71"/>
      <c r="BG115" s="71"/>
      <c r="BH115" s="71"/>
      <c r="BI115" s="71"/>
      <c r="BJ115" s="71"/>
      <c r="BK115" s="71"/>
    </row>
    <row r="116" spans="1:63" s="333" customFormat="1">
      <c r="A116" s="346">
        <v>40513</v>
      </c>
      <c r="B116" s="346">
        <v>40543</v>
      </c>
      <c r="C116" s="347">
        <v>739</v>
      </c>
      <c r="D116" s="347">
        <v>0</v>
      </c>
      <c r="E116" s="71" t="s">
        <v>1016</v>
      </c>
      <c r="F116" s="71">
        <v>2010</v>
      </c>
      <c r="G116" s="71">
        <v>40513</v>
      </c>
      <c r="H116" s="335">
        <v>40543</v>
      </c>
      <c r="I116" s="335">
        <v>767.5</v>
      </c>
      <c r="J116" s="334">
        <v>0</v>
      </c>
      <c r="K116" s="334"/>
      <c r="L116" s="332"/>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BD116" s="71"/>
      <c r="BE116" s="71"/>
      <c r="BF116" s="71"/>
      <c r="BG116" s="71"/>
      <c r="BH116" s="71"/>
      <c r="BI116" s="71"/>
      <c r="BJ116" s="71"/>
      <c r="BK116" s="71"/>
    </row>
    <row r="117" spans="1:63" s="333" customFormat="1">
      <c r="A117" s="346">
        <v>40544</v>
      </c>
      <c r="B117" s="346">
        <v>40574</v>
      </c>
      <c r="C117" s="347">
        <v>851.5</v>
      </c>
      <c r="D117" s="347">
        <v>0</v>
      </c>
      <c r="E117" s="71" t="s">
        <v>1005</v>
      </c>
      <c r="F117" s="71">
        <v>2011</v>
      </c>
      <c r="G117" s="71">
        <v>40544</v>
      </c>
      <c r="H117" s="335">
        <v>40574</v>
      </c>
      <c r="I117" s="335">
        <v>876</v>
      </c>
      <c r="J117" s="334">
        <v>0</v>
      </c>
      <c r="K117" s="334"/>
      <c r="L117" s="332"/>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BD117" s="71"/>
      <c r="BE117" s="71"/>
      <c r="BF117" s="71"/>
      <c r="BG117" s="71"/>
      <c r="BH117" s="71"/>
      <c r="BI117" s="71"/>
      <c r="BJ117" s="71"/>
      <c r="BK117" s="71"/>
    </row>
    <row r="118" spans="1:63" s="333" customFormat="1">
      <c r="A118" s="346">
        <v>40575</v>
      </c>
      <c r="B118" s="346">
        <v>40602</v>
      </c>
      <c r="C118" s="347">
        <v>716.1</v>
      </c>
      <c r="D118" s="347">
        <v>0</v>
      </c>
      <c r="E118" s="71" t="s">
        <v>1006</v>
      </c>
      <c r="F118" s="71">
        <v>2011</v>
      </c>
      <c r="G118" s="71">
        <v>40575</v>
      </c>
      <c r="H118" s="335">
        <v>40602</v>
      </c>
      <c r="I118" s="335">
        <v>773.7</v>
      </c>
      <c r="J118" s="334">
        <v>0</v>
      </c>
      <c r="K118" s="334"/>
      <c r="L118" s="332"/>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BD118" s="71"/>
      <c r="BE118" s="71"/>
      <c r="BF118" s="71"/>
      <c r="BG118" s="71"/>
      <c r="BH118" s="71"/>
      <c r="BI118" s="71"/>
      <c r="BJ118" s="71"/>
      <c r="BK118" s="71"/>
    </row>
    <row r="119" spans="1:63" s="333" customFormat="1">
      <c r="A119" s="346">
        <v>40603</v>
      </c>
      <c r="B119" s="346">
        <v>40633</v>
      </c>
      <c r="C119" s="347">
        <v>618.4</v>
      </c>
      <c r="D119" s="347">
        <v>0</v>
      </c>
      <c r="E119" s="71" t="s">
        <v>1007</v>
      </c>
      <c r="F119" s="71">
        <v>2011</v>
      </c>
      <c r="G119" s="71">
        <v>40603</v>
      </c>
      <c r="H119" s="335">
        <v>40633</v>
      </c>
      <c r="I119" s="335">
        <v>696.8</v>
      </c>
      <c r="J119" s="334">
        <v>0</v>
      </c>
      <c r="K119" s="334"/>
      <c r="L119" s="332"/>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71"/>
      <c r="BE119" s="71"/>
      <c r="BF119" s="71"/>
      <c r="BG119" s="71"/>
      <c r="BH119" s="71"/>
      <c r="BI119" s="71"/>
      <c r="BJ119" s="71"/>
      <c r="BK119" s="71"/>
    </row>
    <row r="120" spans="1:63" s="333" customFormat="1">
      <c r="A120" s="346">
        <v>40634</v>
      </c>
      <c r="B120" s="346">
        <v>40663</v>
      </c>
      <c r="C120" s="347">
        <v>341.6</v>
      </c>
      <c r="D120" s="347">
        <v>0</v>
      </c>
      <c r="E120" s="71" t="s">
        <v>1008</v>
      </c>
      <c r="F120" s="71">
        <v>2011</v>
      </c>
      <c r="G120" s="71">
        <v>40634</v>
      </c>
      <c r="H120" s="335">
        <v>40663</v>
      </c>
      <c r="I120" s="335">
        <v>436.3</v>
      </c>
      <c r="J120" s="334">
        <v>0</v>
      </c>
      <c r="K120" s="334"/>
      <c r="L120" s="332"/>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1"/>
      <c r="BH120" s="71"/>
      <c r="BI120" s="71"/>
      <c r="BJ120" s="71"/>
      <c r="BK120" s="71"/>
    </row>
    <row r="121" spans="1:63" s="333" customFormat="1">
      <c r="A121" s="346">
        <v>40664</v>
      </c>
      <c r="B121" s="346">
        <v>40694</v>
      </c>
      <c r="C121" s="347">
        <v>138</v>
      </c>
      <c r="D121" s="347">
        <v>12.8</v>
      </c>
      <c r="E121" s="71" t="s">
        <v>1009</v>
      </c>
      <c r="F121" s="71">
        <v>2011</v>
      </c>
      <c r="G121" s="71">
        <v>40664</v>
      </c>
      <c r="H121" s="335">
        <v>40694</v>
      </c>
      <c r="I121" s="335">
        <v>220.9</v>
      </c>
      <c r="J121" s="334">
        <v>2.1</v>
      </c>
      <c r="K121" s="334"/>
      <c r="L121" s="332"/>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BD121" s="71"/>
      <c r="BE121" s="71"/>
      <c r="BF121" s="71"/>
      <c r="BG121" s="71"/>
      <c r="BH121" s="71"/>
      <c r="BI121" s="71"/>
      <c r="BJ121" s="71"/>
      <c r="BK121" s="71"/>
    </row>
    <row r="122" spans="1:63" s="333" customFormat="1">
      <c r="A122" s="346">
        <v>40695</v>
      </c>
      <c r="B122" s="346">
        <v>40724</v>
      </c>
      <c r="C122" s="347">
        <v>19.399999999999999</v>
      </c>
      <c r="D122" s="347">
        <v>59.7</v>
      </c>
      <c r="E122" s="71" t="s">
        <v>1010</v>
      </c>
      <c r="F122" s="71">
        <v>2011</v>
      </c>
      <c r="G122" s="71">
        <v>40695</v>
      </c>
      <c r="H122" s="335">
        <v>40724</v>
      </c>
      <c r="I122" s="335">
        <v>54.2</v>
      </c>
      <c r="J122" s="334">
        <v>18.3</v>
      </c>
      <c r="K122" s="334"/>
      <c r="L122" s="332"/>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71"/>
      <c r="BE122" s="71"/>
      <c r="BF122" s="71"/>
      <c r="BG122" s="71"/>
      <c r="BH122" s="71"/>
      <c r="BI122" s="71"/>
      <c r="BJ122" s="71"/>
      <c r="BK122" s="71"/>
    </row>
    <row r="123" spans="1:63" s="333" customFormat="1">
      <c r="A123" s="346">
        <v>40725</v>
      </c>
      <c r="B123" s="346">
        <v>40755</v>
      </c>
      <c r="C123" s="347">
        <v>0</v>
      </c>
      <c r="D123" s="347">
        <v>156.69999999999999</v>
      </c>
      <c r="E123" s="71" t="s">
        <v>1011</v>
      </c>
      <c r="F123" s="71">
        <v>2011</v>
      </c>
      <c r="G123" s="71">
        <v>40725</v>
      </c>
      <c r="H123" s="335">
        <v>40755</v>
      </c>
      <c r="I123" s="335">
        <v>4.8</v>
      </c>
      <c r="J123" s="334">
        <v>85</v>
      </c>
      <c r="K123" s="334"/>
      <c r="L123" s="332"/>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BD123" s="71"/>
      <c r="BE123" s="71"/>
      <c r="BF123" s="71"/>
      <c r="BG123" s="71"/>
      <c r="BH123" s="71"/>
      <c r="BI123" s="71"/>
      <c r="BJ123" s="71"/>
      <c r="BK123" s="71"/>
    </row>
    <row r="124" spans="1:63" s="333" customFormat="1">
      <c r="A124" s="346">
        <v>40756</v>
      </c>
      <c r="B124" s="346">
        <v>40786</v>
      </c>
      <c r="C124" s="347">
        <v>2.4</v>
      </c>
      <c r="D124" s="347">
        <v>95.8</v>
      </c>
      <c r="E124" s="71" t="s">
        <v>1012</v>
      </c>
      <c r="F124" s="71">
        <v>2011</v>
      </c>
      <c r="G124" s="71">
        <v>40756</v>
      </c>
      <c r="H124" s="335">
        <v>40786</v>
      </c>
      <c r="I124" s="335">
        <v>19.5</v>
      </c>
      <c r="J124" s="334">
        <v>37.6</v>
      </c>
      <c r="K124" s="334"/>
      <c r="L124" s="332"/>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1"/>
      <c r="BH124" s="71"/>
      <c r="BI124" s="71"/>
      <c r="BJ124" s="71"/>
      <c r="BK124" s="71"/>
    </row>
    <row r="125" spans="1:63">
      <c r="A125" s="346">
        <v>40787</v>
      </c>
      <c r="B125" s="346">
        <v>40816</v>
      </c>
      <c r="C125" s="347">
        <v>46.6</v>
      </c>
      <c r="D125" s="347">
        <v>38.700000000000003</v>
      </c>
      <c r="E125" s="71" t="s">
        <v>1013</v>
      </c>
      <c r="F125" s="71">
        <v>2011</v>
      </c>
      <c r="G125" s="71">
        <v>40787</v>
      </c>
      <c r="H125" s="336">
        <v>40816</v>
      </c>
      <c r="I125" s="336">
        <v>84</v>
      </c>
      <c r="J125" s="337">
        <v>9.1</v>
      </c>
      <c r="K125" s="337"/>
    </row>
    <row r="126" spans="1:63">
      <c r="A126" s="346">
        <v>40817</v>
      </c>
      <c r="B126" s="346">
        <v>40847</v>
      </c>
      <c r="C126" s="347">
        <v>252</v>
      </c>
      <c r="D126" s="347">
        <v>1.4</v>
      </c>
      <c r="E126" s="71" t="s">
        <v>1014</v>
      </c>
      <c r="F126" s="71">
        <v>2011</v>
      </c>
      <c r="G126" s="71">
        <v>40817</v>
      </c>
      <c r="H126" s="336">
        <v>40847</v>
      </c>
      <c r="I126" s="336">
        <v>305.10000000000002</v>
      </c>
      <c r="J126" s="337">
        <v>0</v>
      </c>
      <c r="K126" s="337"/>
    </row>
    <row r="127" spans="1:63">
      <c r="A127" s="346">
        <v>40848</v>
      </c>
      <c r="B127" s="346">
        <v>40877</v>
      </c>
      <c r="C127" s="347">
        <v>381.6</v>
      </c>
      <c r="D127" s="347">
        <v>0</v>
      </c>
      <c r="E127" s="71" t="s">
        <v>1015</v>
      </c>
      <c r="F127" s="71">
        <v>2011</v>
      </c>
      <c r="G127" s="71">
        <v>40848</v>
      </c>
      <c r="H127" s="336">
        <v>40877</v>
      </c>
      <c r="I127" s="336">
        <v>454.3</v>
      </c>
      <c r="J127" s="337">
        <v>0</v>
      </c>
      <c r="K127" s="337"/>
    </row>
    <row r="128" spans="1:63">
      <c r="A128" s="346">
        <v>40878</v>
      </c>
      <c r="B128" s="346">
        <v>40908</v>
      </c>
      <c r="C128" s="347">
        <v>637.6</v>
      </c>
      <c r="D128" s="347">
        <v>0</v>
      </c>
      <c r="E128" s="71" t="s">
        <v>1016</v>
      </c>
      <c r="F128" s="71">
        <v>2011</v>
      </c>
      <c r="G128" s="71">
        <v>40878</v>
      </c>
      <c r="H128" s="71">
        <v>40908</v>
      </c>
      <c r="I128" s="336">
        <v>736</v>
      </c>
      <c r="J128" s="337">
        <v>0</v>
      </c>
      <c r="K128" s="337"/>
    </row>
    <row r="129" spans="1:11">
      <c r="A129" s="346">
        <v>40909</v>
      </c>
      <c r="B129" s="346">
        <v>40939</v>
      </c>
      <c r="C129" s="347">
        <v>788.3</v>
      </c>
      <c r="D129" s="347">
        <v>0</v>
      </c>
      <c r="E129" s="71" t="s">
        <v>1005</v>
      </c>
      <c r="F129" s="71">
        <v>2012</v>
      </c>
      <c r="H129" s="71"/>
      <c r="I129" s="336"/>
      <c r="J129" s="337"/>
      <c r="K129" s="337"/>
    </row>
    <row r="130" spans="1:11">
      <c r="A130" s="346">
        <v>40940</v>
      </c>
      <c r="B130" s="346">
        <v>40968</v>
      </c>
      <c r="C130" s="347">
        <v>659.7</v>
      </c>
      <c r="D130" s="347">
        <v>0</v>
      </c>
      <c r="E130" s="71" t="s">
        <v>1006</v>
      </c>
      <c r="F130" s="71">
        <v>2012</v>
      </c>
      <c r="H130" s="71"/>
      <c r="I130" s="336"/>
      <c r="J130" s="337"/>
      <c r="K130" s="337"/>
    </row>
    <row r="131" spans="1:11">
      <c r="A131" s="346">
        <v>40969</v>
      </c>
      <c r="B131" s="346">
        <v>40999</v>
      </c>
      <c r="C131" s="347">
        <v>462.8</v>
      </c>
      <c r="D131" s="347">
        <v>0</v>
      </c>
      <c r="E131" s="71" t="s">
        <v>1007</v>
      </c>
      <c r="F131" s="71">
        <v>2012</v>
      </c>
      <c r="H131" s="71"/>
      <c r="I131" s="336"/>
      <c r="J131" s="337"/>
      <c r="K131" s="337"/>
    </row>
    <row r="132" spans="1:11">
      <c r="A132" s="346">
        <v>41000</v>
      </c>
      <c r="B132" s="346">
        <v>41029</v>
      </c>
      <c r="C132" s="347">
        <v>339.2</v>
      </c>
      <c r="D132" s="347">
        <v>3.7</v>
      </c>
      <c r="E132" s="71" t="s">
        <v>1008</v>
      </c>
      <c r="F132" s="71">
        <v>2012</v>
      </c>
      <c r="H132" s="71"/>
      <c r="I132" s="336"/>
      <c r="J132" s="337"/>
      <c r="K132" s="337"/>
    </row>
    <row r="133" spans="1:11">
      <c r="A133" s="346">
        <v>41030</v>
      </c>
      <c r="B133" s="346">
        <v>41060</v>
      </c>
      <c r="C133" s="347">
        <v>89.9</v>
      </c>
      <c r="D133" s="347">
        <v>23.8</v>
      </c>
      <c r="E133" s="71" t="s">
        <v>1009</v>
      </c>
      <c r="F133" s="71">
        <v>2012</v>
      </c>
      <c r="H133" s="71"/>
      <c r="I133" s="336"/>
      <c r="J133" s="337"/>
      <c r="K133" s="337"/>
    </row>
    <row r="134" spans="1:11">
      <c r="A134" s="346">
        <v>41061</v>
      </c>
      <c r="B134" s="346">
        <v>41090</v>
      </c>
      <c r="C134" s="347">
        <v>21.5</v>
      </c>
      <c r="D134" s="347">
        <v>80.400000000000006</v>
      </c>
      <c r="E134" s="77" t="s">
        <v>1010</v>
      </c>
      <c r="F134" s="71">
        <v>2012</v>
      </c>
      <c r="H134" s="71"/>
      <c r="I134" s="336"/>
      <c r="J134" s="337"/>
      <c r="K134" s="337"/>
    </row>
    <row r="135" spans="1:11">
      <c r="A135" s="346">
        <v>41091</v>
      </c>
      <c r="B135" s="346">
        <v>41121</v>
      </c>
      <c r="C135" s="347">
        <v>0.7</v>
      </c>
      <c r="D135" s="347">
        <v>133.80000000000001</v>
      </c>
      <c r="E135" s="71" t="s">
        <v>1011</v>
      </c>
      <c r="F135" s="71">
        <v>2012</v>
      </c>
      <c r="H135" s="71"/>
      <c r="I135" s="336"/>
      <c r="J135" s="337"/>
      <c r="K135" s="337"/>
    </row>
    <row r="136" spans="1:11">
      <c r="A136" s="346">
        <v>41122</v>
      </c>
      <c r="B136" s="346">
        <v>41152</v>
      </c>
      <c r="C136" s="347">
        <v>0.8</v>
      </c>
      <c r="D136" s="347">
        <v>129.69999999999999</v>
      </c>
      <c r="E136" s="71" t="s">
        <v>1012</v>
      </c>
      <c r="F136" s="71">
        <v>2012</v>
      </c>
      <c r="H136" s="71"/>
      <c r="I136" s="336"/>
      <c r="J136" s="337"/>
      <c r="K136" s="337"/>
    </row>
    <row r="137" spans="1:11">
      <c r="A137" s="346">
        <v>41153</v>
      </c>
      <c r="B137" s="346">
        <v>41182</v>
      </c>
      <c r="C137" s="347">
        <v>92.5</v>
      </c>
      <c r="D137" s="347" t="s">
        <v>77</v>
      </c>
      <c r="E137" s="71" t="s">
        <v>1013</v>
      </c>
      <c r="F137" s="71">
        <v>2012</v>
      </c>
      <c r="H137" s="71"/>
      <c r="I137" s="336"/>
      <c r="J137" s="337"/>
      <c r="K137" s="337"/>
    </row>
    <row r="138" spans="1:11">
      <c r="A138" s="346">
        <v>41183</v>
      </c>
      <c r="B138" s="346">
        <v>41213</v>
      </c>
      <c r="C138" s="347">
        <v>222.8</v>
      </c>
      <c r="D138" s="347" t="s">
        <v>77</v>
      </c>
      <c r="E138" s="71" t="s">
        <v>1014</v>
      </c>
      <c r="F138" s="71">
        <v>2012</v>
      </c>
      <c r="H138" s="71"/>
      <c r="I138" s="336"/>
      <c r="J138" s="337"/>
      <c r="K138" s="337"/>
    </row>
    <row r="139" spans="1:11">
      <c r="A139" s="346">
        <v>41214</v>
      </c>
      <c r="B139" s="346">
        <v>41243</v>
      </c>
      <c r="C139" s="347">
        <v>524.20000000000005</v>
      </c>
      <c r="D139" s="347" t="s">
        <v>77</v>
      </c>
      <c r="E139" s="71" t="s">
        <v>1015</v>
      </c>
      <c r="F139" s="71">
        <v>2012</v>
      </c>
      <c r="H139" s="71"/>
      <c r="I139" s="336"/>
      <c r="J139" s="337"/>
      <c r="K139" s="337"/>
    </row>
    <row r="140" spans="1:11">
      <c r="A140" s="346">
        <v>41244</v>
      </c>
      <c r="B140" s="346">
        <v>41274</v>
      </c>
      <c r="C140" s="347">
        <v>666.5</v>
      </c>
      <c r="D140" s="347" t="s">
        <v>77</v>
      </c>
      <c r="E140" s="71" t="s">
        <v>1016</v>
      </c>
      <c r="F140" s="71">
        <v>2012</v>
      </c>
      <c r="H140" s="71"/>
      <c r="I140" s="336"/>
      <c r="J140" s="337"/>
      <c r="K140" s="337"/>
    </row>
    <row r="141" spans="1:11">
      <c r="A141" s="346">
        <v>41275</v>
      </c>
      <c r="B141" s="346">
        <v>41305</v>
      </c>
      <c r="C141" s="347">
        <v>808.2</v>
      </c>
      <c r="D141" s="347" t="s">
        <v>77</v>
      </c>
      <c r="E141" s="71" t="s">
        <v>1005</v>
      </c>
      <c r="F141" s="71">
        <v>2013</v>
      </c>
      <c r="H141" s="71"/>
      <c r="I141" s="336"/>
      <c r="J141" s="337"/>
      <c r="K141" s="337"/>
    </row>
    <row r="142" spans="1:11">
      <c r="A142" s="338">
        <v>41306</v>
      </c>
      <c r="B142" s="338">
        <v>41333</v>
      </c>
      <c r="C142" s="339">
        <v>698</v>
      </c>
      <c r="D142" s="340" t="s">
        <v>77</v>
      </c>
      <c r="E142" s="71" t="s">
        <v>1006</v>
      </c>
      <c r="F142" s="71">
        <v>2013</v>
      </c>
      <c r="H142" s="71"/>
      <c r="I142" s="336"/>
      <c r="J142" s="337"/>
      <c r="K142" s="337"/>
    </row>
    <row r="143" spans="1:11">
      <c r="A143" s="338">
        <v>41334</v>
      </c>
      <c r="B143" s="338">
        <v>41364</v>
      </c>
      <c r="C143" s="339">
        <v>575.1</v>
      </c>
      <c r="D143" s="340" t="s">
        <v>77</v>
      </c>
      <c r="E143" s="71" t="s">
        <v>1007</v>
      </c>
      <c r="F143" s="71">
        <v>2013</v>
      </c>
      <c r="H143" s="336"/>
      <c r="I143" s="336"/>
      <c r="J143" s="337"/>
      <c r="K143" s="337"/>
    </row>
    <row r="144" spans="1:11">
      <c r="A144" s="338">
        <v>41365</v>
      </c>
      <c r="B144" s="338">
        <v>41394</v>
      </c>
      <c r="C144" s="339">
        <v>358.6</v>
      </c>
      <c r="D144" s="340" t="s">
        <v>77</v>
      </c>
      <c r="E144" s="71" t="s">
        <v>1008</v>
      </c>
      <c r="F144" s="71">
        <v>2013</v>
      </c>
      <c r="H144" s="336"/>
      <c r="I144" s="336"/>
      <c r="J144" s="337"/>
      <c r="K144" s="337"/>
    </row>
    <row r="145" spans="1:11">
      <c r="A145" s="338">
        <v>41395</v>
      </c>
      <c r="B145" s="338">
        <v>41425</v>
      </c>
      <c r="C145" s="339">
        <v>106.5</v>
      </c>
      <c r="D145" s="340" t="s">
        <v>77</v>
      </c>
      <c r="E145" s="71" t="s">
        <v>1009</v>
      </c>
      <c r="F145" s="71">
        <v>2013</v>
      </c>
      <c r="H145" s="336"/>
      <c r="I145" s="336"/>
      <c r="J145" s="337"/>
      <c r="K145" s="337"/>
    </row>
    <row r="146" spans="1:11">
      <c r="A146" s="338">
        <v>41426</v>
      </c>
      <c r="B146" s="338">
        <v>41455</v>
      </c>
      <c r="C146" s="339">
        <v>47.7</v>
      </c>
      <c r="D146" s="340" t="s">
        <v>77</v>
      </c>
      <c r="E146" s="71" t="s">
        <v>1010</v>
      </c>
      <c r="F146" s="71">
        <v>2013</v>
      </c>
      <c r="H146" s="336"/>
      <c r="I146" s="336"/>
      <c r="J146" s="337"/>
      <c r="K146" s="337"/>
    </row>
    <row r="147" spans="1:11">
      <c r="A147" s="338">
        <v>41456</v>
      </c>
      <c r="B147" s="338">
        <v>41486</v>
      </c>
      <c r="C147" s="339">
        <v>4.0999999999999996</v>
      </c>
      <c r="D147" s="340" t="s">
        <v>77</v>
      </c>
      <c r="E147" s="71" t="s">
        <v>1011</v>
      </c>
      <c r="F147" s="71">
        <v>2013</v>
      </c>
      <c r="H147" s="336"/>
      <c r="I147" s="336"/>
      <c r="J147" s="337"/>
      <c r="K147" s="337"/>
    </row>
    <row r="148" spans="1:11">
      <c r="A148" s="338">
        <v>41487</v>
      </c>
      <c r="B148" s="338">
        <v>41517</v>
      </c>
      <c r="C148" s="339">
        <v>3.4</v>
      </c>
      <c r="D148" s="340" t="s">
        <v>77</v>
      </c>
      <c r="E148" s="71" t="s">
        <v>1012</v>
      </c>
      <c r="F148" s="71">
        <v>2013</v>
      </c>
    </row>
    <row r="149" spans="1:11">
      <c r="A149" s="338">
        <v>41518</v>
      </c>
      <c r="B149" s="338">
        <v>41547</v>
      </c>
      <c r="C149" s="339">
        <v>99.5</v>
      </c>
      <c r="D149" s="340" t="s">
        <v>77</v>
      </c>
      <c r="E149" s="71" t="s">
        <v>1013</v>
      </c>
      <c r="F149" s="71">
        <v>2013</v>
      </c>
    </row>
    <row r="150" spans="1:11">
      <c r="A150" s="338">
        <v>41548</v>
      </c>
      <c r="B150" s="338">
        <v>41578</v>
      </c>
      <c r="C150" s="339">
        <v>236.5</v>
      </c>
      <c r="D150" s="340" t="s">
        <v>77</v>
      </c>
      <c r="E150" s="71" t="s">
        <v>1014</v>
      </c>
      <c r="F150" s="71">
        <v>2013</v>
      </c>
    </row>
    <row r="151" spans="1:11">
      <c r="A151" s="338">
        <v>41579</v>
      </c>
      <c r="B151" s="338">
        <v>41608</v>
      </c>
      <c r="C151" s="339">
        <v>514</v>
      </c>
      <c r="D151" s="340" t="s">
        <v>77</v>
      </c>
      <c r="E151" s="71" t="s">
        <v>1015</v>
      </c>
      <c r="F151" s="71">
        <v>2013</v>
      </c>
    </row>
    <row r="152" spans="1:11">
      <c r="A152" s="338">
        <v>41609</v>
      </c>
      <c r="B152" s="338">
        <v>41639</v>
      </c>
      <c r="C152" s="339">
        <v>817.5</v>
      </c>
      <c r="D152" s="340" t="s">
        <v>77</v>
      </c>
      <c r="E152" s="71" t="s">
        <v>1016</v>
      </c>
      <c r="F152" s="71">
        <v>2013</v>
      </c>
    </row>
    <row r="153" spans="1:11">
      <c r="A153" s="338">
        <v>41640</v>
      </c>
      <c r="B153" s="338">
        <v>41670</v>
      </c>
      <c r="C153" s="339">
        <v>873.9</v>
      </c>
      <c r="D153" s="340" t="s">
        <v>77</v>
      </c>
      <c r="E153" s="71" t="s">
        <v>1005</v>
      </c>
      <c r="F153" s="71">
        <v>2014</v>
      </c>
    </row>
    <row r="154" spans="1:11">
      <c r="A154" s="338">
        <v>41671</v>
      </c>
      <c r="B154" s="338">
        <v>41698</v>
      </c>
      <c r="C154" s="339">
        <v>754.6</v>
      </c>
      <c r="D154" s="340" t="s">
        <v>77</v>
      </c>
      <c r="E154" s="71" t="s">
        <v>1006</v>
      </c>
      <c r="F154" s="71">
        <v>2014</v>
      </c>
    </row>
    <row r="155" spans="1:11">
      <c r="A155" s="338">
        <v>41699</v>
      </c>
      <c r="B155" s="338">
        <v>41729</v>
      </c>
      <c r="C155" s="339">
        <v>746.2</v>
      </c>
      <c r="D155" s="340" t="s">
        <v>77</v>
      </c>
      <c r="E155" s="71" t="s">
        <v>1007</v>
      </c>
      <c r="F155" s="71">
        <v>2014</v>
      </c>
    </row>
    <row r="156" spans="1:11">
      <c r="A156" s="338">
        <v>41730</v>
      </c>
      <c r="B156" s="338">
        <v>41759</v>
      </c>
      <c r="C156" s="339">
        <v>368.1</v>
      </c>
      <c r="D156" s="340" t="s">
        <v>77</v>
      </c>
      <c r="E156" s="71" t="s">
        <v>1008</v>
      </c>
      <c r="F156" s="71">
        <v>2014</v>
      </c>
    </row>
    <row r="157" spans="1:11">
      <c r="A157" s="338">
        <v>41760</v>
      </c>
      <c r="B157" s="338">
        <v>41790</v>
      </c>
      <c r="C157" s="339">
        <v>118.9</v>
      </c>
      <c r="D157" s="340" t="s">
        <v>77</v>
      </c>
      <c r="E157" s="71" t="s">
        <v>1009</v>
      </c>
      <c r="F157" s="71">
        <v>2014</v>
      </c>
    </row>
    <row r="158" spans="1:11">
      <c r="A158" s="338">
        <v>41791</v>
      </c>
      <c r="B158" s="338">
        <v>41820</v>
      </c>
      <c r="C158" s="339">
        <v>10.1</v>
      </c>
      <c r="D158" s="340" t="s">
        <v>77</v>
      </c>
      <c r="E158" s="71" t="s">
        <v>1010</v>
      </c>
      <c r="F158" s="71">
        <v>2014</v>
      </c>
    </row>
    <row r="159" spans="1:11">
      <c r="A159" s="338">
        <v>41821</v>
      </c>
      <c r="B159" s="338">
        <v>41851</v>
      </c>
      <c r="C159" s="339">
        <v>2.9</v>
      </c>
      <c r="D159" s="340" t="s">
        <v>77</v>
      </c>
      <c r="E159" s="71" t="s">
        <v>1011</v>
      </c>
      <c r="F159" s="71">
        <v>2014</v>
      </c>
    </row>
    <row r="160" spans="1:11">
      <c r="A160" s="338">
        <v>41852</v>
      </c>
      <c r="B160" s="338">
        <v>41882</v>
      </c>
      <c r="C160" s="339">
        <v>10.6</v>
      </c>
      <c r="D160" s="340" t="s">
        <v>77</v>
      </c>
      <c r="E160" s="71" t="s">
        <v>1012</v>
      </c>
      <c r="F160" s="71">
        <v>2014</v>
      </c>
    </row>
    <row r="161" spans="1:6">
      <c r="A161" s="338">
        <v>41883</v>
      </c>
      <c r="B161" s="338">
        <v>41912</v>
      </c>
      <c r="C161" s="339">
        <v>97.6</v>
      </c>
      <c r="D161" s="340" t="s">
        <v>77</v>
      </c>
      <c r="E161" s="71" t="s">
        <v>1013</v>
      </c>
      <c r="F161" s="71">
        <v>2014</v>
      </c>
    </row>
    <row r="162" spans="1:6">
      <c r="A162" s="338">
        <v>41913</v>
      </c>
      <c r="B162" s="338">
        <v>41943</v>
      </c>
      <c r="C162" s="339">
        <v>224.1</v>
      </c>
      <c r="D162" s="340" t="s">
        <v>77</v>
      </c>
      <c r="E162" s="71" t="s">
        <v>1014</v>
      </c>
      <c r="F162" s="71">
        <v>2014</v>
      </c>
    </row>
    <row r="163" spans="1:6">
      <c r="A163" s="338">
        <v>41944</v>
      </c>
      <c r="B163" s="338">
        <v>41973</v>
      </c>
      <c r="C163" s="339">
        <v>484</v>
      </c>
      <c r="D163" s="340" t="s">
        <v>77</v>
      </c>
      <c r="E163" s="71" t="s">
        <v>1015</v>
      </c>
      <c r="F163" s="71">
        <v>2014</v>
      </c>
    </row>
    <row r="164" spans="1:6">
      <c r="A164" s="338">
        <v>41974</v>
      </c>
      <c r="B164" s="338">
        <v>42004</v>
      </c>
      <c r="C164" s="339">
        <v>664.7</v>
      </c>
      <c r="D164" s="340" t="s">
        <v>77</v>
      </c>
      <c r="E164" s="71" t="s">
        <v>1016</v>
      </c>
      <c r="F164" s="71">
        <v>2014</v>
      </c>
    </row>
    <row r="165" spans="1:6">
      <c r="A165" s="338">
        <v>42005</v>
      </c>
      <c r="B165" s="338">
        <v>42035</v>
      </c>
      <c r="C165" s="339">
        <v>926.3</v>
      </c>
      <c r="D165" s="340" t="s">
        <v>77</v>
      </c>
      <c r="E165" s="71" t="s">
        <v>1005</v>
      </c>
      <c r="F165" s="71">
        <v>2015</v>
      </c>
    </row>
    <row r="166" spans="1:6">
      <c r="A166" s="338">
        <v>42036</v>
      </c>
      <c r="B166" s="338">
        <v>42063</v>
      </c>
      <c r="C166" s="339">
        <v>929.3</v>
      </c>
      <c r="D166" s="340" t="s">
        <v>77</v>
      </c>
      <c r="E166" s="71" t="s">
        <v>1006</v>
      </c>
      <c r="F166" s="71">
        <v>2015</v>
      </c>
    </row>
    <row r="167" spans="1:6">
      <c r="A167" s="338">
        <v>42064</v>
      </c>
      <c r="B167" s="338">
        <v>42094</v>
      </c>
      <c r="C167" s="339">
        <v>706.5</v>
      </c>
      <c r="D167" s="340" t="s">
        <v>77</v>
      </c>
      <c r="E167" s="71" t="s">
        <v>1007</v>
      </c>
      <c r="F167" s="71">
        <v>2015</v>
      </c>
    </row>
    <row r="168" spans="1:6">
      <c r="A168" s="338">
        <v>42095</v>
      </c>
      <c r="B168" s="338">
        <v>42124</v>
      </c>
      <c r="C168" s="339">
        <v>351.6</v>
      </c>
      <c r="D168" s="340" t="s">
        <v>77</v>
      </c>
      <c r="E168" s="71" t="s">
        <v>1008</v>
      </c>
      <c r="F168" s="71">
        <v>2015</v>
      </c>
    </row>
    <row r="169" spans="1:6">
      <c r="A169" s="338">
        <v>42125</v>
      </c>
      <c r="B169" s="338">
        <v>42155</v>
      </c>
      <c r="C169" s="339">
        <v>73</v>
      </c>
      <c r="D169" s="340" t="s">
        <v>77</v>
      </c>
      <c r="E169" s="71" t="s">
        <v>1009</v>
      </c>
      <c r="F169" s="71">
        <v>2015</v>
      </c>
    </row>
    <row r="170" spans="1:6">
      <c r="A170" s="338">
        <v>42156</v>
      </c>
      <c r="B170" s="338">
        <v>42185</v>
      </c>
      <c r="C170" s="339">
        <v>40.1</v>
      </c>
      <c r="D170" s="340" t="s">
        <v>77</v>
      </c>
      <c r="E170" s="71" t="s">
        <v>1010</v>
      </c>
      <c r="F170" s="71">
        <v>2015</v>
      </c>
    </row>
    <row r="171" spans="1:6">
      <c r="A171" s="338">
        <v>42186</v>
      </c>
      <c r="B171" s="338">
        <v>42216</v>
      </c>
      <c r="C171" s="339">
        <v>1.1000000000000001</v>
      </c>
      <c r="D171" s="340" t="s">
        <v>77</v>
      </c>
      <c r="E171" s="71" t="s">
        <v>1011</v>
      </c>
      <c r="F171" s="71">
        <v>2015</v>
      </c>
    </row>
    <row r="172" spans="1:6">
      <c r="A172" s="338">
        <v>42217</v>
      </c>
      <c r="B172" s="338">
        <v>42247</v>
      </c>
      <c r="C172" s="339">
        <v>0.9</v>
      </c>
      <c r="D172" s="340" t="s">
        <v>77</v>
      </c>
      <c r="E172" s="71" t="s">
        <v>1012</v>
      </c>
      <c r="F172" s="71">
        <v>2015</v>
      </c>
    </row>
    <row r="173" spans="1:6">
      <c r="A173" s="338">
        <v>42248</v>
      </c>
      <c r="B173" s="338">
        <v>42277</v>
      </c>
      <c r="C173" s="339">
        <v>39.5</v>
      </c>
      <c r="D173" s="340" t="s">
        <v>77</v>
      </c>
      <c r="E173" s="71" t="s">
        <v>1013</v>
      </c>
      <c r="F173" s="71">
        <v>2015</v>
      </c>
    </row>
    <row r="174" spans="1:6">
      <c r="A174" s="338">
        <v>42278</v>
      </c>
      <c r="B174" s="338">
        <v>42308</v>
      </c>
      <c r="C174" s="339">
        <v>311.7</v>
      </c>
      <c r="D174" s="340" t="s">
        <v>77</v>
      </c>
      <c r="E174" s="71" t="s">
        <v>1014</v>
      </c>
      <c r="F174" s="71">
        <v>2015</v>
      </c>
    </row>
    <row r="175" spans="1:6">
      <c r="A175" s="338">
        <v>42309</v>
      </c>
      <c r="B175" s="338">
        <v>42338</v>
      </c>
      <c r="C175" s="339">
        <v>384.2</v>
      </c>
      <c r="D175" s="340" t="s">
        <v>77</v>
      </c>
      <c r="E175" s="71" t="s">
        <v>1015</v>
      </c>
      <c r="F175" s="71">
        <v>2015</v>
      </c>
    </row>
    <row r="176" spans="1:6">
      <c r="A176" s="338">
        <v>42339</v>
      </c>
      <c r="B176" s="338">
        <v>42369</v>
      </c>
      <c r="C176" s="339">
        <v>489.7</v>
      </c>
      <c r="D176" s="340" t="s">
        <v>77</v>
      </c>
      <c r="E176" s="71" t="s">
        <v>1016</v>
      </c>
      <c r="F176" s="71">
        <v>2015</v>
      </c>
    </row>
    <row r="177" spans="1:6">
      <c r="A177" s="338">
        <v>42370</v>
      </c>
      <c r="B177" s="338">
        <v>42400</v>
      </c>
      <c r="C177" s="339">
        <v>723</v>
      </c>
      <c r="D177" s="340" t="s">
        <v>77</v>
      </c>
      <c r="E177" s="71" t="s">
        <v>1005</v>
      </c>
      <c r="F177" s="71">
        <v>2016</v>
      </c>
    </row>
    <row r="178" spans="1:6">
      <c r="A178" s="338">
        <v>42401</v>
      </c>
      <c r="B178" s="338">
        <v>42429</v>
      </c>
      <c r="C178" s="339">
        <v>641.79999999999995</v>
      </c>
      <c r="D178" s="340" t="s">
        <v>77</v>
      </c>
      <c r="E178" s="71" t="s">
        <v>1006</v>
      </c>
      <c r="F178" s="71">
        <v>2016</v>
      </c>
    </row>
    <row r="179" spans="1:6">
      <c r="A179" s="338">
        <v>42430</v>
      </c>
      <c r="B179" s="338">
        <v>42460</v>
      </c>
      <c r="C179" s="339">
        <v>554.79999999999995</v>
      </c>
      <c r="D179" s="340" t="s">
        <v>77</v>
      </c>
      <c r="E179" s="71" t="s">
        <v>1007</v>
      </c>
      <c r="F179" s="71">
        <v>2016</v>
      </c>
    </row>
    <row r="180" spans="1:6">
      <c r="A180" s="338">
        <v>42461</v>
      </c>
      <c r="B180" s="338">
        <v>42490</v>
      </c>
      <c r="C180" s="339">
        <v>417.7</v>
      </c>
      <c r="D180" s="340" t="s">
        <v>77</v>
      </c>
      <c r="E180" s="71" t="s">
        <v>1008</v>
      </c>
      <c r="F180" s="71">
        <v>2016</v>
      </c>
    </row>
    <row r="181" spans="1:6">
      <c r="A181" s="338">
        <v>42491</v>
      </c>
      <c r="B181" s="338">
        <v>42521</v>
      </c>
      <c r="C181" s="339">
        <v>132.19999999999999</v>
      </c>
      <c r="D181" s="340" t="s">
        <v>77</v>
      </c>
      <c r="E181" s="71" t="s">
        <v>1009</v>
      </c>
      <c r="F181" s="71">
        <v>2016</v>
      </c>
    </row>
    <row r="182" spans="1:6">
      <c r="A182" s="338">
        <v>42522</v>
      </c>
      <c r="B182" s="338">
        <v>42551</v>
      </c>
      <c r="C182" s="339">
        <v>31.2</v>
      </c>
      <c r="D182" s="340" t="s">
        <v>77</v>
      </c>
      <c r="E182" s="71" t="s">
        <v>1010</v>
      </c>
      <c r="F182" s="71">
        <v>2016</v>
      </c>
    </row>
    <row r="183" spans="1:6">
      <c r="A183" s="338">
        <v>42552</v>
      </c>
      <c r="B183" s="338">
        <v>42582</v>
      </c>
      <c r="C183" s="339">
        <v>3.4</v>
      </c>
      <c r="D183" s="340" t="s">
        <v>77</v>
      </c>
      <c r="E183" s="71" t="s">
        <v>1011</v>
      </c>
      <c r="F183" s="71">
        <v>2016</v>
      </c>
    </row>
    <row r="184" spans="1:6">
      <c r="A184" s="338">
        <v>42583</v>
      </c>
      <c r="B184" s="338">
        <v>42613</v>
      </c>
      <c r="C184" s="339">
        <v>0.6</v>
      </c>
      <c r="D184" s="340" t="s">
        <v>77</v>
      </c>
      <c r="E184" s="71" t="s">
        <v>1012</v>
      </c>
      <c r="F184" s="71">
        <v>2016</v>
      </c>
    </row>
    <row r="185" spans="1:6">
      <c r="A185" s="338">
        <v>42614</v>
      </c>
      <c r="B185" s="338">
        <v>42643</v>
      </c>
      <c r="C185" s="339">
        <v>48</v>
      </c>
      <c r="D185" s="340" t="s">
        <v>77</v>
      </c>
      <c r="E185" s="71" t="s">
        <v>1013</v>
      </c>
      <c r="F185" s="71">
        <v>2016</v>
      </c>
    </row>
    <row r="186" spans="1:6">
      <c r="A186" s="338">
        <v>42644</v>
      </c>
      <c r="B186" s="338">
        <v>42674</v>
      </c>
      <c r="C186" s="339">
        <v>254.1</v>
      </c>
      <c r="D186" s="340" t="s">
        <v>77</v>
      </c>
      <c r="E186" s="71" t="s">
        <v>1014</v>
      </c>
      <c r="F186" s="71">
        <v>2016</v>
      </c>
    </row>
    <row r="187" spans="1:6">
      <c r="A187" s="338">
        <v>42675</v>
      </c>
      <c r="B187" s="338">
        <v>42704</v>
      </c>
      <c r="C187" s="339">
        <v>406.9</v>
      </c>
      <c r="D187" s="340" t="s">
        <v>77</v>
      </c>
      <c r="E187" s="71" t="s">
        <v>1015</v>
      </c>
      <c r="F187" s="71">
        <v>2016</v>
      </c>
    </row>
    <row r="188" spans="1:6">
      <c r="A188" s="338">
        <v>42705</v>
      </c>
      <c r="B188" s="338">
        <v>42735</v>
      </c>
      <c r="C188" s="339">
        <v>690.4</v>
      </c>
      <c r="D188" s="340" t="s">
        <v>77</v>
      </c>
      <c r="E188" s="71" t="s">
        <v>1016</v>
      </c>
      <c r="F188" s="71">
        <v>2016</v>
      </c>
    </row>
    <row r="189" spans="1:6">
      <c r="A189" s="338">
        <v>42736</v>
      </c>
      <c r="B189" s="338">
        <v>42766</v>
      </c>
      <c r="C189" s="339">
        <v>699</v>
      </c>
      <c r="D189" s="340" t="s">
        <v>77</v>
      </c>
      <c r="E189" s="71" t="s">
        <v>1005</v>
      </c>
      <c r="F189" s="71">
        <v>2017</v>
      </c>
    </row>
    <row r="190" spans="1:6">
      <c r="A190" s="338">
        <v>42767</v>
      </c>
      <c r="B190" s="338">
        <v>42794</v>
      </c>
      <c r="C190" s="339">
        <v>607.5</v>
      </c>
      <c r="D190" s="340" t="s">
        <v>77</v>
      </c>
      <c r="E190" s="71" t="s">
        <v>1006</v>
      </c>
      <c r="F190" s="71">
        <v>2017</v>
      </c>
    </row>
    <row r="191" spans="1:6">
      <c r="A191" s="338">
        <v>42795</v>
      </c>
      <c r="B191" s="338">
        <v>42825</v>
      </c>
      <c r="C191" s="339">
        <v>660.9</v>
      </c>
      <c r="D191" s="340" t="s">
        <v>77</v>
      </c>
      <c r="E191" s="71" t="s">
        <v>1007</v>
      </c>
      <c r="F191" s="71">
        <v>2017</v>
      </c>
    </row>
    <row r="192" spans="1:6">
      <c r="A192" s="338">
        <v>42826</v>
      </c>
      <c r="B192" s="338">
        <v>42855</v>
      </c>
      <c r="C192" s="339">
        <v>300.7</v>
      </c>
      <c r="D192" s="340" t="s">
        <v>77</v>
      </c>
      <c r="E192" s="71" t="s">
        <v>1008</v>
      </c>
      <c r="F192" s="71">
        <v>2017</v>
      </c>
    </row>
    <row r="193" spans="1:6">
      <c r="A193" s="338">
        <v>42856</v>
      </c>
      <c r="B193" s="338">
        <v>42886</v>
      </c>
      <c r="C193" s="339">
        <v>157.30000000000001</v>
      </c>
      <c r="D193" s="340" t="s">
        <v>77</v>
      </c>
      <c r="E193" s="71" t="s">
        <v>1009</v>
      </c>
      <c r="F193" s="71">
        <v>2017</v>
      </c>
    </row>
    <row r="194" spans="1:6">
      <c r="A194" s="338">
        <v>42887</v>
      </c>
      <c r="B194" s="338">
        <v>42916</v>
      </c>
      <c r="C194" s="339">
        <v>30.2</v>
      </c>
      <c r="D194" s="340" t="s">
        <v>77</v>
      </c>
      <c r="E194" s="71" t="s">
        <v>1010</v>
      </c>
      <c r="F194" s="71">
        <v>2017</v>
      </c>
    </row>
    <row r="195" spans="1:6">
      <c r="A195" s="338">
        <v>42917</v>
      </c>
      <c r="B195" s="338">
        <v>42947</v>
      </c>
      <c r="C195" s="339">
        <v>0.8</v>
      </c>
      <c r="D195" s="340" t="s">
        <v>77</v>
      </c>
      <c r="E195" s="71" t="s">
        <v>1011</v>
      </c>
      <c r="F195" s="71">
        <v>2017</v>
      </c>
    </row>
    <row r="196" spans="1:6">
      <c r="A196" s="338">
        <v>42948</v>
      </c>
      <c r="B196" s="338">
        <v>42978</v>
      </c>
      <c r="C196" s="339">
        <v>14</v>
      </c>
      <c r="D196" s="340" t="s">
        <v>77</v>
      </c>
      <c r="E196" s="71" t="s">
        <v>1012</v>
      </c>
      <c r="F196" s="71">
        <v>2017</v>
      </c>
    </row>
    <row r="197" spans="1:6">
      <c r="A197" s="338">
        <v>42979</v>
      </c>
      <c r="B197" s="338">
        <v>43008</v>
      </c>
      <c r="C197" s="339">
        <v>51.8</v>
      </c>
      <c r="D197" s="340" t="s">
        <v>77</v>
      </c>
      <c r="E197" s="71" t="s">
        <v>1013</v>
      </c>
      <c r="F197" s="71">
        <v>2017</v>
      </c>
    </row>
    <row r="198" spans="1:6">
      <c r="A198" s="338">
        <v>43009</v>
      </c>
      <c r="B198" s="338">
        <v>43039</v>
      </c>
      <c r="C198" s="339">
        <v>14</v>
      </c>
      <c r="D198" s="340" t="s">
        <v>77</v>
      </c>
      <c r="E198" s="71" t="s">
        <v>1014</v>
      </c>
      <c r="F198" s="71">
        <v>2017</v>
      </c>
    </row>
    <row r="199" spans="1:6">
      <c r="A199" s="338">
        <v>43040</v>
      </c>
      <c r="B199" s="338">
        <v>43069</v>
      </c>
      <c r="C199" s="339">
        <v>479.5</v>
      </c>
      <c r="D199" s="340" t="s">
        <v>77</v>
      </c>
      <c r="E199" s="71" t="s">
        <v>1015</v>
      </c>
      <c r="F199" s="71">
        <v>2017</v>
      </c>
    </row>
    <row r="200" spans="1:6">
      <c r="A200" s="338">
        <v>43070</v>
      </c>
      <c r="B200" s="338">
        <v>43100</v>
      </c>
      <c r="C200" s="339">
        <v>823.6</v>
      </c>
      <c r="D200" s="340" t="s">
        <v>77</v>
      </c>
      <c r="E200" s="71" t="s">
        <v>1016</v>
      </c>
      <c r="F200" s="71">
        <v>2017</v>
      </c>
    </row>
    <row r="201" spans="1:6">
      <c r="A201" s="338">
        <v>43101</v>
      </c>
      <c r="B201" s="338">
        <v>43131</v>
      </c>
      <c r="C201" s="339">
        <v>859.2</v>
      </c>
      <c r="D201" s="340" t="s">
        <v>77</v>
      </c>
      <c r="E201" s="71" t="s">
        <v>1005</v>
      </c>
      <c r="F201" s="71">
        <v>2018</v>
      </c>
    </row>
    <row r="202" spans="1:6">
      <c r="A202" s="338">
        <v>43132</v>
      </c>
      <c r="B202" s="338">
        <v>43159</v>
      </c>
      <c r="C202" s="339">
        <v>631.79999999999995</v>
      </c>
      <c r="D202" s="340" t="s">
        <v>77</v>
      </c>
      <c r="E202" s="71" t="s">
        <v>1006</v>
      </c>
      <c r="F202" s="71">
        <v>2018</v>
      </c>
    </row>
    <row r="203" spans="1:6">
      <c r="A203" s="338">
        <v>43160</v>
      </c>
      <c r="B203" s="338">
        <v>43190</v>
      </c>
      <c r="C203" s="339">
        <v>586.5</v>
      </c>
      <c r="D203" s="340" t="s">
        <v>77</v>
      </c>
      <c r="E203" s="71" t="s">
        <v>1007</v>
      </c>
      <c r="F203" s="71">
        <v>2018</v>
      </c>
    </row>
    <row r="204" spans="1:6">
      <c r="A204" s="338">
        <v>43191</v>
      </c>
      <c r="B204" s="338">
        <v>43220</v>
      </c>
      <c r="C204" s="339">
        <v>422.4</v>
      </c>
      <c r="D204" s="340" t="s">
        <v>77</v>
      </c>
      <c r="E204" s="71" t="s">
        <v>1008</v>
      </c>
      <c r="F204" s="71">
        <v>2018</v>
      </c>
    </row>
    <row r="205" spans="1:6">
      <c r="A205" s="338">
        <v>43221</v>
      </c>
      <c r="B205" s="338">
        <v>43251</v>
      </c>
      <c r="C205" s="339">
        <v>80.3</v>
      </c>
      <c r="D205" s="340" t="s">
        <v>77</v>
      </c>
      <c r="E205" s="71" t="s">
        <v>1009</v>
      </c>
      <c r="F205" s="71">
        <v>2018</v>
      </c>
    </row>
    <row r="206" spans="1:6">
      <c r="A206" s="338">
        <v>43252</v>
      </c>
      <c r="B206" s="338">
        <v>43281</v>
      </c>
      <c r="C206" s="339">
        <v>0</v>
      </c>
      <c r="D206" s="340" t="s">
        <v>77</v>
      </c>
      <c r="E206" s="71" t="s">
        <v>1010</v>
      </c>
      <c r="F206" s="71">
        <v>2018</v>
      </c>
    </row>
    <row r="207" spans="1:6">
      <c r="A207" s="338">
        <v>43282</v>
      </c>
      <c r="B207" s="338">
        <v>43312</v>
      </c>
      <c r="C207" s="339">
        <v>0</v>
      </c>
      <c r="D207" s="340" t="s">
        <v>77</v>
      </c>
      <c r="E207" s="71" t="s">
        <v>1011</v>
      </c>
      <c r="F207" s="71">
        <v>2018</v>
      </c>
    </row>
    <row r="208" spans="1:6">
      <c r="A208" s="338">
        <v>43313</v>
      </c>
      <c r="B208" s="338">
        <v>43343</v>
      </c>
      <c r="C208" s="339">
        <v>0</v>
      </c>
      <c r="D208" s="340" t="s">
        <v>77</v>
      </c>
      <c r="E208" s="71" t="s">
        <v>1012</v>
      </c>
      <c r="F208" s="71">
        <v>2018</v>
      </c>
    </row>
    <row r="209" spans="1:6">
      <c r="A209" s="338">
        <v>43344</v>
      </c>
      <c r="B209" s="338">
        <v>43373</v>
      </c>
      <c r="C209" s="339">
        <v>0</v>
      </c>
      <c r="D209" s="340" t="s">
        <v>77</v>
      </c>
      <c r="E209" s="71" t="s">
        <v>1013</v>
      </c>
      <c r="F209" s="71">
        <v>2018</v>
      </c>
    </row>
    <row r="210" spans="1:6">
      <c r="A210" s="338">
        <v>43374</v>
      </c>
      <c r="B210" s="338">
        <v>43404</v>
      </c>
      <c r="C210" s="339">
        <v>0</v>
      </c>
      <c r="D210" s="340" t="s">
        <v>77</v>
      </c>
      <c r="E210" s="71" t="s">
        <v>1014</v>
      </c>
      <c r="F210" s="71">
        <v>2018</v>
      </c>
    </row>
    <row r="211" spans="1:6">
      <c r="A211" s="338">
        <v>43405</v>
      </c>
      <c r="B211" s="338">
        <v>43434</v>
      </c>
      <c r="C211" s="339">
        <v>0</v>
      </c>
      <c r="D211" s="340" t="s">
        <v>77</v>
      </c>
      <c r="E211" s="71" t="s">
        <v>1015</v>
      </c>
      <c r="F211" s="71">
        <v>2018</v>
      </c>
    </row>
    <row r="212" spans="1:6">
      <c r="A212" s="338">
        <v>43435</v>
      </c>
      <c r="B212" s="338">
        <v>43465</v>
      </c>
      <c r="C212" s="339">
        <v>0</v>
      </c>
      <c r="D212" s="340" t="s">
        <v>77</v>
      </c>
      <c r="E212" s="71" t="s">
        <v>1016</v>
      </c>
      <c r="F212" s="71">
        <v>2018</v>
      </c>
    </row>
    <row r="213" spans="1:6">
      <c r="A213" s="338">
        <v>43466</v>
      </c>
      <c r="B213" s="338">
        <v>43496</v>
      </c>
      <c r="C213" s="339">
        <v>0</v>
      </c>
      <c r="D213" s="340" t="s">
        <v>77</v>
      </c>
      <c r="E213" s="71" t="s">
        <v>1005</v>
      </c>
      <c r="F213" s="71">
        <v>2019</v>
      </c>
    </row>
    <row r="214" spans="1:6">
      <c r="A214" s="338">
        <v>43497</v>
      </c>
      <c r="B214" s="338">
        <v>43524</v>
      </c>
      <c r="C214" s="339">
        <v>0</v>
      </c>
      <c r="D214" s="340" t="s">
        <v>77</v>
      </c>
      <c r="E214" s="71" t="s">
        <v>1006</v>
      </c>
      <c r="F214" s="71">
        <v>2019</v>
      </c>
    </row>
    <row r="215" spans="1:6">
      <c r="A215" s="338">
        <v>43525</v>
      </c>
      <c r="B215" s="338">
        <v>43555</v>
      </c>
      <c r="C215" s="339">
        <v>0</v>
      </c>
      <c r="D215" s="340" t="s">
        <v>77</v>
      </c>
      <c r="E215" s="71" t="s">
        <v>1007</v>
      </c>
      <c r="F215" s="71">
        <v>2019</v>
      </c>
    </row>
    <row r="216" spans="1:6">
      <c r="A216" s="338">
        <v>43556</v>
      </c>
      <c r="B216" s="338">
        <v>43585</v>
      </c>
      <c r="C216" s="339">
        <v>0</v>
      </c>
      <c r="D216" s="340" t="s">
        <v>77</v>
      </c>
      <c r="E216" s="71" t="s">
        <v>1008</v>
      </c>
      <c r="F216" s="71">
        <v>2019</v>
      </c>
    </row>
    <row r="217" spans="1:6">
      <c r="A217" s="338">
        <v>43586</v>
      </c>
      <c r="B217" s="338">
        <v>43616</v>
      </c>
      <c r="C217" s="339">
        <v>0</v>
      </c>
      <c r="D217" s="340" t="s">
        <v>77</v>
      </c>
      <c r="E217" s="71" t="s">
        <v>1009</v>
      </c>
      <c r="F217" s="71">
        <v>2019</v>
      </c>
    </row>
    <row r="218" spans="1:6">
      <c r="A218" s="338">
        <v>43617</v>
      </c>
      <c r="B218" s="338">
        <v>43646</v>
      </c>
      <c r="C218" s="339">
        <v>0</v>
      </c>
      <c r="D218" s="340" t="s">
        <v>77</v>
      </c>
      <c r="E218" s="71" t="s">
        <v>1010</v>
      </c>
      <c r="F218" s="71">
        <v>2019</v>
      </c>
    </row>
    <row r="219" spans="1:6">
      <c r="A219" s="338">
        <v>43647</v>
      </c>
      <c r="B219" s="338">
        <v>43677</v>
      </c>
      <c r="C219" s="339">
        <v>0</v>
      </c>
      <c r="D219" s="340" t="s">
        <v>77</v>
      </c>
      <c r="E219" s="71" t="s">
        <v>1011</v>
      </c>
      <c r="F219" s="71">
        <v>2019</v>
      </c>
    </row>
    <row r="220" spans="1:6">
      <c r="A220" s="338">
        <v>43678</v>
      </c>
      <c r="B220" s="338">
        <v>43708</v>
      </c>
      <c r="C220" s="339">
        <v>0</v>
      </c>
      <c r="D220" s="340" t="s">
        <v>77</v>
      </c>
      <c r="E220" s="71" t="s">
        <v>1012</v>
      </c>
      <c r="F220" s="71">
        <v>2019</v>
      </c>
    </row>
    <row r="221" spans="1:6">
      <c r="A221" s="338">
        <v>43709</v>
      </c>
      <c r="B221" s="338">
        <v>43738</v>
      </c>
      <c r="C221" s="339">
        <v>0</v>
      </c>
      <c r="D221" s="340" t="s">
        <v>77</v>
      </c>
      <c r="E221" s="71" t="s">
        <v>1013</v>
      </c>
      <c r="F221" s="71">
        <v>2019</v>
      </c>
    </row>
    <row r="222" spans="1:6">
      <c r="A222" s="338">
        <v>43739</v>
      </c>
      <c r="B222" s="338">
        <v>43769</v>
      </c>
      <c r="C222" s="339">
        <v>0</v>
      </c>
      <c r="D222" s="340" t="s">
        <v>77</v>
      </c>
      <c r="E222" s="71" t="s">
        <v>1014</v>
      </c>
      <c r="F222" s="71">
        <v>2019</v>
      </c>
    </row>
    <row r="223" spans="1:6">
      <c r="A223" s="338">
        <v>43770</v>
      </c>
      <c r="B223" s="338">
        <v>43799</v>
      </c>
      <c r="C223" s="339">
        <v>0</v>
      </c>
      <c r="D223" s="340" t="s">
        <v>77</v>
      </c>
      <c r="E223" s="71" t="s">
        <v>1015</v>
      </c>
      <c r="F223" s="71">
        <v>2019</v>
      </c>
    </row>
    <row r="224" spans="1:6">
      <c r="A224" s="338">
        <v>43800</v>
      </c>
      <c r="B224" s="338">
        <v>43830</v>
      </c>
      <c r="C224" s="339">
        <v>0</v>
      </c>
      <c r="D224" s="340" t="s">
        <v>77</v>
      </c>
      <c r="E224" s="71" t="s">
        <v>1016</v>
      </c>
      <c r="F224" s="71">
        <v>2019</v>
      </c>
    </row>
    <row r="225" spans="1:6">
      <c r="A225" s="338">
        <v>43831</v>
      </c>
      <c r="B225" s="338">
        <v>43861</v>
      </c>
      <c r="C225" s="339">
        <v>0</v>
      </c>
      <c r="D225" s="340" t="s">
        <v>77</v>
      </c>
      <c r="E225" s="71" t="s">
        <v>1005</v>
      </c>
      <c r="F225" s="71">
        <v>2020</v>
      </c>
    </row>
    <row r="226" spans="1:6">
      <c r="A226" s="338">
        <v>43862</v>
      </c>
      <c r="B226" s="338">
        <v>43890</v>
      </c>
      <c r="C226" s="339">
        <v>0</v>
      </c>
      <c r="D226" s="340" t="s">
        <v>77</v>
      </c>
      <c r="E226" s="71" t="s">
        <v>1006</v>
      </c>
      <c r="F226" s="71">
        <v>2020</v>
      </c>
    </row>
    <row r="227" spans="1:6">
      <c r="A227" s="338">
        <v>43891</v>
      </c>
      <c r="B227" s="338">
        <v>43921</v>
      </c>
      <c r="C227" s="339">
        <v>0</v>
      </c>
      <c r="D227" s="340" t="s">
        <v>77</v>
      </c>
      <c r="E227" s="71" t="s">
        <v>1007</v>
      </c>
      <c r="F227" s="71">
        <v>2020</v>
      </c>
    </row>
    <row r="228" spans="1:6">
      <c r="A228" s="338">
        <v>43922</v>
      </c>
      <c r="B228" s="338">
        <v>43951</v>
      </c>
      <c r="C228" s="339">
        <v>0</v>
      </c>
      <c r="D228" s="340" t="s">
        <v>77</v>
      </c>
      <c r="E228" s="71" t="s">
        <v>1008</v>
      </c>
      <c r="F228" s="71">
        <v>2020</v>
      </c>
    </row>
    <row r="229" spans="1:6">
      <c r="A229" s="338">
        <v>43952</v>
      </c>
      <c r="B229" s="338">
        <v>43982</v>
      </c>
      <c r="C229" s="339">
        <v>0</v>
      </c>
      <c r="D229" s="340" t="s">
        <v>77</v>
      </c>
      <c r="E229" s="71" t="s">
        <v>1009</v>
      </c>
      <c r="F229" s="71">
        <v>2020</v>
      </c>
    </row>
    <row r="230" spans="1:6">
      <c r="A230" s="338">
        <v>43983</v>
      </c>
      <c r="B230" s="338">
        <v>44012</v>
      </c>
      <c r="C230" s="339">
        <v>0</v>
      </c>
      <c r="D230" s="340" t="s">
        <v>77</v>
      </c>
      <c r="E230" s="71" t="s">
        <v>1010</v>
      </c>
      <c r="F230" s="71">
        <v>2020</v>
      </c>
    </row>
    <row r="231" spans="1:6">
      <c r="A231" s="338">
        <v>44013</v>
      </c>
      <c r="B231" s="338">
        <v>44043</v>
      </c>
      <c r="C231" s="339">
        <v>0</v>
      </c>
      <c r="D231" s="340" t="s">
        <v>77</v>
      </c>
      <c r="E231" s="71" t="s">
        <v>1011</v>
      </c>
      <c r="F231" s="71">
        <v>2020</v>
      </c>
    </row>
    <row r="232" spans="1:6">
      <c r="A232" s="338">
        <v>44044</v>
      </c>
      <c r="B232" s="338">
        <v>44074</v>
      </c>
      <c r="C232" s="339">
        <v>0</v>
      </c>
      <c r="D232" s="340" t="s">
        <v>77</v>
      </c>
      <c r="E232" s="71" t="s">
        <v>1012</v>
      </c>
      <c r="F232" s="71">
        <v>2020</v>
      </c>
    </row>
    <row r="233" spans="1:6">
      <c r="A233" s="338">
        <v>44075</v>
      </c>
      <c r="B233" s="338">
        <v>44104</v>
      </c>
      <c r="C233" s="339">
        <v>0</v>
      </c>
      <c r="D233" s="340" t="s">
        <v>77</v>
      </c>
      <c r="E233" s="71" t="s">
        <v>1013</v>
      </c>
      <c r="F233" s="71">
        <v>2020</v>
      </c>
    </row>
    <row r="234" spans="1:6">
      <c r="A234" s="338">
        <v>44105</v>
      </c>
      <c r="B234" s="338">
        <v>44135</v>
      </c>
      <c r="C234" s="339">
        <v>0</v>
      </c>
      <c r="D234" s="340" t="s">
        <v>77</v>
      </c>
      <c r="E234" s="71" t="s">
        <v>1014</v>
      </c>
      <c r="F234" s="71">
        <v>2020</v>
      </c>
    </row>
    <row r="235" spans="1:6">
      <c r="A235" s="338">
        <v>44136</v>
      </c>
      <c r="B235" s="338">
        <v>44165</v>
      </c>
      <c r="C235" s="339">
        <v>0</v>
      </c>
      <c r="D235" s="340" t="s">
        <v>77</v>
      </c>
      <c r="E235" s="71" t="s">
        <v>1015</v>
      </c>
      <c r="F235" s="71">
        <v>2020</v>
      </c>
    </row>
    <row r="236" spans="1:6">
      <c r="A236" s="338">
        <v>44166</v>
      </c>
      <c r="B236" s="338">
        <v>44196</v>
      </c>
      <c r="C236" s="339">
        <v>0</v>
      </c>
      <c r="D236" s="340" t="s">
        <v>77</v>
      </c>
      <c r="E236" s="71" t="s">
        <v>1016</v>
      </c>
      <c r="F236" s="71">
        <v>2020</v>
      </c>
    </row>
    <row r="237" spans="1:6">
      <c r="A237" s="338">
        <v>44197</v>
      </c>
      <c r="B237" s="338">
        <v>44227</v>
      </c>
      <c r="C237" s="339">
        <v>0</v>
      </c>
      <c r="D237" s="340" t="s">
        <v>77</v>
      </c>
      <c r="E237" s="71" t="s">
        <v>1005</v>
      </c>
      <c r="F237" s="71">
        <v>2021</v>
      </c>
    </row>
    <row r="238" spans="1:6">
      <c r="A238" s="338">
        <v>44228</v>
      </c>
      <c r="B238" s="338">
        <v>44255</v>
      </c>
      <c r="C238" s="339">
        <v>0</v>
      </c>
      <c r="D238" s="340" t="s">
        <v>77</v>
      </c>
      <c r="E238" s="71" t="s">
        <v>1006</v>
      </c>
      <c r="F238" s="71">
        <v>2021</v>
      </c>
    </row>
    <row r="239" spans="1:6">
      <c r="A239" s="338">
        <v>44256</v>
      </c>
      <c r="B239" s="338">
        <v>44286</v>
      </c>
      <c r="C239" s="339">
        <v>0</v>
      </c>
      <c r="D239" s="340" t="s">
        <v>77</v>
      </c>
      <c r="E239" s="71" t="s">
        <v>1007</v>
      </c>
      <c r="F239" s="71">
        <v>2021</v>
      </c>
    </row>
    <row r="240" spans="1:6">
      <c r="A240" s="338">
        <v>44287</v>
      </c>
      <c r="B240" s="338">
        <v>44316</v>
      </c>
      <c r="C240" s="339">
        <v>0</v>
      </c>
      <c r="D240" s="340" t="s">
        <v>77</v>
      </c>
      <c r="E240" s="71" t="s">
        <v>1008</v>
      </c>
      <c r="F240" s="71">
        <v>2021</v>
      </c>
    </row>
    <row r="241" spans="1:6">
      <c r="A241" s="338">
        <v>44317</v>
      </c>
      <c r="B241" s="338">
        <v>44347</v>
      </c>
      <c r="C241" s="339">
        <v>0</v>
      </c>
      <c r="D241" s="340" t="s">
        <v>77</v>
      </c>
      <c r="E241" s="71" t="s">
        <v>1009</v>
      </c>
      <c r="F241" s="71">
        <v>2021</v>
      </c>
    </row>
    <row r="242" spans="1:6">
      <c r="A242" s="338">
        <v>44348</v>
      </c>
      <c r="B242" s="338">
        <v>44377</v>
      </c>
      <c r="C242" s="339">
        <v>0</v>
      </c>
      <c r="D242" s="340" t="s">
        <v>77</v>
      </c>
      <c r="E242" s="71" t="s">
        <v>1010</v>
      </c>
      <c r="F242" s="71">
        <v>2021</v>
      </c>
    </row>
    <row r="243" spans="1:6">
      <c r="A243" s="338">
        <v>44378</v>
      </c>
      <c r="B243" s="338">
        <v>44408</v>
      </c>
      <c r="C243" s="339">
        <v>0</v>
      </c>
      <c r="D243" s="340" t="s">
        <v>77</v>
      </c>
      <c r="E243" s="71" t="s">
        <v>1011</v>
      </c>
      <c r="F243" s="71">
        <v>2021</v>
      </c>
    </row>
    <row r="244" spans="1:6">
      <c r="A244" s="338">
        <v>44409</v>
      </c>
      <c r="B244" s="338">
        <v>44439</v>
      </c>
      <c r="C244" s="339">
        <v>0</v>
      </c>
      <c r="D244" s="340" t="s">
        <v>77</v>
      </c>
      <c r="E244" s="71" t="s">
        <v>1012</v>
      </c>
      <c r="F244" s="71">
        <v>2021</v>
      </c>
    </row>
    <row r="245" spans="1:6">
      <c r="A245" s="78">
        <v>44440</v>
      </c>
      <c r="B245" s="78">
        <v>44469</v>
      </c>
      <c r="C245" s="71">
        <v>0</v>
      </c>
      <c r="D245" s="71" t="s">
        <v>77</v>
      </c>
      <c r="E245" s="71" t="s">
        <v>1013</v>
      </c>
      <c r="F245" s="71">
        <v>2021</v>
      </c>
    </row>
    <row r="246" spans="1:6">
      <c r="A246" s="78">
        <v>44470</v>
      </c>
      <c r="B246" s="78">
        <v>44500</v>
      </c>
      <c r="C246" s="71">
        <v>0</v>
      </c>
      <c r="D246" s="71" t="s">
        <v>77</v>
      </c>
      <c r="E246" s="71" t="s">
        <v>1014</v>
      </c>
      <c r="F246" s="71">
        <v>2021</v>
      </c>
    </row>
    <row r="247" spans="1:6">
      <c r="A247" s="78">
        <v>44501</v>
      </c>
      <c r="B247" s="78">
        <v>44530</v>
      </c>
      <c r="C247" s="71">
        <v>0</v>
      </c>
      <c r="D247" s="71" t="s">
        <v>77</v>
      </c>
      <c r="E247" s="71" t="s">
        <v>1015</v>
      </c>
      <c r="F247" s="71">
        <v>2021</v>
      </c>
    </row>
    <row r="248" spans="1:6">
      <c r="A248" s="78">
        <v>44531</v>
      </c>
      <c r="B248" s="78">
        <v>44561</v>
      </c>
      <c r="C248" s="71">
        <v>0</v>
      </c>
      <c r="D248" s="71" t="s">
        <v>77</v>
      </c>
      <c r="E248" s="71" t="s">
        <v>1016</v>
      </c>
      <c r="F248" s="71">
        <v>2021</v>
      </c>
    </row>
  </sheetData>
  <sheetProtection selectLockedCells="1"/>
  <mergeCells count="6">
    <mergeCell ref="I3:I4"/>
    <mergeCell ref="H1:K2"/>
    <mergeCell ref="B3:B4"/>
    <mergeCell ref="A3:A4"/>
    <mergeCell ref="A1:D2"/>
    <mergeCell ref="H3:H4"/>
  </mergeCells>
  <phoneticPr fontId="23" type="noConversion"/>
  <hyperlinks>
    <hyperlink ref="E134" r:id="rId1" display="source: AQME"/>
  </hyperlinks>
  <pageMargins left="0.70866141732283472" right="0.70866141732283472" top="0.74803149606299213" bottom="0.74803149606299213" header="0.31496062992125984" footer="0.31496062992125984"/>
  <pageSetup paperSize="5" scale="21" orientation="landscape" r:id="rId2"/>
  <headerFooter>
    <oddFooter>&amp;L&amp;D&amp;R&amp;Z&amp;F</oddFooter>
  </headerFooter>
  <rowBreaks count="1" manualBreakCount="1">
    <brk id="78" max="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tabColor theme="3"/>
    <pageSetUpPr fitToPage="1"/>
  </sheetPr>
  <dimension ref="A1:AS75"/>
  <sheetViews>
    <sheetView showZeros="0" showWhiteSpace="0" zoomScaleNormal="100" zoomScaleSheetLayoutView="70" workbookViewId="0">
      <pane xSplit="1" ySplit="2" topLeftCell="B3" activePane="bottomRight" state="frozenSplit"/>
      <selection activeCell="I21" sqref="I21"/>
      <selection pane="topRight" activeCell="I21" sqref="I21"/>
      <selection pane="bottomLeft" activeCell="I21" sqref="I21"/>
      <selection pane="bottomRight" activeCell="B10" sqref="B10"/>
    </sheetView>
  </sheetViews>
  <sheetFormatPr baseColWidth="10" defaultColWidth="9.109375" defaultRowHeight="14.4"/>
  <cols>
    <col min="1" max="1" width="34.88671875" style="1" customWidth="1"/>
    <col min="2" max="2" width="27.5546875" style="1" customWidth="1"/>
    <col min="3" max="3" width="29.5546875" style="1" customWidth="1"/>
    <col min="4" max="4" width="19.88671875" style="1" customWidth="1"/>
    <col min="5" max="5" width="26.6640625" style="1" customWidth="1"/>
    <col min="6" max="6" width="27.5546875" style="1" customWidth="1"/>
    <col min="7" max="7" width="22.6640625" style="1" customWidth="1"/>
    <col min="8" max="8" width="21.6640625" style="1" customWidth="1"/>
    <col min="9" max="9" width="23.109375" style="1" customWidth="1"/>
    <col min="10" max="10" width="18.5546875" style="1" customWidth="1"/>
    <col min="11" max="11" width="15.44140625" style="1" customWidth="1"/>
    <col min="12" max="12" width="20.5546875" style="1" customWidth="1"/>
    <col min="13" max="13" width="22.109375" style="1" customWidth="1"/>
    <col min="14" max="14" width="30.6640625" style="1" customWidth="1"/>
    <col min="15" max="15" width="25.33203125" style="1" customWidth="1"/>
    <col min="16" max="16" width="18.6640625" style="1" customWidth="1"/>
    <col min="17" max="17" width="22.88671875" style="1" customWidth="1"/>
    <col min="18" max="18" width="23.109375" style="1" customWidth="1"/>
    <col min="19" max="19" width="26.6640625" style="1" customWidth="1"/>
    <col min="20" max="20" width="29" style="1" customWidth="1"/>
    <col min="21" max="21" width="28.33203125" style="1" customWidth="1"/>
    <col min="22" max="22" width="33" style="1" customWidth="1"/>
    <col min="23" max="23" width="30.5546875" style="1" customWidth="1"/>
    <col min="24" max="26" width="28.88671875" style="1" customWidth="1"/>
    <col min="27" max="27" width="28.33203125" style="1" customWidth="1"/>
    <col min="28" max="28" width="29.33203125" style="1" customWidth="1"/>
    <col min="29" max="29" width="28.5546875" style="1" customWidth="1"/>
    <col min="30" max="30" width="28.33203125" style="1" customWidth="1"/>
    <col min="31" max="32" width="25.44140625" style="1" customWidth="1"/>
    <col min="33" max="33" width="27" style="1" customWidth="1"/>
    <col min="34" max="34" width="25.44140625" style="1" customWidth="1"/>
    <col min="35" max="35" width="31.33203125" style="1" customWidth="1"/>
    <col min="36" max="36" width="25.44140625" style="1" customWidth="1"/>
    <col min="37" max="37" width="31.33203125" style="1" customWidth="1"/>
    <col min="38" max="38" width="25.44140625" style="1" customWidth="1"/>
    <col min="39" max="39" width="28.44140625" style="1" customWidth="1"/>
    <col min="40" max="40" width="34.44140625" style="1" customWidth="1"/>
    <col min="41" max="41" width="49.109375" style="1" customWidth="1"/>
    <col min="42" max="42" width="46" style="1" customWidth="1"/>
    <col min="43" max="43" width="43.6640625" style="1" customWidth="1"/>
    <col min="44" max="44" width="40.88671875" style="1" customWidth="1"/>
    <col min="45" max="45" width="7.88671875" style="1" customWidth="1"/>
    <col min="46" max="46" width="29.33203125" style="1" customWidth="1"/>
    <col min="47" max="47" width="10.5546875" style="1" customWidth="1"/>
    <col min="48" max="48" width="43" style="1" customWidth="1"/>
    <col min="49" max="16384" width="9.109375" style="1"/>
  </cols>
  <sheetData>
    <row r="1" spans="1:44" ht="117.75" customHeight="1" thickTop="1">
      <c r="B1" s="556" t="s">
        <v>16</v>
      </c>
      <c r="C1" s="574"/>
      <c r="D1" s="557"/>
      <c r="E1" s="556" t="s">
        <v>371</v>
      </c>
      <c r="F1" s="574"/>
      <c r="G1" s="557"/>
      <c r="H1" s="556" t="s">
        <v>45</v>
      </c>
      <c r="I1" s="557"/>
      <c r="J1" s="556" t="s">
        <v>432</v>
      </c>
      <c r="K1" s="557"/>
      <c r="L1" s="556" t="s">
        <v>47</v>
      </c>
      <c r="M1" s="557"/>
      <c r="N1" s="4" t="s">
        <v>48</v>
      </c>
      <c r="O1" s="4" t="s">
        <v>13</v>
      </c>
      <c r="P1" s="4" t="s">
        <v>347</v>
      </c>
      <c r="Q1" s="556" t="s">
        <v>22</v>
      </c>
      <c r="R1" s="557"/>
      <c r="S1" s="556" t="s">
        <v>19</v>
      </c>
      <c r="T1" s="557"/>
      <c r="U1" s="556" t="s">
        <v>67</v>
      </c>
      <c r="V1" s="557"/>
      <c r="W1" s="556" t="s">
        <v>25</v>
      </c>
      <c r="X1" s="557"/>
      <c r="Y1" s="556" t="s">
        <v>806</v>
      </c>
      <c r="Z1" s="557"/>
      <c r="AA1" s="556" t="s">
        <v>27</v>
      </c>
      <c r="AB1" s="557"/>
      <c r="AC1" s="556" t="s">
        <v>761</v>
      </c>
      <c r="AD1" s="557"/>
      <c r="AE1" s="556" t="s">
        <v>762</v>
      </c>
      <c r="AF1" s="557"/>
      <c r="AG1" s="556" t="s">
        <v>412</v>
      </c>
      <c r="AH1" s="557"/>
      <c r="AI1" s="572" t="s">
        <v>624</v>
      </c>
      <c r="AJ1" s="573"/>
      <c r="AK1" s="572" t="s">
        <v>625</v>
      </c>
      <c r="AL1" s="573"/>
      <c r="AM1" s="4" t="s">
        <v>40</v>
      </c>
      <c r="AN1" s="4" t="s">
        <v>701</v>
      </c>
      <c r="AO1" s="4" t="s">
        <v>702</v>
      </c>
      <c r="AP1" s="4" t="s">
        <v>703</v>
      </c>
      <c r="AQ1" s="4" t="s">
        <v>704</v>
      </c>
      <c r="AR1" s="278" t="s">
        <v>705</v>
      </c>
    </row>
    <row r="2" spans="1:44" ht="31.5" customHeight="1" thickBot="1">
      <c r="B2" s="7" t="s">
        <v>61</v>
      </c>
      <c r="C2" s="11" t="s">
        <v>344</v>
      </c>
      <c r="D2" s="6" t="s">
        <v>63</v>
      </c>
      <c r="E2" s="7" t="s">
        <v>58</v>
      </c>
      <c r="F2" s="11" t="s">
        <v>353</v>
      </c>
      <c r="G2" s="6" t="s">
        <v>60</v>
      </c>
      <c r="H2" s="7" t="s">
        <v>1061</v>
      </c>
      <c r="I2" s="6" t="s">
        <v>617</v>
      </c>
      <c r="J2" s="7" t="s">
        <v>59</v>
      </c>
      <c r="K2" s="6" t="s">
        <v>62</v>
      </c>
      <c r="L2" s="7" t="s">
        <v>60</v>
      </c>
      <c r="M2" s="6" t="s">
        <v>62</v>
      </c>
      <c r="N2" s="9" t="s">
        <v>1061</v>
      </c>
      <c r="O2" s="8" t="s">
        <v>36</v>
      </c>
      <c r="P2" s="8"/>
      <c r="Q2" s="7" t="s">
        <v>21</v>
      </c>
      <c r="R2" s="6" t="s">
        <v>18</v>
      </c>
      <c r="S2" s="7" t="s">
        <v>49</v>
      </c>
      <c r="T2" s="6" t="s">
        <v>18</v>
      </c>
      <c r="U2" s="7" t="s">
        <v>50</v>
      </c>
      <c r="V2" s="6" t="s">
        <v>18</v>
      </c>
      <c r="W2" s="7" t="s">
        <v>50</v>
      </c>
      <c r="X2" s="6" t="s">
        <v>18</v>
      </c>
      <c r="Y2" s="7" t="s">
        <v>50</v>
      </c>
      <c r="Z2" s="6" t="s">
        <v>18</v>
      </c>
      <c r="AA2" s="7" t="s">
        <v>50</v>
      </c>
      <c r="AB2" s="6" t="s">
        <v>18</v>
      </c>
      <c r="AC2" s="7" t="s">
        <v>51</v>
      </c>
      <c r="AD2" s="6" t="s">
        <v>18</v>
      </c>
      <c r="AE2" s="7" t="s">
        <v>51</v>
      </c>
      <c r="AF2" s="6" t="s">
        <v>18</v>
      </c>
      <c r="AG2" s="7" t="s">
        <v>626</v>
      </c>
      <c r="AH2" s="6" t="s">
        <v>18</v>
      </c>
      <c r="AI2" s="7" t="s">
        <v>628</v>
      </c>
      <c r="AJ2" s="6" t="s">
        <v>18</v>
      </c>
      <c r="AK2" s="7" t="s">
        <v>628</v>
      </c>
      <c r="AL2" s="6" t="s">
        <v>18</v>
      </c>
      <c r="AM2" s="9" t="s">
        <v>43</v>
      </c>
      <c r="AN2" s="9" t="s">
        <v>687</v>
      </c>
      <c r="AO2" s="9" t="s">
        <v>687</v>
      </c>
      <c r="AP2" s="9" t="s">
        <v>687</v>
      </c>
      <c r="AQ2" s="9" t="s">
        <v>687</v>
      </c>
      <c r="AR2" s="7" t="s">
        <v>687</v>
      </c>
    </row>
    <row r="3" spans="1:44" ht="15.6" hidden="1" thickTop="1" thickBot="1">
      <c r="A3" s="40" t="s">
        <v>415</v>
      </c>
      <c r="B3" s="105" t="e">
        <f>GJ_Tot_02_03</f>
        <v>#REF!</v>
      </c>
      <c r="C3" s="106"/>
      <c r="D3" s="107" t="e">
        <f>CAD_Tot_02_03</f>
        <v>#REF!</v>
      </c>
      <c r="E3" s="108">
        <f>IF(ISERROR(GJ_Tot_02_03/O3),0,(GJ_Tot_02_03/O3))</f>
        <v>0</v>
      </c>
      <c r="F3" s="106"/>
      <c r="G3" s="109">
        <f>IF(ISERROR(CAD_Tot_02_03/O3),0,(CAD_Tot_02_03/O3))</f>
        <v>0</v>
      </c>
      <c r="H3" s="105" t="e">
        <f>GES_ton_02_03</f>
        <v>#REF!</v>
      </c>
      <c r="I3" s="107">
        <f>(IF(ISERROR(GES_ton_02_03/O3),0,(GES_ton_02_03/O3)))*1000</f>
        <v>0</v>
      </c>
      <c r="J3" s="106"/>
      <c r="K3" s="110"/>
      <c r="L3" s="111"/>
      <c r="M3" s="110"/>
      <c r="N3" s="106"/>
      <c r="O3" s="112">
        <f>IF(ISERROR(Sup_02_03),0,(Sup_02_03))</f>
        <v>0</v>
      </c>
      <c r="P3" s="113" t="e">
        <f>#REF!</f>
        <v>#REF!</v>
      </c>
      <c r="Q3" s="105" t="e">
        <f>Elec_kWh_02_03</f>
        <v>#REF!</v>
      </c>
      <c r="R3" s="107" t="e">
        <f>Elec_CAD_02_03</f>
        <v>#REF!</v>
      </c>
      <c r="S3" s="105" t="e">
        <f>GN_m³_02_03</f>
        <v>#REF!</v>
      </c>
      <c r="T3" s="107" t="e">
        <f>GN_CAD_02_03</f>
        <v>#REF!</v>
      </c>
      <c r="U3" s="105" t="e">
        <f>Ma2_l_02_03</f>
        <v>#REF!</v>
      </c>
      <c r="V3" s="107" t="e">
        <f>Ma2_CAD_02_03</f>
        <v>#REF!</v>
      </c>
      <c r="W3" s="105" t="e">
        <f>Ma6_l_02_03</f>
        <v>#REF!</v>
      </c>
      <c r="X3" s="107" t="e">
        <f>Ma6_CAD_02_03</f>
        <v>#REF!</v>
      </c>
      <c r="Y3" s="421"/>
      <c r="Z3" s="421"/>
      <c r="AA3" s="105" t="e">
        <f>Prop_l_02_03</f>
        <v>#REF!</v>
      </c>
      <c r="AB3" s="107" t="e">
        <f>Prop_CAD_02_03</f>
        <v>#REF!</v>
      </c>
      <c r="AC3" s="105" t="e">
        <f>Bois20_1000kg_02_03</f>
        <v>#REF!</v>
      </c>
      <c r="AD3" s="107" t="e">
        <f>Bois20_CAD_02_03</f>
        <v>#REF!</v>
      </c>
      <c r="AE3" s="105" t="e">
        <f>Bois45_1000kg_02_03</f>
        <v>#REF!</v>
      </c>
      <c r="AF3" s="107" t="e">
        <f>Bois45_CAD_02_03</f>
        <v>#REF!</v>
      </c>
      <c r="AG3" s="105">
        <f>0</f>
        <v>0</v>
      </c>
      <c r="AH3" s="107">
        <f>0</f>
        <v>0</v>
      </c>
      <c r="AI3" s="105">
        <f>0</f>
        <v>0</v>
      </c>
      <c r="AJ3" s="107">
        <f>0</f>
        <v>0</v>
      </c>
      <c r="AK3" s="105">
        <f>0</f>
        <v>0</v>
      </c>
      <c r="AL3" s="107">
        <f>0</f>
        <v>0</v>
      </c>
      <c r="AM3" s="113" t="e">
        <f>DJC_tot_02_03</f>
        <v>#REF!</v>
      </c>
      <c r="AN3" s="113"/>
      <c r="AO3" s="113"/>
      <c r="AP3" s="113"/>
      <c r="AQ3" s="113"/>
      <c r="AR3" s="113"/>
    </row>
    <row r="4" spans="1:44" ht="15" hidden="1" thickTop="1">
      <c r="A4" s="40" t="s">
        <v>6</v>
      </c>
      <c r="B4" s="114" t="e">
        <f>GJ_Tot_03_04</f>
        <v>#REF!</v>
      </c>
      <c r="C4" s="106"/>
      <c r="D4" s="115" t="e">
        <f>CAD_Tot_03_04</f>
        <v>#REF!</v>
      </c>
      <c r="E4" s="108">
        <f>IF(ISERROR(GJ_Tot_03_04/O4),0,(GJ_Tot_03_04/O4))</f>
        <v>0</v>
      </c>
      <c r="F4" s="106"/>
      <c r="G4" s="117">
        <f>IF(ISERROR(CAD_Tot_03_04/O4),0,(CAD_Tot_03_04/O4))</f>
        <v>0</v>
      </c>
      <c r="H4" s="114" t="e">
        <f>GES_ton_03_04</f>
        <v>#REF!</v>
      </c>
      <c r="I4" s="115">
        <f>IF(ISERROR(GES_ton_03_04/O4),0,(GES_ton_03_04/O4))*1000</f>
        <v>0</v>
      </c>
      <c r="J4" s="106"/>
      <c r="K4" s="118"/>
      <c r="L4" s="119"/>
      <c r="M4" s="118"/>
      <c r="N4" s="106"/>
      <c r="O4" s="113">
        <f>IF(ISERROR(Sup_03_04),0,(Sup_03_04))</f>
        <v>0</v>
      </c>
      <c r="P4" s="113" t="e">
        <f>#REF!</f>
        <v>#REF!</v>
      </c>
      <c r="Q4" s="114" t="e">
        <f>Elec_kWh_03_04</f>
        <v>#REF!</v>
      </c>
      <c r="R4" s="115" t="e">
        <f>Elec_CAD_03_04</f>
        <v>#REF!</v>
      </c>
      <c r="S4" s="114" t="e">
        <f>GN_m³_03_04</f>
        <v>#REF!</v>
      </c>
      <c r="T4" s="115" t="e">
        <f>GN_CAD_03_04</f>
        <v>#REF!</v>
      </c>
      <c r="U4" s="114" t="e">
        <f>Ma2_l_03_04</f>
        <v>#REF!</v>
      </c>
      <c r="V4" s="115" t="e">
        <f>Ma2_CAD_03_04</f>
        <v>#REF!</v>
      </c>
      <c r="W4" s="114" t="e">
        <f>Ma6_l_03_04</f>
        <v>#REF!</v>
      </c>
      <c r="X4" s="115" t="e">
        <f>Ma6_CAD_03_04</f>
        <v>#REF!</v>
      </c>
      <c r="Y4" s="422"/>
      <c r="Z4" s="422"/>
      <c r="AA4" s="114" t="e">
        <f>Prop_l_03_04</f>
        <v>#REF!</v>
      </c>
      <c r="AB4" s="115" t="e">
        <f>Prop_CAD_03_04</f>
        <v>#REF!</v>
      </c>
      <c r="AC4" s="114" t="e">
        <f>Bois20_1000kg_03_04</f>
        <v>#REF!</v>
      </c>
      <c r="AD4" s="115" t="e">
        <f>Bois20_CAD_03_04</f>
        <v>#REF!</v>
      </c>
      <c r="AE4" s="114" t="e">
        <f>Bois45_1000kg_03_04</f>
        <v>#REF!</v>
      </c>
      <c r="AF4" s="115" t="e">
        <f>Bois45_CAD_03_04</f>
        <v>#REF!</v>
      </c>
      <c r="AG4" s="114">
        <f>0</f>
        <v>0</v>
      </c>
      <c r="AH4" s="115">
        <f>0</f>
        <v>0</v>
      </c>
      <c r="AI4" s="114">
        <f>0</f>
        <v>0</v>
      </c>
      <c r="AJ4" s="115">
        <f>0</f>
        <v>0</v>
      </c>
      <c r="AK4" s="114">
        <f>0</f>
        <v>0</v>
      </c>
      <c r="AL4" s="115">
        <f>0</f>
        <v>0</v>
      </c>
      <c r="AM4" s="113" t="e">
        <f>DJC_tot_03_04</f>
        <v>#REF!</v>
      </c>
      <c r="AN4" s="113"/>
      <c r="AO4" s="113"/>
      <c r="AP4" s="113"/>
      <c r="AQ4" s="113"/>
      <c r="AR4" s="113"/>
    </row>
    <row r="5" spans="1:44" hidden="1">
      <c r="A5" s="40" t="s">
        <v>7</v>
      </c>
      <c r="B5" s="114" t="e">
        <f>GJ_Tot_04_05</f>
        <v>#REF!</v>
      </c>
      <c r="C5" s="106"/>
      <c r="D5" s="115" t="e">
        <f>CAD_Tot_04_05</f>
        <v>#REF!</v>
      </c>
      <c r="E5" s="116">
        <f>IF(ISERROR(GJ_Tot_04_05/O5),0,(GJ_Tot_04_05/O5))</f>
        <v>0</v>
      </c>
      <c r="F5" s="106"/>
      <c r="G5" s="117">
        <f xml:space="preserve"> IF(ISERROR(CAD_Tot_04_05/O5),0,(CAD_Tot_04_05/O5))</f>
        <v>0</v>
      </c>
      <c r="H5" s="114" t="e">
        <f>GES_ton_04_05</f>
        <v>#REF!</v>
      </c>
      <c r="I5" s="115">
        <f>IF(ISERROR(GES_ton_04_05/O5),0,(GES_ton_04_05/O5))*1000</f>
        <v>0</v>
      </c>
      <c r="J5" s="106"/>
      <c r="K5" s="118"/>
      <c r="L5" s="119"/>
      <c r="M5" s="118"/>
      <c r="N5" s="106"/>
      <c r="O5" s="113">
        <f>IF(ISERROR(Sup_04_05),0,(Sup_04_05))</f>
        <v>0</v>
      </c>
      <c r="P5" s="113" t="e">
        <f>#REF!</f>
        <v>#REF!</v>
      </c>
      <c r="Q5" s="114" t="e">
        <f>Elec_kWh_04_05</f>
        <v>#REF!</v>
      </c>
      <c r="R5" s="115" t="e">
        <f>Elec_CAD_04_05</f>
        <v>#REF!</v>
      </c>
      <c r="S5" s="114" t="e">
        <f>GN_m³_04_05</f>
        <v>#REF!</v>
      </c>
      <c r="T5" s="115" t="e">
        <f>GN_CAD_04_05</f>
        <v>#REF!</v>
      </c>
      <c r="U5" s="114" t="e">
        <f>Ma2_l_04_05</f>
        <v>#REF!</v>
      </c>
      <c r="V5" s="115" t="e">
        <f>Ma2_CAD_04_05</f>
        <v>#REF!</v>
      </c>
      <c r="W5" s="114" t="e">
        <f>Ma6_l_04_05</f>
        <v>#REF!</v>
      </c>
      <c r="X5" s="115" t="e">
        <f>Ma6_CAD_04_05</f>
        <v>#REF!</v>
      </c>
      <c r="Y5" s="422"/>
      <c r="Z5" s="422"/>
      <c r="AA5" s="114" t="e">
        <f>Prop_l_04_05</f>
        <v>#REF!</v>
      </c>
      <c r="AB5" s="115" t="e">
        <f>Prop_CAD_04_05</f>
        <v>#REF!</v>
      </c>
      <c r="AC5" s="114" t="e">
        <f>Bois20_1000kg_04_05</f>
        <v>#REF!</v>
      </c>
      <c r="AD5" s="115" t="e">
        <f>Bois20_CAD_04_05</f>
        <v>#REF!</v>
      </c>
      <c r="AE5" s="114" t="e">
        <f>Bois45_1000kg_04_05</f>
        <v>#REF!</v>
      </c>
      <c r="AF5" s="115" t="e">
        <f>Bois45_CAD_04_05</f>
        <v>#REF!</v>
      </c>
      <c r="AG5" s="114">
        <f>0</f>
        <v>0</v>
      </c>
      <c r="AH5" s="115">
        <f>0</f>
        <v>0</v>
      </c>
      <c r="AI5" s="114">
        <f>0</f>
        <v>0</v>
      </c>
      <c r="AJ5" s="115">
        <f>0</f>
        <v>0</v>
      </c>
      <c r="AK5" s="114">
        <f>0</f>
        <v>0</v>
      </c>
      <c r="AL5" s="115">
        <f>0</f>
        <v>0</v>
      </c>
      <c r="AM5" s="113" t="e">
        <f>DJC_tot_04_05</f>
        <v>#REF!</v>
      </c>
      <c r="AN5" s="113"/>
      <c r="AO5" s="113"/>
      <c r="AP5" s="113"/>
      <c r="AQ5" s="113"/>
      <c r="AR5" s="113"/>
    </row>
    <row r="6" spans="1:44" hidden="1">
      <c r="A6" s="40" t="s">
        <v>8</v>
      </c>
      <c r="B6" s="114" t="e">
        <f>GJ_Tot_05_06</f>
        <v>#REF!</v>
      </c>
      <c r="C6" s="106"/>
      <c r="D6" s="115" t="e">
        <f>CAD_Tot_05_06</f>
        <v>#REF!</v>
      </c>
      <c r="E6" s="116">
        <f>IF(ISERROR(GJ_Tot_05_06/O6),0,(GJ_Tot_05_06/O6))</f>
        <v>0</v>
      </c>
      <c r="F6" s="106"/>
      <c r="G6" s="117">
        <f xml:space="preserve"> IF(ISERROR(CAD_Tot_05_06/O6),0,(CAD_Tot_05_06/O6))</f>
        <v>0</v>
      </c>
      <c r="H6" s="114" t="e">
        <f>GES_ton_05_06</f>
        <v>#REF!</v>
      </c>
      <c r="I6" s="115">
        <f>IF(ISERROR(GES_ton_05_06/O6),0,(GES_ton_05_06/O6))*1000</f>
        <v>0</v>
      </c>
      <c r="J6" s="106"/>
      <c r="K6" s="118"/>
      <c r="L6" s="119"/>
      <c r="M6" s="118"/>
      <c r="N6" s="106"/>
      <c r="O6" s="113">
        <f>IF(ISERROR(Sup_05_06),0,(Sup_05_06))</f>
        <v>0</v>
      </c>
      <c r="P6" s="113" t="e">
        <f>#REF!</f>
        <v>#REF!</v>
      </c>
      <c r="Q6" s="114" t="e">
        <f>Elec_kWh_05_06</f>
        <v>#REF!</v>
      </c>
      <c r="R6" s="115" t="e">
        <f>Elec_CAD_05_06</f>
        <v>#REF!</v>
      </c>
      <c r="S6" s="114" t="e">
        <f>GN_m³_05_06</f>
        <v>#REF!</v>
      </c>
      <c r="T6" s="115" t="e">
        <f>GN_CAD_05_06</f>
        <v>#REF!</v>
      </c>
      <c r="U6" s="114" t="e">
        <f>Ma2_l_05_06</f>
        <v>#REF!</v>
      </c>
      <c r="V6" s="115" t="e">
        <f>Ma2_CAD_05_06</f>
        <v>#REF!</v>
      </c>
      <c r="W6" s="114" t="e">
        <f>Ma6_l_05_06</f>
        <v>#REF!</v>
      </c>
      <c r="X6" s="115" t="e">
        <f>Ma6_CAD_05_06</f>
        <v>#REF!</v>
      </c>
      <c r="Y6" s="422"/>
      <c r="Z6" s="422"/>
      <c r="AA6" s="114" t="e">
        <f>Prop_l_05_06</f>
        <v>#REF!</v>
      </c>
      <c r="AB6" s="115" t="e">
        <f>Prop_CAD_05_06</f>
        <v>#REF!</v>
      </c>
      <c r="AC6" s="114" t="e">
        <f>Bois20_1000kg_05_06</f>
        <v>#REF!</v>
      </c>
      <c r="AD6" s="115" t="e">
        <f>Bois20_CAD_05_06</f>
        <v>#REF!</v>
      </c>
      <c r="AE6" s="114" t="e">
        <f>Bois45_1000kg_05_06</f>
        <v>#REF!</v>
      </c>
      <c r="AF6" s="115" t="e">
        <f>Bois45_CAD_05_06</f>
        <v>#REF!</v>
      </c>
      <c r="AG6" s="114">
        <f>0</f>
        <v>0</v>
      </c>
      <c r="AH6" s="115">
        <f>0</f>
        <v>0</v>
      </c>
      <c r="AI6" s="114">
        <f>0</f>
        <v>0</v>
      </c>
      <c r="AJ6" s="115">
        <f>0</f>
        <v>0</v>
      </c>
      <c r="AK6" s="114">
        <f>0</f>
        <v>0</v>
      </c>
      <c r="AL6" s="115">
        <f>0</f>
        <v>0</v>
      </c>
      <c r="AM6" s="113" t="e">
        <f>DJC_tot_05_06</f>
        <v>#REF!</v>
      </c>
      <c r="AN6" s="113"/>
      <c r="AO6" s="113"/>
      <c r="AP6" s="113"/>
      <c r="AQ6" s="113"/>
      <c r="AR6" s="113"/>
    </row>
    <row r="7" spans="1:44" hidden="1">
      <c r="A7" s="40" t="s">
        <v>9</v>
      </c>
      <c r="B7" s="114" t="e">
        <f>GJ_Tot_06_07</f>
        <v>#REF!</v>
      </c>
      <c r="C7" s="106"/>
      <c r="D7" s="115" t="e">
        <f>CAD_Tot_06_07</f>
        <v>#REF!</v>
      </c>
      <c r="E7" s="116">
        <f>IF(ISERROR(GJ_Tot_06_07/O7),0,(GJ_Tot_06_07/O7))</f>
        <v>0</v>
      </c>
      <c r="F7" s="106"/>
      <c r="G7" s="117">
        <f>IF(ISERROR(CAD_Tot_06_07/O7),0,(CAD_Tot_06_07/O7))</f>
        <v>0</v>
      </c>
      <c r="H7" s="114" t="e">
        <f>GES_ton_06_07</f>
        <v>#REF!</v>
      </c>
      <c r="I7" s="115">
        <f>IF(ISERROR(GES_ton_06_07/O7),0,(GES_ton_06_07/O7))*1000</f>
        <v>0</v>
      </c>
      <c r="J7" s="106"/>
      <c r="K7" s="118"/>
      <c r="L7" s="119"/>
      <c r="M7" s="118"/>
      <c r="N7" s="106"/>
      <c r="O7" s="113">
        <f>IF(ISERROR(Sup_06_07),0,(Sup_06_07))</f>
        <v>0</v>
      </c>
      <c r="P7" s="113" t="e">
        <f>#REF!</f>
        <v>#REF!</v>
      </c>
      <c r="Q7" s="114" t="e">
        <f>Elec_kWh_06_07</f>
        <v>#REF!</v>
      </c>
      <c r="R7" s="115" t="e">
        <f>Elec_CAD_06_07</f>
        <v>#REF!</v>
      </c>
      <c r="S7" s="114" t="e">
        <f>GN_m³_06_07</f>
        <v>#REF!</v>
      </c>
      <c r="T7" s="115" t="e">
        <f>GN_CAD_06_07</f>
        <v>#REF!</v>
      </c>
      <c r="U7" s="114" t="e">
        <f>Ma2_l_06_07</f>
        <v>#REF!</v>
      </c>
      <c r="V7" s="115" t="e">
        <f>Ma2_CAD_06_07</f>
        <v>#REF!</v>
      </c>
      <c r="W7" s="114" t="e">
        <f>Ma6_l_06_07</f>
        <v>#REF!</v>
      </c>
      <c r="X7" s="115" t="e">
        <f>Ma6_CAD_06_07</f>
        <v>#REF!</v>
      </c>
      <c r="Y7" s="422"/>
      <c r="Z7" s="422"/>
      <c r="AA7" s="114" t="e">
        <f>Prop_l_06_07</f>
        <v>#REF!</v>
      </c>
      <c r="AB7" s="115" t="e">
        <f>Prop_CAD_06_07</f>
        <v>#REF!</v>
      </c>
      <c r="AC7" s="114" t="e">
        <f>Bois20_1000kg_06_07</f>
        <v>#REF!</v>
      </c>
      <c r="AD7" s="115" t="e">
        <f>Bois20_CAD_06_07</f>
        <v>#REF!</v>
      </c>
      <c r="AE7" s="114" t="e">
        <f>Bois45_1000kg_06_07</f>
        <v>#REF!</v>
      </c>
      <c r="AF7" s="115" t="e">
        <f>Bois45_CAD_06_07</f>
        <v>#REF!</v>
      </c>
      <c r="AG7" s="114">
        <f>0</f>
        <v>0</v>
      </c>
      <c r="AH7" s="115">
        <f>0</f>
        <v>0</v>
      </c>
      <c r="AI7" s="114">
        <f>0</f>
        <v>0</v>
      </c>
      <c r="AJ7" s="115">
        <f>0</f>
        <v>0</v>
      </c>
      <c r="AK7" s="114">
        <f>0</f>
        <v>0</v>
      </c>
      <c r="AL7" s="115">
        <f>0</f>
        <v>0</v>
      </c>
      <c r="AM7" s="113" t="e">
        <f>DJC_tot_06_07</f>
        <v>#REF!</v>
      </c>
      <c r="AN7" s="113"/>
      <c r="AO7" s="113"/>
      <c r="AP7" s="113"/>
      <c r="AQ7" s="113"/>
      <c r="AR7" s="113"/>
    </row>
    <row r="8" spans="1:44" hidden="1">
      <c r="A8" s="40" t="s">
        <v>10</v>
      </c>
      <c r="B8" s="114" t="e">
        <f>GJ_Tot_07_08</f>
        <v>#REF!</v>
      </c>
      <c r="C8" s="106"/>
      <c r="D8" s="115" t="e">
        <f>CAD_Tot_07_08</f>
        <v>#REF!</v>
      </c>
      <c r="E8" s="116">
        <f>IF(ISERROR(GJ_Tot_07_08/O8),0,(GJ_Tot_07_08/O8))</f>
        <v>0</v>
      </c>
      <c r="F8" s="106"/>
      <c r="G8" s="117">
        <f xml:space="preserve"> IF(ISERROR(CAD_Tot_07_08/O8),0,(CAD_Tot_07_08/O8))</f>
        <v>0</v>
      </c>
      <c r="H8" s="114" t="e">
        <f>GES_ton_07_08</f>
        <v>#REF!</v>
      </c>
      <c r="I8" s="115">
        <f>IF(ISERROR(GES_ton_07_08/O8),0,(GES_ton_07_08/O8))*1000</f>
        <v>0</v>
      </c>
      <c r="J8" s="106"/>
      <c r="K8" s="118"/>
      <c r="L8" s="119"/>
      <c r="M8" s="118"/>
      <c r="N8" s="106"/>
      <c r="O8" s="113">
        <f>IF(ISERROR(Sup_07_08),0,(Sup_07_08))</f>
        <v>0</v>
      </c>
      <c r="P8" s="113" t="e">
        <f>#REF!</f>
        <v>#REF!</v>
      </c>
      <c r="Q8" s="114" t="e">
        <f>Elec_kWh_07_08</f>
        <v>#REF!</v>
      </c>
      <c r="R8" s="115" t="e">
        <f>Elec_CAD_07_08</f>
        <v>#REF!</v>
      </c>
      <c r="S8" s="114" t="e">
        <f>GN_m³_07_08</f>
        <v>#REF!</v>
      </c>
      <c r="T8" s="115" t="e">
        <f>GN_CAD_07_08</f>
        <v>#REF!</v>
      </c>
      <c r="U8" s="114" t="e">
        <f>Ma2_l_07_08</f>
        <v>#REF!</v>
      </c>
      <c r="V8" s="115" t="e">
        <f>Ma2_CAD_07_08</f>
        <v>#REF!</v>
      </c>
      <c r="W8" s="114" t="e">
        <f>Ma6_l_07_08</f>
        <v>#REF!</v>
      </c>
      <c r="X8" s="115" t="e">
        <f>Ma6_CAD_07_08</f>
        <v>#REF!</v>
      </c>
      <c r="Y8" s="422"/>
      <c r="Z8" s="422"/>
      <c r="AA8" s="114" t="e">
        <f>Prop_l_07_08</f>
        <v>#REF!</v>
      </c>
      <c r="AB8" s="115" t="e">
        <f>Prop_CAD_07_08</f>
        <v>#REF!</v>
      </c>
      <c r="AC8" s="114" t="e">
        <f>Bois20_1000kg_07_08</f>
        <v>#REF!</v>
      </c>
      <c r="AD8" s="115" t="e">
        <f>Bois20_CAD_07_08</f>
        <v>#REF!</v>
      </c>
      <c r="AE8" s="114" t="e">
        <f>Bois45_1000kg_07_08</f>
        <v>#REF!</v>
      </c>
      <c r="AF8" s="115" t="e">
        <f>Bois45_CAD_07_08</f>
        <v>#REF!</v>
      </c>
      <c r="AG8" s="114">
        <f>0</f>
        <v>0</v>
      </c>
      <c r="AH8" s="115">
        <f>0</f>
        <v>0</v>
      </c>
      <c r="AI8" s="114">
        <f>0</f>
        <v>0</v>
      </c>
      <c r="AJ8" s="115">
        <f>0</f>
        <v>0</v>
      </c>
      <c r="AK8" s="114">
        <f>0</f>
        <v>0</v>
      </c>
      <c r="AL8" s="115">
        <f>0</f>
        <v>0</v>
      </c>
      <c r="AM8" s="113" t="e">
        <f>DJC_tot_07_08</f>
        <v>#REF!</v>
      </c>
      <c r="AN8" s="113"/>
      <c r="AO8" s="113"/>
      <c r="AP8" s="113"/>
      <c r="AQ8" s="113"/>
      <c r="AR8" s="113"/>
    </row>
    <row r="9" spans="1:44" hidden="1">
      <c r="A9" s="40" t="s">
        <v>76</v>
      </c>
      <c r="B9" s="114" t="e">
        <f>GJ_Tot_08_09</f>
        <v>#REF!</v>
      </c>
      <c r="C9" s="106"/>
      <c r="D9" s="115" t="e">
        <f>CAD_Tot_08_09</f>
        <v>#REF!</v>
      </c>
      <c r="E9" s="116">
        <f>IF(ISERROR(GJ_Tot_08_09/O9),0,(GJ_Tot_08_09/O9))</f>
        <v>0</v>
      </c>
      <c r="F9" s="106"/>
      <c r="G9" s="117">
        <f xml:space="preserve"> IF(ISERROR(CAD_Tot_08_09/O9),0,(CAD_Tot_08_09/O9))</f>
        <v>0</v>
      </c>
      <c r="H9" s="114" t="e">
        <f>GES_ton_08_09</f>
        <v>#REF!</v>
      </c>
      <c r="I9" s="115">
        <f>IF(ISERROR(GES_ton_08_09/O9),0,(GES_ton_08_09/O9))*1000</f>
        <v>0</v>
      </c>
      <c r="J9" s="106"/>
      <c r="K9" s="118"/>
      <c r="L9" s="119"/>
      <c r="M9" s="118"/>
      <c r="N9" s="106"/>
      <c r="O9" s="113">
        <f>IF(ISERROR(Sup_08_09),0,(Sup_08_09))</f>
        <v>0</v>
      </c>
      <c r="P9" s="113" t="e">
        <f>#REF!</f>
        <v>#REF!</v>
      </c>
      <c r="Q9" s="114" t="e">
        <f>Elec_kWh_08_09</f>
        <v>#REF!</v>
      </c>
      <c r="R9" s="115" t="e">
        <f>Elec_CAD_08_09</f>
        <v>#REF!</v>
      </c>
      <c r="S9" s="114" t="e">
        <f>GN_m³_08_09</f>
        <v>#REF!</v>
      </c>
      <c r="T9" s="115" t="e">
        <f>GN_CAD_08_09</f>
        <v>#REF!</v>
      </c>
      <c r="U9" s="114" t="e">
        <f>Ma2_l_08_09</f>
        <v>#REF!</v>
      </c>
      <c r="V9" s="115" t="e">
        <f>Ma2_CAD_08_09</f>
        <v>#REF!</v>
      </c>
      <c r="W9" s="114" t="e">
        <f>Ma6_l_08_09</f>
        <v>#REF!</v>
      </c>
      <c r="X9" s="115" t="e">
        <f>Ma6_CAD_08_09</f>
        <v>#REF!</v>
      </c>
      <c r="Y9" s="422"/>
      <c r="Z9" s="422"/>
      <c r="AA9" s="114" t="e">
        <f>Prop_l_08_09</f>
        <v>#REF!</v>
      </c>
      <c r="AB9" s="115" t="e">
        <f>Prop_CAD_08_09</f>
        <v>#REF!</v>
      </c>
      <c r="AC9" s="114" t="e">
        <f>Bois20_1000kg_08_09</f>
        <v>#REF!</v>
      </c>
      <c r="AD9" s="115" t="e">
        <f>Bois20_CAD_08_09</f>
        <v>#REF!</v>
      </c>
      <c r="AE9" s="114" t="e">
        <f>Bois45_1000kg_08_09</f>
        <v>#REF!</v>
      </c>
      <c r="AF9" s="115" t="e">
        <f>Bois45_CAD_08_09</f>
        <v>#REF!</v>
      </c>
      <c r="AG9" s="114">
        <f>0</f>
        <v>0</v>
      </c>
      <c r="AH9" s="115">
        <f>0</f>
        <v>0</v>
      </c>
      <c r="AI9" s="114">
        <f>0</f>
        <v>0</v>
      </c>
      <c r="AJ9" s="115">
        <f>0</f>
        <v>0</v>
      </c>
      <c r="AK9" s="114">
        <f>0</f>
        <v>0</v>
      </c>
      <c r="AL9" s="115">
        <f>0</f>
        <v>0</v>
      </c>
      <c r="AM9" s="113" t="e">
        <f>DJC_tot_08_09</f>
        <v>#REF!</v>
      </c>
      <c r="AN9" s="113"/>
      <c r="AO9" s="113"/>
      <c r="AP9" s="113"/>
      <c r="AQ9" s="113"/>
      <c r="AR9" s="113"/>
    </row>
    <row r="10" spans="1:44" ht="15" thickTop="1">
      <c r="A10" s="40" t="s">
        <v>629</v>
      </c>
      <c r="B10" s="381">
        <f>IFERROR(GJ_Tot_09_10,0)</f>
        <v>0</v>
      </c>
      <c r="C10" s="106"/>
      <c r="D10" s="115">
        <f>CAD_Tot_09_10</f>
        <v>0</v>
      </c>
      <c r="E10" s="116">
        <f>IF(ISERROR(GJ_Tot_09_10/O10),0,(GJ_Tot_09_10/O10))</f>
        <v>0</v>
      </c>
      <c r="F10" s="106"/>
      <c r="G10" s="117">
        <f xml:space="preserve"> IF(ISERROR(CAD_Tot_09_10/O10),0,(CAD_Tot_09_10/O10))</f>
        <v>0</v>
      </c>
      <c r="H10" s="114">
        <f>GES_ton_09_10</f>
        <v>0</v>
      </c>
      <c r="I10" s="115">
        <f>IF(ISERROR(GES_ton_09_10/O10),0,(GES_ton_09_10/O10))*1000</f>
        <v>0</v>
      </c>
      <c r="J10" s="106"/>
      <c r="K10" s="118"/>
      <c r="L10" s="119"/>
      <c r="M10" s="118"/>
      <c r="N10" s="106"/>
      <c r="O10" s="113">
        <f>IF(ISERROR(Sup_09_10),0,(Sup_09_10))</f>
        <v>0</v>
      </c>
      <c r="P10" s="113">
        <f>nb_bât_09_10</f>
        <v>0</v>
      </c>
      <c r="Q10" s="114">
        <f>Elec_kWh_09_10</f>
        <v>0</v>
      </c>
      <c r="R10" s="115">
        <f>Elec_CAD_09_10</f>
        <v>0</v>
      </c>
      <c r="S10" s="114">
        <f>GN_m³_09_10</f>
        <v>0</v>
      </c>
      <c r="T10" s="115">
        <f>GN_CAD_09_10</f>
        <v>0</v>
      </c>
      <c r="U10" s="114">
        <f>Ma2_l_09_10</f>
        <v>0</v>
      </c>
      <c r="V10" s="115">
        <f>Ma2_CAD_09_10</f>
        <v>0</v>
      </c>
      <c r="W10" s="114">
        <f>Ma6_l_09_10</f>
        <v>0</v>
      </c>
      <c r="X10" s="115">
        <f>Ma6_CAD_09_10</f>
        <v>0</v>
      </c>
      <c r="Y10" s="422">
        <f>Dies_09_10</f>
        <v>0</v>
      </c>
      <c r="Z10" s="422">
        <f>Dies_CAD_09_10</f>
        <v>0</v>
      </c>
      <c r="AA10" s="114">
        <f>Prop_l_09_10</f>
        <v>0</v>
      </c>
      <c r="AB10" s="115">
        <f>Prop_CAD_09_10</f>
        <v>0</v>
      </c>
      <c r="AC10" s="114">
        <f>Bois20_1000kg_09_10</f>
        <v>0</v>
      </c>
      <c r="AD10" s="115">
        <f>Bois20_CAD_09_10</f>
        <v>0</v>
      </c>
      <c r="AE10" s="114">
        <f>Bois45_1000kg_09_10</f>
        <v>0</v>
      </c>
      <c r="AF10" s="115">
        <f>Bois45_CAD_09_10</f>
        <v>0</v>
      </c>
      <c r="AG10" s="114">
        <f>Vapeur_Lbs_09_10</f>
        <v>0</v>
      </c>
      <c r="AH10" s="115">
        <f>Vapeur_CAD_09_10</f>
        <v>0</v>
      </c>
      <c r="AI10" s="114">
        <f>EauRefroidie_MBTU_09_10</f>
        <v>0</v>
      </c>
      <c r="AJ10" s="114">
        <f>EauRefroidie_CAD_09_10</f>
        <v>0</v>
      </c>
      <c r="AK10" s="114">
        <f>EauChaude_MBTU_09_10</f>
        <v>0</v>
      </c>
      <c r="AL10" s="114">
        <f>EauChaude_CAD_09_10</f>
        <v>0</v>
      </c>
      <c r="AM10" s="113">
        <f>DJC_tot_09_10</f>
        <v>3967.8000000000006</v>
      </c>
      <c r="AN10" s="348"/>
      <c r="AO10" s="348"/>
      <c r="AP10" s="348"/>
      <c r="AQ10" s="348"/>
      <c r="AR10" s="348"/>
    </row>
    <row r="11" spans="1:44">
      <c r="A11" s="40" t="s">
        <v>343</v>
      </c>
      <c r="B11" s="381">
        <f>IFERROR(GJ_Tot_10_11,0)</f>
        <v>0</v>
      </c>
      <c r="C11" s="114">
        <f>GJTotRef_Ajust_10_11</f>
        <v>0</v>
      </c>
      <c r="D11" s="115">
        <f>CAD_Tot_10_11</f>
        <v>0</v>
      </c>
      <c r="E11" s="116">
        <f>IF(ISERROR(GJ_Tot_10_11/O11),0,(GJ_Tot_10_11/O11))</f>
        <v>0</v>
      </c>
      <c r="F11" s="116">
        <f>IF(ISERROR(GJTotRef_Ajust_10_11/O11),0,(GJTotRef_Ajust_10_11/O11))</f>
        <v>0</v>
      </c>
      <c r="G11" s="117">
        <f xml:space="preserve"> IF(ISERROR(CAD_Tot_10_11/O11),0,(CAD_Tot_10_11/O11))</f>
        <v>0</v>
      </c>
      <c r="H11" s="114">
        <f>GES_ton_10_11</f>
        <v>0</v>
      </c>
      <c r="I11" s="115">
        <f>IF(ISERROR(GES_ton_10_11/O11),0,(GES_ton_10_11/O11))*1000</f>
        <v>0</v>
      </c>
      <c r="J11" s="120">
        <f>IF(ISERROR(F11-E11),0,(F11-E11))</f>
        <v>0</v>
      </c>
      <c r="K11" s="121">
        <f>IF(ISERROR(1-E11/F11),0,(1-E11/F11))</f>
        <v>0</v>
      </c>
      <c r="L11" s="122">
        <f>IF(ISERROR($G$10-G11),0,($G$10-G11))</f>
        <v>0</v>
      </c>
      <c r="M11" s="121">
        <f>IF(ISERROR(1-G11/$G$12),0,(1-G11/$G$12))</f>
        <v>0</v>
      </c>
      <c r="N11" s="114">
        <f>GES_ton_09_10-GES_ton_10_11</f>
        <v>0</v>
      </c>
      <c r="O11" s="113">
        <f>IF(ISERROR(Sup_10_11),0,(Sup_10_11))</f>
        <v>0</v>
      </c>
      <c r="P11" s="113">
        <f>nb_bât_10_11</f>
        <v>0</v>
      </c>
      <c r="Q11" s="114">
        <f>Elec_kWh_10_11</f>
        <v>0</v>
      </c>
      <c r="R11" s="115">
        <f>Elec_CAD_10_11</f>
        <v>0</v>
      </c>
      <c r="S11" s="114">
        <f>GN_m³_10_11</f>
        <v>0</v>
      </c>
      <c r="T11" s="115">
        <f>GN_CAD_10_11</f>
        <v>0</v>
      </c>
      <c r="U11" s="114">
        <f>Ma2_l_10_11</f>
        <v>0</v>
      </c>
      <c r="V11" s="115">
        <f>Ma2_CAD_10_11</f>
        <v>0</v>
      </c>
      <c r="W11" s="114">
        <f>Ma6_l_10_11</f>
        <v>0</v>
      </c>
      <c r="X11" s="115">
        <f>Ma6_CAD_10_11</f>
        <v>0</v>
      </c>
      <c r="Y11" s="422">
        <f>Dies_10_11</f>
        <v>0</v>
      </c>
      <c r="Z11" s="422">
        <f>Dies_CAD_10_11</f>
        <v>0</v>
      </c>
      <c r="AA11" s="114">
        <f>Prop_l_10_11</f>
        <v>0</v>
      </c>
      <c r="AB11" s="115">
        <f>Prop_CAD_10_11</f>
        <v>0</v>
      </c>
      <c r="AC11" s="114">
        <f>Bois20_1000kg_10_11</f>
        <v>0</v>
      </c>
      <c r="AD11" s="115">
        <f>Bois20_CAD_10_11</f>
        <v>0</v>
      </c>
      <c r="AE11" s="114">
        <f>Bois45_1000kg_10_11</f>
        <v>0</v>
      </c>
      <c r="AF11" s="115">
        <f>Bois45_CAD_10_11</f>
        <v>0</v>
      </c>
      <c r="AG11" s="114">
        <f>Vapeur_Lbs_10_11</f>
        <v>0</v>
      </c>
      <c r="AH11" s="115">
        <f>Vapeur_CAD_10_11</f>
        <v>0</v>
      </c>
      <c r="AI11" s="114">
        <f>EauRefroidie_MBTU_10_11</f>
        <v>0</v>
      </c>
      <c r="AJ11" s="114">
        <f>EauRefroidie_CAD_10_11</f>
        <v>0</v>
      </c>
      <c r="AK11" s="114">
        <f>EauChaude_MBTU_10_11</f>
        <v>0</v>
      </c>
      <c r="AL11" s="114">
        <f>EauChaude_CAD_10_11</f>
        <v>0</v>
      </c>
      <c r="AM11" s="113">
        <f>DJC_tot_10_11</f>
        <v>4187.3999999999996</v>
      </c>
      <c r="AN11" s="348"/>
      <c r="AO11" s="348"/>
      <c r="AP11" s="348"/>
      <c r="AQ11" s="348"/>
      <c r="AR11" s="348"/>
    </row>
    <row r="12" spans="1:44">
      <c r="A12" s="40" t="s">
        <v>11</v>
      </c>
      <c r="B12" s="381">
        <f>IFERROR(GJ_Tot_11_12,0)</f>
        <v>0</v>
      </c>
      <c r="C12" s="355">
        <f>GJTotRef_Ajust_11_12</f>
        <v>0</v>
      </c>
      <c r="D12" s="115">
        <f>CAD_Tot_11_12</f>
        <v>0</v>
      </c>
      <c r="E12" s="116">
        <f>IF(ISERROR(GJ_Tot_11_12/O12),0,(GJ_Tot_11_12/O12))</f>
        <v>0</v>
      </c>
      <c r="F12" s="116">
        <f>IF(ISERROR(GJTotRef_Ajust_11_12/O12),0,(GJTotRef_Ajust_11_12/O12))</f>
        <v>0</v>
      </c>
      <c r="G12" s="117">
        <f xml:space="preserve"> IF(ISERROR(CAD_Tot_11_12/O12),0,(CAD_Tot_11_12/O12))</f>
        <v>0</v>
      </c>
      <c r="H12" s="114">
        <f>GES_ton_11_12</f>
        <v>0</v>
      </c>
      <c r="I12" s="115">
        <f>IF(ISERROR(GES_ton_11_12/O12),0,(GES_ton_11_12/O12))*1000</f>
        <v>0</v>
      </c>
      <c r="J12" s="120">
        <f t="shared" ref="J12:J21" si="0">IF(ISERROR(F12-E12),0,(F12-E12))</f>
        <v>0</v>
      </c>
      <c r="K12" s="121">
        <f t="shared" ref="K12:K21" si="1">IF(ISERROR(1-E12/F12),0,(1-E12/F12))</f>
        <v>0</v>
      </c>
      <c r="L12" s="122">
        <f t="shared" ref="L12:L21" si="2">IF(ISERROR($G$10-G12),0,($G$10-G12))</f>
        <v>0</v>
      </c>
      <c r="M12" s="121">
        <f t="shared" ref="M12:M21" si="3">IF(ISERROR(1-G12/$G$12),0,(1-G12/$G$12))</f>
        <v>0</v>
      </c>
      <c r="N12" s="114">
        <f>GES_ton_09_10-GES_ton_11_12</f>
        <v>0</v>
      </c>
      <c r="O12" s="113">
        <f>IF(ISERROR(Sup_11_12),0,(Sup_11_12))</f>
        <v>0</v>
      </c>
      <c r="P12" s="113">
        <f>nb_bât_11_12</f>
        <v>0</v>
      </c>
      <c r="Q12" s="114">
        <f>Elec_kWh_11_12</f>
        <v>0</v>
      </c>
      <c r="R12" s="115">
        <f>Elec_CAD_11_12</f>
        <v>0</v>
      </c>
      <c r="S12" s="114">
        <f>GN_m³_11_12</f>
        <v>0</v>
      </c>
      <c r="T12" s="115">
        <f>GN_CAD_11_12</f>
        <v>0</v>
      </c>
      <c r="U12" s="114">
        <f>Ma2_l_11_12</f>
        <v>0</v>
      </c>
      <c r="V12" s="115">
        <f>Ma2_CAD_11_12</f>
        <v>0</v>
      </c>
      <c r="W12" s="114">
        <f>Ma6_l_11_12</f>
        <v>0</v>
      </c>
      <c r="X12" s="115">
        <f>Ma6_CAD_11_12</f>
        <v>0</v>
      </c>
      <c r="Y12" s="422">
        <f>Dies_11_12</f>
        <v>0</v>
      </c>
      <c r="Z12" s="422">
        <f>Dies_CAD_11_12</f>
        <v>0</v>
      </c>
      <c r="AA12" s="114">
        <f>Prop_l_11_12</f>
        <v>0</v>
      </c>
      <c r="AB12" s="115">
        <f>Prop_CAD_11_12</f>
        <v>0</v>
      </c>
      <c r="AC12" s="114">
        <f>Bois20_1000kg_11_12</f>
        <v>0</v>
      </c>
      <c r="AD12" s="115">
        <f>Bois20_CAD_11_12</f>
        <v>0</v>
      </c>
      <c r="AE12" s="114">
        <f>Bois45_1000kg_11_12</f>
        <v>0</v>
      </c>
      <c r="AF12" s="115">
        <f>Bois45_CAD_11_12</f>
        <v>0</v>
      </c>
      <c r="AG12" s="114">
        <f>Vapeur_Lbs_11_12</f>
        <v>0</v>
      </c>
      <c r="AH12" s="115">
        <f>Vapeur_CAD_11_12</f>
        <v>0</v>
      </c>
      <c r="AI12" s="114">
        <f>EauRefroidie_MBTU_11_12</f>
        <v>0</v>
      </c>
      <c r="AJ12" s="114">
        <f>EauRefroidie_CAD_11_12</f>
        <v>0</v>
      </c>
      <c r="AK12" s="114">
        <f>EauChaude_MBTU_11_12</f>
        <v>0</v>
      </c>
      <c r="AL12" s="114">
        <f>EauChaude_CAD_11_12</f>
        <v>0</v>
      </c>
      <c r="AM12" s="113">
        <f>DJC_tot_11_12</f>
        <v>3730</v>
      </c>
      <c r="AN12" s="348"/>
      <c r="AO12" s="348"/>
      <c r="AP12" s="348"/>
      <c r="AQ12" s="348"/>
      <c r="AR12" s="348"/>
    </row>
    <row r="13" spans="1:44">
      <c r="A13" s="40" t="s">
        <v>12</v>
      </c>
      <c r="B13" s="381">
        <f>IFERROR(GJ_Tot_12_13,0)</f>
        <v>0</v>
      </c>
      <c r="C13" s="114">
        <f>GJTotRef_Ajust_12_13</f>
        <v>0</v>
      </c>
      <c r="D13" s="115">
        <f>CAD_Tot_12_13</f>
        <v>0</v>
      </c>
      <c r="E13" s="116">
        <f>IF(ISERROR(GJ_Tot_12_13/O13),0,(GJ_Tot_12_13/O13))</f>
        <v>0</v>
      </c>
      <c r="F13" s="116">
        <f>IF(ISERROR(GJTotRef_Ajust_12_13/O13),0,(GJTotRef_Ajust_12_13/O13))</f>
        <v>0</v>
      </c>
      <c r="G13" s="117">
        <f xml:space="preserve"> IF(ISERROR(CAD_Tot_12_13/O13),0,(CAD_Tot_12_13/O13))</f>
        <v>0</v>
      </c>
      <c r="H13" s="114">
        <f>GES_ton_12_13</f>
        <v>0</v>
      </c>
      <c r="I13" s="115">
        <f>IF(ISERROR(GES_ton_12_13/O13),0,(GES_ton_12_13/O13))*1000</f>
        <v>0</v>
      </c>
      <c r="J13" s="120">
        <f t="shared" si="0"/>
        <v>0</v>
      </c>
      <c r="K13" s="121">
        <f t="shared" si="1"/>
        <v>0</v>
      </c>
      <c r="L13" s="122">
        <f t="shared" si="2"/>
        <v>0</v>
      </c>
      <c r="M13" s="121">
        <f t="shared" si="3"/>
        <v>0</v>
      </c>
      <c r="N13" s="114">
        <f>GES_ton_09_10-GES_ton_12_13</f>
        <v>0</v>
      </c>
      <c r="O13" s="113">
        <f>IF(ISERROR(Sup_12_13),0,(Sup_12_13))</f>
        <v>0</v>
      </c>
      <c r="P13" s="113">
        <f>nb_bât_12_13</f>
        <v>0</v>
      </c>
      <c r="Q13" s="114">
        <f>Elec_kWh_12_13</f>
        <v>0</v>
      </c>
      <c r="R13" s="115">
        <f>Elec_CAD_12_13</f>
        <v>0</v>
      </c>
      <c r="S13" s="114">
        <f>GN_m³_12_13</f>
        <v>0</v>
      </c>
      <c r="T13" s="115">
        <f>GN_CAD_12_13</f>
        <v>0</v>
      </c>
      <c r="U13" s="114">
        <f>Ma2_l_12_13</f>
        <v>0</v>
      </c>
      <c r="V13" s="115">
        <f>Ma2_CAD_12_13</f>
        <v>0</v>
      </c>
      <c r="W13" s="114">
        <f>Ma6_l_12_13</f>
        <v>0</v>
      </c>
      <c r="X13" s="115">
        <f>Ma6_CAD_12_13</f>
        <v>0</v>
      </c>
      <c r="Y13" s="422">
        <f>Dies_12_13</f>
        <v>0</v>
      </c>
      <c r="Z13" s="422">
        <f>Dies_CAD_12_13</f>
        <v>0</v>
      </c>
      <c r="AA13" s="114">
        <f>Prop_l_12_13</f>
        <v>0</v>
      </c>
      <c r="AB13" s="115">
        <f>Prop_CAD_12_13</f>
        <v>0</v>
      </c>
      <c r="AC13" s="114">
        <f>Bois20_1000kg_12_13</f>
        <v>0</v>
      </c>
      <c r="AD13" s="115">
        <f>Bois20_CAD_12_13</f>
        <v>0</v>
      </c>
      <c r="AE13" s="114">
        <f>Bois45_1000kg_12_13</f>
        <v>0</v>
      </c>
      <c r="AF13" s="115">
        <f>Bois45_CAD_12_13</f>
        <v>0</v>
      </c>
      <c r="AG13" s="114">
        <f>Vapeur_Lbs_12_13</f>
        <v>0</v>
      </c>
      <c r="AH13" s="115">
        <f>Vapeur_CAD_12_13</f>
        <v>0</v>
      </c>
      <c r="AI13" s="114">
        <f>EauRefroidie_MBTU_12_13</f>
        <v>0</v>
      </c>
      <c r="AJ13" s="114">
        <f>EauRefroidie_CAD_12_13</f>
        <v>0</v>
      </c>
      <c r="AK13" s="114">
        <f>EauChaude_MBTU_12_13</f>
        <v>0</v>
      </c>
      <c r="AL13" s="114">
        <f>EauChaude_CAD_12_13</f>
        <v>0</v>
      </c>
      <c r="AM13" s="113">
        <f>DJC_tot_12_13</f>
        <v>4039.4</v>
      </c>
      <c r="AN13" s="348"/>
      <c r="AO13" s="348"/>
      <c r="AP13" s="348"/>
      <c r="AQ13" s="348"/>
      <c r="AR13" s="348"/>
    </row>
    <row r="14" spans="1:44">
      <c r="A14" s="40" t="s">
        <v>14</v>
      </c>
      <c r="B14" s="381">
        <f>IFERROR(GJ_Tot_13_14,0)</f>
        <v>0</v>
      </c>
      <c r="C14" s="114">
        <f>GJTotRef_Ajust_13_14</f>
        <v>0</v>
      </c>
      <c r="D14" s="115">
        <f>CAD_Tot_13_14</f>
        <v>0</v>
      </c>
      <c r="E14" s="116">
        <f>IF(ISERROR(GJ_Tot_13_14/O14),0,(GJ_Tot_13_14/O14))</f>
        <v>0</v>
      </c>
      <c r="F14" s="116">
        <f>IF(ISERROR(GJTotRef_Ajust_13_14/O14),0,(GJTotRef_Ajust_13_14/O14))</f>
        <v>0</v>
      </c>
      <c r="G14" s="117">
        <f>IF(ISERROR(CAD_Tot_13_14/O14),0,(CAD_Tot_13_14/O14))</f>
        <v>0</v>
      </c>
      <c r="H14" s="114">
        <f>GES_ton_13_14</f>
        <v>0</v>
      </c>
      <c r="I14" s="115">
        <f>IF(ISERROR(GES_ton_13_14/O14),0,(GES_ton_13_14/O14))*1000</f>
        <v>0</v>
      </c>
      <c r="J14" s="120">
        <f t="shared" si="0"/>
        <v>0</v>
      </c>
      <c r="K14" s="121">
        <f t="shared" si="1"/>
        <v>0</v>
      </c>
      <c r="L14" s="122">
        <f t="shared" si="2"/>
        <v>0</v>
      </c>
      <c r="M14" s="121">
        <f t="shared" si="3"/>
        <v>0</v>
      </c>
      <c r="N14" s="114">
        <f>GES_ton_09_10-GES_ton_13_14</f>
        <v>0</v>
      </c>
      <c r="O14" s="113">
        <f>IF(ISERROR(Sup_13_14),0,(Sup_13_14))</f>
        <v>0</v>
      </c>
      <c r="P14" s="113">
        <f>nb_bât_13_14</f>
        <v>0</v>
      </c>
      <c r="Q14" s="114">
        <f>Elec_kWh_13_14</f>
        <v>0</v>
      </c>
      <c r="R14" s="115">
        <f>Elec_CAD_13_14</f>
        <v>0</v>
      </c>
      <c r="S14" s="114">
        <f>GN_m³_13_14</f>
        <v>0</v>
      </c>
      <c r="T14" s="115">
        <f>GN_CAD_13_14</f>
        <v>0</v>
      </c>
      <c r="U14" s="114">
        <f>Ma2_l_13_14</f>
        <v>0</v>
      </c>
      <c r="V14" s="115">
        <f>Ma2_CAD_13_14</f>
        <v>0</v>
      </c>
      <c r="W14" s="114">
        <f>Ma6_l_13_14</f>
        <v>0</v>
      </c>
      <c r="X14" s="115">
        <f>Ma6_CAD_13_14</f>
        <v>0</v>
      </c>
      <c r="Y14" s="422">
        <f>Dies_13_14</f>
        <v>0</v>
      </c>
      <c r="Z14" s="422">
        <f>Dies_CAD_13_14</f>
        <v>0</v>
      </c>
      <c r="AA14" s="114">
        <f>Prop_l_13_14</f>
        <v>0</v>
      </c>
      <c r="AB14" s="115">
        <f>Prop_CAD_13_14</f>
        <v>0</v>
      </c>
      <c r="AC14" s="114">
        <f>Bois20_1000kg_13_14</f>
        <v>0</v>
      </c>
      <c r="AD14" s="115">
        <f>Bois20_CAD_13_14</f>
        <v>0</v>
      </c>
      <c r="AE14" s="114">
        <f>Bois45_1000kg_13_14</f>
        <v>0</v>
      </c>
      <c r="AF14" s="115">
        <f>Bois45_CAD_13_14</f>
        <v>0</v>
      </c>
      <c r="AG14" s="114">
        <f>Vapeur_Lbs_13_14</f>
        <v>0</v>
      </c>
      <c r="AH14" s="115">
        <f>Vapeur_CAD_13_14</f>
        <v>0</v>
      </c>
      <c r="AI14" s="114">
        <f>EauRefroidie_MBTU_13_14</f>
        <v>0</v>
      </c>
      <c r="AJ14" s="114">
        <f>EauRefroidie_CAD_13_14</f>
        <v>0</v>
      </c>
      <c r="AK14" s="114">
        <f>EauChaude_MBTU_13_14</f>
        <v>0</v>
      </c>
      <c r="AL14" s="114">
        <f>EauChaude_CAD_13_14</f>
        <v>0</v>
      </c>
      <c r="AM14" s="113">
        <f>DJC_tot_13_14</f>
        <v>4562.5</v>
      </c>
      <c r="AN14" s="348"/>
      <c r="AO14" s="348"/>
      <c r="AP14" s="348"/>
      <c r="AQ14" s="348"/>
      <c r="AR14" s="348"/>
    </row>
    <row r="15" spans="1:44">
      <c r="A15" s="40" t="s">
        <v>15</v>
      </c>
      <c r="B15" s="381">
        <f>IFERROR(GJ_Tot_14_15,0)</f>
        <v>0</v>
      </c>
      <c r="C15" s="114">
        <f>GJTotRef_Ajust_14_15</f>
        <v>0</v>
      </c>
      <c r="D15" s="115">
        <f>CAD_Tot_14_15</f>
        <v>0</v>
      </c>
      <c r="E15" s="116">
        <f>IF(ISERROR(GJ_Tot_14_15/O15),0,(GJ_Tot_14_15/O15))</f>
        <v>0</v>
      </c>
      <c r="F15" s="116">
        <f>IF(ISERROR(GJTotRef_Ajust_14_15/O15),0,(GJTotRef_Ajust_14_15/O15))</f>
        <v>0</v>
      </c>
      <c r="G15" s="117">
        <f>IF(ISERROR(CAD_Tot_14_15/O15),0,(CAD_Tot_14_15/O15))</f>
        <v>0</v>
      </c>
      <c r="H15" s="114">
        <f>GES_ton_14_15</f>
        <v>0</v>
      </c>
      <c r="I15" s="115">
        <f>IF(ISERROR(GES_ton_14_15/O15),0,(GES_ton_14_15/O15))*1000</f>
        <v>0</v>
      </c>
      <c r="J15" s="120">
        <f t="shared" si="0"/>
        <v>0</v>
      </c>
      <c r="K15" s="121">
        <f t="shared" si="1"/>
        <v>0</v>
      </c>
      <c r="L15" s="122">
        <f t="shared" si="2"/>
        <v>0</v>
      </c>
      <c r="M15" s="121">
        <f t="shared" si="3"/>
        <v>0</v>
      </c>
      <c r="N15" s="114">
        <f>GES_ton_09_10-GES_ton_14_15</f>
        <v>0</v>
      </c>
      <c r="O15" s="113">
        <f>IF(ISERROR(Sup_14_15),0,(Sup_14_15))</f>
        <v>0</v>
      </c>
      <c r="P15" s="113">
        <f>nb_bât_14_15</f>
        <v>0</v>
      </c>
      <c r="Q15" s="114">
        <f>Elec_kWh_14_15</f>
        <v>0</v>
      </c>
      <c r="R15" s="115">
        <f>Elec_CAD_14_15</f>
        <v>0</v>
      </c>
      <c r="S15" s="114">
        <f>GN_m³_14_15</f>
        <v>0</v>
      </c>
      <c r="T15" s="115">
        <f>GN_CAD_14_15</f>
        <v>0</v>
      </c>
      <c r="U15" s="114">
        <f>Ma2_l_14_15</f>
        <v>0</v>
      </c>
      <c r="V15" s="115">
        <f>Ma2_CAD_14_15</f>
        <v>0</v>
      </c>
      <c r="W15" s="114">
        <f>Ma6_l_14_15</f>
        <v>0</v>
      </c>
      <c r="X15" s="115">
        <f>Ma6_CAD_14_15</f>
        <v>0</v>
      </c>
      <c r="Y15" s="422">
        <f>Dies_14_15</f>
        <v>0</v>
      </c>
      <c r="Z15" s="422">
        <f>Dies_CAD_14_15</f>
        <v>0</v>
      </c>
      <c r="AA15" s="114">
        <f>Prop_l_14_15</f>
        <v>0</v>
      </c>
      <c r="AB15" s="115">
        <f>Prop_CAD_14_15</f>
        <v>0</v>
      </c>
      <c r="AC15" s="114">
        <f>Bois20_1000kg_14_15</f>
        <v>0</v>
      </c>
      <c r="AD15" s="115">
        <f>Bois20_CAD_14_15</f>
        <v>0</v>
      </c>
      <c r="AE15" s="114">
        <f>Bois45_1000kg_14_15</f>
        <v>0</v>
      </c>
      <c r="AF15" s="115">
        <f>Bois45_CAD_14_15</f>
        <v>0</v>
      </c>
      <c r="AG15" s="114">
        <f>Vapeur_Lbs_14_15</f>
        <v>0</v>
      </c>
      <c r="AH15" s="115">
        <f>Vapeur_CAD_14_15</f>
        <v>0</v>
      </c>
      <c r="AI15" s="114">
        <f>EauRefroidie_MBTU_14_15</f>
        <v>0</v>
      </c>
      <c r="AJ15" s="114">
        <f>EauRefroidie_CAD_14_15</f>
        <v>0</v>
      </c>
      <c r="AK15" s="114">
        <f>EauChaude_MBTU_14_15</f>
        <v>0</v>
      </c>
      <c r="AL15" s="114">
        <f>EauChaude_CAD_14_15</f>
        <v>0</v>
      </c>
      <c r="AM15" s="113">
        <f>DJC_tot_14_15</f>
        <v>4543.1000000000004</v>
      </c>
      <c r="AN15" s="378" t="b">
        <v>0</v>
      </c>
      <c r="AO15" s="348" t="b">
        <v>0</v>
      </c>
      <c r="AP15" s="348" t="b">
        <v>0</v>
      </c>
      <c r="AQ15" s="348" t="b">
        <v>0</v>
      </c>
      <c r="AR15" s="348" t="b">
        <v>0</v>
      </c>
    </row>
    <row r="16" spans="1:44">
      <c r="A16" s="40" t="s">
        <v>85</v>
      </c>
      <c r="B16" s="381">
        <f>IFERROR(GJ_Tot_15_16,0)</f>
        <v>0</v>
      </c>
      <c r="C16" s="114">
        <f>GJTotRef_Ajust_15_16</f>
        <v>0</v>
      </c>
      <c r="D16" s="115">
        <f>CAD_Tot_15_16</f>
        <v>0</v>
      </c>
      <c r="E16" s="116">
        <f>IF(ISERROR(GJ_Tot_15_16/O16),0,(GJ_Tot_15_16/O16))</f>
        <v>0</v>
      </c>
      <c r="F16" s="116">
        <f>IF(ISERROR(GJTotRef_Ajust_15_16/O16),0,(GJTotRef_Ajust_15_16/O16))</f>
        <v>0</v>
      </c>
      <c r="G16" s="117">
        <f>IF(ISERROR(CAD_Tot_15_16/O16),0,(CAD_Tot_15_16/O16))</f>
        <v>0</v>
      </c>
      <c r="H16" s="114">
        <f>GES_ton_15_16</f>
        <v>0</v>
      </c>
      <c r="I16" s="115">
        <f>IF(ISERROR(GES_ton_15_16/O16),0,(GES_ton_15_16/O16))*1000</f>
        <v>0</v>
      </c>
      <c r="J16" s="120">
        <f t="shared" si="0"/>
        <v>0</v>
      </c>
      <c r="K16" s="121">
        <f t="shared" si="1"/>
        <v>0</v>
      </c>
      <c r="L16" s="122">
        <f t="shared" si="2"/>
        <v>0</v>
      </c>
      <c r="M16" s="121">
        <f t="shared" si="3"/>
        <v>0</v>
      </c>
      <c r="N16" s="114">
        <f>GES_ton_09_10-GES_ton_15_16</f>
        <v>0</v>
      </c>
      <c r="O16" s="113">
        <f>IF(ISERROR(Sup_15_16),0,(Sup_15_16))</f>
        <v>0</v>
      </c>
      <c r="P16" s="113">
        <f>nb_bât_15_16</f>
        <v>0</v>
      </c>
      <c r="Q16" s="114">
        <f>Elec_kWh_15_16</f>
        <v>0</v>
      </c>
      <c r="R16" s="115">
        <f>Elec_CAD_15_16</f>
        <v>0</v>
      </c>
      <c r="S16" s="114">
        <f>GN_m³_15_16</f>
        <v>0</v>
      </c>
      <c r="T16" s="115">
        <f>GN_CAD_15_16</f>
        <v>0</v>
      </c>
      <c r="U16" s="114">
        <f>Ma2_l_15_16</f>
        <v>0</v>
      </c>
      <c r="V16" s="115">
        <f>Ma2_CAD_15_16</f>
        <v>0</v>
      </c>
      <c r="W16" s="114">
        <f>Ma6_l_15_16</f>
        <v>0</v>
      </c>
      <c r="X16" s="115">
        <f>Ma6_CAD_15_16</f>
        <v>0</v>
      </c>
      <c r="Y16" s="422">
        <f>Dies_15_16</f>
        <v>0</v>
      </c>
      <c r="Z16" s="422">
        <f>Dies_CAD_15_16</f>
        <v>0</v>
      </c>
      <c r="AA16" s="114">
        <f>Prop_l_15_16</f>
        <v>0</v>
      </c>
      <c r="AB16" s="115">
        <f>Prop_CAD_15_16</f>
        <v>0</v>
      </c>
      <c r="AC16" s="114">
        <f>Bois20_1000kg_15_16</f>
        <v>0</v>
      </c>
      <c r="AD16" s="115">
        <f>Bois20_CAD_15_16</f>
        <v>0</v>
      </c>
      <c r="AE16" s="114">
        <f>Bois45_1000kg_15_16</f>
        <v>0</v>
      </c>
      <c r="AF16" s="115">
        <f>Bois45_CAD_15_16</f>
        <v>0</v>
      </c>
      <c r="AG16" s="114">
        <f>Vapeur_Lbs_15_16</f>
        <v>0</v>
      </c>
      <c r="AH16" s="115">
        <f>Vapeur_CAD_15_16</f>
        <v>0</v>
      </c>
      <c r="AI16" s="114">
        <f>EauRefroidie_MBTU_15_16</f>
        <v>0</v>
      </c>
      <c r="AJ16" s="114">
        <f>EauRefroidie_CAD_15_16</f>
        <v>0</v>
      </c>
      <c r="AK16" s="114">
        <f>EauChaude_MBTU_15_16</f>
        <v>0</v>
      </c>
      <c r="AL16" s="114">
        <f>EauChaude_CAD_15_16</f>
        <v>0</v>
      </c>
      <c r="AM16" s="113">
        <f>DJC_tot_15_16</f>
        <v>3611.4000000000005</v>
      </c>
      <c r="AN16" s="348" t="b">
        <v>0</v>
      </c>
      <c r="AO16" s="348" t="b">
        <v>0</v>
      </c>
      <c r="AP16" s="348" t="b">
        <v>0</v>
      </c>
      <c r="AQ16" s="348" t="b">
        <v>0</v>
      </c>
      <c r="AR16" s="348" t="b">
        <v>0</v>
      </c>
    </row>
    <row r="17" spans="1:45">
      <c r="A17" s="40" t="s">
        <v>86</v>
      </c>
      <c r="B17" s="381">
        <f>IFERROR(GJ_Tot_16_17,0)</f>
        <v>0</v>
      </c>
      <c r="C17" s="114">
        <f>GJTotRef_Ajust_16_17</f>
        <v>0</v>
      </c>
      <c r="D17" s="115">
        <f>CAD_Tot_16_17</f>
        <v>0</v>
      </c>
      <c r="E17" s="116">
        <f>IF(ISERROR(GJ_Tot_16_17/O17),0,(GJ_Tot_16_17/O17))</f>
        <v>0</v>
      </c>
      <c r="F17" s="116">
        <f>IF(ISERROR(GJTotRef_Ajust_16_17/O17),0,(GJTotRef_Ajust_16_17/O17))</f>
        <v>0</v>
      </c>
      <c r="G17" s="117">
        <f>IF(ISERROR(CAD_Tot_16_17/O17),0,(CAD_Tot_16_17/O17))</f>
        <v>0</v>
      </c>
      <c r="H17" s="114">
        <f>GES_ton_16_17</f>
        <v>0</v>
      </c>
      <c r="I17" s="115">
        <f>IF(ISERROR(GES_ton_16_17/O17),0,(GES_ton_16_17/O17))*1000</f>
        <v>0</v>
      </c>
      <c r="J17" s="120">
        <f t="shared" si="0"/>
        <v>0</v>
      </c>
      <c r="K17" s="121">
        <f t="shared" si="1"/>
        <v>0</v>
      </c>
      <c r="L17" s="122">
        <f t="shared" si="2"/>
        <v>0</v>
      </c>
      <c r="M17" s="121">
        <f t="shared" si="3"/>
        <v>0</v>
      </c>
      <c r="N17" s="114">
        <f>GES_ton_09_10-GES_ton_16_17</f>
        <v>0</v>
      </c>
      <c r="O17" s="113">
        <f>IF(ISERROR(Sup_16_17),0,(Sup_16_17))</f>
        <v>0</v>
      </c>
      <c r="P17" s="113">
        <f>nb_bât_16_17</f>
        <v>0</v>
      </c>
      <c r="Q17" s="114">
        <f>Elec_kWh_16_17</f>
        <v>0</v>
      </c>
      <c r="R17" s="115">
        <f>Elec_CAD_16_17</f>
        <v>0</v>
      </c>
      <c r="S17" s="114">
        <f>GN_m³_16_17</f>
        <v>0</v>
      </c>
      <c r="T17" s="115">
        <f>GN_CAD_16_17</f>
        <v>0</v>
      </c>
      <c r="U17" s="114">
        <f>Ma2_l_16_17</f>
        <v>0</v>
      </c>
      <c r="V17" s="115">
        <f>Ma2_CAD_16_17</f>
        <v>0</v>
      </c>
      <c r="W17" s="114">
        <f>Ma6_l_16_17</f>
        <v>0</v>
      </c>
      <c r="X17" s="115">
        <f>Ma6_CAD_16_17</f>
        <v>0</v>
      </c>
      <c r="Y17" s="422">
        <f>Dies_16_17</f>
        <v>0</v>
      </c>
      <c r="Z17" s="422">
        <f>Dies_CAD_16_17</f>
        <v>0</v>
      </c>
      <c r="AA17" s="114">
        <f>Prop_l_16_17</f>
        <v>0</v>
      </c>
      <c r="AB17" s="115">
        <f>Prop_CAD_16_17</f>
        <v>0</v>
      </c>
      <c r="AC17" s="114">
        <f>Bois20_1000kg_16_17</f>
        <v>0</v>
      </c>
      <c r="AD17" s="115">
        <f>Bois20_CAD_16_17</f>
        <v>0</v>
      </c>
      <c r="AE17" s="114">
        <f>Bois45_1000kg_16_17</f>
        <v>0</v>
      </c>
      <c r="AF17" s="115">
        <f>Bois45_CAD_16_17</f>
        <v>0</v>
      </c>
      <c r="AG17" s="114">
        <f>Vapeur_Lbs_16_17</f>
        <v>0</v>
      </c>
      <c r="AH17" s="115">
        <f>Vapeur_CAD_16_17</f>
        <v>0</v>
      </c>
      <c r="AI17" s="114">
        <f>EauRefroidie_MBTU_16_17</f>
        <v>0</v>
      </c>
      <c r="AJ17" s="114">
        <f>EauRefroidie_CAD_16_17</f>
        <v>0</v>
      </c>
      <c r="AK17" s="114">
        <f>EauChaude_MBTU_16_17</f>
        <v>0</v>
      </c>
      <c r="AL17" s="114">
        <f>EauChaude_CAD_16_17</f>
        <v>0</v>
      </c>
      <c r="AM17" s="113">
        <f>DJC_tot_16_17</f>
        <v>3951.9</v>
      </c>
      <c r="AN17" s="348" t="b">
        <v>0</v>
      </c>
      <c r="AO17" s="348" t="b">
        <v>0</v>
      </c>
      <c r="AP17" s="348" t="b">
        <v>0</v>
      </c>
      <c r="AQ17" s="348" t="b">
        <v>0</v>
      </c>
      <c r="AR17" s="348" t="b">
        <v>0</v>
      </c>
    </row>
    <row r="18" spans="1:45">
      <c r="A18" s="40" t="s">
        <v>87</v>
      </c>
      <c r="B18" s="381">
        <f>IFERROR(GJ_Tot_17_18,0)</f>
        <v>0</v>
      </c>
      <c r="C18" s="114">
        <f>GJTotRef_Ajust_17_18</f>
        <v>0</v>
      </c>
      <c r="D18" s="115">
        <f>CAD_Tot_17_18</f>
        <v>0</v>
      </c>
      <c r="E18" s="116">
        <f>IF(ISERROR(GJ_Tot_17_18/O18),0,(GJ_Tot_17_18/O18))</f>
        <v>0</v>
      </c>
      <c r="F18" s="116">
        <f>IF(ISERROR(GJTotRef_Ajust_17_18/O18),0,(GJTotRef_Ajust_17_18/O18))</f>
        <v>0</v>
      </c>
      <c r="G18" s="117">
        <f>IF(ISERROR(CAD_Tot_17_18/O18),0,(CAD_Tot_17_18/O18))</f>
        <v>0</v>
      </c>
      <c r="H18" s="114">
        <f>GES_ton_17_18</f>
        <v>0</v>
      </c>
      <c r="I18" s="115">
        <f>IF(ISERROR(GES_ton_17_18/O18),0,(GES_ton_17_18/O18))*1000</f>
        <v>0</v>
      </c>
      <c r="J18" s="120">
        <f t="shared" si="0"/>
        <v>0</v>
      </c>
      <c r="K18" s="121">
        <f t="shared" si="1"/>
        <v>0</v>
      </c>
      <c r="L18" s="122">
        <f t="shared" si="2"/>
        <v>0</v>
      </c>
      <c r="M18" s="121">
        <f t="shared" si="3"/>
        <v>0</v>
      </c>
      <c r="N18" s="114">
        <f>GES_ton_09_10-GES_ton_17_18</f>
        <v>0</v>
      </c>
      <c r="O18" s="113">
        <f>IF(ISERROR(Sup_17_18),0,(Sup_17_18))</f>
        <v>0</v>
      </c>
      <c r="P18" s="113">
        <f>nb_bât_17_18</f>
        <v>0</v>
      </c>
      <c r="Q18" s="114">
        <f>Elec_kWh_17_18</f>
        <v>0</v>
      </c>
      <c r="R18" s="115">
        <f>Elec_CAD_17_18</f>
        <v>0</v>
      </c>
      <c r="S18" s="114">
        <f>GN_m³_17_18</f>
        <v>0</v>
      </c>
      <c r="T18" s="115">
        <f>GN_CAD_17_18</f>
        <v>0</v>
      </c>
      <c r="U18" s="114">
        <f>Ma2_l_17_18</f>
        <v>0</v>
      </c>
      <c r="V18" s="115">
        <f>Ma2_CAD_17_18</f>
        <v>0</v>
      </c>
      <c r="W18" s="114">
        <f>Ma6_l_17_18</f>
        <v>0</v>
      </c>
      <c r="X18" s="115">
        <f>Ma6_CAD_17_18</f>
        <v>0</v>
      </c>
      <c r="Y18" s="422">
        <f>Dies_17_18</f>
        <v>0</v>
      </c>
      <c r="Z18" s="422">
        <f>Dies_CAD_17_18</f>
        <v>0</v>
      </c>
      <c r="AA18" s="114">
        <f>Prop_l_17_18</f>
        <v>0</v>
      </c>
      <c r="AB18" s="115">
        <f>Prop_CAD_17_18</f>
        <v>0</v>
      </c>
      <c r="AC18" s="114">
        <f>Bois20_1000kg_17_18</f>
        <v>0</v>
      </c>
      <c r="AD18" s="115">
        <f>Bois20_CAD_17_18</f>
        <v>0</v>
      </c>
      <c r="AE18" s="114">
        <f>Bois45_1000kg_17_18</f>
        <v>0</v>
      </c>
      <c r="AF18" s="115">
        <f>Bois45_CAD_17_18</f>
        <v>0</v>
      </c>
      <c r="AG18" s="114">
        <f>Vapeur_Lbs_17_18</f>
        <v>0</v>
      </c>
      <c r="AH18" s="115">
        <f>Vapeur_CAD_17_18</f>
        <v>0</v>
      </c>
      <c r="AI18" s="114">
        <f>EauRefroidie_MBTU_17_18</f>
        <v>0</v>
      </c>
      <c r="AJ18" s="114">
        <f>EauRefroidie_CAD_17_18</f>
        <v>0</v>
      </c>
      <c r="AK18" s="114">
        <f>EauChaude_MBTU_17_18</f>
        <v>0</v>
      </c>
      <c r="AL18" s="114">
        <f>EauChaude_CAD_17_18</f>
        <v>0</v>
      </c>
      <c r="AM18" s="113">
        <f>DJC_tot_17_18</f>
        <v>3949.4000000000005</v>
      </c>
      <c r="AN18" s="348" t="b">
        <v>0</v>
      </c>
      <c r="AO18" s="348" t="b">
        <v>0</v>
      </c>
      <c r="AP18" s="348" t="b">
        <v>0</v>
      </c>
      <c r="AQ18" s="348" t="b">
        <v>0</v>
      </c>
      <c r="AR18" s="348" t="b">
        <v>0</v>
      </c>
    </row>
    <row r="19" spans="1:45" hidden="1">
      <c r="A19" s="40" t="s">
        <v>88</v>
      </c>
      <c r="B19" s="381">
        <f>IFERROR(GJ_Tot_18_19,0)</f>
        <v>0</v>
      </c>
      <c r="C19" s="114">
        <f>GJTotRef_Ajust_18_19</f>
        <v>0</v>
      </c>
      <c r="D19" s="115">
        <f>CAD_Tot_18_19</f>
        <v>0</v>
      </c>
      <c r="E19" s="116">
        <f>IF(ISERROR(GJ_Tot_18_19/O19),0,(GJ_Tot_18_19/O19))</f>
        <v>0</v>
      </c>
      <c r="F19" s="116">
        <f>IF(ISERROR(GJTotRef_Ajust_18_19/O19),0,(GJTotRef_Ajust_18_19/O19))</f>
        <v>0</v>
      </c>
      <c r="G19" s="117">
        <f>IF(ISERROR(CAD_Tot_18_19/O19),0,(CAD_Tot_18_19/O19))</f>
        <v>0</v>
      </c>
      <c r="H19" s="114" t="e">
        <f>GES_ton_18_19</f>
        <v>#NAME?</v>
      </c>
      <c r="I19" s="115">
        <f>IF(ISERROR(GES_ton_18_19/O19),0,(GES_ton_18_19/O19))*1000</f>
        <v>0</v>
      </c>
      <c r="J19" s="120">
        <f t="shared" si="0"/>
        <v>0</v>
      </c>
      <c r="K19" s="121">
        <f t="shared" si="1"/>
        <v>0</v>
      </c>
      <c r="L19" s="122">
        <f t="shared" si="2"/>
        <v>0</v>
      </c>
      <c r="M19" s="121">
        <f t="shared" si="3"/>
        <v>0</v>
      </c>
      <c r="N19" s="114" t="e">
        <f>GES_ton_09_10-GES_ton_18_19</f>
        <v>#NAME?</v>
      </c>
      <c r="O19" s="113">
        <f>IF(ISERROR(Sup_18_19),0,(Sup_18_19))</f>
        <v>0</v>
      </c>
      <c r="P19" s="113">
        <f>nb_bât_18_19</f>
        <v>0</v>
      </c>
      <c r="Q19" s="114">
        <f>Elec_kWh_18_19</f>
        <v>0</v>
      </c>
      <c r="R19" s="115">
        <f>Elec_CAD_18_19</f>
        <v>0</v>
      </c>
      <c r="S19" s="114">
        <f>GN_m³_18_19</f>
        <v>0</v>
      </c>
      <c r="T19" s="115">
        <f>GN_CAD_18_19</f>
        <v>0</v>
      </c>
      <c r="U19" s="114">
        <f>Ma2_l_18_19</f>
        <v>0</v>
      </c>
      <c r="V19" s="115">
        <f>Ma2_CAD_18_19</f>
        <v>0</v>
      </c>
      <c r="W19" s="114">
        <f>Ma6_l_18_19</f>
        <v>0</v>
      </c>
      <c r="X19" s="115">
        <f>Ma6_CAD_18_19</f>
        <v>0</v>
      </c>
      <c r="Y19" s="422">
        <f>Dies_18_19</f>
        <v>0</v>
      </c>
      <c r="Z19" s="422">
        <f>Dies_CAD_18_19</f>
        <v>0</v>
      </c>
      <c r="AA19" s="114">
        <f>Prop_l_18_19</f>
        <v>0</v>
      </c>
      <c r="AB19" s="115">
        <f>Prop_CAD_18_19</f>
        <v>0</v>
      </c>
      <c r="AC19" s="114">
        <f>Bois20_1000kg_18_19</f>
        <v>0</v>
      </c>
      <c r="AD19" s="115">
        <f>Bois20_CAD_18_19</f>
        <v>0</v>
      </c>
      <c r="AE19" s="114">
        <f>Bois45_1000kg_18_19</f>
        <v>0</v>
      </c>
      <c r="AF19" s="115">
        <f>Bois45_CAD_18_19</f>
        <v>0</v>
      </c>
      <c r="AG19" s="114">
        <f>Vapeur_Lbs_18_19</f>
        <v>0</v>
      </c>
      <c r="AH19" s="115">
        <f>Vapeur_CAD_18_19</f>
        <v>0</v>
      </c>
      <c r="AI19" s="114">
        <f>EauRefroidie_MBTU_18_19</f>
        <v>0</v>
      </c>
      <c r="AJ19" s="114">
        <f>EauRefroidie_CAD_18_19</f>
        <v>0</v>
      </c>
      <c r="AK19" s="114">
        <f>EauChaude_MBTU_18_19</f>
        <v>0</v>
      </c>
      <c r="AL19" s="114">
        <f>EauChaude_CAD_18_19</f>
        <v>0</v>
      </c>
      <c r="AM19" s="113">
        <f>DJC_tot_18_19</f>
        <v>502.7</v>
      </c>
      <c r="AN19" s="348" t="b">
        <v>0</v>
      </c>
      <c r="AO19" s="348" t="b">
        <v>0</v>
      </c>
      <c r="AP19" s="348" t="b">
        <v>0</v>
      </c>
      <c r="AQ19" s="348" t="b">
        <v>0</v>
      </c>
      <c r="AR19" s="348" t="b">
        <v>0</v>
      </c>
    </row>
    <row r="20" spans="1:45" hidden="1">
      <c r="A20" s="40" t="s">
        <v>89</v>
      </c>
      <c r="B20" s="381">
        <f>IFERROR(GJ_Tot_19_20,0)</f>
        <v>0</v>
      </c>
      <c r="C20" s="114">
        <f>GJTotRef_Ajust_19_20</f>
        <v>0</v>
      </c>
      <c r="D20" s="115">
        <f>CAD_Tot_19_20</f>
        <v>0</v>
      </c>
      <c r="E20" s="116">
        <f>IF(ISERROR(GJ_Tot_19_20/O20),0,(GJ_Tot_19_20/O20))</f>
        <v>0</v>
      </c>
      <c r="F20" s="116">
        <f>IF(ISERROR(GJTotRef_Ajust_19_20/O20),0,(GJTotRef_Ajust_19_20/O20))</f>
        <v>0</v>
      </c>
      <c r="G20" s="117">
        <f>IF(ISERROR(CAD_Tot_19_20/O20),0,(CAD_Tot_19_20/O20))</f>
        <v>0</v>
      </c>
      <c r="H20" s="114" t="e">
        <f>GES_ton_19_20</f>
        <v>#NAME?</v>
      </c>
      <c r="I20" s="115">
        <f>IF(ISERROR(GES_ton_19_20/O20),0,(GES_ton_19_20/O20))*1000</f>
        <v>0</v>
      </c>
      <c r="J20" s="120">
        <f t="shared" si="0"/>
        <v>0</v>
      </c>
      <c r="K20" s="121">
        <f t="shared" si="1"/>
        <v>0</v>
      </c>
      <c r="L20" s="122">
        <f t="shared" si="2"/>
        <v>0</v>
      </c>
      <c r="M20" s="121">
        <f t="shared" si="3"/>
        <v>0</v>
      </c>
      <c r="N20" s="114" t="e">
        <f>GES_ton_09_10-GES_ton_19_20</f>
        <v>#NAME?</v>
      </c>
      <c r="O20" s="113">
        <f>IF(ISERROR(Sup_19_20),0,(Sup_19_20))</f>
        <v>0</v>
      </c>
      <c r="P20" s="113">
        <f>nb_bât_19_20</f>
        <v>0</v>
      </c>
      <c r="Q20" s="114">
        <f>Elec_kWh_19_20</f>
        <v>0</v>
      </c>
      <c r="R20" s="115">
        <f>Elec_CAD_19_20</f>
        <v>0</v>
      </c>
      <c r="S20" s="114">
        <f>GN_m³_19_20</f>
        <v>0</v>
      </c>
      <c r="T20" s="115">
        <f>GN_CAD_19_20</f>
        <v>0</v>
      </c>
      <c r="U20" s="114">
        <f>Ma2_l_19_20</f>
        <v>0</v>
      </c>
      <c r="V20" s="115">
        <f>Ma2_CAD_19_20</f>
        <v>0</v>
      </c>
      <c r="W20" s="114">
        <f>Ma6_l_19_20</f>
        <v>0</v>
      </c>
      <c r="X20" s="115">
        <f>Ma6_CAD_19_20</f>
        <v>0</v>
      </c>
      <c r="Y20" s="422">
        <f>Dies_19_20</f>
        <v>0</v>
      </c>
      <c r="Z20" s="422">
        <f>Dies_CAD_19_20</f>
        <v>0</v>
      </c>
      <c r="AA20" s="114">
        <f>Prop_l_19_20</f>
        <v>0</v>
      </c>
      <c r="AB20" s="115">
        <f>Prop_CAD_19_20</f>
        <v>0</v>
      </c>
      <c r="AC20" s="114">
        <f>Bois20_1000kg_19_20</f>
        <v>0</v>
      </c>
      <c r="AD20" s="115">
        <f>Bois20_CAD_19_20</f>
        <v>0</v>
      </c>
      <c r="AE20" s="114">
        <f>Bois45_1000kg_19_20</f>
        <v>0</v>
      </c>
      <c r="AF20" s="115">
        <f>Bois45_CAD_19_20</f>
        <v>0</v>
      </c>
      <c r="AG20" s="114">
        <f>Vapeur_Lbs_19_20</f>
        <v>0</v>
      </c>
      <c r="AH20" s="115">
        <f>Vapeur_CAD_19_20</f>
        <v>0</v>
      </c>
      <c r="AI20" s="114">
        <f>EauRefroidie_MBTU_19_20</f>
        <v>0</v>
      </c>
      <c r="AJ20" s="114">
        <f>EauRefroidie_CAD_19_20</f>
        <v>0</v>
      </c>
      <c r="AK20" s="114">
        <f>EauChaude_MBTU_19_20</f>
        <v>0</v>
      </c>
      <c r="AL20" s="114">
        <f>EauChaude_CAD_19_20</f>
        <v>0</v>
      </c>
      <c r="AM20" s="113">
        <f>DJC_tot_19_20</f>
        <v>0</v>
      </c>
      <c r="AN20" s="348" t="b">
        <v>0</v>
      </c>
      <c r="AO20" s="348" t="b">
        <v>0</v>
      </c>
      <c r="AP20" s="348" t="b">
        <v>0</v>
      </c>
      <c r="AQ20" s="348" t="b">
        <v>0</v>
      </c>
      <c r="AR20" s="348" t="b">
        <v>0</v>
      </c>
    </row>
    <row r="21" spans="1:45" hidden="1">
      <c r="A21" s="40" t="str">
        <f>'1. IDENTITÉ'!A66</f>
        <v>2020-2021</v>
      </c>
      <c r="B21" s="381">
        <f t="shared" ref="B21:B30" si="4">IFERROR(GJ_Tot_20_21,0)</f>
        <v>0</v>
      </c>
      <c r="C21" s="114">
        <f t="shared" ref="C21:C30" si="5">GJTotRef_Ajust_20_21</f>
        <v>0</v>
      </c>
      <c r="D21" s="115">
        <f t="shared" ref="D21:D30" si="6">CAD_Tot_20_21</f>
        <v>0</v>
      </c>
      <c r="E21" s="116">
        <f t="shared" ref="E21:E30" si="7">IF(ISERROR(GJ_Tot_20_21/O21),0,(GJ_Tot_20_21/O21))</f>
        <v>0</v>
      </c>
      <c r="F21" s="116">
        <f t="shared" ref="F21:F30" si="8">IF(ISERROR(GJTotRef_Ajust_20_21/O21),0,(GJTotRef_Ajust_20_21/O21))</f>
        <v>0</v>
      </c>
      <c r="G21" s="117">
        <f t="shared" ref="G21:G30" si="9">IF(ISERROR(CAD_Tot_20_21/O21),0,(CAD_Tot_20_21/O21))</f>
        <v>0</v>
      </c>
      <c r="H21" s="114" t="e">
        <f t="shared" ref="H21:H30" si="10">GES_ton_20_21</f>
        <v>#NAME?</v>
      </c>
      <c r="I21" s="115">
        <f t="shared" ref="I21:I30" si="11">IF(ISERROR(GES_ton_20_21/O21),0,(GES_ton_20_21/O21))*1000</f>
        <v>0</v>
      </c>
      <c r="J21" s="120">
        <f t="shared" si="0"/>
        <v>0</v>
      </c>
      <c r="K21" s="121">
        <f t="shared" si="1"/>
        <v>0</v>
      </c>
      <c r="L21" s="122">
        <f t="shared" si="2"/>
        <v>0</v>
      </c>
      <c r="M21" s="121">
        <f t="shared" si="3"/>
        <v>0</v>
      </c>
      <c r="N21" s="114" t="e">
        <f t="shared" ref="N21:N30" si="12">GES_ton_09_10-GES_ton_20_21</f>
        <v>#NAME?</v>
      </c>
      <c r="O21" s="113">
        <f t="shared" ref="O21:O30" si="13">IF(ISERROR(Sup_20_21),0,(Sup_20_21))</f>
        <v>0</v>
      </c>
      <c r="P21" s="113">
        <f t="shared" ref="P21:P30" si="14">nb_bât_20_21</f>
        <v>0</v>
      </c>
      <c r="Q21" s="114">
        <f t="shared" ref="Q21:Q30" si="15">Elec_kWh_20_21</f>
        <v>0</v>
      </c>
      <c r="R21" s="115">
        <f t="shared" ref="R21:R30" si="16">Elec_CAD_20_21</f>
        <v>0</v>
      </c>
      <c r="S21" s="114">
        <f t="shared" ref="S21:S30" si="17">GN_m³_20_21</f>
        <v>0</v>
      </c>
      <c r="T21" s="115">
        <f t="shared" ref="T21:T30" si="18">GN_CAD_20_21</f>
        <v>0</v>
      </c>
      <c r="U21" s="114">
        <f t="shared" ref="U21:U30" si="19">Ma2_l_20_21</f>
        <v>0</v>
      </c>
      <c r="V21" s="115">
        <f t="shared" ref="V21:V30" si="20">Ma2_CAD_20_21</f>
        <v>0</v>
      </c>
      <c r="W21" s="114">
        <f t="shared" ref="W21:W30" si="21">Ma6_l_20_21</f>
        <v>0</v>
      </c>
      <c r="X21" s="115">
        <f t="shared" ref="X21:X30" si="22">Ma6_CAD_20_21</f>
        <v>0</v>
      </c>
      <c r="Y21" s="422">
        <f>Dies_20_21</f>
        <v>0</v>
      </c>
      <c r="Z21" s="422">
        <f>Dies_CAD_20_21</f>
        <v>0</v>
      </c>
      <c r="AA21" s="114">
        <f t="shared" ref="AA21:AA30" si="23">Prop_l_20_21</f>
        <v>0</v>
      </c>
      <c r="AB21" s="115">
        <f t="shared" ref="AB21:AB30" si="24">Prop_CAD_20_21</f>
        <v>0</v>
      </c>
      <c r="AC21" s="114">
        <f t="shared" ref="AC21:AC30" si="25">Bois20_1000kg_20_21</f>
        <v>0</v>
      </c>
      <c r="AD21" s="115">
        <f t="shared" ref="AD21:AD30" si="26">Bois20_CAD_20_21</f>
        <v>0</v>
      </c>
      <c r="AE21" s="114">
        <f t="shared" ref="AE21:AE30" si="27">Bois45_1000kg_20_21</f>
        <v>0</v>
      </c>
      <c r="AF21" s="115">
        <f t="shared" ref="AF21:AF30" si="28">Bois45_CAD_20_21</f>
        <v>0</v>
      </c>
      <c r="AG21" s="114">
        <f t="shared" ref="AG21:AG30" si="29">Vapeur_Lbs_20_21</f>
        <v>0</v>
      </c>
      <c r="AH21" s="115">
        <f t="shared" ref="AH21:AH30" si="30">Vapeur_CAD_20_21</f>
        <v>0</v>
      </c>
      <c r="AI21" s="114">
        <f t="shared" ref="AI21:AI30" si="31">EauRefroidie_MBTU_20_21</f>
        <v>0</v>
      </c>
      <c r="AJ21" s="114">
        <f t="shared" ref="AJ21:AJ30" si="32">EauRefroidie_CAD_20_21</f>
        <v>0</v>
      </c>
      <c r="AK21" s="114">
        <f t="shared" ref="AK21:AK30" si="33">EauChaude_MBTU_20_21</f>
        <v>0</v>
      </c>
      <c r="AL21" s="114">
        <f t="shared" ref="AL21:AL30" si="34">EauChaude_CAD_20_21</f>
        <v>0</v>
      </c>
      <c r="AM21" s="113">
        <f t="shared" ref="AM21:AM30" si="35">DJC_tot_20_21</f>
        <v>0</v>
      </c>
      <c r="AN21" s="348" t="b">
        <v>0</v>
      </c>
      <c r="AO21" s="348" t="b">
        <v>0</v>
      </c>
      <c r="AP21" s="348" t="b">
        <v>0</v>
      </c>
      <c r="AQ21" s="348" t="b">
        <v>0</v>
      </c>
      <c r="AR21" s="348" t="b">
        <v>0</v>
      </c>
    </row>
    <row r="22" spans="1:45" hidden="1">
      <c r="A22" s="40" t="str">
        <f>'1. IDENTITÉ'!A67</f>
        <v>2021-2022</v>
      </c>
      <c r="B22" s="381">
        <f t="shared" si="4"/>
        <v>0</v>
      </c>
      <c r="C22" s="114">
        <f t="shared" si="5"/>
        <v>0</v>
      </c>
      <c r="D22" s="115">
        <f t="shared" si="6"/>
        <v>0</v>
      </c>
      <c r="E22" s="116">
        <f t="shared" si="7"/>
        <v>0</v>
      </c>
      <c r="F22" s="116">
        <f t="shared" si="8"/>
        <v>0</v>
      </c>
      <c r="G22" s="117">
        <f t="shared" si="9"/>
        <v>0</v>
      </c>
      <c r="H22" s="114" t="e">
        <f t="shared" si="10"/>
        <v>#NAME?</v>
      </c>
      <c r="I22" s="115">
        <f t="shared" si="11"/>
        <v>0</v>
      </c>
      <c r="J22" s="120">
        <f t="shared" ref="J22:J30" si="36">IF(ISERROR(F22-E22),0,(F22-E22))</f>
        <v>0</v>
      </c>
      <c r="K22" s="121">
        <f t="shared" ref="K22:K30" si="37">IF(ISERROR(1-E22/F22),0,(1-E22/F22))</f>
        <v>0</v>
      </c>
      <c r="L22" s="122">
        <f t="shared" ref="L22:L30" si="38">IF(ISERROR($G$10-G22),0,($G$10-G22))</f>
        <v>0</v>
      </c>
      <c r="M22" s="121">
        <f t="shared" ref="M22:M30" si="39">IF(ISERROR(1-G22/$G$12),0,(1-G22/$G$12))</f>
        <v>0</v>
      </c>
      <c r="N22" s="114" t="e">
        <f t="shared" si="12"/>
        <v>#NAME?</v>
      </c>
      <c r="O22" s="113">
        <f t="shared" si="13"/>
        <v>0</v>
      </c>
      <c r="P22" s="113">
        <f t="shared" si="14"/>
        <v>0</v>
      </c>
      <c r="Q22" s="114">
        <f t="shared" si="15"/>
        <v>0</v>
      </c>
      <c r="R22" s="115">
        <f t="shared" si="16"/>
        <v>0</v>
      </c>
      <c r="S22" s="114">
        <f t="shared" si="17"/>
        <v>0</v>
      </c>
      <c r="T22" s="115">
        <f t="shared" si="18"/>
        <v>0</v>
      </c>
      <c r="U22" s="114">
        <f t="shared" si="19"/>
        <v>0</v>
      </c>
      <c r="V22" s="115">
        <f t="shared" si="20"/>
        <v>0</v>
      </c>
      <c r="W22" s="114">
        <f t="shared" si="21"/>
        <v>0</v>
      </c>
      <c r="X22" s="115">
        <f t="shared" si="22"/>
        <v>0</v>
      </c>
      <c r="Y22" s="422"/>
      <c r="Z22" s="422"/>
      <c r="AA22" s="114">
        <f t="shared" si="23"/>
        <v>0</v>
      </c>
      <c r="AB22" s="115">
        <f t="shared" si="24"/>
        <v>0</v>
      </c>
      <c r="AC22" s="114">
        <f t="shared" si="25"/>
        <v>0</v>
      </c>
      <c r="AD22" s="115">
        <f t="shared" si="26"/>
        <v>0</v>
      </c>
      <c r="AE22" s="114">
        <f t="shared" si="27"/>
        <v>0</v>
      </c>
      <c r="AF22" s="115">
        <f t="shared" si="28"/>
        <v>0</v>
      </c>
      <c r="AG22" s="114">
        <f t="shared" si="29"/>
        <v>0</v>
      </c>
      <c r="AH22" s="115">
        <f t="shared" si="30"/>
        <v>0</v>
      </c>
      <c r="AI22" s="114">
        <f t="shared" si="31"/>
        <v>0</v>
      </c>
      <c r="AJ22" s="114">
        <f t="shared" si="32"/>
        <v>0</v>
      </c>
      <c r="AK22" s="114">
        <f t="shared" si="33"/>
        <v>0</v>
      </c>
      <c r="AL22" s="114">
        <f t="shared" si="34"/>
        <v>0</v>
      </c>
      <c r="AM22" s="113">
        <f t="shared" si="35"/>
        <v>0</v>
      </c>
      <c r="AN22" s="348" t="b">
        <v>0</v>
      </c>
      <c r="AO22" s="348" t="b">
        <v>0</v>
      </c>
      <c r="AP22" s="348" t="b">
        <v>0</v>
      </c>
      <c r="AQ22" s="348" t="b">
        <v>0</v>
      </c>
      <c r="AR22" s="348" t="b">
        <v>0</v>
      </c>
    </row>
    <row r="23" spans="1:45" hidden="1">
      <c r="A23" s="40" t="str">
        <f>'1. IDENTITÉ'!A68</f>
        <v>2022-2023</v>
      </c>
      <c r="B23" s="381">
        <f t="shared" si="4"/>
        <v>0</v>
      </c>
      <c r="C23" s="114">
        <f t="shared" si="5"/>
        <v>0</v>
      </c>
      <c r="D23" s="115">
        <f t="shared" si="6"/>
        <v>0</v>
      </c>
      <c r="E23" s="116">
        <f t="shared" si="7"/>
        <v>0</v>
      </c>
      <c r="F23" s="116">
        <f t="shared" si="8"/>
        <v>0</v>
      </c>
      <c r="G23" s="117">
        <f t="shared" si="9"/>
        <v>0</v>
      </c>
      <c r="H23" s="114" t="e">
        <f t="shared" si="10"/>
        <v>#NAME?</v>
      </c>
      <c r="I23" s="115">
        <f t="shared" si="11"/>
        <v>0</v>
      </c>
      <c r="J23" s="120">
        <f t="shared" si="36"/>
        <v>0</v>
      </c>
      <c r="K23" s="121">
        <f t="shared" si="37"/>
        <v>0</v>
      </c>
      <c r="L23" s="122">
        <f t="shared" si="38"/>
        <v>0</v>
      </c>
      <c r="M23" s="121">
        <f t="shared" si="39"/>
        <v>0</v>
      </c>
      <c r="N23" s="114" t="e">
        <f t="shared" si="12"/>
        <v>#NAME?</v>
      </c>
      <c r="O23" s="113">
        <f t="shared" si="13"/>
        <v>0</v>
      </c>
      <c r="P23" s="113">
        <f t="shared" si="14"/>
        <v>0</v>
      </c>
      <c r="Q23" s="114">
        <f t="shared" si="15"/>
        <v>0</v>
      </c>
      <c r="R23" s="115">
        <f t="shared" si="16"/>
        <v>0</v>
      </c>
      <c r="S23" s="114">
        <f t="shared" si="17"/>
        <v>0</v>
      </c>
      <c r="T23" s="115">
        <f t="shared" si="18"/>
        <v>0</v>
      </c>
      <c r="U23" s="114">
        <f t="shared" si="19"/>
        <v>0</v>
      </c>
      <c r="V23" s="115">
        <f t="shared" si="20"/>
        <v>0</v>
      </c>
      <c r="W23" s="114">
        <f t="shared" si="21"/>
        <v>0</v>
      </c>
      <c r="X23" s="115">
        <f t="shared" si="22"/>
        <v>0</v>
      </c>
      <c r="Y23" s="422"/>
      <c r="Z23" s="422"/>
      <c r="AA23" s="114">
        <f t="shared" si="23"/>
        <v>0</v>
      </c>
      <c r="AB23" s="115">
        <f t="shared" si="24"/>
        <v>0</v>
      </c>
      <c r="AC23" s="114">
        <f t="shared" si="25"/>
        <v>0</v>
      </c>
      <c r="AD23" s="115">
        <f t="shared" si="26"/>
        <v>0</v>
      </c>
      <c r="AE23" s="114">
        <f t="shared" si="27"/>
        <v>0</v>
      </c>
      <c r="AF23" s="115">
        <f t="shared" si="28"/>
        <v>0</v>
      </c>
      <c r="AG23" s="114">
        <f t="shared" si="29"/>
        <v>0</v>
      </c>
      <c r="AH23" s="115">
        <f t="shared" si="30"/>
        <v>0</v>
      </c>
      <c r="AI23" s="114">
        <f t="shared" si="31"/>
        <v>0</v>
      </c>
      <c r="AJ23" s="114">
        <f t="shared" si="32"/>
        <v>0</v>
      </c>
      <c r="AK23" s="114">
        <f t="shared" si="33"/>
        <v>0</v>
      </c>
      <c r="AL23" s="114">
        <f t="shared" si="34"/>
        <v>0</v>
      </c>
      <c r="AM23" s="113">
        <f t="shared" si="35"/>
        <v>0</v>
      </c>
      <c r="AN23" s="348" t="b">
        <v>0</v>
      </c>
      <c r="AO23" s="348" t="b">
        <v>0</v>
      </c>
      <c r="AP23" s="348" t="b">
        <v>0</v>
      </c>
      <c r="AQ23" s="348" t="b">
        <v>0</v>
      </c>
      <c r="AR23" s="348" t="b">
        <v>0</v>
      </c>
    </row>
    <row r="24" spans="1:45" hidden="1">
      <c r="A24" s="40" t="str">
        <f>'1. IDENTITÉ'!A69</f>
        <v>2023-2024</v>
      </c>
      <c r="B24" s="381">
        <f t="shared" si="4"/>
        <v>0</v>
      </c>
      <c r="C24" s="114">
        <f t="shared" si="5"/>
        <v>0</v>
      </c>
      <c r="D24" s="115">
        <f t="shared" si="6"/>
        <v>0</v>
      </c>
      <c r="E24" s="116">
        <f t="shared" si="7"/>
        <v>0</v>
      </c>
      <c r="F24" s="116">
        <f t="shared" si="8"/>
        <v>0</v>
      </c>
      <c r="G24" s="117">
        <f t="shared" si="9"/>
        <v>0</v>
      </c>
      <c r="H24" s="114" t="e">
        <f t="shared" si="10"/>
        <v>#NAME?</v>
      </c>
      <c r="I24" s="115">
        <f t="shared" si="11"/>
        <v>0</v>
      </c>
      <c r="J24" s="120">
        <f t="shared" si="36"/>
        <v>0</v>
      </c>
      <c r="K24" s="121">
        <f t="shared" si="37"/>
        <v>0</v>
      </c>
      <c r="L24" s="122">
        <f t="shared" si="38"/>
        <v>0</v>
      </c>
      <c r="M24" s="121">
        <f t="shared" si="39"/>
        <v>0</v>
      </c>
      <c r="N24" s="114" t="e">
        <f t="shared" si="12"/>
        <v>#NAME?</v>
      </c>
      <c r="O24" s="113">
        <f t="shared" si="13"/>
        <v>0</v>
      </c>
      <c r="P24" s="113">
        <f t="shared" si="14"/>
        <v>0</v>
      </c>
      <c r="Q24" s="114">
        <f t="shared" si="15"/>
        <v>0</v>
      </c>
      <c r="R24" s="115">
        <f t="shared" si="16"/>
        <v>0</v>
      </c>
      <c r="S24" s="114">
        <f t="shared" si="17"/>
        <v>0</v>
      </c>
      <c r="T24" s="115">
        <f t="shared" si="18"/>
        <v>0</v>
      </c>
      <c r="U24" s="114">
        <f t="shared" si="19"/>
        <v>0</v>
      </c>
      <c r="V24" s="115">
        <f t="shared" si="20"/>
        <v>0</v>
      </c>
      <c r="W24" s="114">
        <f t="shared" si="21"/>
        <v>0</v>
      </c>
      <c r="X24" s="115">
        <f t="shared" si="22"/>
        <v>0</v>
      </c>
      <c r="Y24" s="422"/>
      <c r="Z24" s="422"/>
      <c r="AA24" s="114">
        <f t="shared" si="23"/>
        <v>0</v>
      </c>
      <c r="AB24" s="115">
        <f t="shared" si="24"/>
        <v>0</v>
      </c>
      <c r="AC24" s="114">
        <f t="shared" si="25"/>
        <v>0</v>
      </c>
      <c r="AD24" s="115">
        <f t="shared" si="26"/>
        <v>0</v>
      </c>
      <c r="AE24" s="114">
        <f t="shared" si="27"/>
        <v>0</v>
      </c>
      <c r="AF24" s="115">
        <f t="shared" si="28"/>
        <v>0</v>
      </c>
      <c r="AG24" s="114">
        <f t="shared" si="29"/>
        <v>0</v>
      </c>
      <c r="AH24" s="115">
        <f t="shared" si="30"/>
        <v>0</v>
      </c>
      <c r="AI24" s="114">
        <f t="shared" si="31"/>
        <v>0</v>
      </c>
      <c r="AJ24" s="114">
        <f t="shared" si="32"/>
        <v>0</v>
      </c>
      <c r="AK24" s="114">
        <f t="shared" si="33"/>
        <v>0</v>
      </c>
      <c r="AL24" s="114">
        <f t="shared" si="34"/>
        <v>0</v>
      </c>
      <c r="AM24" s="113">
        <f t="shared" si="35"/>
        <v>0</v>
      </c>
      <c r="AN24" s="348" t="b">
        <v>0</v>
      </c>
      <c r="AO24" s="348" t="b">
        <v>0</v>
      </c>
      <c r="AP24" s="348" t="b">
        <v>0</v>
      </c>
      <c r="AQ24" s="348" t="b">
        <v>0</v>
      </c>
      <c r="AR24" s="348" t="b">
        <v>0</v>
      </c>
    </row>
    <row r="25" spans="1:45" hidden="1">
      <c r="A25" s="40" t="str">
        <f>'1. IDENTITÉ'!A70</f>
        <v>2024-2025</v>
      </c>
      <c r="B25" s="381">
        <f t="shared" si="4"/>
        <v>0</v>
      </c>
      <c r="C25" s="114">
        <f t="shared" si="5"/>
        <v>0</v>
      </c>
      <c r="D25" s="115">
        <f t="shared" si="6"/>
        <v>0</v>
      </c>
      <c r="E25" s="116">
        <f t="shared" si="7"/>
        <v>0</v>
      </c>
      <c r="F25" s="116">
        <f t="shared" si="8"/>
        <v>0</v>
      </c>
      <c r="G25" s="117">
        <f t="shared" si="9"/>
        <v>0</v>
      </c>
      <c r="H25" s="114" t="e">
        <f t="shared" si="10"/>
        <v>#NAME?</v>
      </c>
      <c r="I25" s="115">
        <f t="shared" si="11"/>
        <v>0</v>
      </c>
      <c r="J25" s="120">
        <f t="shared" si="36"/>
        <v>0</v>
      </c>
      <c r="K25" s="121">
        <f t="shared" si="37"/>
        <v>0</v>
      </c>
      <c r="L25" s="122">
        <f t="shared" si="38"/>
        <v>0</v>
      </c>
      <c r="M25" s="121">
        <f t="shared" si="39"/>
        <v>0</v>
      </c>
      <c r="N25" s="114" t="e">
        <f t="shared" si="12"/>
        <v>#NAME?</v>
      </c>
      <c r="O25" s="113">
        <f t="shared" si="13"/>
        <v>0</v>
      </c>
      <c r="P25" s="113">
        <f t="shared" si="14"/>
        <v>0</v>
      </c>
      <c r="Q25" s="114">
        <f t="shared" si="15"/>
        <v>0</v>
      </c>
      <c r="R25" s="115">
        <f t="shared" si="16"/>
        <v>0</v>
      </c>
      <c r="S25" s="114">
        <f t="shared" si="17"/>
        <v>0</v>
      </c>
      <c r="T25" s="115">
        <f t="shared" si="18"/>
        <v>0</v>
      </c>
      <c r="U25" s="114">
        <f t="shared" si="19"/>
        <v>0</v>
      </c>
      <c r="V25" s="115">
        <f t="shared" si="20"/>
        <v>0</v>
      </c>
      <c r="W25" s="114">
        <f t="shared" si="21"/>
        <v>0</v>
      </c>
      <c r="X25" s="115">
        <f t="shared" si="22"/>
        <v>0</v>
      </c>
      <c r="Y25" s="422"/>
      <c r="Z25" s="422"/>
      <c r="AA25" s="114">
        <f t="shared" si="23"/>
        <v>0</v>
      </c>
      <c r="AB25" s="115">
        <f t="shared" si="24"/>
        <v>0</v>
      </c>
      <c r="AC25" s="114">
        <f t="shared" si="25"/>
        <v>0</v>
      </c>
      <c r="AD25" s="115">
        <f t="shared" si="26"/>
        <v>0</v>
      </c>
      <c r="AE25" s="114">
        <f t="shared" si="27"/>
        <v>0</v>
      </c>
      <c r="AF25" s="115">
        <f t="shared" si="28"/>
        <v>0</v>
      </c>
      <c r="AG25" s="114">
        <f t="shared" si="29"/>
        <v>0</v>
      </c>
      <c r="AH25" s="115">
        <f t="shared" si="30"/>
        <v>0</v>
      </c>
      <c r="AI25" s="114">
        <f t="shared" si="31"/>
        <v>0</v>
      </c>
      <c r="AJ25" s="114">
        <f t="shared" si="32"/>
        <v>0</v>
      </c>
      <c r="AK25" s="114">
        <f t="shared" si="33"/>
        <v>0</v>
      </c>
      <c r="AL25" s="114">
        <f t="shared" si="34"/>
        <v>0</v>
      </c>
      <c r="AM25" s="113">
        <f t="shared" si="35"/>
        <v>0</v>
      </c>
      <c r="AN25" s="348" t="b">
        <v>0</v>
      </c>
      <c r="AO25" s="348" t="b">
        <v>0</v>
      </c>
      <c r="AP25" s="348" t="b">
        <v>0</v>
      </c>
      <c r="AQ25" s="348" t="b">
        <v>0</v>
      </c>
      <c r="AR25" s="348" t="b">
        <v>0</v>
      </c>
    </row>
    <row r="26" spans="1:45" hidden="1">
      <c r="A26" s="40" t="str">
        <f>'1. IDENTITÉ'!A71</f>
        <v>2025-2026</v>
      </c>
      <c r="B26" s="381">
        <f t="shared" si="4"/>
        <v>0</v>
      </c>
      <c r="C26" s="114">
        <f t="shared" si="5"/>
        <v>0</v>
      </c>
      <c r="D26" s="115">
        <f t="shared" si="6"/>
        <v>0</v>
      </c>
      <c r="E26" s="116">
        <f t="shared" si="7"/>
        <v>0</v>
      </c>
      <c r="F26" s="116">
        <f t="shared" si="8"/>
        <v>0</v>
      </c>
      <c r="G26" s="117">
        <f t="shared" si="9"/>
        <v>0</v>
      </c>
      <c r="H26" s="114" t="e">
        <f t="shared" si="10"/>
        <v>#NAME?</v>
      </c>
      <c r="I26" s="115">
        <f t="shared" si="11"/>
        <v>0</v>
      </c>
      <c r="J26" s="120">
        <f t="shared" si="36"/>
        <v>0</v>
      </c>
      <c r="K26" s="121">
        <f t="shared" si="37"/>
        <v>0</v>
      </c>
      <c r="L26" s="122">
        <f t="shared" si="38"/>
        <v>0</v>
      </c>
      <c r="M26" s="121">
        <f t="shared" si="39"/>
        <v>0</v>
      </c>
      <c r="N26" s="114" t="e">
        <f t="shared" si="12"/>
        <v>#NAME?</v>
      </c>
      <c r="O26" s="113">
        <f t="shared" si="13"/>
        <v>0</v>
      </c>
      <c r="P26" s="113">
        <f t="shared" si="14"/>
        <v>0</v>
      </c>
      <c r="Q26" s="114">
        <f t="shared" si="15"/>
        <v>0</v>
      </c>
      <c r="R26" s="115">
        <f t="shared" si="16"/>
        <v>0</v>
      </c>
      <c r="S26" s="114">
        <f t="shared" si="17"/>
        <v>0</v>
      </c>
      <c r="T26" s="115">
        <f t="shared" si="18"/>
        <v>0</v>
      </c>
      <c r="U26" s="114">
        <f t="shared" si="19"/>
        <v>0</v>
      </c>
      <c r="V26" s="115">
        <f t="shared" si="20"/>
        <v>0</v>
      </c>
      <c r="W26" s="114">
        <f t="shared" si="21"/>
        <v>0</v>
      </c>
      <c r="X26" s="115">
        <f t="shared" si="22"/>
        <v>0</v>
      </c>
      <c r="Y26" s="422"/>
      <c r="Z26" s="422"/>
      <c r="AA26" s="114">
        <f t="shared" si="23"/>
        <v>0</v>
      </c>
      <c r="AB26" s="115">
        <f t="shared" si="24"/>
        <v>0</v>
      </c>
      <c r="AC26" s="114">
        <f t="shared" si="25"/>
        <v>0</v>
      </c>
      <c r="AD26" s="115">
        <f t="shared" si="26"/>
        <v>0</v>
      </c>
      <c r="AE26" s="114">
        <f t="shared" si="27"/>
        <v>0</v>
      </c>
      <c r="AF26" s="115">
        <f t="shared" si="28"/>
        <v>0</v>
      </c>
      <c r="AG26" s="114">
        <f t="shared" si="29"/>
        <v>0</v>
      </c>
      <c r="AH26" s="115">
        <f t="shared" si="30"/>
        <v>0</v>
      </c>
      <c r="AI26" s="114">
        <f t="shared" si="31"/>
        <v>0</v>
      </c>
      <c r="AJ26" s="114">
        <f t="shared" si="32"/>
        <v>0</v>
      </c>
      <c r="AK26" s="114">
        <f t="shared" si="33"/>
        <v>0</v>
      </c>
      <c r="AL26" s="114">
        <f t="shared" si="34"/>
        <v>0</v>
      </c>
      <c r="AM26" s="113">
        <f t="shared" si="35"/>
        <v>0</v>
      </c>
      <c r="AN26" s="348" t="b">
        <v>0</v>
      </c>
      <c r="AO26" s="348" t="b">
        <v>0</v>
      </c>
      <c r="AP26" s="348" t="b">
        <v>0</v>
      </c>
      <c r="AQ26" s="348" t="b">
        <v>0</v>
      </c>
      <c r="AR26" s="348" t="b">
        <v>0</v>
      </c>
    </row>
    <row r="27" spans="1:45" hidden="1">
      <c r="A27" s="40" t="str">
        <f>'1. IDENTITÉ'!A72</f>
        <v>2026-2027</v>
      </c>
      <c r="B27" s="381">
        <f t="shared" si="4"/>
        <v>0</v>
      </c>
      <c r="C27" s="114">
        <f t="shared" si="5"/>
        <v>0</v>
      </c>
      <c r="D27" s="115">
        <f t="shared" si="6"/>
        <v>0</v>
      </c>
      <c r="E27" s="116">
        <f t="shared" si="7"/>
        <v>0</v>
      </c>
      <c r="F27" s="116">
        <f t="shared" si="8"/>
        <v>0</v>
      </c>
      <c r="G27" s="117">
        <f t="shared" si="9"/>
        <v>0</v>
      </c>
      <c r="H27" s="114" t="e">
        <f t="shared" si="10"/>
        <v>#NAME?</v>
      </c>
      <c r="I27" s="115">
        <f t="shared" si="11"/>
        <v>0</v>
      </c>
      <c r="J27" s="120">
        <f t="shared" si="36"/>
        <v>0</v>
      </c>
      <c r="K27" s="121">
        <f t="shared" si="37"/>
        <v>0</v>
      </c>
      <c r="L27" s="122">
        <f t="shared" si="38"/>
        <v>0</v>
      </c>
      <c r="M27" s="121">
        <f t="shared" si="39"/>
        <v>0</v>
      </c>
      <c r="N27" s="114" t="e">
        <f t="shared" si="12"/>
        <v>#NAME?</v>
      </c>
      <c r="O27" s="113">
        <f t="shared" si="13"/>
        <v>0</v>
      </c>
      <c r="P27" s="113">
        <f t="shared" si="14"/>
        <v>0</v>
      </c>
      <c r="Q27" s="114">
        <f t="shared" si="15"/>
        <v>0</v>
      </c>
      <c r="R27" s="115">
        <f t="shared" si="16"/>
        <v>0</v>
      </c>
      <c r="S27" s="114">
        <f t="shared" si="17"/>
        <v>0</v>
      </c>
      <c r="T27" s="115">
        <f t="shared" si="18"/>
        <v>0</v>
      </c>
      <c r="U27" s="114">
        <f t="shared" si="19"/>
        <v>0</v>
      </c>
      <c r="V27" s="115">
        <f t="shared" si="20"/>
        <v>0</v>
      </c>
      <c r="W27" s="114">
        <f t="shared" si="21"/>
        <v>0</v>
      </c>
      <c r="X27" s="115">
        <f t="shared" si="22"/>
        <v>0</v>
      </c>
      <c r="Y27" s="422"/>
      <c r="Z27" s="422"/>
      <c r="AA27" s="114">
        <f t="shared" si="23"/>
        <v>0</v>
      </c>
      <c r="AB27" s="115">
        <f t="shared" si="24"/>
        <v>0</v>
      </c>
      <c r="AC27" s="114">
        <f t="shared" si="25"/>
        <v>0</v>
      </c>
      <c r="AD27" s="115">
        <f t="shared" si="26"/>
        <v>0</v>
      </c>
      <c r="AE27" s="114">
        <f t="shared" si="27"/>
        <v>0</v>
      </c>
      <c r="AF27" s="115">
        <f t="shared" si="28"/>
        <v>0</v>
      </c>
      <c r="AG27" s="114">
        <f t="shared" si="29"/>
        <v>0</v>
      </c>
      <c r="AH27" s="115">
        <f t="shared" si="30"/>
        <v>0</v>
      </c>
      <c r="AI27" s="114">
        <f t="shared" si="31"/>
        <v>0</v>
      </c>
      <c r="AJ27" s="114">
        <f t="shared" si="32"/>
        <v>0</v>
      </c>
      <c r="AK27" s="114">
        <f t="shared" si="33"/>
        <v>0</v>
      </c>
      <c r="AL27" s="114">
        <f t="shared" si="34"/>
        <v>0</v>
      </c>
      <c r="AM27" s="113">
        <f t="shared" si="35"/>
        <v>0</v>
      </c>
      <c r="AN27" s="348" t="b">
        <v>0</v>
      </c>
      <c r="AO27" s="348" t="b">
        <v>0</v>
      </c>
      <c r="AP27" s="348" t="b">
        <v>0</v>
      </c>
      <c r="AQ27" s="348" t="b">
        <v>0</v>
      </c>
      <c r="AR27" s="348" t="b">
        <v>0</v>
      </c>
    </row>
    <row r="28" spans="1:45" hidden="1">
      <c r="A28" s="40" t="str">
        <f>'1. IDENTITÉ'!A73</f>
        <v>2027-2028</v>
      </c>
      <c r="B28" s="381">
        <f t="shared" si="4"/>
        <v>0</v>
      </c>
      <c r="C28" s="114">
        <f t="shared" si="5"/>
        <v>0</v>
      </c>
      <c r="D28" s="115">
        <f t="shared" si="6"/>
        <v>0</v>
      </c>
      <c r="E28" s="116">
        <f t="shared" si="7"/>
        <v>0</v>
      </c>
      <c r="F28" s="116">
        <f t="shared" si="8"/>
        <v>0</v>
      </c>
      <c r="G28" s="117">
        <f t="shared" si="9"/>
        <v>0</v>
      </c>
      <c r="H28" s="114" t="e">
        <f t="shared" si="10"/>
        <v>#NAME?</v>
      </c>
      <c r="I28" s="115">
        <f t="shared" si="11"/>
        <v>0</v>
      </c>
      <c r="J28" s="120">
        <f t="shared" si="36"/>
        <v>0</v>
      </c>
      <c r="K28" s="121">
        <f t="shared" si="37"/>
        <v>0</v>
      </c>
      <c r="L28" s="122">
        <f t="shared" si="38"/>
        <v>0</v>
      </c>
      <c r="M28" s="121">
        <f t="shared" si="39"/>
        <v>0</v>
      </c>
      <c r="N28" s="114" t="e">
        <f t="shared" si="12"/>
        <v>#NAME?</v>
      </c>
      <c r="O28" s="113">
        <f t="shared" si="13"/>
        <v>0</v>
      </c>
      <c r="P28" s="113">
        <f t="shared" si="14"/>
        <v>0</v>
      </c>
      <c r="Q28" s="114">
        <f t="shared" si="15"/>
        <v>0</v>
      </c>
      <c r="R28" s="115">
        <f t="shared" si="16"/>
        <v>0</v>
      </c>
      <c r="S28" s="114">
        <f t="shared" si="17"/>
        <v>0</v>
      </c>
      <c r="T28" s="115">
        <f t="shared" si="18"/>
        <v>0</v>
      </c>
      <c r="U28" s="114">
        <f t="shared" si="19"/>
        <v>0</v>
      </c>
      <c r="V28" s="115">
        <f t="shared" si="20"/>
        <v>0</v>
      </c>
      <c r="W28" s="114">
        <f t="shared" si="21"/>
        <v>0</v>
      </c>
      <c r="X28" s="115">
        <f t="shared" si="22"/>
        <v>0</v>
      </c>
      <c r="Y28" s="422"/>
      <c r="Z28" s="422"/>
      <c r="AA28" s="114">
        <f t="shared" si="23"/>
        <v>0</v>
      </c>
      <c r="AB28" s="115">
        <f t="shared" si="24"/>
        <v>0</v>
      </c>
      <c r="AC28" s="114">
        <f t="shared" si="25"/>
        <v>0</v>
      </c>
      <c r="AD28" s="115">
        <f t="shared" si="26"/>
        <v>0</v>
      </c>
      <c r="AE28" s="114">
        <f t="shared" si="27"/>
        <v>0</v>
      </c>
      <c r="AF28" s="115">
        <f t="shared" si="28"/>
        <v>0</v>
      </c>
      <c r="AG28" s="114">
        <f t="shared" si="29"/>
        <v>0</v>
      </c>
      <c r="AH28" s="115">
        <f t="shared" si="30"/>
        <v>0</v>
      </c>
      <c r="AI28" s="114">
        <f t="shared" si="31"/>
        <v>0</v>
      </c>
      <c r="AJ28" s="114">
        <f t="shared" si="32"/>
        <v>0</v>
      </c>
      <c r="AK28" s="114">
        <f t="shared" si="33"/>
        <v>0</v>
      </c>
      <c r="AL28" s="114">
        <f t="shared" si="34"/>
        <v>0</v>
      </c>
      <c r="AM28" s="113">
        <f t="shared" si="35"/>
        <v>0</v>
      </c>
      <c r="AN28" s="348" t="b">
        <v>0</v>
      </c>
      <c r="AO28" s="348" t="b">
        <v>0</v>
      </c>
      <c r="AP28" s="348" t="b">
        <v>0</v>
      </c>
      <c r="AQ28" s="348" t="b">
        <v>0</v>
      </c>
      <c r="AR28" s="348" t="b">
        <v>0</v>
      </c>
    </row>
    <row r="29" spans="1:45" hidden="1">
      <c r="A29" s="40" t="str">
        <f>'1. IDENTITÉ'!A74</f>
        <v>2028-2029</v>
      </c>
      <c r="B29" s="381">
        <f t="shared" si="4"/>
        <v>0</v>
      </c>
      <c r="C29" s="114">
        <f t="shared" si="5"/>
        <v>0</v>
      </c>
      <c r="D29" s="115">
        <f t="shared" si="6"/>
        <v>0</v>
      </c>
      <c r="E29" s="116">
        <f t="shared" si="7"/>
        <v>0</v>
      </c>
      <c r="F29" s="116">
        <f t="shared" si="8"/>
        <v>0</v>
      </c>
      <c r="G29" s="117">
        <f t="shared" si="9"/>
        <v>0</v>
      </c>
      <c r="H29" s="114" t="e">
        <f t="shared" si="10"/>
        <v>#NAME?</v>
      </c>
      <c r="I29" s="115">
        <f t="shared" si="11"/>
        <v>0</v>
      </c>
      <c r="J29" s="120">
        <f t="shared" si="36"/>
        <v>0</v>
      </c>
      <c r="K29" s="121">
        <f t="shared" si="37"/>
        <v>0</v>
      </c>
      <c r="L29" s="122">
        <f t="shared" si="38"/>
        <v>0</v>
      </c>
      <c r="M29" s="121">
        <f t="shared" si="39"/>
        <v>0</v>
      </c>
      <c r="N29" s="114" t="e">
        <f t="shared" si="12"/>
        <v>#NAME?</v>
      </c>
      <c r="O29" s="113">
        <f t="shared" si="13"/>
        <v>0</v>
      </c>
      <c r="P29" s="113">
        <f t="shared" si="14"/>
        <v>0</v>
      </c>
      <c r="Q29" s="114">
        <f t="shared" si="15"/>
        <v>0</v>
      </c>
      <c r="R29" s="115">
        <f t="shared" si="16"/>
        <v>0</v>
      </c>
      <c r="S29" s="114">
        <f t="shared" si="17"/>
        <v>0</v>
      </c>
      <c r="T29" s="115">
        <f t="shared" si="18"/>
        <v>0</v>
      </c>
      <c r="U29" s="114">
        <f t="shared" si="19"/>
        <v>0</v>
      </c>
      <c r="V29" s="115">
        <f t="shared" si="20"/>
        <v>0</v>
      </c>
      <c r="W29" s="114">
        <f t="shared" si="21"/>
        <v>0</v>
      </c>
      <c r="X29" s="115">
        <f t="shared" si="22"/>
        <v>0</v>
      </c>
      <c r="Y29" s="422"/>
      <c r="Z29" s="422"/>
      <c r="AA29" s="114">
        <f t="shared" si="23"/>
        <v>0</v>
      </c>
      <c r="AB29" s="115">
        <f t="shared" si="24"/>
        <v>0</v>
      </c>
      <c r="AC29" s="114">
        <f t="shared" si="25"/>
        <v>0</v>
      </c>
      <c r="AD29" s="115">
        <f t="shared" si="26"/>
        <v>0</v>
      </c>
      <c r="AE29" s="114">
        <f t="shared" si="27"/>
        <v>0</v>
      </c>
      <c r="AF29" s="115">
        <f t="shared" si="28"/>
        <v>0</v>
      </c>
      <c r="AG29" s="114">
        <f t="shared" si="29"/>
        <v>0</v>
      </c>
      <c r="AH29" s="115">
        <f t="shared" si="30"/>
        <v>0</v>
      </c>
      <c r="AI29" s="114">
        <f t="shared" si="31"/>
        <v>0</v>
      </c>
      <c r="AJ29" s="114">
        <f t="shared" si="32"/>
        <v>0</v>
      </c>
      <c r="AK29" s="114">
        <f t="shared" si="33"/>
        <v>0</v>
      </c>
      <c r="AL29" s="114">
        <f t="shared" si="34"/>
        <v>0</v>
      </c>
      <c r="AM29" s="113">
        <f t="shared" si="35"/>
        <v>0</v>
      </c>
      <c r="AN29" s="348" t="b">
        <v>0</v>
      </c>
      <c r="AO29" s="348" t="b">
        <v>0</v>
      </c>
      <c r="AP29" s="348" t="b">
        <v>0</v>
      </c>
      <c r="AQ29" s="348" t="b">
        <v>0</v>
      </c>
      <c r="AR29" s="348" t="b">
        <v>0</v>
      </c>
    </row>
    <row r="30" spans="1:45" hidden="1">
      <c r="A30" s="40" t="str">
        <f>'1. IDENTITÉ'!A75</f>
        <v>2029-2030</v>
      </c>
      <c r="B30" s="381">
        <f t="shared" si="4"/>
        <v>0</v>
      </c>
      <c r="C30" s="114">
        <f t="shared" si="5"/>
        <v>0</v>
      </c>
      <c r="D30" s="115">
        <f t="shared" si="6"/>
        <v>0</v>
      </c>
      <c r="E30" s="116">
        <f t="shared" si="7"/>
        <v>0</v>
      </c>
      <c r="F30" s="116">
        <f t="shared" si="8"/>
        <v>0</v>
      </c>
      <c r="G30" s="117">
        <f t="shared" si="9"/>
        <v>0</v>
      </c>
      <c r="H30" s="114" t="e">
        <f t="shared" si="10"/>
        <v>#NAME?</v>
      </c>
      <c r="I30" s="115">
        <f t="shared" si="11"/>
        <v>0</v>
      </c>
      <c r="J30" s="120">
        <f t="shared" si="36"/>
        <v>0</v>
      </c>
      <c r="K30" s="121">
        <f t="shared" si="37"/>
        <v>0</v>
      </c>
      <c r="L30" s="122">
        <f t="shared" si="38"/>
        <v>0</v>
      </c>
      <c r="M30" s="121">
        <f t="shared" si="39"/>
        <v>0</v>
      </c>
      <c r="N30" s="114" t="e">
        <f t="shared" si="12"/>
        <v>#NAME?</v>
      </c>
      <c r="O30" s="113">
        <f t="shared" si="13"/>
        <v>0</v>
      </c>
      <c r="P30" s="113">
        <f t="shared" si="14"/>
        <v>0</v>
      </c>
      <c r="Q30" s="114">
        <f t="shared" si="15"/>
        <v>0</v>
      </c>
      <c r="R30" s="115">
        <f t="shared" si="16"/>
        <v>0</v>
      </c>
      <c r="S30" s="114">
        <f t="shared" si="17"/>
        <v>0</v>
      </c>
      <c r="T30" s="115">
        <f t="shared" si="18"/>
        <v>0</v>
      </c>
      <c r="U30" s="114">
        <f t="shared" si="19"/>
        <v>0</v>
      </c>
      <c r="V30" s="115">
        <f t="shared" si="20"/>
        <v>0</v>
      </c>
      <c r="W30" s="114">
        <f t="shared" si="21"/>
        <v>0</v>
      </c>
      <c r="X30" s="115">
        <f t="shared" si="22"/>
        <v>0</v>
      </c>
      <c r="Y30" s="422"/>
      <c r="Z30" s="422"/>
      <c r="AA30" s="114">
        <f t="shared" si="23"/>
        <v>0</v>
      </c>
      <c r="AB30" s="115">
        <f t="shared" si="24"/>
        <v>0</v>
      </c>
      <c r="AC30" s="114">
        <f t="shared" si="25"/>
        <v>0</v>
      </c>
      <c r="AD30" s="115">
        <f t="shared" si="26"/>
        <v>0</v>
      </c>
      <c r="AE30" s="114">
        <f t="shared" si="27"/>
        <v>0</v>
      </c>
      <c r="AF30" s="115">
        <f t="shared" si="28"/>
        <v>0</v>
      </c>
      <c r="AG30" s="114">
        <f t="shared" si="29"/>
        <v>0</v>
      </c>
      <c r="AH30" s="115">
        <f t="shared" si="30"/>
        <v>0</v>
      </c>
      <c r="AI30" s="114">
        <f t="shared" si="31"/>
        <v>0</v>
      </c>
      <c r="AJ30" s="114">
        <f t="shared" si="32"/>
        <v>0</v>
      </c>
      <c r="AK30" s="114">
        <f t="shared" si="33"/>
        <v>0</v>
      </c>
      <c r="AL30" s="114">
        <f t="shared" si="34"/>
        <v>0</v>
      </c>
      <c r="AM30" s="113">
        <f t="shared" si="35"/>
        <v>0</v>
      </c>
      <c r="AN30" s="348" t="b">
        <v>0</v>
      </c>
      <c r="AO30" s="348" t="b">
        <v>0</v>
      </c>
      <c r="AP30" s="348" t="b">
        <v>0</v>
      </c>
      <c r="AQ30" s="348" t="b">
        <v>0</v>
      </c>
      <c r="AR30" s="348" t="b">
        <v>0</v>
      </c>
    </row>
    <row r="31" spans="1:45">
      <c r="A31" s="42"/>
      <c r="B31" s="26"/>
      <c r="C31" s="26"/>
      <c r="D31" s="26"/>
      <c r="E31" s="26"/>
      <c r="F31" s="26"/>
      <c r="G31" s="26"/>
      <c r="H31" s="26"/>
      <c r="I31" s="26"/>
      <c r="J31" s="43"/>
      <c r="K31" s="44"/>
      <c r="L31" s="45"/>
      <c r="M31" s="44"/>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9"/>
      <c r="AO31" s="29"/>
      <c r="AP31" s="29"/>
      <c r="AQ31" s="29"/>
      <c r="AR31" s="29"/>
      <c r="AS31" s="29"/>
    </row>
    <row r="32" spans="1:45">
      <c r="A32" s="42"/>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9"/>
      <c r="AO32" s="29"/>
      <c r="AP32" s="29"/>
      <c r="AQ32" s="29"/>
      <c r="AR32" s="29"/>
      <c r="AS32" s="29"/>
    </row>
    <row r="33" spans="1:45">
      <c r="A33" s="42"/>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9"/>
      <c r="AO33" s="29"/>
      <c r="AP33" s="29"/>
      <c r="AQ33" s="29"/>
      <c r="AR33" s="29"/>
      <c r="AS33" s="29"/>
    </row>
    <row r="34" spans="1:45">
      <c r="A34" s="42"/>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9"/>
      <c r="AO34" s="29"/>
      <c r="AP34" s="29"/>
      <c r="AQ34" s="29"/>
      <c r="AR34" s="29"/>
      <c r="AS34" s="29"/>
    </row>
    <row r="35" spans="1:45">
      <c r="A35" s="42"/>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9"/>
      <c r="AO35" s="29"/>
      <c r="AP35" s="29"/>
      <c r="AQ35" s="29"/>
      <c r="AR35" s="29"/>
      <c r="AS35" s="29"/>
    </row>
    <row r="36" spans="1:45">
      <c r="A36" s="41"/>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9"/>
      <c r="AO36" s="29"/>
      <c r="AP36" s="29"/>
      <c r="AQ36" s="29"/>
      <c r="AR36" s="29"/>
      <c r="AS36" s="29"/>
    </row>
    <row r="37" spans="1:45">
      <c r="A37" s="41"/>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9"/>
      <c r="AO37" s="29"/>
      <c r="AP37" s="29"/>
      <c r="AQ37" s="29"/>
      <c r="AR37" s="29"/>
      <c r="AS37" s="29"/>
    </row>
    <row r="38" spans="1:45">
      <c r="A38" s="41"/>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9"/>
      <c r="AO38" s="29"/>
      <c r="AP38" s="29"/>
      <c r="AQ38" s="29"/>
      <c r="AR38" s="29"/>
      <c r="AS38" s="29"/>
    </row>
    <row r="39" spans="1:45">
      <c r="A39" s="41"/>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9"/>
      <c r="AO39" s="29"/>
      <c r="AP39" s="29"/>
      <c r="AQ39" s="29"/>
      <c r="AR39" s="29"/>
      <c r="AS39" s="29"/>
    </row>
    <row r="40" spans="1:45">
      <c r="A40" s="41"/>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9"/>
      <c r="AO40" s="29"/>
      <c r="AP40" s="29"/>
      <c r="AQ40" s="29"/>
      <c r="AR40" s="29"/>
      <c r="AS40" s="29"/>
    </row>
    <row r="41" spans="1:45">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9"/>
      <c r="AO41" s="29"/>
      <c r="AP41" s="29"/>
      <c r="AQ41" s="29"/>
      <c r="AR41" s="29"/>
      <c r="AS41" s="29"/>
    </row>
    <row r="42" spans="1:45">
      <c r="A42" s="27"/>
      <c r="B42" s="27"/>
      <c r="C42" s="27"/>
      <c r="D42" s="27"/>
      <c r="E42" s="27"/>
      <c r="F42" s="27"/>
      <c r="G42" s="27"/>
      <c r="H42" s="27"/>
      <c r="I42" s="27"/>
      <c r="J42" s="27"/>
      <c r="K42" s="27"/>
      <c r="L42" s="27"/>
      <c r="M42" s="27"/>
      <c r="N42" s="27"/>
      <c r="O42" s="27"/>
      <c r="P42" s="25"/>
      <c r="Q42" s="27"/>
      <c r="R42" s="27"/>
      <c r="S42" s="27"/>
      <c r="T42" s="27"/>
      <c r="U42" s="27"/>
      <c r="V42" s="27"/>
      <c r="W42" s="27"/>
      <c r="X42" s="27"/>
      <c r="Y42" s="27"/>
      <c r="Z42" s="27"/>
      <c r="AA42" s="27"/>
      <c r="AB42" s="27"/>
      <c r="AC42" s="27"/>
      <c r="AD42" s="27"/>
      <c r="AE42" s="27"/>
      <c r="AF42" s="27"/>
      <c r="AG42" s="27"/>
      <c r="AH42" s="27"/>
      <c r="AI42" s="27"/>
      <c r="AJ42" s="27"/>
      <c r="AK42" s="27"/>
      <c r="AL42" s="27"/>
      <c r="AM42" s="27"/>
      <c r="AN42" s="29"/>
      <c r="AO42" s="29"/>
      <c r="AP42" s="29"/>
      <c r="AQ42" s="29"/>
      <c r="AR42" s="29"/>
      <c r="AS42" s="29"/>
    </row>
    <row r="43" spans="1:45">
      <c r="A43" s="27"/>
      <c r="B43" s="27"/>
      <c r="C43" s="27"/>
      <c r="D43" s="27"/>
      <c r="E43" s="27"/>
      <c r="F43" s="27"/>
      <c r="G43" s="27"/>
      <c r="H43" s="27"/>
      <c r="I43" s="27"/>
      <c r="J43" s="27"/>
      <c r="K43" s="27"/>
      <c r="L43" s="27"/>
      <c r="M43" s="27"/>
      <c r="N43" s="27"/>
      <c r="O43" s="27"/>
      <c r="P43" s="25"/>
      <c r="Q43" s="27"/>
      <c r="R43" s="27"/>
      <c r="S43" s="27"/>
      <c r="T43" s="27"/>
      <c r="U43" s="27"/>
      <c r="V43" s="27"/>
      <c r="W43" s="27"/>
      <c r="X43" s="27"/>
      <c r="Y43" s="27"/>
      <c r="Z43" s="27"/>
      <c r="AA43" s="27"/>
      <c r="AB43" s="27"/>
      <c r="AC43" s="27"/>
      <c r="AD43" s="27"/>
      <c r="AE43" s="27"/>
      <c r="AF43" s="27"/>
      <c r="AG43" s="27"/>
      <c r="AH43" s="27"/>
      <c r="AI43" s="27"/>
      <c r="AJ43" s="27"/>
      <c r="AK43" s="27"/>
      <c r="AL43" s="27"/>
      <c r="AM43" s="27"/>
      <c r="AN43" s="29"/>
      <c r="AO43" s="29"/>
      <c r="AP43" s="29"/>
      <c r="AQ43" s="29"/>
      <c r="AR43" s="29"/>
      <c r="AS43" s="29"/>
    </row>
    <row r="44" spans="1:45">
      <c r="A44" s="27">
        <v>1</v>
      </c>
      <c r="B44" s="27" t="e">
        <f>GJ_Tot_05_06</f>
        <v>#REF!</v>
      </c>
      <c r="C44" s="27"/>
      <c r="D44" s="27" t="e">
        <f>CAD_Tot_05_06</f>
        <v>#REF!</v>
      </c>
      <c r="E44" s="27" t="e">
        <f>GJm²_05_06</f>
        <v>#REF!</v>
      </c>
      <c r="F44" s="27"/>
      <c r="G44" s="27" t="e">
        <f>CAD_m²_05_06</f>
        <v>#REF!</v>
      </c>
      <c r="H44" s="27" t="e">
        <f>GES_ton_05_06</f>
        <v>#REF!</v>
      </c>
      <c r="I44" s="27" t="e">
        <f>GES_ton_m²_05_06</f>
        <v>#REF!</v>
      </c>
      <c r="J44" s="27"/>
      <c r="K44" s="27"/>
      <c r="L44" s="27"/>
      <c r="M44" s="27"/>
      <c r="N44" s="27"/>
      <c r="O44" s="27" t="e">
        <f>Sup_05_06</f>
        <v>#REF!</v>
      </c>
      <c r="P44" s="25"/>
      <c r="Q44" s="27" t="e">
        <f>Elec_kWh_05_06</f>
        <v>#REF!</v>
      </c>
      <c r="R44" s="27" t="e">
        <f>Elec_CAD_05_06</f>
        <v>#REF!</v>
      </c>
      <c r="S44" s="27" t="e">
        <f>GN_m³_05_06</f>
        <v>#REF!</v>
      </c>
      <c r="T44" s="27" t="e">
        <f>GN_CAD_05_06</f>
        <v>#REF!</v>
      </c>
      <c r="U44" s="27" t="e">
        <f>Ma2_l_05_06</f>
        <v>#REF!</v>
      </c>
      <c r="V44" s="27" t="e">
        <f>Ma2_CAD_05_06</f>
        <v>#REF!</v>
      </c>
      <c r="W44" s="27" t="e">
        <f>Ma6_l_05_06</f>
        <v>#REF!</v>
      </c>
      <c r="X44" s="27" t="e">
        <f>Ma6_CAD_05_06</f>
        <v>#REF!</v>
      </c>
      <c r="Y44" s="27"/>
      <c r="Z44" s="27"/>
      <c r="AA44" s="27" t="e">
        <f>Prop_l_05_06</f>
        <v>#REF!</v>
      </c>
      <c r="AB44" s="27" t="e">
        <f>Prop_CAD_05_06</f>
        <v>#REF!</v>
      </c>
      <c r="AC44" s="27" t="e">
        <f>Bois20_1000kg_05_06</f>
        <v>#REF!</v>
      </c>
      <c r="AD44" s="27" t="e">
        <f>Bois20_CAD_05_06</f>
        <v>#REF!</v>
      </c>
      <c r="AE44" s="27" t="e">
        <f>Bois45_1000kg_05_06</f>
        <v>#REF!</v>
      </c>
      <c r="AF44" s="27" t="e">
        <f>Bois45_CAD_05_06</f>
        <v>#REF!</v>
      </c>
      <c r="AG44" s="27"/>
      <c r="AH44" s="27"/>
      <c r="AI44" s="27"/>
      <c r="AJ44" s="27"/>
      <c r="AK44" s="27"/>
      <c r="AL44" s="27"/>
      <c r="AM44" s="27" t="e">
        <f>DJC_tot_05_06</f>
        <v>#REF!</v>
      </c>
      <c r="AN44" s="29"/>
      <c r="AO44" s="29"/>
      <c r="AP44" s="29"/>
      <c r="AQ44" s="29"/>
      <c r="AR44" s="29"/>
      <c r="AS44" s="29"/>
    </row>
    <row r="45" spans="1:45">
      <c r="A45" s="27">
        <v>2</v>
      </c>
      <c r="B45" s="27" t="e">
        <f>GJ_Tot_06_07</f>
        <v>#REF!</v>
      </c>
      <c r="C45" s="27"/>
      <c r="D45" s="27" t="e">
        <f>CAD_Tot_06_07</f>
        <v>#REF!</v>
      </c>
      <c r="E45" s="27" t="e">
        <f>GJm²_06_07</f>
        <v>#REF!</v>
      </c>
      <c r="F45" s="27"/>
      <c r="G45" s="27" t="e">
        <f>CAD_m²_06_07</f>
        <v>#REF!</v>
      </c>
      <c r="H45" s="27" t="e">
        <f>GES_ton_06_07</f>
        <v>#REF!</v>
      </c>
      <c r="I45" s="27" t="e">
        <f>GES_ton_m²_06_07</f>
        <v>#REF!</v>
      </c>
      <c r="J45" s="27"/>
      <c r="K45" s="27"/>
      <c r="L45" s="27"/>
      <c r="M45" s="27"/>
      <c r="N45" s="27"/>
      <c r="O45" s="27" t="e">
        <f>Sup_06_07</f>
        <v>#REF!</v>
      </c>
      <c r="P45" s="25"/>
      <c r="Q45" s="27" t="e">
        <f>Elec_kWh_06_07</f>
        <v>#REF!</v>
      </c>
      <c r="R45" s="27" t="e">
        <f>Elec_CAD_06_07</f>
        <v>#REF!</v>
      </c>
      <c r="S45" s="27" t="e">
        <f>GN_m³_06_07</f>
        <v>#REF!</v>
      </c>
      <c r="T45" s="27" t="e">
        <f>GN_CAD_06_07</f>
        <v>#REF!</v>
      </c>
      <c r="U45" s="27" t="e">
        <f>Ma2_l_06_07</f>
        <v>#REF!</v>
      </c>
      <c r="V45" s="27" t="e">
        <f>Ma2_CAD_06_07</f>
        <v>#REF!</v>
      </c>
      <c r="W45" s="27" t="e">
        <f>Ma6_l_06_07</f>
        <v>#REF!</v>
      </c>
      <c r="X45" s="27" t="e">
        <f>Ma6_CAD_06_07</f>
        <v>#REF!</v>
      </c>
      <c r="Y45" s="27"/>
      <c r="Z45" s="27"/>
      <c r="AA45" s="27" t="e">
        <f>Prop_l_06_07</f>
        <v>#REF!</v>
      </c>
      <c r="AB45" s="27" t="e">
        <f>Prop_CAD_06_07</f>
        <v>#REF!</v>
      </c>
      <c r="AC45" s="27" t="e">
        <f>Bois20_1000kg_06_07</f>
        <v>#REF!</v>
      </c>
      <c r="AD45" s="27" t="e">
        <f>Bois20_CAD_06_07</f>
        <v>#REF!</v>
      </c>
      <c r="AE45" s="27" t="e">
        <f>Bois45_1000kg_06_07</f>
        <v>#REF!</v>
      </c>
      <c r="AF45" s="27" t="e">
        <f>Bois45_CAD_06_07</f>
        <v>#REF!</v>
      </c>
      <c r="AG45" s="27"/>
      <c r="AH45" s="27"/>
      <c r="AI45" s="27"/>
      <c r="AJ45" s="27"/>
      <c r="AK45" s="27"/>
      <c r="AL45" s="27"/>
      <c r="AM45" s="27" t="e">
        <f>DJC_tot_06_07</f>
        <v>#REF!</v>
      </c>
      <c r="AN45" s="29"/>
      <c r="AO45" s="29"/>
      <c r="AP45" s="29"/>
      <c r="AQ45" s="29"/>
      <c r="AR45" s="29"/>
      <c r="AS45" s="29"/>
    </row>
    <row r="46" spans="1:45">
      <c r="A46" s="27">
        <v>3</v>
      </c>
      <c r="B46" s="27" t="e">
        <f>GJ_Tot_07_08</f>
        <v>#REF!</v>
      </c>
      <c r="C46" s="27"/>
      <c r="D46" s="27" t="e">
        <f>CAD_Tot_07_08</f>
        <v>#REF!</v>
      </c>
      <c r="E46" s="27" t="e">
        <f>GJm²_07_08</f>
        <v>#REF!</v>
      </c>
      <c r="F46" s="27"/>
      <c r="G46" s="27" t="e">
        <f>CAD_m²_07_08</f>
        <v>#REF!</v>
      </c>
      <c r="H46" s="27" t="e">
        <f>GES_ton_07_08</f>
        <v>#REF!</v>
      </c>
      <c r="I46" s="27" t="e">
        <f>GES_ton_m²_07_08</f>
        <v>#REF!</v>
      </c>
      <c r="J46" s="27"/>
      <c r="K46" s="27"/>
      <c r="L46" s="27"/>
      <c r="M46" s="27"/>
      <c r="N46" s="27"/>
      <c r="O46" s="27" t="e">
        <f>Sup_07_08</f>
        <v>#REF!</v>
      </c>
      <c r="P46" s="25"/>
      <c r="Q46" s="27" t="e">
        <f>Elec_kWh_07_08</f>
        <v>#REF!</v>
      </c>
      <c r="R46" s="27" t="e">
        <f>Elec_CAD_07_08</f>
        <v>#REF!</v>
      </c>
      <c r="S46" s="27" t="e">
        <f>GN_m³_07_08</f>
        <v>#REF!</v>
      </c>
      <c r="T46" s="27" t="e">
        <f>GN_CAD_07_08</f>
        <v>#REF!</v>
      </c>
      <c r="U46" s="27" t="e">
        <f>Ma2_l_07_08</f>
        <v>#REF!</v>
      </c>
      <c r="V46" s="27" t="e">
        <f>Ma2_CAD_07_08</f>
        <v>#REF!</v>
      </c>
      <c r="W46" s="27" t="e">
        <f>Ma6_l_07_08</f>
        <v>#REF!</v>
      </c>
      <c r="X46" s="27" t="e">
        <f>Ma6_CAD_07_08</f>
        <v>#REF!</v>
      </c>
      <c r="Y46" s="27"/>
      <c r="Z46" s="27"/>
      <c r="AA46" s="27" t="e">
        <f>Prop_l_07_08</f>
        <v>#REF!</v>
      </c>
      <c r="AB46" s="27" t="e">
        <f>Prop_CAD_07_08</f>
        <v>#REF!</v>
      </c>
      <c r="AC46" s="27" t="e">
        <f>Bois20_1000kg_07_08</f>
        <v>#REF!</v>
      </c>
      <c r="AD46" s="27" t="e">
        <f>Bois20_CAD_07_08</f>
        <v>#REF!</v>
      </c>
      <c r="AE46" s="27" t="e">
        <f>Bois45_1000kg_07_08</f>
        <v>#REF!</v>
      </c>
      <c r="AF46" s="27" t="e">
        <f>Bois45_CAD_07_08</f>
        <v>#REF!</v>
      </c>
      <c r="AG46" s="27"/>
      <c r="AH46" s="27"/>
      <c r="AI46" s="27"/>
      <c r="AJ46" s="27"/>
      <c r="AK46" s="27"/>
      <c r="AL46" s="27"/>
      <c r="AM46" s="27" t="e">
        <f>DJC_tot_07_08</f>
        <v>#REF!</v>
      </c>
      <c r="AN46" s="29"/>
      <c r="AO46" s="29"/>
      <c r="AP46" s="29"/>
      <c r="AQ46" s="29"/>
      <c r="AR46" s="29"/>
      <c r="AS46" s="29"/>
    </row>
    <row r="47" spans="1:45">
      <c r="A47" s="27">
        <v>4</v>
      </c>
      <c r="B47" s="27" t="e">
        <f>GJ_Tot_08_09</f>
        <v>#REF!</v>
      </c>
      <c r="C47" s="27"/>
      <c r="D47" s="27" t="e">
        <f>CAD_Tot_08_09</f>
        <v>#REF!</v>
      </c>
      <c r="E47" s="27" t="e">
        <f>GJm²_08_09</f>
        <v>#REF!</v>
      </c>
      <c r="F47" s="27"/>
      <c r="G47" s="27" t="e">
        <f>CAD_m²_08_09</f>
        <v>#REF!</v>
      </c>
      <c r="H47" s="27" t="e">
        <f>GES_ton_08_09</f>
        <v>#REF!</v>
      </c>
      <c r="I47" s="27" t="e">
        <f>GES_ton_m²_08_09</f>
        <v>#REF!</v>
      </c>
      <c r="J47" s="27"/>
      <c r="K47" s="27"/>
      <c r="L47" s="27"/>
      <c r="M47" s="27"/>
      <c r="N47" s="27"/>
      <c r="O47" s="27" t="e">
        <f>Sup_08_09</f>
        <v>#REF!</v>
      </c>
      <c r="P47" s="25"/>
      <c r="Q47" s="27" t="e">
        <f>Elec_kWh_08_09</f>
        <v>#REF!</v>
      </c>
      <c r="R47" s="27" t="e">
        <f>Elec_CAD_08_09</f>
        <v>#REF!</v>
      </c>
      <c r="S47" s="27" t="e">
        <f>GN_m³_08_09</f>
        <v>#REF!</v>
      </c>
      <c r="T47" s="27" t="e">
        <f>GN_CAD_08_09</f>
        <v>#REF!</v>
      </c>
      <c r="U47" s="27" t="e">
        <f>Ma2_l_08_09</f>
        <v>#REF!</v>
      </c>
      <c r="V47" s="27" t="e">
        <f>Ma2_CAD_08_09</f>
        <v>#REF!</v>
      </c>
      <c r="W47" s="27" t="e">
        <f>Ma6_l_08_09</f>
        <v>#REF!</v>
      </c>
      <c r="X47" s="27" t="e">
        <f>Ma6_CAD_08_09</f>
        <v>#REF!</v>
      </c>
      <c r="Y47" s="27"/>
      <c r="Z47" s="27"/>
      <c r="AA47" s="27" t="e">
        <f>Prop_l_08_09</f>
        <v>#REF!</v>
      </c>
      <c r="AB47" s="27" t="e">
        <f>Prop_CAD_08_09</f>
        <v>#REF!</v>
      </c>
      <c r="AC47" s="27" t="e">
        <f>Bois20_1000kg_08_09</f>
        <v>#REF!</v>
      </c>
      <c r="AD47" s="27" t="e">
        <f>Bois20_CAD_08_09</f>
        <v>#REF!</v>
      </c>
      <c r="AE47" s="27" t="e">
        <f>Bois45_1000kg_08_09</f>
        <v>#REF!</v>
      </c>
      <c r="AF47" s="27" t="e">
        <f>Bois45_CAD_08_09</f>
        <v>#REF!</v>
      </c>
      <c r="AG47" s="27"/>
      <c r="AH47" s="27"/>
      <c r="AI47" s="27"/>
      <c r="AJ47" s="27"/>
      <c r="AK47" s="27"/>
      <c r="AL47" s="27"/>
      <c r="AM47" s="27" t="e">
        <f>DJC_tot_08_09</f>
        <v>#REF!</v>
      </c>
      <c r="AN47" s="29"/>
      <c r="AO47" s="29"/>
      <c r="AP47" s="29"/>
      <c r="AQ47" s="29"/>
      <c r="AR47" s="29"/>
      <c r="AS47" s="29"/>
    </row>
    <row r="48" spans="1:45">
      <c r="A48" s="27">
        <v>5</v>
      </c>
      <c r="B48" s="27">
        <f>GJ_Tot_09_10</f>
        <v>0</v>
      </c>
      <c r="C48" s="27"/>
      <c r="D48" s="27">
        <f>CAD_Tot_09_10</f>
        <v>0</v>
      </c>
      <c r="E48" s="27" t="str">
        <f>GJm²_09_10</f>
        <v/>
      </c>
      <c r="F48" s="27"/>
      <c r="G48" s="27" t="str">
        <f>CAD_m²_09_10</f>
        <v/>
      </c>
      <c r="H48" s="27">
        <f>GES_ton_09_10</f>
        <v>0</v>
      </c>
      <c r="I48" s="27">
        <f>GES_ton_m²_09_10</f>
        <v>0</v>
      </c>
      <c r="J48" s="27"/>
      <c r="K48" s="27"/>
      <c r="L48" s="27"/>
      <c r="M48" s="27"/>
      <c r="N48" s="27"/>
      <c r="O48" s="27">
        <f>Sup_09_10</f>
        <v>0</v>
      </c>
      <c r="P48" s="25"/>
      <c r="Q48" s="27">
        <f>Elec_kWh_09_10</f>
        <v>0</v>
      </c>
      <c r="R48" s="27">
        <f>Elec_CAD_09_10</f>
        <v>0</v>
      </c>
      <c r="S48" s="27">
        <f>GN_m³_09_10</f>
        <v>0</v>
      </c>
      <c r="T48" s="27">
        <f>GN_CAD_09_10</f>
        <v>0</v>
      </c>
      <c r="U48" s="27">
        <f>Ma2_l_09_10</f>
        <v>0</v>
      </c>
      <c r="V48" s="27">
        <f>Ma2_CAD_09_10</f>
        <v>0</v>
      </c>
      <c r="W48" s="27">
        <f>Ma6_l_09_10</f>
        <v>0</v>
      </c>
      <c r="X48" s="27">
        <f>Ma6_CAD_09_10</f>
        <v>0</v>
      </c>
      <c r="Y48" s="27"/>
      <c r="Z48" s="27"/>
      <c r="AA48" s="27">
        <f>Prop_l_09_10</f>
        <v>0</v>
      </c>
      <c r="AB48" s="27">
        <f>Prop_CAD_09_10</f>
        <v>0</v>
      </c>
      <c r="AC48" s="27">
        <f>Bois20_1000kg_09_10</f>
        <v>0</v>
      </c>
      <c r="AD48" s="27">
        <f>Bois20_CAD_09_10</f>
        <v>0</v>
      </c>
      <c r="AE48" s="27">
        <f>Bois45_1000kg_09_10</f>
        <v>0</v>
      </c>
      <c r="AF48" s="27">
        <f>Bois45_CAD_09_10</f>
        <v>0</v>
      </c>
      <c r="AG48" s="27"/>
      <c r="AH48" s="27"/>
      <c r="AI48" s="27"/>
      <c r="AJ48" s="27"/>
      <c r="AK48" s="27"/>
      <c r="AL48" s="27"/>
      <c r="AM48" s="27">
        <f>DJC_tot_09_10</f>
        <v>3967.8000000000006</v>
      </c>
      <c r="AN48" s="29"/>
      <c r="AO48" s="29"/>
      <c r="AP48" s="29"/>
      <c r="AQ48" s="29"/>
      <c r="AR48" s="29"/>
      <c r="AS48" s="29"/>
    </row>
    <row r="49" spans="1:45">
      <c r="A49" s="27">
        <v>6</v>
      </c>
      <c r="B49" s="27">
        <f>GJ_Tot_10_11</f>
        <v>0</v>
      </c>
      <c r="C49" s="27"/>
      <c r="D49" s="27">
        <f>CAD_Tot_10_11</f>
        <v>0</v>
      </c>
      <c r="E49" s="27" t="str">
        <f>GJm²_10_11</f>
        <v/>
      </c>
      <c r="F49" s="27"/>
      <c r="G49" s="27" t="str">
        <f>CAD_m²_10_11</f>
        <v/>
      </c>
      <c r="H49" s="27">
        <f>GES_ton_10_11</f>
        <v>0</v>
      </c>
      <c r="I49" s="27">
        <f>GES_ton_m²_10_11</f>
        <v>0</v>
      </c>
      <c r="J49" s="27"/>
      <c r="K49" s="27"/>
      <c r="L49" s="27"/>
      <c r="M49" s="27"/>
      <c r="N49" s="27"/>
      <c r="O49" s="27">
        <f>Sup_10_11</f>
        <v>0</v>
      </c>
      <c r="P49" s="25"/>
      <c r="Q49" s="27">
        <f>Elec_kWh_10_11</f>
        <v>0</v>
      </c>
      <c r="R49" s="27">
        <f>Elec_CAD_10_11</f>
        <v>0</v>
      </c>
      <c r="S49" s="27">
        <f>GN_m³_10_11</f>
        <v>0</v>
      </c>
      <c r="T49" s="27">
        <f>GN_CAD_10_11</f>
        <v>0</v>
      </c>
      <c r="U49" s="27">
        <f>Ma2_l_10_11</f>
        <v>0</v>
      </c>
      <c r="V49" s="27">
        <f>Ma2_CAD_10_11</f>
        <v>0</v>
      </c>
      <c r="W49" s="27">
        <f>Ma6_l_10_11</f>
        <v>0</v>
      </c>
      <c r="X49" s="27">
        <f>Ma6_CAD_10_11</f>
        <v>0</v>
      </c>
      <c r="Y49" s="27"/>
      <c r="Z49" s="27"/>
      <c r="AA49" s="27">
        <f>Prop_l_10_11</f>
        <v>0</v>
      </c>
      <c r="AB49" s="27">
        <f>Prop_CAD_10_11</f>
        <v>0</v>
      </c>
      <c r="AC49" s="27">
        <f>Bois20_1000kg_10_11</f>
        <v>0</v>
      </c>
      <c r="AD49" s="27">
        <f>Bois20_CAD_10_11</f>
        <v>0</v>
      </c>
      <c r="AE49" s="27">
        <f>Bois45_1000kg_10_11</f>
        <v>0</v>
      </c>
      <c r="AF49" s="27">
        <f>Bois45_CAD_10_11</f>
        <v>0</v>
      </c>
      <c r="AG49" s="27"/>
      <c r="AH49" s="27"/>
      <c r="AI49" s="27"/>
      <c r="AJ49" s="27"/>
      <c r="AK49" s="27"/>
      <c r="AL49" s="27"/>
      <c r="AM49" s="27">
        <f>DJC_tot_10_11</f>
        <v>4187.3999999999996</v>
      </c>
      <c r="AN49" s="29"/>
      <c r="AO49" s="29"/>
      <c r="AP49" s="29"/>
      <c r="AQ49" s="29"/>
      <c r="AR49" s="29"/>
      <c r="AS49" s="29"/>
    </row>
    <row r="50" spans="1:45">
      <c r="A50" s="27">
        <v>7</v>
      </c>
      <c r="B50" s="27">
        <f>GJ_Tot_11_12</f>
        <v>0</v>
      </c>
      <c r="C50" s="27">
        <f>GJTotRef_Ajust_11_12</f>
        <v>0</v>
      </c>
      <c r="D50" s="27">
        <f>CAD_Tot_11_12</f>
        <v>0</v>
      </c>
      <c r="E50" s="27" t="str">
        <f>GJm²_11_12</f>
        <v/>
      </c>
      <c r="F50" s="27">
        <f>GJTotRef_Ajust_11_12</f>
        <v>0</v>
      </c>
      <c r="G50" s="27" t="str">
        <f>CAD_m²_11_12</f>
        <v/>
      </c>
      <c r="H50" s="27">
        <f>GES_ton_11_12</f>
        <v>0</v>
      </c>
      <c r="I50" s="27">
        <f>GES_ton_m²_11_12</f>
        <v>0</v>
      </c>
      <c r="J50" s="27"/>
      <c r="K50" s="27"/>
      <c r="L50" s="27"/>
      <c r="M50" s="27"/>
      <c r="N50" s="27">
        <f>GES_ton_10_11-GES_ton_11_12</f>
        <v>0</v>
      </c>
      <c r="O50" s="27">
        <f>Sup_11_12</f>
        <v>0</v>
      </c>
      <c r="P50" s="25"/>
      <c r="Q50" s="27">
        <f>Elec_kWh_11_12</f>
        <v>0</v>
      </c>
      <c r="R50" s="27">
        <f>Elec_CAD_11_12</f>
        <v>0</v>
      </c>
      <c r="S50" s="27">
        <f>GN_m³_11_12</f>
        <v>0</v>
      </c>
      <c r="T50" s="27">
        <f>GN_CAD_11_12</f>
        <v>0</v>
      </c>
      <c r="U50" s="27">
        <f>Ma2_l_11_12</f>
        <v>0</v>
      </c>
      <c r="V50" s="27">
        <f>Ma2_CAD_11_12</f>
        <v>0</v>
      </c>
      <c r="W50" s="27">
        <f>Ma6_l_11_12</f>
        <v>0</v>
      </c>
      <c r="X50" s="27">
        <f>Ma6_CAD_11_12</f>
        <v>0</v>
      </c>
      <c r="Y50" s="27"/>
      <c r="Z50" s="27"/>
      <c r="AA50" s="27">
        <f>Prop_l_11_12</f>
        <v>0</v>
      </c>
      <c r="AB50" s="27">
        <f>Prop_CAD_11_12</f>
        <v>0</v>
      </c>
      <c r="AC50" s="27">
        <f>Bois20_1000kg_11_12</f>
        <v>0</v>
      </c>
      <c r="AD50" s="27">
        <f>Bois20_CAD_11_12</f>
        <v>0</v>
      </c>
      <c r="AE50" s="27">
        <f>Bois45_1000kg_11_12</f>
        <v>0</v>
      </c>
      <c r="AF50" s="27">
        <f>Bois45_CAD_11_12</f>
        <v>0</v>
      </c>
      <c r="AG50" s="27"/>
      <c r="AH50" s="27"/>
      <c r="AI50" s="27"/>
      <c r="AJ50" s="27"/>
      <c r="AK50" s="27"/>
      <c r="AL50" s="27"/>
      <c r="AM50" s="27">
        <f>DJC_tot_11_12</f>
        <v>3730</v>
      </c>
      <c r="AN50" s="29"/>
      <c r="AO50" s="29"/>
      <c r="AP50" s="29"/>
      <c r="AQ50" s="29"/>
      <c r="AR50" s="29"/>
      <c r="AS50" s="29"/>
    </row>
    <row r="51" spans="1:45">
      <c r="A51" s="27">
        <v>8</v>
      </c>
      <c r="B51" s="27">
        <f>GJ_Tot_12_13</f>
        <v>0</v>
      </c>
      <c r="C51" s="27">
        <f>GJTotRef_Ajust_12_13</f>
        <v>0</v>
      </c>
      <c r="D51" s="27">
        <f>CAD_Tot_12_13</f>
        <v>0</v>
      </c>
      <c r="E51" s="27" t="str">
        <f>GJm²_12_13</f>
        <v/>
      </c>
      <c r="F51" s="27">
        <f>GJTotRef_Ajust_12_13</f>
        <v>0</v>
      </c>
      <c r="G51" s="27" t="str">
        <f>CAD_m²_12_13</f>
        <v/>
      </c>
      <c r="H51" s="27">
        <f>GES_ton_12_13</f>
        <v>0</v>
      </c>
      <c r="I51" s="27">
        <f>GES_ton_m²_12_13</f>
        <v>0</v>
      </c>
      <c r="J51" s="27"/>
      <c r="K51" s="27"/>
      <c r="L51" s="27"/>
      <c r="M51" s="27"/>
      <c r="N51" s="27">
        <f>GES_ton_10_11-GES_ton_12_13</f>
        <v>0</v>
      </c>
      <c r="O51" s="27">
        <f>Sup_12_13</f>
        <v>0</v>
      </c>
      <c r="P51" s="25"/>
      <c r="Q51" s="27">
        <f>Elec_kWh_12_13</f>
        <v>0</v>
      </c>
      <c r="R51" s="27">
        <f>Elec_CAD_12_13</f>
        <v>0</v>
      </c>
      <c r="S51" s="27">
        <f>GN_m³_12_13</f>
        <v>0</v>
      </c>
      <c r="T51" s="27">
        <f>GN_CAD_12_13</f>
        <v>0</v>
      </c>
      <c r="U51" s="27">
        <f>Ma2_l_12_13</f>
        <v>0</v>
      </c>
      <c r="V51" s="27">
        <f>Ma2_CAD_12_13</f>
        <v>0</v>
      </c>
      <c r="W51" s="27">
        <f>Ma6_l_12_13</f>
        <v>0</v>
      </c>
      <c r="X51" s="27">
        <f>Ma6_CAD_12_13</f>
        <v>0</v>
      </c>
      <c r="Y51" s="27"/>
      <c r="Z51" s="27"/>
      <c r="AA51" s="27">
        <f>Prop_l_12_13</f>
        <v>0</v>
      </c>
      <c r="AB51" s="27">
        <f>Prop_CAD_12_13</f>
        <v>0</v>
      </c>
      <c r="AC51" s="27">
        <f>Bois20_1000kg_12_13</f>
        <v>0</v>
      </c>
      <c r="AD51" s="27">
        <f>Bois20_CAD_12_13</f>
        <v>0</v>
      </c>
      <c r="AE51" s="27">
        <f>Bois45_1000kg_12_13</f>
        <v>0</v>
      </c>
      <c r="AF51" s="27">
        <f>Bois45_CAD_12_13</f>
        <v>0</v>
      </c>
      <c r="AG51" s="27"/>
      <c r="AH51" s="27"/>
      <c r="AI51" s="27"/>
      <c r="AJ51" s="27"/>
      <c r="AK51" s="27"/>
      <c r="AL51" s="27"/>
      <c r="AM51" s="27">
        <f>DJC_tot_12_13</f>
        <v>4039.4</v>
      </c>
      <c r="AN51" s="29"/>
      <c r="AO51" s="29"/>
      <c r="AP51" s="29"/>
      <c r="AQ51" s="29"/>
      <c r="AR51" s="29"/>
      <c r="AS51" s="29"/>
    </row>
    <row r="52" spans="1:45">
      <c r="A52" s="27">
        <v>9</v>
      </c>
      <c r="B52" s="27">
        <f>GJ_Tot_13_14</f>
        <v>0</v>
      </c>
      <c r="C52" s="27">
        <f>GJTotRef_Ajust_13_14</f>
        <v>0</v>
      </c>
      <c r="D52" s="27">
        <f>CAD_Tot_13_14</f>
        <v>0</v>
      </c>
      <c r="E52" s="27" t="str">
        <f>GJm²_13_14</f>
        <v/>
      </c>
      <c r="F52" s="27">
        <f>GJTotRef_Ajust_13_14</f>
        <v>0</v>
      </c>
      <c r="G52" s="27" t="str">
        <f>CAD_m²_13_14</f>
        <v/>
      </c>
      <c r="H52" s="27">
        <f>GES_ton_13_14</f>
        <v>0</v>
      </c>
      <c r="I52" s="27">
        <f>GES_ton_m²_13_14</f>
        <v>0</v>
      </c>
      <c r="J52" s="27"/>
      <c r="K52" s="27"/>
      <c r="L52" s="27"/>
      <c r="M52" s="27"/>
      <c r="N52" s="27">
        <f>GES_ton_10_11-GES_ton_13_14</f>
        <v>0</v>
      </c>
      <c r="O52" s="27">
        <f>Sup_13_14</f>
        <v>0</v>
      </c>
      <c r="P52" s="25"/>
      <c r="Q52" s="27">
        <f>Elec_kWh_13_14</f>
        <v>0</v>
      </c>
      <c r="R52" s="27">
        <f>Elec_CAD_13_14</f>
        <v>0</v>
      </c>
      <c r="S52" s="27">
        <f>GN_m³_13_14</f>
        <v>0</v>
      </c>
      <c r="T52" s="27">
        <f>GN_CAD_13_14</f>
        <v>0</v>
      </c>
      <c r="U52" s="27">
        <f>Ma2_l_13_14</f>
        <v>0</v>
      </c>
      <c r="V52" s="27">
        <f>Ma2_CAD_13_14</f>
        <v>0</v>
      </c>
      <c r="W52" s="27">
        <f>Ma6_l_13_14</f>
        <v>0</v>
      </c>
      <c r="X52" s="27">
        <f>Ma6_CAD_13_14</f>
        <v>0</v>
      </c>
      <c r="Y52" s="27"/>
      <c r="Z52" s="27"/>
      <c r="AA52" s="27">
        <f>Prop_l_13_14</f>
        <v>0</v>
      </c>
      <c r="AB52" s="27">
        <f>Prop_CAD_13_14</f>
        <v>0</v>
      </c>
      <c r="AC52" s="27">
        <f>Bois20_1000kg_13_14</f>
        <v>0</v>
      </c>
      <c r="AD52" s="27">
        <f>Bois20_CAD_13_14</f>
        <v>0</v>
      </c>
      <c r="AE52" s="27">
        <f>Bois45_1000kg_13_14</f>
        <v>0</v>
      </c>
      <c r="AF52" s="27">
        <f>Bois45_CAD_13_14</f>
        <v>0</v>
      </c>
      <c r="AG52" s="27"/>
      <c r="AH52" s="27"/>
      <c r="AI52" s="27"/>
      <c r="AJ52" s="27"/>
      <c r="AK52" s="27"/>
      <c r="AL52" s="27"/>
      <c r="AM52" s="27">
        <f>DJC_tot_13_14</f>
        <v>4562.5</v>
      </c>
      <c r="AN52" s="29"/>
      <c r="AO52" s="29"/>
      <c r="AP52" s="29"/>
      <c r="AQ52" s="29"/>
      <c r="AR52" s="29"/>
      <c r="AS52" s="29"/>
    </row>
    <row r="53" spans="1:45">
      <c r="A53" s="27">
        <v>10</v>
      </c>
      <c r="B53" s="27">
        <f>GJ_Tot_14_15</f>
        <v>0</v>
      </c>
      <c r="C53" s="27">
        <f>GJTotRef_Ajust_14_15</f>
        <v>0</v>
      </c>
      <c r="D53" s="27">
        <f>CAD_Tot_14_15</f>
        <v>0</v>
      </c>
      <c r="E53" s="27" t="str">
        <f>GJm²_14_15</f>
        <v/>
      </c>
      <c r="F53" s="27">
        <f>GJTotRef_Ajust_14_15</f>
        <v>0</v>
      </c>
      <c r="G53" s="27" t="str">
        <f>CAD_m²_14_15</f>
        <v/>
      </c>
      <c r="H53" s="27">
        <f>GES_ton_14_15</f>
        <v>0</v>
      </c>
      <c r="I53" s="27">
        <f>GES_ton_m²_14_15</f>
        <v>0</v>
      </c>
      <c r="J53" s="27"/>
      <c r="K53" s="27"/>
      <c r="L53" s="27"/>
      <c r="M53" s="27"/>
      <c r="N53" s="27">
        <f>GES_ton_10_11-GES_ton_14_15</f>
        <v>0</v>
      </c>
      <c r="O53" s="27">
        <f>Sup_14_15</f>
        <v>0</v>
      </c>
      <c r="P53" s="25"/>
      <c r="Q53" s="27">
        <f>Elec_kWh_14_15</f>
        <v>0</v>
      </c>
      <c r="R53" s="27">
        <f>Elec_CAD_14_15</f>
        <v>0</v>
      </c>
      <c r="S53" s="27">
        <f>GN_m³_14_15</f>
        <v>0</v>
      </c>
      <c r="T53" s="27">
        <f>GN_CAD_14_15</f>
        <v>0</v>
      </c>
      <c r="U53" s="27">
        <f>Ma2_l_14_15</f>
        <v>0</v>
      </c>
      <c r="V53" s="27">
        <f>Ma2_CAD_14_15</f>
        <v>0</v>
      </c>
      <c r="W53" s="27">
        <f>Ma6_l_14_15</f>
        <v>0</v>
      </c>
      <c r="X53" s="27">
        <f>Ma6_CAD_14_15</f>
        <v>0</v>
      </c>
      <c r="Y53" s="27"/>
      <c r="Z53" s="27"/>
      <c r="AA53" s="27">
        <f>Prop_l_14_15</f>
        <v>0</v>
      </c>
      <c r="AB53" s="27">
        <f>Prop_CAD_14_15</f>
        <v>0</v>
      </c>
      <c r="AC53" s="27">
        <f>Bois20_1000kg_14_15</f>
        <v>0</v>
      </c>
      <c r="AD53" s="27">
        <f>Bois20_CAD_14_15</f>
        <v>0</v>
      </c>
      <c r="AE53" s="27">
        <f>Bois45_1000kg_14_15</f>
        <v>0</v>
      </c>
      <c r="AF53" s="27">
        <f>Bois45_CAD_14_15</f>
        <v>0</v>
      </c>
      <c r="AG53" s="27"/>
      <c r="AH53" s="27"/>
      <c r="AI53" s="27"/>
      <c r="AJ53" s="27"/>
      <c r="AK53" s="27"/>
      <c r="AL53" s="27"/>
      <c r="AM53" s="27">
        <f>DJC_tot_14_15</f>
        <v>4543.1000000000004</v>
      </c>
      <c r="AN53" s="29"/>
      <c r="AO53" s="29"/>
      <c r="AP53" s="29"/>
      <c r="AQ53" s="29"/>
      <c r="AR53" s="29"/>
      <c r="AS53" s="29"/>
    </row>
    <row r="54" spans="1:45">
      <c r="A54" s="27">
        <v>11</v>
      </c>
      <c r="B54" s="27">
        <f>GJ_Tot_15_16</f>
        <v>0</v>
      </c>
      <c r="C54" s="27">
        <f>GJTotRef_Ajust_15_16</f>
        <v>0</v>
      </c>
      <c r="D54" s="27">
        <f>CAD_Tot_15_16</f>
        <v>0</v>
      </c>
      <c r="E54" s="27" t="str">
        <f>GJm²_15_16</f>
        <v/>
      </c>
      <c r="F54" s="27">
        <f>GJTotRef_Ajust_15_16</f>
        <v>0</v>
      </c>
      <c r="G54" s="27" t="str">
        <f>CAD_m²_15_16</f>
        <v/>
      </c>
      <c r="H54" s="27">
        <f>GES_ton_15_16</f>
        <v>0</v>
      </c>
      <c r="I54" s="27">
        <f>GES_ton_m²_15_16</f>
        <v>0</v>
      </c>
      <c r="J54" s="27"/>
      <c r="K54" s="27"/>
      <c r="L54" s="27"/>
      <c r="M54" s="27"/>
      <c r="N54" s="27">
        <f>GES_ton_10_11-GES_ton_15_16</f>
        <v>0</v>
      </c>
      <c r="O54" s="27">
        <f>Sup_15_16</f>
        <v>0</v>
      </c>
      <c r="P54" s="25"/>
      <c r="Q54" s="27">
        <f>Elec_kWh_15_16</f>
        <v>0</v>
      </c>
      <c r="R54" s="27">
        <f>Elec_CAD_15_16</f>
        <v>0</v>
      </c>
      <c r="S54" s="27">
        <f>GN_m³_15_16</f>
        <v>0</v>
      </c>
      <c r="T54" s="27">
        <f>GN_CAD_15_16</f>
        <v>0</v>
      </c>
      <c r="U54" s="27">
        <f>Ma2_l_15_16</f>
        <v>0</v>
      </c>
      <c r="V54" s="27">
        <f>Ma2_CAD_15_16</f>
        <v>0</v>
      </c>
      <c r="W54" s="27">
        <f>Ma6_l_15_16</f>
        <v>0</v>
      </c>
      <c r="X54" s="27">
        <f>Ma6_CAD_15_16</f>
        <v>0</v>
      </c>
      <c r="Y54" s="27"/>
      <c r="Z54" s="27"/>
      <c r="AA54" s="27">
        <f>Prop_l_15_16</f>
        <v>0</v>
      </c>
      <c r="AB54" s="27">
        <f>Prop_CAD_15_16</f>
        <v>0</v>
      </c>
      <c r="AC54" s="27">
        <f>Bois20_1000kg_15_16</f>
        <v>0</v>
      </c>
      <c r="AD54" s="27">
        <f>Bois20_CAD_15_16</f>
        <v>0</v>
      </c>
      <c r="AE54" s="27">
        <f>Bois45_1000kg_15_16</f>
        <v>0</v>
      </c>
      <c r="AF54" s="27">
        <f>Bois45_CAD_15_16</f>
        <v>0</v>
      </c>
      <c r="AG54" s="27"/>
      <c r="AH54" s="27"/>
      <c r="AI54" s="27"/>
      <c r="AJ54" s="27"/>
      <c r="AK54" s="27"/>
      <c r="AL54" s="27"/>
      <c r="AM54" s="27">
        <f>DJC_tot_15_16</f>
        <v>3611.4000000000005</v>
      </c>
      <c r="AN54" s="29"/>
      <c r="AO54" s="29"/>
      <c r="AP54" s="29"/>
      <c r="AQ54" s="29"/>
      <c r="AR54" s="29"/>
      <c r="AS54" s="29"/>
    </row>
    <row r="55" spans="1:45">
      <c r="A55" s="27">
        <v>12</v>
      </c>
      <c r="B55" s="27">
        <f>GJ_Tot_16_17</f>
        <v>0</v>
      </c>
      <c r="C55" s="27">
        <f>GJTotRef_Ajust_16_17</f>
        <v>0</v>
      </c>
      <c r="D55" s="27">
        <f>CAD_Tot_16_17</f>
        <v>0</v>
      </c>
      <c r="E55" s="27" t="str">
        <f>GJm²_16_17</f>
        <v/>
      </c>
      <c r="F55" s="27">
        <f>GJTotRef_Ajust_16_17</f>
        <v>0</v>
      </c>
      <c r="G55" s="27" t="str">
        <f>CAD_m²_16_17</f>
        <v/>
      </c>
      <c r="H55" s="27">
        <f>GES_ton_16_17</f>
        <v>0</v>
      </c>
      <c r="I55" s="27">
        <f>GES_ton_m²_16_17</f>
        <v>0</v>
      </c>
      <c r="J55" s="27"/>
      <c r="K55" s="27"/>
      <c r="L55" s="27"/>
      <c r="M55" s="27"/>
      <c r="N55" s="27">
        <f>GES_ton_10_11-GES_ton_16_17</f>
        <v>0</v>
      </c>
      <c r="O55" s="27">
        <f>Sup_16_17</f>
        <v>0</v>
      </c>
      <c r="P55" s="25"/>
      <c r="Q55" s="27">
        <f>Elec_kWh_16_17</f>
        <v>0</v>
      </c>
      <c r="R55" s="27">
        <f>Elec_CAD_16_17</f>
        <v>0</v>
      </c>
      <c r="S55" s="27">
        <f>GN_m³_16_17</f>
        <v>0</v>
      </c>
      <c r="T55" s="27">
        <f>GN_CAD_16_17</f>
        <v>0</v>
      </c>
      <c r="U55" s="27">
        <f>Ma2_l_16_17</f>
        <v>0</v>
      </c>
      <c r="V55" s="27">
        <f>Ma2_CAD_16_17</f>
        <v>0</v>
      </c>
      <c r="W55" s="27">
        <f>Ma6_l_16_17</f>
        <v>0</v>
      </c>
      <c r="X55" s="27">
        <f>Ma6_CAD_16_17</f>
        <v>0</v>
      </c>
      <c r="Y55" s="27"/>
      <c r="Z55" s="27"/>
      <c r="AA55" s="27">
        <f>Prop_l_16_17</f>
        <v>0</v>
      </c>
      <c r="AB55" s="27">
        <f>Prop_CAD_16_17</f>
        <v>0</v>
      </c>
      <c r="AC55" s="27">
        <f>Bois20_1000kg_16_17</f>
        <v>0</v>
      </c>
      <c r="AD55" s="27">
        <f>Bois20_CAD_16_17</f>
        <v>0</v>
      </c>
      <c r="AE55" s="27">
        <f>Bois45_1000kg_16_17</f>
        <v>0</v>
      </c>
      <c r="AF55" s="27">
        <f>Bois45_CAD_16_17</f>
        <v>0</v>
      </c>
      <c r="AG55" s="27"/>
      <c r="AH55" s="27"/>
      <c r="AI55" s="27"/>
      <c r="AJ55" s="27"/>
      <c r="AK55" s="27"/>
      <c r="AL55" s="27"/>
      <c r="AM55" s="27">
        <f>DJC_tot_16_17</f>
        <v>3951.9</v>
      </c>
      <c r="AN55" s="29"/>
      <c r="AO55" s="29"/>
      <c r="AP55" s="29"/>
      <c r="AQ55" s="29"/>
      <c r="AR55" s="29"/>
      <c r="AS55" s="29"/>
    </row>
    <row r="56" spans="1:45">
      <c r="A56" s="27">
        <v>13</v>
      </c>
      <c r="B56" s="27">
        <f>GJ_Tot_17_18</f>
        <v>0</v>
      </c>
      <c r="C56" s="27">
        <f>GJTotRef_Ajust_17_18</f>
        <v>0</v>
      </c>
      <c r="D56" s="27">
        <f>CAD_Tot_17_18</f>
        <v>0</v>
      </c>
      <c r="E56" s="27" t="str">
        <f>GJm²_17_18</f>
        <v/>
      </c>
      <c r="F56" s="27">
        <f>GJTotRef_Ajust_17_18</f>
        <v>0</v>
      </c>
      <c r="G56" s="27" t="str">
        <f>CAD_m²_17_18</f>
        <v/>
      </c>
      <c r="H56" s="27">
        <f>GES_ton_17_18</f>
        <v>0</v>
      </c>
      <c r="I56" s="27">
        <f>GES_ton_m²_17_18</f>
        <v>0</v>
      </c>
      <c r="J56" s="27"/>
      <c r="K56" s="27"/>
      <c r="L56" s="27"/>
      <c r="M56" s="27"/>
      <c r="N56" s="27">
        <f>GES_ton_10_11-GES_ton_17_18</f>
        <v>0</v>
      </c>
      <c r="O56" s="27">
        <f>Sup_17_18</f>
        <v>0</v>
      </c>
      <c r="P56" s="25"/>
      <c r="Q56" s="27">
        <f>Elec_kWh_17_18</f>
        <v>0</v>
      </c>
      <c r="R56" s="27">
        <f>Elec_CAD_17_18</f>
        <v>0</v>
      </c>
      <c r="S56" s="27">
        <f>GN_m³_17_18</f>
        <v>0</v>
      </c>
      <c r="T56" s="27">
        <f>GN_CAD_17_18</f>
        <v>0</v>
      </c>
      <c r="U56" s="27">
        <f>Ma2_l_17_18</f>
        <v>0</v>
      </c>
      <c r="V56" s="27">
        <f>Ma2_CAD_17_18</f>
        <v>0</v>
      </c>
      <c r="W56" s="27">
        <f>Ma6_l_17_18</f>
        <v>0</v>
      </c>
      <c r="X56" s="27">
        <f>Ma6_CAD_17_18</f>
        <v>0</v>
      </c>
      <c r="Y56" s="27"/>
      <c r="Z56" s="27"/>
      <c r="AA56" s="27">
        <f>Prop_l_17_18</f>
        <v>0</v>
      </c>
      <c r="AB56" s="27">
        <f>Prop_CAD_17_18</f>
        <v>0</v>
      </c>
      <c r="AC56" s="27">
        <f>Bois20_1000kg_17_18</f>
        <v>0</v>
      </c>
      <c r="AD56" s="27">
        <f>Bois20_CAD_17_18</f>
        <v>0</v>
      </c>
      <c r="AE56" s="27">
        <f>Bois45_1000kg_17_18</f>
        <v>0</v>
      </c>
      <c r="AF56" s="27">
        <f>Bois45_CAD_17_18</f>
        <v>0</v>
      </c>
      <c r="AG56" s="27"/>
      <c r="AH56" s="27"/>
      <c r="AI56" s="27"/>
      <c r="AJ56" s="27"/>
      <c r="AK56" s="27"/>
      <c r="AL56" s="27"/>
      <c r="AM56" s="27">
        <f>DJC_tot_17_18</f>
        <v>3949.4000000000005</v>
      </c>
      <c r="AN56" s="29"/>
      <c r="AO56" s="29"/>
      <c r="AP56" s="29"/>
      <c r="AQ56" s="29"/>
      <c r="AR56" s="29"/>
      <c r="AS56" s="29"/>
    </row>
    <row r="57" spans="1:45">
      <c r="A57" s="27">
        <v>14</v>
      </c>
      <c r="B57" s="27" t="e">
        <f>GJ_Tot_18_19</f>
        <v>#NAME?</v>
      </c>
      <c r="C57" s="27">
        <f>GJTotRef_Ajust_18_19</f>
        <v>0</v>
      </c>
      <c r="D57" s="27">
        <f>CAD_Tot_18_19</f>
        <v>0</v>
      </c>
      <c r="E57" s="27" t="str">
        <f>GJm²_18_19</f>
        <v/>
      </c>
      <c r="F57" s="27">
        <f>GJTotRef_Ajust_18_19</f>
        <v>0</v>
      </c>
      <c r="G57" s="27" t="str">
        <f>CAD_m²_18_19</f>
        <v/>
      </c>
      <c r="H57" s="27" t="e">
        <f>GES_ton_18_19</f>
        <v>#NAME?</v>
      </c>
      <c r="I57" s="27">
        <f>GES_ton_m²_18_19</f>
        <v>0</v>
      </c>
      <c r="J57" s="27"/>
      <c r="K57" s="27"/>
      <c r="L57" s="27"/>
      <c r="M57" s="27"/>
      <c r="N57" s="27" t="e">
        <f>GES_ton_10_11-GES_ton_18_19</f>
        <v>#NAME?</v>
      </c>
      <c r="O57" s="27">
        <f>Sup_18_19</f>
        <v>0</v>
      </c>
      <c r="P57" s="25"/>
      <c r="Q57" s="27">
        <f>Elec_kWh_18_19</f>
        <v>0</v>
      </c>
      <c r="R57" s="27">
        <f>Elec_CAD_18_19</f>
        <v>0</v>
      </c>
      <c r="S57" s="27">
        <f>GN_m³_18_19</f>
        <v>0</v>
      </c>
      <c r="T57" s="27">
        <f>GN_CAD_18_19</f>
        <v>0</v>
      </c>
      <c r="U57" s="27">
        <f>Ma2_l_18_19</f>
        <v>0</v>
      </c>
      <c r="V57" s="27">
        <f>Ma2_CAD_18_19</f>
        <v>0</v>
      </c>
      <c r="W57" s="27">
        <f>Ma6_l_18_19</f>
        <v>0</v>
      </c>
      <c r="X57" s="27">
        <f>Ma6_CAD_18_19</f>
        <v>0</v>
      </c>
      <c r="Y57" s="27"/>
      <c r="Z57" s="27"/>
      <c r="AA57" s="27">
        <f>Prop_l_18_19</f>
        <v>0</v>
      </c>
      <c r="AB57" s="27">
        <f>Prop_CAD_18_19</f>
        <v>0</v>
      </c>
      <c r="AC57" s="27">
        <f>Bois20_1000kg_18_19</f>
        <v>0</v>
      </c>
      <c r="AD57" s="27">
        <f>Bois20_CAD_18_19</f>
        <v>0</v>
      </c>
      <c r="AE57" s="27">
        <f>Bois45_1000kg_18_19</f>
        <v>0</v>
      </c>
      <c r="AF57" s="27">
        <f>Bois45_CAD_18_19</f>
        <v>0</v>
      </c>
      <c r="AG57" s="27"/>
      <c r="AH57" s="27"/>
      <c r="AI57" s="27"/>
      <c r="AJ57" s="27"/>
      <c r="AK57" s="27"/>
      <c r="AL57" s="27"/>
      <c r="AM57" s="27">
        <f>DJC_tot_18_19</f>
        <v>502.7</v>
      </c>
      <c r="AN57" s="29"/>
      <c r="AO57" s="29"/>
      <c r="AP57" s="29"/>
      <c r="AQ57" s="29"/>
      <c r="AR57" s="29"/>
      <c r="AS57" s="29"/>
    </row>
    <row r="58" spans="1:45">
      <c r="A58" s="27">
        <v>15</v>
      </c>
      <c r="B58" s="27" t="e">
        <f>GJ_Tot_19_20</f>
        <v>#NAME?</v>
      </c>
      <c r="C58" s="27">
        <f>GJTotRef_Ajust_19_20</f>
        <v>0</v>
      </c>
      <c r="D58" s="27">
        <f>CAD_Tot_19_20</f>
        <v>0</v>
      </c>
      <c r="E58" s="27" t="str">
        <f>GJm²_19_20</f>
        <v/>
      </c>
      <c r="F58" s="27">
        <f>GJTotRef_Ajust_19_20</f>
        <v>0</v>
      </c>
      <c r="G58" s="27" t="str">
        <f>CAD_m²_19_20</f>
        <v/>
      </c>
      <c r="H58" s="27" t="e">
        <f>GES_ton_19_20</f>
        <v>#NAME?</v>
      </c>
      <c r="I58" s="27">
        <f>GES_ton_m²_19_20</f>
        <v>0</v>
      </c>
      <c r="J58" s="27"/>
      <c r="K58" s="27"/>
      <c r="L58" s="27"/>
      <c r="M58" s="27"/>
      <c r="N58" s="27" t="e">
        <f>GES_ton_10_11-GES_ton_19_20</f>
        <v>#NAME?</v>
      </c>
      <c r="O58" s="27">
        <f>Sup_19_20</f>
        <v>0</v>
      </c>
      <c r="P58" s="27">
        <f>Sup_19_20</f>
        <v>0</v>
      </c>
      <c r="Q58" s="27">
        <f>Elec_kWh_19_20</f>
        <v>0</v>
      </c>
      <c r="R58" s="27">
        <f>Elec_CAD_19_20</f>
        <v>0</v>
      </c>
      <c r="S58" s="27">
        <f>GN_m³_19_20</f>
        <v>0</v>
      </c>
      <c r="T58" s="27">
        <f>GN_CAD_19_20</f>
        <v>0</v>
      </c>
      <c r="U58" s="27">
        <f>Ma2_l_19_20</f>
        <v>0</v>
      </c>
      <c r="V58" s="27">
        <f>Ma2_CAD_19_20</f>
        <v>0</v>
      </c>
      <c r="W58" s="27">
        <f>Ma6_l_19_20</f>
        <v>0</v>
      </c>
      <c r="X58" s="27">
        <f>Ma6_CAD_19_20</f>
        <v>0</v>
      </c>
      <c r="Y58" s="27"/>
      <c r="Z58" s="27"/>
      <c r="AA58" s="27">
        <f>Prop_l_19_20</f>
        <v>0</v>
      </c>
      <c r="AB58" s="27">
        <f>Prop_CAD_19_20</f>
        <v>0</v>
      </c>
      <c r="AC58" s="27">
        <f>Bois20_1000kg_19_20</f>
        <v>0</v>
      </c>
      <c r="AD58" s="27">
        <f>Bois20_CAD_19_20</f>
        <v>0</v>
      </c>
      <c r="AE58" s="27">
        <f>Bois45_1000kg_19_20</f>
        <v>0</v>
      </c>
      <c r="AF58" s="27">
        <f>Bois45_CAD_19_20</f>
        <v>0</v>
      </c>
      <c r="AG58" s="27"/>
      <c r="AH58" s="27"/>
      <c r="AI58" s="27"/>
      <c r="AJ58" s="27"/>
      <c r="AK58" s="27"/>
      <c r="AL58" s="27"/>
      <c r="AM58" s="27">
        <f>DJC_tot_19_20</f>
        <v>0</v>
      </c>
      <c r="AN58" s="29"/>
      <c r="AO58" s="29"/>
      <c r="AP58" s="29"/>
      <c r="AQ58" s="29"/>
      <c r="AR58" s="29"/>
      <c r="AS58" s="29"/>
    </row>
    <row r="59" spans="1:45">
      <c r="A59" s="27">
        <v>16</v>
      </c>
      <c r="B59" s="27" t="e">
        <f>GJ_Tot_20_21</f>
        <v>#NAME?</v>
      </c>
      <c r="C59" s="27">
        <f>GJTotRef_Ajust_20_21</f>
        <v>0</v>
      </c>
      <c r="D59" s="27">
        <f>CAD_Tot_20_21</f>
        <v>0</v>
      </c>
      <c r="E59" s="27" t="str">
        <f>GJm²_20_21</f>
        <v/>
      </c>
      <c r="F59" s="27">
        <f>GJTotRef_Ajust_20_21</f>
        <v>0</v>
      </c>
      <c r="G59" s="27" t="str">
        <f>CAD_m²_20_21</f>
        <v/>
      </c>
      <c r="H59" s="27" t="e">
        <f>GES_ton_20_21</f>
        <v>#NAME?</v>
      </c>
      <c r="I59" s="27">
        <f>GES_ton_m²_20_21</f>
        <v>0</v>
      </c>
      <c r="J59" s="27"/>
      <c r="K59" s="27"/>
      <c r="L59" s="27"/>
      <c r="M59" s="27"/>
      <c r="N59" s="27" t="e">
        <f>GES_ton_10_11-GES_ton_20_21</f>
        <v>#NAME?</v>
      </c>
      <c r="O59" s="27">
        <f>Sup_20_21</f>
        <v>0</v>
      </c>
      <c r="P59" s="27">
        <f>Sup_20_21</f>
        <v>0</v>
      </c>
      <c r="Q59" s="27">
        <f>Elec_kWh_20_21</f>
        <v>0</v>
      </c>
      <c r="R59" s="27">
        <f>Elec_CAD_20_21</f>
        <v>0</v>
      </c>
      <c r="S59" s="27">
        <f>GN_m³_20_21</f>
        <v>0</v>
      </c>
      <c r="T59" s="27">
        <f>GN_CAD_20_21</f>
        <v>0</v>
      </c>
      <c r="U59" s="27">
        <f>Ma2_l_20_21</f>
        <v>0</v>
      </c>
      <c r="V59" s="27">
        <f>Ma2_CAD_20_21</f>
        <v>0</v>
      </c>
      <c r="W59" s="27">
        <f>Ma6_l_20_21</f>
        <v>0</v>
      </c>
      <c r="X59" s="27">
        <f>Ma6_CAD_20_21</f>
        <v>0</v>
      </c>
      <c r="Y59" s="27"/>
      <c r="Z59" s="27"/>
      <c r="AA59" s="27">
        <f>Prop_l_20_21</f>
        <v>0</v>
      </c>
      <c r="AB59" s="27">
        <f>Prop_CAD_20_21</f>
        <v>0</v>
      </c>
      <c r="AC59" s="27">
        <f>Bois20_1000kg_20_21</f>
        <v>0</v>
      </c>
      <c r="AD59" s="27">
        <f>Bois20_CAD_20_21</f>
        <v>0</v>
      </c>
      <c r="AE59" s="27">
        <f>Bois45_1000kg_20_21</f>
        <v>0</v>
      </c>
      <c r="AF59" s="27">
        <f>Bois45_CAD_20_21</f>
        <v>0</v>
      </c>
      <c r="AG59" s="27"/>
      <c r="AH59" s="27"/>
      <c r="AI59" s="27"/>
      <c r="AJ59" s="27"/>
      <c r="AK59" s="27"/>
      <c r="AL59" s="27"/>
      <c r="AM59" s="27">
        <f>DJC_tot_20_21</f>
        <v>0</v>
      </c>
      <c r="AN59" s="29"/>
      <c r="AO59" s="29"/>
      <c r="AP59" s="29"/>
      <c r="AQ59" s="29"/>
      <c r="AR59" s="29"/>
      <c r="AS59" s="29"/>
    </row>
    <row r="60" spans="1:45">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row>
    <row r="61" spans="1:4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row>
    <row r="62" spans="1:45">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row>
    <row r="63" spans="1:4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row>
    <row r="64" spans="1:45">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row>
    <row r="65" spans="1:4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row>
    <row r="66" spans="1:4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row>
    <row r="67" spans="1:4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row>
    <row r="68" spans="1:45">
      <c r="A68" s="29" t="e">
        <f>VLOOKUP(I2,B2:N2002,11,FALSE)</f>
        <v>#N/A</v>
      </c>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row>
    <row r="69" spans="1:4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row>
    <row r="70" spans="1:4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row>
    <row r="71" spans="1:4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row>
    <row r="72" spans="1:4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row>
    <row r="73" spans="1:4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row>
    <row r="74" spans="1:4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row>
    <row r="75" spans="1:4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row>
  </sheetData>
  <mergeCells count="16">
    <mergeCell ref="AK1:AL1"/>
    <mergeCell ref="B1:D1"/>
    <mergeCell ref="E1:G1"/>
    <mergeCell ref="J1:K1"/>
    <mergeCell ref="Q1:R1"/>
    <mergeCell ref="S1:T1"/>
    <mergeCell ref="U1:V1"/>
    <mergeCell ref="H1:I1"/>
    <mergeCell ref="L1:M1"/>
    <mergeCell ref="AA1:AB1"/>
    <mergeCell ref="AC1:AD1"/>
    <mergeCell ref="AG1:AH1"/>
    <mergeCell ref="AI1:AJ1"/>
    <mergeCell ref="AE1:AF1"/>
    <mergeCell ref="W1:X1"/>
    <mergeCell ref="Y1:Z1"/>
  </mergeCells>
  <phoneticPr fontId="23" type="noConversion"/>
  <conditionalFormatting sqref="AN3:AR30">
    <cfRule type="cellIs" dxfId="0" priority="1" stopIfTrue="1" operator="equal">
      <formula>FALSE</formula>
    </cfRule>
  </conditionalFormatting>
  <hyperlinks>
    <hyperlink ref="A3" location="'2002-2003'!A1" display="2002-2003"/>
    <hyperlink ref="A4" location="'2003-2004'!A1" display="2003-2004"/>
    <hyperlink ref="A5" location="'2004-2005'!A1" display="2004-2005"/>
    <hyperlink ref="A6" location="'2005-2006'!A1" display="2005-2006"/>
    <hyperlink ref="A7" location="'2006-2007'!A1" display="2006-2007"/>
    <hyperlink ref="A8" location="'2007-2008'!A1" display="2007-2008"/>
    <hyperlink ref="A9" location="'2008-2009'!A1" display="2008-2009"/>
    <hyperlink ref="A10" location="'2009-2010'!A1" display="2009-2010"/>
    <hyperlink ref="A11" location="'2010-2011'!A1" display="2010-2011"/>
    <hyperlink ref="A12" location="'2011-2012'!A1" display="2011-2012"/>
    <hyperlink ref="A13" location="'2012-2013'!A1" display="2012-2013"/>
    <hyperlink ref="A14" location="'2013-2014'!A1" display="2013-2014"/>
    <hyperlink ref="A15" location="'2014-2015'!A1" display="2014-2015"/>
    <hyperlink ref="A16" location="'2015-2016'!A1" display="2015-2016"/>
    <hyperlink ref="A17" location="'2016-2017'!A1" display="2016-2017"/>
    <hyperlink ref="A18" location="'2017-2018'!A1" display="2017-2018"/>
    <hyperlink ref="A19" location="'2018-2019'!A1" display="2018-2019"/>
    <hyperlink ref="A20" location="'2019-2020'!A1" display="2019-2020"/>
    <hyperlink ref="A21" location="'2020-2021'!A1" display="2020-2021"/>
    <hyperlink ref="A22:A30" location="'2020-2021'!A1" display="2020-2021"/>
  </hyperlinks>
  <pageMargins left="0.70866141732283472" right="0.70866141732283472" top="0.74803149606299213" bottom="0.74803149606299213" header="0.31496062992125984" footer="0.31496062992125984"/>
  <pageSetup scale="10" orientation="landscape" r:id="rId1"/>
  <headerFooter>
    <oddFooter>&amp;L&amp;"Arial,Normal"&amp;10Transition énergétique Québec&amp;R&amp;F
&amp;A</oddFooter>
  </headerFooter>
  <colBreaks count="2" manualBreakCount="2">
    <brk id="18" max="21" man="1"/>
    <brk id="32" max="21" man="1"/>
  </colBreaks>
  <ignoredErrors>
    <ignoredError sqref="AM44:AM59" evalError="1"/>
  </ignoredErrors>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6">
    <tabColor rgb="FFFFC000"/>
    <pageSetUpPr fitToPage="1"/>
  </sheetPr>
  <dimension ref="A1:AK59"/>
  <sheetViews>
    <sheetView zoomScaleNormal="100" workbookViewId="0">
      <selection activeCell="B19" sqref="B19:I19"/>
    </sheetView>
  </sheetViews>
  <sheetFormatPr baseColWidth="10" defaultColWidth="9.109375" defaultRowHeight="14.4"/>
  <cols>
    <col min="1" max="1" width="11.5546875" style="361" customWidth="1"/>
    <col min="2" max="2" width="32.6640625" style="361" customWidth="1"/>
    <col min="3" max="3" width="9.109375" style="361" customWidth="1"/>
    <col min="4" max="4" width="11" style="361" customWidth="1"/>
    <col min="5" max="5" width="16.33203125" style="361" customWidth="1"/>
    <col min="6" max="6" width="15.6640625" style="361" customWidth="1"/>
    <col min="7" max="7" width="16.33203125" style="361" customWidth="1"/>
    <col min="8" max="8" width="15" style="361" customWidth="1"/>
    <col min="9" max="9" width="19.109375" style="361" customWidth="1"/>
    <col min="10" max="10" width="15.6640625" style="362" customWidth="1"/>
    <col min="11" max="12" width="9.109375" style="361" customWidth="1"/>
    <col min="13" max="13" width="17.44140625" style="361" customWidth="1"/>
    <col min="14" max="15" width="9.109375" style="361" customWidth="1"/>
    <col min="16" max="16" width="21.44140625" style="361" customWidth="1"/>
    <col min="17" max="16384" width="9.109375" style="361"/>
  </cols>
  <sheetData>
    <row r="1" spans="2:10" ht="94.5" customHeight="1" thickBot="1"/>
    <row r="2" spans="2:10" ht="30" customHeight="1">
      <c r="B2" s="575" t="s">
        <v>749</v>
      </c>
      <c r="C2" s="576"/>
      <c r="D2" s="576"/>
      <c r="E2" s="576"/>
      <c r="F2" s="576"/>
      <c r="G2" s="577"/>
      <c r="H2" s="362"/>
      <c r="J2" s="361"/>
    </row>
    <row r="3" spans="2:10" ht="19.5" customHeight="1">
      <c r="B3" s="578"/>
      <c r="C3" s="579"/>
      <c r="D3" s="579"/>
      <c r="E3" s="579"/>
      <c r="F3" s="579"/>
      <c r="G3" s="580"/>
      <c r="H3" s="362"/>
      <c r="J3" s="361"/>
    </row>
    <row r="4" spans="2:10" s="363" customFormat="1" ht="15.75" customHeight="1" thickBot="1">
      <c r="B4" s="534">
        <v>1</v>
      </c>
      <c r="C4" s="283">
        <v>2</v>
      </c>
      <c r="D4" s="283">
        <v>3</v>
      </c>
      <c r="E4" s="283">
        <v>4</v>
      </c>
      <c r="F4" s="283">
        <v>5</v>
      </c>
      <c r="G4" s="284">
        <v>6</v>
      </c>
      <c r="H4" s="364"/>
    </row>
    <row r="5" spans="2:10" ht="19.5" customHeight="1" thickBot="1">
      <c r="B5" s="535" t="s">
        <v>696</v>
      </c>
      <c r="C5" s="269" t="s">
        <v>631</v>
      </c>
      <c r="D5" s="269" t="s">
        <v>698</v>
      </c>
      <c r="E5" s="269" t="s">
        <v>697</v>
      </c>
      <c r="F5" s="269" t="s">
        <v>699</v>
      </c>
      <c r="G5" s="270" t="s">
        <v>700</v>
      </c>
      <c r="J5" s="361"/>
    </row>
    <row r="6" spans="2:10" ht="15.75" customHeight="1">
      <c r="B6" s="271" t="s">
        <v>666</v>
      </c>
      <c r="C6" s="272" t="s">
        <v>667</v>
      </c>
      <c r="D6" s="542">
        <f t="shared" ref="D6:G7" si="0">F25</f>
        <v>3.6</v>
      </c>
      <c r="E6" s="539">
        <f t="shared" si="0"/>
        <v>3.5999999999999999E-3</v>
      </c>
      <c r="F6" s="532">
        <f t="shared" si="0"/>
        <v>2.5000000000000001E-3</v>
      </c>
      <c r="G6" s="546">
        <f t="shared" si="0"/>
        <v>0.69444444444444453</v>
      </c>
      <c r="J6" s="361"/>
    </row>
    <row r="7" spans="2:10" ht="15.75" customHeight="1">
      <c r="B7" s="273" t="s">
        <v>19</v>
      </c>
      <c r="C7" s="274" t="s">
        <v>636</v>
      </c>
      <c r="D7" s="544">
        <f t="shared" si="0"/>
        <v>37.89</v>
      </c>
      <c r="E7" s="540">
        <f t="shared" si="0"/>
        <v>3.789E-2</v>
      </c>
      <c r="F7" s="538">
        <f t="shared" si="0"/>
        <v>1.898355</v>
      </c>
      <c r="G7" s="360">
        <f t="shared" si="0"/>
        <v>50.101741884402216</v>
      </c>
      <c r="H7" s="362"/>
      <c r="J7" s="361"/>
    </row>
    <row r="8" spans="2:10" ht="15.75" customHeight="1">
      <c r="B8" s="273" t="s">
        <v>670</v>
      </c>
      <c r="C8" s="274" t="s">
        <v>672</v>
      </c>
      <c r="D8" s="544">
        <f>F28</f>
        <v>38.799999999999997</v>
      </c>
      <c r="E8" s="540">
        <f>G28</f>
        <v>3.8799999999999994E-2</v>
      </c>
      <c r="F8" s="538">
        <f>H28</f>
        <v>2.7628879999999998</v>
      </c>
      <c r="G8" s="360">
        <f>I28</f>
        <v>71.208453608247424</v>
      </c>
      <c r="H8" s="362"/>
      <c r="J8" s="361"/>
    </row>
    <row r="9" spans="2:10" ht="15.75" customHeight="1">
      <c r="B9" s="273" t="s">
        <v>674</v>
      </c>
      <c r="C9" s="274" t="s">
        <v>672</v>
      </c>
      <c r="D9" s="544">
        <f>F30</f>
        <v>42.5</v>
      </c>
      <c r="E9" s="540">
        <f>G30</f>
        <v>4.2500000000000003E-2</v>
      </c>
      <c r="F9" s="538">
        <f>H30</f>
        <v>3.1764970000000003</v>
      </c>
      <c r="G9" s="360">
        <f>I30</f>
        <v>74.74110588235294</v>
      </c>
      <c r="H9" s="362"/>
      <c r="J9" s="361"/>
    </row>
    <row r="10" spans="2:10" ht="15.75" customHeight="1">
      <c r="B10" s="273" t="s">
        <v>805</v>
      </c>
      <c r="C10" s="274" t="s">
        <v>672</v>
      </c>
      <c r="D10" s="544">
        <f>D8</f>
        <v>38.799999999999997</v>
      </c>
      <c r="E10" s="540">
        <f>E8</f>
        <v>3.8799999999999994E-2</v>
      </c>
      <c r="F10" s="538">
        <f t="shared" ref="F10:G10" si="1">F8</f>
        <v>2.7628879999999998</v>
      </c>
      <c r="G10" s="360">
        <f t="shared" si="1"/>
        <v>71.208453608247424</v>
      </c>
      <c r="H10" s="362"/>
      <c r="J10" s="361"/>
    </row>
    <row r="11" spans="2:10">
      <c r="B11" s="273" t="s">
        <v>27</v>
      </c>
      <c r="C11" s="274" t="s">
        <v>672</v>
      </c>
      <c r="D11" s="544">
        <f>F32</f>
        <v>25.91</v>
      </c>
      <c r="E11" s="540">
        <f>G32</f>
        <v>2.5909999999999999E-2</v>
      </c>
      <c r="F11" s="538">
        <f>H32</f>
        <v>1.5477839999999998</v>
      </c>
      <c r="G11" s="360">
        <f>I32</f>
        <v>59.736935546121181</v>
      </c>
      <c r="H11" s="362"/>
      <c r="J11" s="361"/>
    </row>
    <row r="12" spans="2:10">
      <c r="B12" s="273" t="s">
        <v>746</v>
      </c>
      <c r="C12" s="274" t="s">
        <v>677</v>
      </c>
      <c r="D12" s="544">
        <f>F34</f>
        <v>17.406566399999999</v>
      </c>
      <c r="E12" s="540">
        <f>G34</f>
        <v>1.74065664E-2</v>
      </c>
      <c r="F12" s="538">
        <f>H34</f>
        <v>3.3857584831999993E-2</v>
      </c>
      <c r="G12" s="405">
        <f>I34</f>
        <v>1.9451041666666662</v>
      </c>
      <c r="I12" s="362"/>
      <c r="J12" s="361"/>
    </row>
    <row r="13" spans="2:10">
      <c r="B13" s="273" t="s">
        <v>748</v>
      </c>
      <c r="C13" s="274" t="s">
        <v>677</v>
      </c>
      <c r="D13" s="544">
        <f>F36</f>
        <v>11.353727999999998</v>
      </c>
      <c r="E13" s="540">
        <f>G36</f>
        <v>1.1353727999999999E-2</v>
      </c>
      <c r="F13" s="538">
        <f>H36</f>
        <v>2.2084183639999994E-2</v>
      </c>
      <c r="G13" s="405">
        <f>I36</f>
        <v>1.9451041666666664</v>
      </c>
      <c r="H13" s="362"/>
      <c r="J13" s="361"/>
    </row>
    <row r="14" spans="2:10">
      <c r="B14" s="273" t="s">
        <v>412</v>
      </c>
      <c r="C14" s="274" t="s">
        <v>679</v>
      </c>
      <c r="D14" s="544">
        <f>F40</f>
        <v>1.5061428571428572</v>
      </c>
      <c r="E14" s="540">
        <f>G40</f>
        <v>1.5061428571428572E-3</v>
      </c>
      <c r="F14" s="538">
        <f>H40</f>
        <v>7.5460380669607516E-2</v>
      </c>
      <c r="G14" s="360">
        <f>I40</f>
        <v>50.101741884402223</v>
      </c>
      <c r="H14" s="362"/>
      <c r="J14" s="361"/>
    </row>
    <row r="15" spans="2:10">
      <c r="B15" s="273" t="s">
        <v>624</v>
      </c>
      <c r="C15" s="274" t="s">
        <v>680</v>
      </c>
      <c r="D15" s="543">
        <f t="shared" ref="D15:G16" si="2">F38</f>
        <v>211</v>
      </c>
      <c r="E15" s="540">
        <f t="shared" si="2"/>
        <v>0.21099999999999999</v>
      </c>
      <c r="F15" s="538">
        <f t="shared" si="2"/>
        <v>0.14652777777777776</v>
      </c>
      <c r="G15" s="547">
        <f t="shared" si="2"/>
        <v>0.69444444444444442</v>
      </c>
      <c r="H15" s="362"/>
      <c r="J15" s="361"/>
    </row>
    <row r="16" spans="2:10" ht="15" thickBot="1">
      <c r="B16" s="275" t="s">
        <v>625</v>
      </c>
      <c r="C16" s="276" t="s">
        <v>680</v>
      </c>
      <c r="D16" s="545">
        <f t="shared" si="2"/>
        <v>1318.7499999999998</v>
      </c>
      <c r="E16" s="541">
        <f t="shared" si="2"/>
        <v>1.3187499999999999</v>
      </c>
      <c r="F16" s="277">
        <f t="shared" si="2"/>
        <v>66.071672110055417</v>
      </c>
      <c r="G16" s="406">
        <f t="shared" si="2"/>
        <v>50.101741884402216</v>
      </c>
      <c r="H16" s="362"/>
      <c r="J16" s="361"/>
    </row>
    <row r="17" spans="1:37" ht="29.25" customHeight="1">
      <c r="A17" s="400" t="s">
        <v>785</v>
      </c>
      <c r="B17" s="581" t="s">
        <v>1062</v>
      </c>
      <c r="C17" s="581"/>
      <c r="D17" s="581"/>
      <c r="E17" s="581"/>
      <c r="F17" s="581"/>
      <c r="G17" s="581"/>
      <c r="H17" s="581"/>
      <c r="I17" s="581"/>
      <c r="J17" s="365"/>
      <c r="R17" s="315"/>
      <c r="S17" s="315"/>
      <c r="T17" s="315"/>
      <c r="U17" s="315"/>
      <c r="V17" s="315"/>
      <c r="W17" s="315"/>
      <c r="X17" s="315"/>
      <c r="Y17" s="315"/>
      <c r="Z17" s="315"/>
      <c r="AA17" s="315"/>
      <c r="AB17" s="315"/>
      <c r="AC17" s="315"/>
      <c r="AD17" s="315"/>
      <c r="AE17" s="315"/>
      <c r="AF17" s="315"/>
      <c r="AG17" s="315"/>
      <c r="AH17" s="315"/>
      <c r="AI17" s="315"/>
      <c r="AJ17" s="315"/>
      <c r="AK17" s="315"/>
    </row>
    <row r="18" spans="1:37" ht="51.75" customHeight="1">
      <c r="A18" s="400"/>
      <c r="B18" s="582" t="s">
        <v>1057</v>
      </c>
      <c r="C18" s="582"/>
      <c r="D18" s="582"/>
      <c r="E18" s="582"/>
      <c r="F18" s="582"/>
      <c r="G18" s="582"/>
      <c r="H18" s="582"/>
      <c r="I18" s="582"/>
      <c r="J18" s="386"/>
      <c r="K18" s="388"/>
      <c r="L18" s="388"/>
      <c r="M18" s="388"/>
      <c r="N18" s="388"/>
      <c r="O18" s="388"/>
      <c r="P18" s="385"/>
      <c r="R18" s="315"/>
      <c r="S18" s="315"/>
      <c r="T18" s="315"/>
      <c r="U18" s="315"/>
      <c r="V18" s="315"/>
      <c r="W18" s="315"/>
      <c r="X18" s="315"/>
      <c r="Y18" s="315"/>
      <c r="Z18" s="315"/>
      <c r="AA18" s="315"/>
      <c r="AB18" s="315"/>
      <c r="AC18" s="315"/>
      <c r="AD18" s="315"/>
      <c r="AE18" s="315"/>
      <c r="AF18" s="315"/>
      <c r="AG18" s="315"/>
      <c r="AH18" s="315"/>
      <c r="AI18" s="315"/>
      <c r="AJ18" s="315"/>
      <c r="AK18" s="315"/>
    </row>
    <row r="19" spans="1:37" ht="15.75" customHeight="1">
      <c r="A19" s="400" t="s">
        <v>786</v>
      </c>
      <c r="B19" s="583" t="s">
        <v>1063</v>
      </c>
      <c r="C19" s="583"/>
      <c r="D19" s="583"/>
      <c r="E19" s="583"/>
      <c r="F19" s="583"/>
      <c r="G19" s="583"/>
      <c r="H19" s="583"/>
      <c r="I19" s="583"/>
      <c r="P19" s="385"/>
      <c r="R19" s="315"/>
      <c r="S19" s="315"/>
      <c r="T19" s="315"/>
      <c r="U19" s="315"/>
      <c r="V19" s="315"/>
      <c r="W19" s="315"/>
      <c r="X19" s="315"/>
      <c r="Y19" s="315"/>
      <c r="Z19" s="315"/>
      <c r="AA19" s="315"/>
      <c r="AB19" s="315"/>
      <c r="AC19" s="315"/>
      <c r="AD19" s="315"/>
      <c r="AE19" s="315"/>
      <c r="AF19" s="315"/>
      <c r="AG19" s="315"/>
      <c r="AH19" s="315"/>
      <c r="AI19" s="315"/>
      <c r="AJ19" s="315"/>
      <c r="AK19" s="315"/>
    </row>
    <row r="20" spans="1:37" ht="30" customHeight="1">
      <c r="B20" s="584" t="s">
        <v>787</v>
      </c>
      <c r="C20" s="584"/>
      <c r="D20" s="584"/>
      <c r="E20" s="584"/>
      <c r="F20" s="584"/>
      <c r="G20" s="584"/>
      <c r="H20" s="584"/>
      <c r="I20" s="584"/>
      <c r="P20" s="385"/>
      <c r="R20" s="315"/>
      <c r="S20" s="315"/>
      <c r="T20" s="315"/>
      <c r="U20" s="315"/>
      <c r="V20" s="315"/>
      <c r="W20" s="315"/>
      <c r="X20" s="315"/>
      <c r="Y20" s="315"/>
      <c r="Z20" s="315"/>
      <c r="AA20" s="315"/>
      <c r="AB20" s="315"/>
      <c r="AC20" s="315"/>
      <c r="AD20" s="315"/>
      <c r="AE20" s="315"/>
      <c r="AF20" s="315"/>
      <c r="AG20" s="315"/>
      <c r="AH20" s="315"/>
      <c r="AI20" s="315"/>
      <c r="AJ20" s="315"/>
      <c r="AK20" s="315"/>
    </row>
    <row r="21" spans="1:37" ht="27" hidden="1" customHeight="1">
      <c r="A21" s="400"/>
      <c r="B21" s="400"/>
      <c r="C21" s="400"/>
      <c r="D21" s="400"/>
      <c r="E21" s="400"/>
      <c r="F21" s="400"/>
      <c r="G21" s="402"/>
      <c r="H21" s="402"/>
      <c r="I21" s="401"/>
      <c r="J21" s="400"/>
      <c r="K21" s="403"/>
      <c r="L21" s="403"/>
      <c r="M21" s="403"/>
      <c r="N21" s="403"/>
      <c r="O21" s="388"/>
      <c r="P21" s="385"/>
      <c r="R21" s="315"/>
      <c r="S21" s="315"/>
      <c r="T21" s="315"/>
      <c r="U21" s="315"/>
      <c r="V21" s="315"/>
      <c r="W21" s="315"/>
      <c r="X21" s="315"/>
      <c r="Y21" s="315"/>
      <c r="Z21" s="315"/>
      <c r="AA21" s="315"/>
      <c r="AB21" s="315"/>
      <c r="AC21" s="315"/>
      <c r="AD21" s="315"/>
      <c r="AE21" s="315"/>
      <c r="AF21" s="315"/>
      <c r="AG21" s="315"/>
      <c r="AH21" s="315"/>
      <c r="AI21" s="315"/>
      <c r="AJ21" s="315"/>
      <c r="AK21" s="315"/>
    </row>
    <row r="22" spans="1:37" ht="27" hidden="1" customHeight="1">
      <c r="C22" s="400"/>
      <c r="D22" s="400"/>
      <c r="E22" s="400"/>
      <c r="F22" s="400"/>
      <c r="G22" s="402"/>
      <c r="H22" s="402"/>
      <c r="I22" s="401"/>
      <c r="J22" s="400"/>
      <c r="K22" s="403"/>
      <c r="L22" s="403"/>
      <c r="M22" s="403"/>
      <c r="N22" s="403"/>
      <c r="O22" s="388"/>
      <c r="P22" s="385"/>
      <c r="R22" s="315"/>
      <c r="S22" s="315"/>
      <c r="T22" s="315"/>
      <c r="U22" s="315"/>
      <c r="V22" s="315"/>
      <c r="W22" s="315"/>
      <c r="X22" s="315"/>
      <c r="Y22" s="315"/>
      <c r="Z22" s="315"/>
      <c r="AA22" s="315"/>
      <c r="AB22" s="315"/>
      <c r="AC22" s="315"/>
      <c r="AD22" s="315"/>
      <c r="AE22" s="315"/>
      <c r="AF22" s="315"/>
      <c r="AG22" s="315"/>
      <c r="AH22" s="315"/>
      <c r="AI22" s="315"/>
      <c r="AJ22" s="315"/>
      <c r="AK22" s="315"/>
    </row>
    <row r="23" spans="1:37" s="366" customFormat="1" ht="17.25" hidden="1" customHeight="1">
      <c r="A23" s="400"/>
      <c r="I23" s="401"/>
      <c r="J23" s="400"/>
      <c r="K23" s="404"/>
      <c r="L23" s="404"/>
      <c r="M23" s="404"/>
      <c r="N23" s="404"/>
      <c r="O23" s="389"/>
      <c r="P23" s="387"/>
      <c r="R23" s="315"/>
      <c r="S23" s="315"/>
      <c r="T23" s="315"/>
      <c r="U23" s="315"/>
      <c r="V23" s="315"/>
      <c r="W23" s="315"/>
      <c r="X23" s="315"/>
      <c r="Y23" s="315"/>
      <c r="Z23" s="315"/>
      <c r="AA23" s="315"/>
      <c r="AB23" s="315"/>
      <c r="AC23" s="315"/>
      <c r="AD23" s="315"/>
      <c r="AE23" s="315"/>
      <c r="AF23" s="315"/>
      <c r="AG23" s="315"/>
      <c r="AH23" s="315"/>
      <c r="AI23" s="315"/>
      <c r="AJ23" s="315"/>
      <c r="AK23" s="315"/>
    </row>
    <row r="24" spans="1:37" ht="26.25" hidden="1" customHeight="1">
      <c r="A24" s="390" t="s">
        <v>630</v>
      </c>
      <c r="B24" s="390"/>
      <c r="C24" s="390"/>
      <c r="D24" s="365"/>
      <c r="E24" s="391" t="s">
        <v>631</v>
      </c>
      <c r="F24" s="392" t="s">
        <v>665</v>
      </c>
      <c r="G24" s="392" t="s">
        <v>632</v>
      </c>
      <c r="H24" s="393" t="s">
        <v>633</v>
      </c>
      <c r="I24" s="394" t="s">
        <v>634</v>
      </c>
      <c r="J24" s="367"/>
      <c r="K24" s="365"/>
      <c r="L24" s="365"/>
      <c r="M24" s="365"/>
      <c r="N24" s="365"/>
      <c r="O24" s="365"/>
      <c r="R24" s="315"/>
      <c r="S24" s="315"/>
      <c r="T24" s="315"/>
      <c r="U24" s="315"/>
      <c r="V24" s="315"/>
      <c r="W24" s="315"/>
      <c r="X24" s="315"/>
      <c r="Y24" s="315"/>
      <c r="Z24" s="315"/>
      <c r="AA24" s="315"/>
      <c r="AB24" s="315"/>
      <c r="AC24" s="315"/>
      <c r="AD24" s="315"/>
      <c r="AE24" s="315"/>
      <c r="AF24" s="315"/>
      <c r="AG24" s="315"/>
      <c r="AH24" s="315"/>
      <c r="AI24" s="315"/>
      <c r="AJ24" s="315"/>
      <c r="AK24" s="315"/>
    </row>
    <row r="25" spans="1:37" ht="17.25" hidden="1" customHeight="1">
      <c r="A25" s="526" t="s">
        <v>666</v>
      </c>
      <c r="B25" s="526"/>
      <c r="C25" s="526"/>
      <c r="D25" s="526"/>
      <c r="E25" s="526" t="s">
        <v>667</v>
      </c>
      <c r="F25" s="527">
        <v>3.6</v>
      </c>
      <c r="G25" s="528">
        <v>3.5999999999999999E-3</v>
      </c>
      <c r="H25" s="528">
        <v>2.5000000000000001E-3</v>
      </c>
      <c r="I25" s="528">
        <v>0.69444444444444453</v>
      </c>
      <c r="J25" s="370"/>
      <c r="K25" s="365" t="s">
        <v>635</v>
      </c>
      <c r="L25" s="365"/>
      <c r="M25" s="365"/>
      <c r="N25" s="365"/>
      <c r="O25" s="365"/>
      <c r="R25" s="315"/>
      <c r="S25" s="315"/>
      <c r="T25" s="315"/>
      <c r="U25" s="315"/>
      <c r="V25" s="315"/>
      <c r="W25" s="315"/>
      <c r="X25" s="315"/>
      <c r="Y25" s="315"/>
      <c r="Z25" s="315"/>
      <c r="AA25" s="315"/>
      <c r="AB25" s="315"/>
      <c r="AC25" s="315"/>
      <c r="AD25" s="315"/>
      <c r="AE25" s="315"/>
      <c r="AF25" s="315"/>
      <c r="AG25" s="315"/>
      <c r="AH25" s="315"/>
      <c r="AI25" s="315"/>
      <c r="AJ25" s="315"/>
      <c r="AK25" s="315"/>
    </row>
    <row r="26" spans="1:37" ht="17.25" hidden="1" customHeight="1">
      <c r="A26" s="526" t="s">
        <v>19</v>
      </c>
      <c r="B26" s="526" t="s">
        <v>668</v>
      </c>
      <c r="C26" s="526"/>
      <c r="D26" s="526"/>
      <c r="E26" s="526" t="s">
        <v>636</v>
      </c>
      <c r="F26" s="527">
        <v>37.89</v>
      </c>
      <c r="G26" s="528">
        <v>3.789E-2</v>
      </c>
      <c r="H26" s="528">
        <v>1.898355</v>
      </c>
      <c r="I26" s="528">
        <v>50.101741884402216</v>
      </c>
      <c r="J26" s="370"/>
      <c r="K26" s="395" t="s">
        <v>636</v>
      </c>
      <c r="L26" s="372" t="s">
        <v>637</v>
      </c>
      <c r="M26" s="365" t="s">
        <v>638</v>
      </c>
      <c r="N26" s="365">
        <v>3.5314669999999999E-2</v>
      </c>
      <c r="O26" s="365"/>
      <c r="R26" s="315"/>
      <c r="S26" s="315"/>
      <c r="T26" s="315"/>
      <c r="U26" s="315"/>
      <c r="V26" s="315"/>
      <c r="W26" s="315"/>
      <c r="X26" s="315"/>
      <c r="Y26" s="315"/>
      <c r="Z26" s="315"/>
      <c r="AA26" s="315"/>
      <c r="AB26" s="315"/>
      <c r="AC26" s="315"/>
      <c r="AD26" s="315"/>
      <c r="AE26" s="315"/>
      <c r="AF26" s="315"/>
      <c r="AG26" s="315"/>
      <c r="AH26" s="315"/>
      <c r="AI26" s="315"/>
      <c r="AJ26" s="315"/>
      <c r="AK26" s="315"/>
    </row>
    <row r="27" spans="1:37" ht="17.25" hidden="1" customHeight="1">
      <c r="A27" s="526" t="s">
        <v>19</v>
      </c>
      <c r="B27" s="526" t="s">
        <v>669</v>
      </c>
      <c r="C27" s="526"/>
      <c r="D27" s="526"/>
      <c r="E27" s="526" t="s">
        <v>638</v>
      </c>
      <c r="F27" s="529">
        <v>1072.9252177636092</v>
      </c>
      <c r="G27" s="528">
        <v>1.0729252177636093</v>
      </c>
      <c r="H27" s="528">
        <v>53.755422321658394</v>
      </c>
      <c r="I27" s="528">
        <v>50.101741884402216</v>
      </c>
      <c r="J27" s="370"/>
      <c r="K27" s="396" t="s">
        <v>639</v>
      </c>
      <c r="L27" s="372" t="s">
        <v>637</v>
      </c>
      <c r="M27" s="365" t="s">
        <v>640</v>
      </c>
      <c r="N27" s="365">
        <v>0.2199692</v>
      </c>
      <c r="O27" s="365"/>
      <c r="R27" s="373"/>
      <c r="S27" s="373"/>
      <c r="T27" s="373"/>
      <c r="U27" s="373"/>
      <c r="V27" s="373"/>
      <c r="W27" s="373"/>
      <c r="X27" s="373"/>
      <c r="Y27" s="373"/>
      <c r="Z27" s="373"/>
      <c r="AA27" s="373"/>
      <c r="AB27" s="373"/>
      <c r="AC27" s="373"/>
      <c r="AD27" s="373"/>
      <c r="AE27" s="373"/>
      <c r="AF27" s="373"/>
      <c r="AG27" s="373"/>
      <c r="AH27" s="373"/>
      <c r="AI27" s="373"/>
      <c r="AJ27" s="373"/>
      <c r="AK27" s="373"/>
    </row>
    <row r="28" spans="1:37" ht="17.25" hidden="1" customHeight="1">
      <c r="A28" s="526" t="s">
        <v>670</v>
      </c>
      <c r="B28" s="526" t="s">
        <v>671</v>
      </c>
      <c r="C28" s="530"/>
      <c r="D28" s="530"/>
      <c r="E28" s="530" t="s">
        <v>672</v>
      </c>
      <c r="F28" s="529">
        <v>38.799999999999997</v>
      </c>
      <c r="G28" s="528">
        <v>3.8799999999999994E-2</v>
      </c>
      <c r="H28" s="528">
        <v>2.7628879999999998</v>
      </c>
      <c r="I28" s="528">
        <v>71.208453608247424</v>
      </c>
      <c r="J28" s="370"/>
      <c r="K28" s="365" t="s">
        <v>641</v>
      </c>
      <c r="L28" s="372" t="s">
        <v>637</v>
      </c>
      <c r="M28" s="365" t="s">
        <v>642</v>
      </c>
      <c r="N28" s="365">
        <v>2.2046199999999998</v>
      </c>
      <c r="O28" s="365"/>
      <c r="R28" s="315"/>
      <c r="S28" s="315"/>
      <c r="T28" s="315"/>
      <c r="U28" s="315"/>
      <c r="V28" s="315"/>
      <c r="W28" s="315"/>
      <c r="X28" s="315"/>
      <c r="Y28" s="315"/>
      <c r="Z28" s="315"/>
      <c r="AA28" s="315"/>
      <c r="AB28" s="315"/>
      <c r="AC28" s="315"/>
      <c r="AD28" s="315"/>
      <c r="AE28" s="315"/>
      <c r="AF28" s="315"/>
      <c r="AG28" s="315"/>
      <c r="AH28" s="315"/>
      <c r="AI28" s="315"/>
      <c r="AJ28" s="315"/>
      <c r="AK28" s="315"/>
    </row>
    <row r="29" spans="1:37" ht="17.25" hidden="1" customHeight="1">
      <c r="A29" s="526" t="s">
        <v>670</v>
      </c>
      <c r="B29" s="526" t="s">
        <v>673</v>
      </c>
      <c r="C29" s="530"/>
      <c r="D29" s="530"/>
      <c r="E29" s="530" t="s">
        <v>640</v>
      </c>
      <c r="F29" s="529">
        <v>38.799999999999997</v>
      </c>
      <c r="G29" s="528">
        <v>3.8799999999999994E-2</v>
      </c>
      <c r="H29" s="528">
        <v>2.7628879999999998</v>
      </c>
      <c r="I29" s="528">
        <v>71.208453608247424</v>
      </c>
      <c r="J29" s="370"/>
      <c r="K29" s="365"/>
      <c r="L29" s="365"/>
      <c r="M29" s="365"/>
      <c r="N29" s="365"/>
      <c r="O29" s="365"/>
      <c r="R29" s="315"/>
      <c r="S29" s="315"/>
      <c r="T29" s="315"/>
      <c r="U29" s="315"/>
      <c r="V29" s="315"/>
      <c r="W29" s="315"/>
      <c r="X29" s="315"/>
      <c r="Y29" s="315"/>
      <c r="Z29" s="315"/>
      <c r="AA29" s="315"/>
      <c r="AB29" s="315"/>
      <c r="AC29" s="315"/>
      <c r="AD29" s="315"/>
      <c r="AE29" s="315"/>
      <c r="AF29" s="315"/>
      <c r="AG29" s="315"/>
      <c r="AH29" s="315"/>
      <c r="AI29" s="315"/>
      <c r="AJ29" s="315"/>
      <c r="AK29" s="315"/>
    </row>
    <row r="30" spans="1:37" ht="17.25" hidden="1" customHeight="1">
      <c r="A30" s="526" t="s">
        <v>674</v>
      </c>
      <c r="B30" s="526" t="s">
        <v>675</v>
      </c>
      <c r="C30" s="526"/>
      <c r="D30" s="526"/>
      <c r="E30" s="526" t="s">
        <v>672</v>
      </c>
      <c r="F30" s="529">
        <v>42.5</v>
      </c>
      <c r="G30" s="528">
        <v>4.2500000000000003E-2</v>
      </c>
      <c r="H30" s="528">
        <v>3.1764970000000003</v>
      </c>
      <c r="I30" s="528">
        <v>74.74110588235294</v>
      </c>
      <c r="J30" s="370"/>
      <c r="K30" s="365"/>
      <c r="L30" s="365"/>
      <c r="M30" s="365"/>
      <c r="N30" s="365"/>
      <c r="O30" s="365"/>
      <c r="R30" s="315"/>
      <c r="S30" s="315"/>
      <c r="T30" s="315"/>
      <c r="U30" s="315"/>
      <c r="V30" s="315"/>
      <c r="W30" s="315"/>
      <c r="X30" s="315"/>
      <c r="Y30" s="315"/>
      <c r="Z30" s="315"/>
      <c r="AA30" s="315"/>
      <c r="AB30" s="315"/>
      <c r="AC30" s="315"/>
      <c r="AD30" s="315"/>
      <c r="AE30" s="315"/>
      <c r="AF30" s="315"/>
      <c r="AG30" s="315"/>
      <c r="AH30" s="315"/>
      <c r="AI30" s="315"/>
      <c r="AJ30" s="315"/>
      <c r="AK30" s="315"/>
    </row>
    <row r="31" spans="1:37" ht="17.25" hidden="1" customHeight="1">
      <c r="A31" s="526" t="s">
        <v>674</v>
      </c>
      <c r="B31" s="526" t="s">
        <v>676</v>
      </c>
      <c r="C31" s="526"/>
      <c r="D31" s="526"/>
      <c r="E31" s="526" t="s">
        <v>640</v>
      </c>
      <c r="F31" s="529">
        <v>42.5</v>
      </c>
      <c r="G31" s="528">
        <v>4.2500000000000003E-2</v>
      </c>
      <c r="H31" s="528">
        <v>3.1764970000000003</v>
      </c>
      <c r="I31" s="528">
        <v>74.74110588235294</v>
      </c>
      <c r="J31" s="370"/>
      <c r="K31" s="365"/>
      <c r="L31" s="365"/>
      <c r="M31" s="365"/>
      <c r="N31" s="365"/>
      <c r="O31" s="365"/>
      <c r="R31" s="315"/>
      <c r="S31" s="315"/>
      <c r="T31" s="315"/>
      <c r="U31" s="315"/>
      <c r="V31" s="315"/>
      <c r="W31" s="315"/>
      <c r="X31" s="315"/>
      <c r="Y31" s="315"/>
      <c r="Z31" s="315"/>
      <c r="AA31" s="315"/>
      <c r="AB31" s="315"/>
      <c r="AC31" s="315"/>
      <c r="AD31" s="315"/>
      <c r="AE31" s="315"/>
      <c r="AF31" s="315"/>
      <c r="AG31" s="315"/>
      <c r="AH31" s="315"/>
      <c r="AI31" s="315"/>
      <c r="AJ31" s="315"/>
      <c r="AK31" s="315"/>
    </row>
    <row r="32" spans="1:37" ht="17.25" hidden="1" customHeight="1">
      <c r="A32" s="526" t="s">
        <v>27</v>
      </c>
      <c r="B32" s="526" t="s">
        <v>643</v>
      </c>
      <c r="C32" s="526"/>
      <c r="D32" s="526"/>
      <c r="E32" s="526" t="s">
        <v>672</v>
      </c>
      <c r="F32" s="529">
        <v>25.91</v>
      </c>
      <c r="G32" s="531">
        <v>2.5909999999999999E-2</v>
      </c>
      <c r="H32" s="531">
        <v>1.5477839999999998</v>
      </c>
      <c r="I32" s="528">
        <v>59.736935546121181</v>
      </c>
      <c r="J32" s="370"/>
      <c r="K32" s="365"/>
      <c r="L32" s="365"/>
      <c r="M32" s="365"/>
      <c r="N32" s="365"/>
      <c r="O32" s="365"/>
      <c r="R32" s="315"/>
      <c r="S32" s="315"/>
      <c r="T32" s="315"/>
      <c r="U32" s="315"/>
      <c r="V32" s="315"/>
      <c r="W32" s="315"/>
      <c r="X32" s="315"/>
      <c r="Y32" s="315"/>
      <c r="Z32" s="315"/>
      <c r="AA32" s="315"/>
      <c r="AB32" s="315"/>
      <c r="AC32" s="315"/>
      <c r="AD32" s="315"/>
      <c r="AE32" s="315"/>
      <c r="AF32" s="315"/>
      <c r="AG32" s="315"/>
      <c r="AH32" s="315"/>
      <c r="AI32" s="315"/>
      <c r="AJ32" s="315"/>
      <c r="AK32" s="315"/>
    </row>
    <row r="33" spans="1:37" ht="17.25" hidden="1" customHeight="1">
      <c r="A33" s="526" t="s">
        <v>27</v>
      </c>
      <c r="B33" s="526" t="s">
        <v>644</v>
      </c>
      <c r="C33" s="526"/>
      <c r="D33" s="526"/>
      <c r="E33" s="526" t="s">
        <v>640</v>
      </c>
      <c r="F33" s="529">
        <v>25.91</v>
      </c>
      <c r="G33" s="528">
        <v>2.5909999999999999E-2</v>
      </c>
      <c r="H33" s="528">
        <v>1.5477839999999998</v>
      </c>
      <c r="I33" s="528">
        <v>59.736935546121181</v>
      </c>
      <c r="J33" s="370"/>
      <c r="K33" s="365"/>
      <c r="L33" s="365"/>
      <c r="M33" s="365"/>
      <c r="N33" s="365"/>
      <c r="O33" s="365"/>
      <c r="R33" s="315"/>
      <c r="S33" s="315"/>
      <c r="T33" s="315"/>
      <c r="U33" s="315"/>
      <c r="V33" s="315"/>
      <c r="W33" s="315"/>
      <c r="X33" s="315"/>
      <c r="Y33" s="315"/>
      <c r="Z33" s="315"/>
      <c r="AA33" s="315"/>
      <c r="AB33" s="315"/>
      <c r="AC33" s="315"/>
      <c r="AD33" s="315"/>
      <c r="AE33" s="315"/>
      <c r="AF33" s="315"/>
      <c r="AG33" s="315"/>
      <c r="AH33" s="315"/>
      <c r="AI33" s="315"/>
      <c r="AJ33" s="315"/>
      <c r="AK33" s="315"/>
    </row>
    <row r="34" spans="1:37" ht="17.25" hidden="1" customHeight="1">
      <c r="A34" s="526" t="s">
        <v>791</v>
      </c>
      <c r="B34" s="526" t="s">
        <v>1001</v>
      </c>
      <c r="C34" s="530"/>
      <c r="D34" s="530"/>
      <c r="E34" s="530" t="s">
        <v>747</v>
      </c>
      <c r="F34" s="529">
        <v>17.406566399999999</v>
      </c>
      <c r="G34" s="528">
        <v>1.74065664E-2</v>
      </c>
      <c r="H34" s="528">
        <v>3.3857584831999993E-2</v>
      </c>
      <c r="I34" s="528">
        <v>1.9451041666666662</v>
      </c>
      <c r="J34" s="370"/>
      <c r="K34" s="365"/>
      <c r="L34" s="365"/>
      <c r="M34" s="365"/>
      <c r="N34" s="365"/>
      <c r="O34" s="365"/>
      <c r="R34" s="315"/>
      <c r="S34" s="315"/>
      <c r="T34" s="315"/>
      <c r="U34" s="315"/>
      <c r="V34" s="315"/>
      <c r="W34" s="315"/>
      <c r="X34" s="315"/>
      <c r="Y34" s="315"/>
      <c r="Z34" s="315"/>
      <c r="AA34" s="315"/>
      <c r="AB34" s="315"/>
      <c r="AC34" s="315"/>
      <c r="AD34" s="315"/>
      <c r="AE34" s="315"/>
      <c r="AF34" s="315"/>
      <c r="AG34" s="315"/>
      <c r="AH34" s="315"/>
      <c r="AI34" s="315"/>
      <c r="AJ34" s="315"/>
      <c r="AK34" s="315"/>
    </row>
    <row r="35" spans="1:37" ht="17.25" hidden="1" customHeight="1">
      <c r="A35" s="526" t="s">
        <v>791</v>
      </c>
      <c r="B35" s="526" t="s">
        <v>1002</v>
      </c>
      <c r="C35" s="530"/>
      <c r="D35" s="530"/>
      <c r="E35" s="530" t="s">
        <v>642</v>
      </c>
      <c r="F35" s="529">
        <v>7.8954950966606505</v>
      </c>
      <c r="G35" s="528">
        <v>7.8954950966606506E-3</v>
      </c>
      <c r="H35" s="528">
        <v>1.5357560410410863E-2</v>
      </c>
      <c r="I35" s="528">
        <v>1.945104166666666</v>
      </c>
      <c r="J35" s="370"/>
      <c r="K35" s="365"/>
      <c r="L35" s="365"/>
      <c r="M35" s="365"/>
      <c r="N35" s="365"/>
      <c r="O35" s="365"/>
      <c r="R35" s="315"/>
      <c r="S35" s="315"/>
      <c r="T35" s="315"/>
      <c r="U35" s="315"/>
      <c r="V35" s="315"/>
      <c r="W35" s="315"/>
      <c r="X35" s="315"/>
      <c r="Y35" s="315"/>
      <c r="Z35" s="315"/>
      <c r="AA35" s="315"/>
      <c r="AB35" s="315"/>
      <c r="AC35" s="315"/>
      <c r="AD35" s="315"/>
      <c r="AE35" s="315"/>
      <c r="AF35" s="315"/>
      <c r="AG35" s="315"/>
      <c r="AH35" s="315"/>
      <c r="AI35" s="315"/>
      <c r="AJ35" s="315"/>
      <c r="AK35" s="315"/>
    </row>
    <row r="36" spans="1:37" ht="17.25" hidden="1" customHeight="1">
      <c r="A36" s="526" t="s">
        <v>792</v>
      </c>
      <c r="B36" s="526" t="s">
        <v>1003</v>
      </c>
      <c r="C36" s="526"/>
      <c r="D36" s="526"/>
      <c r="E36" s="526" t="s">
        <v>747</v>
      </c>
      <c r="F36" s="529">
        <v>11.353727999999998</v>
      </c>
      <c r="G36" s="528">
        <v>1.1353727999999999E-2</v>
      </c>
      <c r="H36" s="528">
        <v>2.2084183639999994E-2</v>
      </c>
      <c r="I36" s="528">
        <v>1.9451041666666664</v>
      </c>
      <c r="J36" s="370"/>
      <c r="K36" s="365"/>
      <c r="L36" s="365"/>
      <c r="M36" s="365"/>
      <c r="N36" s="365"/>
      <c r="O36" s="365"/>
      <c r="R36" s="315"/>
      <c r="S36" s="315"/>
      <c r="T36" s="315"/>
      <c r="U36" s="315"/>
      <c r="V36" s="315"/>
      <c r="W36" s="315"/>
      <c r="X36" s="315"/>
      <c r="Y36" s="315"/>
      <c r="Z36" s="315"/>
      <c r="AA36" s="315"/>
      <c r="AB36" s="315"/>
      <c r="AC36" s="315"/>
      <c r="AD36" s="315"/>
      <c r="AE36" s="315"/>
      <c r="AF36" s="315"/>
      <c r="AG36" s="315"/>
      <c r="AH36" s="315"/>
      <c r="AI36" s="315"/>
      <c r="AJ36" s="315"/>
      <c r="AK36" s="315"/>
    </row>
    <row r="37" spans="1:37" ht="17.25" hidden="1" customHeight="1">
      <c r="A37" s="526" t="s">
        <v>792</v>
      </c>
      <c r="B37" s="526" t="s">
        <v>1004</v>
      </c>
      <c r="C37" s="526"/>
      <c r="D37" s="526"/>
      <c r="E37" s="526" t="s">
        <v>642</v>
      </c>
      <c r="F37" s="529">
        <v>5.1499705164608862</v>
      </c>
      <c r="G37" s="528">
        <v>5.1499705164608865E-3</v>
      </c>
      <c r="H37" s="528">
        <v>1.0017229109778555E-2</v>
      </c>
      <c r="I37" s="528">
        <v>1.9451041666666666</v>
      </c>
      <c r="J37" s="370"/>
      <c r="K37" s="365"/>
      <c r="L37" s="365"/>
      <c r="M37" s="365"/>
      <c r="N37" s="365"/>
      <c r="O37" s="365"/>
      <c r="R37" s="315"/>
      <c r="S37" s="315"/>
      <c r="T37" s="315"/>
      <c r="U37" s="315"/>
      <c r="V37" s="315"/>
      <c r="W37" s="315"/>
      <c r="X37" s="315"/>
      <c r="Y37" s="315"/>
      <c r="Z37" s="315"/>
      <c r="AA37" s="315"/>
      <c r="AB37" s="315"/>
      <c r="AC37" s="315"/>
      <c r="AD37" s="315"/>
      <c r="AE37" s="315"/>
      <c r="AF37" s="315"/>
      <c r="AG37" s="315"/>
      <c r="AH37" s="315"/>
      <c r="AI37" s="315"/>
      <c r="AJ37" s="315"/>
      <c r="AK37" s="315"/>
    </row>
    <row r="38" spans="1:37" ht="17.25" hidden="1" customHeight="1">
      <c r="A38" s="526" t="s">
        <v>624</v>
      </c>
      <c r="B38" s="526" t="s">
        <v>649</v>
      </c>
      <c r="C38" s="530"/>
      <c r="D38" s="530"/>
      <c r="E38" s="526" t="s">
        <v>680</v>
      </c>
      <c r="F38" s="529">
        <v>211</v>
      </c>
      <c r="G38" s="528">
        <v>0.21099999999999999</v>
      </c>
      <c r="H38" s="528">
        <v>0.14652777777777776</v>
      </c>
      <c r="I38" s="528">
        <v>0.69444444444444442</v>
      </c>
      <c r="J38" s="370"/>
      <c r="K38" s="365"/>
      <c r="L38" s="365"/>
      <c r="M38" s="365"/>
      <c r="N38" s="365"/>
      <c r="O38" s="365"/>
      <c r="R38" s="315"/>
      <c r="S38" s="315"/>
      <c r="T38" s="315"/>
      <c r="U38" s="315"/>
      <c r="V38" s="315"/>
      <c r="W38" s="315"/>
      <c r="X38" s="315"/>
      <c r="Y38" s="315"/>
      <c r="Z38" s="315"/>
      <c r="AA38" s="315"/>
      <c r="AB38" s="315"/>
      <c r="AC38" s="315"/>
      <c r="AD38" s="315"/>
      <c r="AE38" s="315"/>
      <c r="AF38" s="315"/>
      <c r="AG38" s="315"/>
      <c r="AH38" s="315"/>
      <c r="AI38" s="315"/>
      <c r="AJ38" s="315"/>
      <c r="AK38" s="315"/>
    </row>
    <row r="39" spans="1:37" ht="17.25" hidden="1" customHeight="1">
      <c r="A39" s="526" t="s">
        <v>625</v>
      </c>
      <c r="B39" s="526" t="s">
        <v>650</v>
      </c>
      <c r="C39" s="530"/>
      <c r="D39" s="530"/>
      <c r="E39" s="526" t="s">
        <v>680</v>
      </c>
      <c r="F39" s="529">
        <v>1318.7499999999998</v>
      </c>
      <c r="G39" s="528">
        <v>1.3187499999999999</v>
      </c>
      <c r="H39" s="528">
        <v>66.071672110055417</v>
      </c>
      <c r="I39" s="528">
        <v>50.101741884402216</v>
      </c>
      <c r="J39" s="365"/>
      <c r="K39" s="365"/>
      <c r="L39" s="365"/>
      <c r="M39" s="365"/>
      <c r="N39" s="365"/>
      <c r="O39" s="365"/>
      <c r="R39" s="315"/>
      <c r="S39" s="315"/>
      <c r="T39" s="315"/>
      <c r="U39" s="315"/>
      <c r="V39" s="315"/>
      <c r="W39" s="315"/>
      <c r="X39" s="315"/>
      <c r="Y39" s="315"/>
      <c r="Z39" s="315"/>
      <c r="AA39" s="315"/>
      <c r="AB39" s="315"/>
      <c r="AC39" s="315"/>
      <c r="AD39" s="315"/>
      <c r="AE39" s="315"/>
      <c r="AF39" s="315"/>
      <c r="AG39" s="315"/>
      <c r="AH39" s="315"/>
      <c r="AI39" s="315"/>
      <c r="AJ39" s="315"/>
      <c r="AK39" s="315"/>
    </row>
    <row r="40" spans="1:37" ht="17.25" hidden="1" customHeight="1">
      <c r="A40" s="526" t="s">
        <v>412</v>
      </c>
      <c r="B40" s="526" t="s">
        <v>659</v>
      </c>
      <c r="C40" s="530"/>
      <c r="D40" s="530"/>
      <c r="E40" s="526" t="s">
        <v>679</v>
      </c>
      <c r="F40" s="529">
        <v>1.5061428571428572</v>
      </c>
      <c r="G40" s="528">
        <v>1.5061428571428572E-3</v>
      </c>
      <c r="H40" s="528">
        <v>7.5460380669607516E-2</v>
      </c>
      <c r="I40" s="528">
        <v>50.101741884402223</v>
      </c>
      <c r="J40" s="365"/>
      <c r="K40" s="365"/>
      <c r="L40" s="365"/>
      <c r="M40" s="365"/>
      <c r="N40" s="365"/>
      <c r="O40" s="365"/>
      <c r="R40" s="315"/>
      <c r="S40" s="315"/>
      <c r="T40" s="315"/>
      <c r="U40" s="315"/>
      <c r="V40" s="315"/>
      <c r="W40" s="315"/>
      <c r="X40" s="315"/>
      <c r="Y40" s="315"/>
      <c r="Z40" s="315"/>
      <c r="AA40" s="315"/>
      <c r="AB40" s="315"/>
      <c r="AC40" s="315"/>
      <c r="AD40" s="315"/>
      <c r="AE40" s="315"/>
      <c r="AF40" s="315"/>
      <c r="AG40" s="315"/>
      <c r="AH40" s="315"/>
      <c r="AI40" s="315"/>
      <c r="AJ40" s="315"/>
      <c r="AK40" s="315"/>
    </row>
    <row r="41" spans="1:37" ht="17.25" hidden="1" customHeight="1">
      <c r="A41" s="368"/>
      <c r="B41" s="368"/>
      <c r="C41" s="374"/>
      <c r="D41" s="374"/>
      <c r="E41" s="368"/>
      <c r="F41" s="371"/>
      <c r="G41" s="369"/>
      <c r="H41" s="369"/>
      <c r="I41" s="369"/>
      <c r="J41" s="365"/>
      <c r="K41" s="365"/>
      <c r="L41" s="365"/>
      <c r="M41" s="365"/>
      <c r="N41" s="365"/>
      <c r="O41" s="365"/>
      <c r="R41" s="315"/>
      <c r="S41" s="315"/>
      <c r="T41" s="315"/>
      <c r="U41" s="315"/>
      <c r="V41" s="315"/>
      <c r="W41" s="315"/>
      <c r="X41" s="315"/>
      <c r="Y41" s="315"/>
      <c r="Z41" s="315"/>
      <c r="AA41" s="315"/>
      <c r="AB41" s="315"/>
      <c r="AC41" s="315"/>
      <c r="AD41" s="315"/>
      <c r="AE41" s="315"/>
      <c r="AF41" s="315"/>
      <c r="AG41" s="315"/>
      <c r="AH41" s="315"/>
      <c r="AI41" s="315"/>
      <c r="AJ41" s="315"/>
      <c r="AK41" s="315"/>
    </row>
    <row r="42" spans="1:37" ht="17.25" hidden="1" customHeight="1">
      <c r="A42" s="365"/>
      <c r="B42" s="368"/>
      <c r="C42" s="365"/>
      <c r="D42" s="365"/>
      <c r="E42" s="397"/>
      <c r="F42" s="397"/>
      <c r="G42" s="369"/>
      <c r="H42" s="398"/>
      <c r="I42" s="397"/>
      <c r="J42" s="368"/>
      <c r="K42" s="365"/>
      <c r="L42" s="365"/>
      <c r="M42" s="365"/>
      <c r="N42" s="365"/>
      <c r="O42" s="365"/>
      <c r="R42" s="315"/>
      <c r="S42" s="315"/>
      <c r="T42" s="315"/>
      <c r="U42" s="315"/>
      <c r="V42" s="315"/>
      <c r="W42" s="315"/>
      <c r="X42" s="315"/>
      <c r="Y42" s="315"/>
      <c r="Z42" s="315"/>
      <c r="AA42" s="315"/>
      <c r="AB42" s="315"/>
      <c r="AC42" s="315"/>
      <c r="AD42" s="315"/>
      <c r="AE42" s="315"/>
      <c r="AF42" s="315"/>
      <c r="AG42" s="315"/>
      <c r="AH42" s="315"/>
      <c r="AI42" s="315"/>
      <c r="AJ42" s="315"/>
      <c r="AK42" s="315"/>
    </row>
    <row r="43" spans="1:37" ht="17.25" hidden="1" customHeight="1">
      <c r="A43" s="365" t="s">
        <v>651</v>
      </c>
      <c r="B43" s="365"/>
      <c r="C43" s="365"/>
      <c r="D43" s="365"/>
      <c r="E43" s="365"/>
      <c r="F43" s="365"/>
      <c r="G43" s="365"/>
      <c r="H43" s="365"/>
      <c r="I43" s="365"/>
      <c r="J43" s="399"/>
      <c r="K43" s="365"/>
      <c r="L43" s="365"/>
      <c r="M43" s="365"/>
      <c r="N43" s="365"/>
      <c r="O43" s="365"/>
    </row>
    <row r="44" spans="1:37" ht="17.25" hidden="1" customHeight="1">
      <c r="A44" s="365">
        <v>1</v>
      </c>
      <c r="B44" s="365" t="s">
        <v>652</v>
      </c>
      <c r="C44" s="365"/>
      <c r="D44" s="365"/>
      <c r="E44" s="365"/>
      <c r="F44" s="365"/>
      <c r="G44" s="365"/>
      <c r="H44" s="365"/>
      <c r="I44" s="365"/>
      <c r="J44" s="399"/>
      <c r="K44" s="365"/>
      <c r="L44" s="365"/>
      <c r="M44" s="365"/>
      <c r="N44" s="365"/>
      <c r="O44" s="365"/>
    </row>
    <row r="45" spans="1:37" ht="17.25" hidden="1" customHeight="1" thickBot="1">
      <c r="A45" s="365">
        <v>2</v>
      </c>
      <c r="B45" s="365" t="s">
        <v>653</v>
      </c>
      <c r="C45" s="365"/>
      <c r="D45" s="365"/>
      <c r="E45" s="365"/>
      <c r="F45" s="365"/>
      <c r="G45" s="365"/>
      <c r="H45" s="365"/>
      <c r="I45" s="365"/>
      <c r="J45" s="399"/>
      <c r="K45" s="365"/>
      <c r="L45" s="365"/>
      <c r="M45" s="365"/>
      <c r="N45" s="365"/>
      <c r="O45" s="365"/>
    </row>
    <row r="46" spans="1:37" ht="17.25" hidden="1" customHeight="1">
      <c r="A46" s="410"/>
      <c r="B46" s="411" t="s">
        <v>654</v>
      </c>
      <c r="C46" s="411"/>
      <c r="D46" s="411"/>
      <c r="E46" s="411"/>
      <c r="F46" s="411"/>
      <c r="G46" s="411"/>
      <c r="H46" s="411"/>
      <c r="I46" s="411"/>
      <c r="J46" s="412"/>
      <c r="K46" s="411"/>
      <c r="L46" s="411"/>
      <c r="M46" s="411"/>
      <c r="N46" s="411"/>
      <c r="O46" s="411"/>
      <c r="P46" s="413"/>
    </row>
    <row r="47" spans="1:37" hidden="1">
      <c r="A47" s="414"/>
      <c r="B47" s="365"/>
      <c r="C47" s="365"/>
      <c r="D47" s="365"/>
      <c r="E47" s="365"/>
      <c r="F47" s="365"/>
      <c r="G47" s="365"/>
      <c r="H47" s="365"/>
      <c r="I47" s="365"/>
      <c r="J47" s="399"/>
      <c r="K47" s="365"/>
      <c r="L47" s="365"/>
      <c r="M47" s="365"/>
      <c r="N47" s="365"/>
      <c r="O47" s="365"/>
      <c r="P47" s="415"/>
    </row>
    <row r="48" spans="1:37" hidden="1">
      <c r="A48" s="414"/>
      <c r="B48" s="365">
        <v>41617</v>
      </c>
      <c r="C48" s="365"/>
      <c r="D48" s="365"/>
      <c r="E48" s="365"/>
      <c r="F48" s="365"/>
      <c r="G48" s="365"/>
      <c r="H48" s="365"/>
      <c r="I48" s="365"/>
      <c r="J48" s="399"/>
      <c r="K48" s="365"/>
      <c r="L48" s="365"/>
      <c r="M48" s="365"/>
      <c r="N48" s="365"/>
      <c r="O48" s="365"/>
      <c r="P48" s="415"/>
    </row>
    <row r="49" spans="1:16" hidden="1">
      <c r="A49" s="414"/>
      <c r="B49" s="365" t="s">
        <v>655</v>
      </c>
      <c r="C49" s="365"/>
      <c r="D49" s="365"/>
      <c r="E49" s="365"/>
      <c r="F49" s="365"/>
      <c r="G49" s="365"/>
      <c r="H49" s="365"/>
      <c r="I49" s="365"/>
      <c r="J49" s="399"/>
      <c r="K49" s="365"/>
      <c r="L49" s="365"/>
      <c r="M49" s="365"/>
      <c r="N49" s="365"/>
      <c r="O49" s="365"/>
      <c r="P49" s="415"/>
    </row>
    <row r="50" spans="1:16" hidden="1">
      <c r="A50" s="414"/>
      <c r="B50" s="365" t="s">
        <v>656</v>
      </c>
      <c r="C50" s="365"/>
      <c r="D50" s="365"/>
      <c r="E50" s="365"/>
      <c r="F50" s="365"/>
      <c r="G50" s="365"/>
      <c r="H50" s="365"/>
      <c r="I50" s="365"/>
      <c r="J50" s="399"/>
      <c r="K50" s="365"/>
      <c r="L50" s="365"/>
      <c r="M50" s="365"/>
      <c r="N50" s="365"/>
      <c r="O50" s="365"/>
      <c r="P50" s="415"/>
    </row>
    <row r="51" spans="1:16" hidden="1">
      <c r="A51" s="414">
        <v>3</v>
      </c>
      <c r="B51" s="365" t="s">
        <v>657</v>
      </c>
      <c r="C51" s="365"/>
      <c r="D51" s="365"/>
      <c r="E51" s="365"/>
      <c r="F51" s="365"/>
      <c r="G51" s="365"/>
      <c r="H51" s="365"/>
      <c r="I51" s="365"/>
      <c r="J51" s="399"/>
      <c r="K51" s="365"/>
      <c r="L51" s="365"/>
      <c r="M51" s="365"/>
      <c r="N51" s="365"/>
      <c r="O51" s="365"/>
      <c r="P51" s="415"/>
    </row>
    <row r="52" spans="1:16" hidden="1">
      <c r="A52" s="414">
        <v>4</v>
      </c>
      <c r="B52" s="365" t="s">
        <v>658</v>
      </c>
      <c r="C52" s="365"/>
      <c r="D52" s="365"/>
      <c r="E52" s="365"/>
      <c r="F52" s="365"/>
      <c r="G52" s="365"/>
      <c r="H52" s="365"/>
      <c r="I52" s="365"/>
      <c r="J52" s="399"/>
      <c r="K52" s="365"/>
      <c r="L52" s="365"/>
      <c r="M52" s="365"/>
      <c r="N52" s="365"/>
      <c r="O52" s="365"/>
      <c r="P52" s="415"/>
    </row>
    <row r="53" spans="1:16" hidden="1">
      <c r="A53" s="414"/>
      <c r="B53" s="365" t="s">
        <v>656</v>
      </c>
      <c r="C53" s="365"/>
      <c r="D53" s="365"/>
      <c r="E53" s="365"/>
      <c r="F53" s="365"/>
      <c r="G53" s="365"/>
      <c r="H53" s="365"/>
      <c r="I53" s="365"/>
      <c r="J53" s="399"/>
      <c r="K53" s="365"/>
      <c r="L53" s="365"/>
      <c r="M53" s="365"/>
      <c r="N53" s="365"/>
      <c r="O53" s="365"/>
      <c r="P53" s="415"/>
    </row>
    <row r="54" spans="1:16" hidden="1">
      <c r="A54" s="414">
        <v>3</v>
      </c>
      <c r="B54" s="365" t="s">
        <v>657</v>
      </c>
      <c r="C54" s="365"/>
      <c r="D54" s="365"/>
      <c r="E54" s="365"/>
      <c r="F54" s="365"/>
      <c r="G54" s="365"/>
      <c r="H54" s="365"/>
      <c r="I54" s="365"/>
      <c r="J54" s="399"/>
      <c r="K54" s="365"/>
      <c r="L54" s="365"/>
      <c r="M54" s="365"/>
      <c r="N54" s="365"/>
      <c r="O54" s="365"/>
      <c r="P54" s="415"/>
    </row>
    <row r="55" spans="1:16" ht="15" hidden="1" thickBot="1">
      <c r="A55" s="416">
        <v>4</v>
      </c>
      <c r="B55" s="417" t="s">
        <v>658</v>
      </c>
      <c r="C55" s="417"/>
      <c r="D55" s="417"/>
      <c r="E55" s="417"/>
      <c r="F55" s="417"/>
      <c r="G55" s="417"/>
      <c r="H55" s="417"/>
      <c r="I55" s="417"/>
      <c r="J55" s="418"/>
      <c r="K55" s="417"/>
      <c r="L55" s="417"/>
      <c r="M55" s="417"/>
      <c r="N55" s="417"/>
      <c r="O55" s="417"/>
      <c r="P55" s="419"/>
    </row>
    <row r="56" spans="1:16">
      <c r="A56" s="365"/>
      <c r="B56" s="365"/>
      <c r="C56" s="365"/>
      <c r="D56" s="365"/>
      <c r="E56" s="365"/>
      <c r="F56" s="365"/>
      <c r="G56" s="365"/>
      <c r="H56" s="365"/>
      <c r="I56" s="365"/>
      <c r="J56" s="399"/>
      <c r="K56" s="365"/>
      <c r="L56" s="365"/>
      <c r="M56" s="365"/>
      <c r="N56" s="365"/>
      <c r="O56" s="365"/>
    </row>
    <row r="57" spans="1:16">
      <c r="A57" s="365"/>
      <c r="B57" s="365"/>
      <c r="C57" s="365"/>
      <c r="D57" s="365"/>
      <c r="E57" s="365"/>
      <c r="F57" s="365"/>
      <c r="G57" s="365"/>
      <c r="H57" s="365"/>
      <c r="I57" s="365"/>
      <c r="J57" s="399"/>
      <c r="K57" s="365"/>
      <c r="L57" s="365"/>
      <c r="M57" s="365"/>
      <c r="N57" s="365"/>
      <c r="O57" s="365"/>
    </row>
    <row r="58" spans="1:16">
      <c r="A58" s="365"/>
      <c r="B58" s="365"/>
      <c r="C58" s="365"/>
      <c r="D58" s="365"/>
      <c r="E58" s="365"/>
      <c r="F58" s="365"/>
      <c r="G58" s="365"/>
      <c r="H58" s="365"/>
      <c r="I58" s="365"/>
      <c r="J58" s="399"/>
      <c r="K58" s="365"/>
      <c r="L58" s="365"/>
      <c r="M58" s="365"/>
      <c r="N58" s="365"/>
      <c r="O58" s="365"/>
    </row>
    <row r="59" spans="1:16">
      <c r="A59" s="365"/>
      <c r="B59" s="365"/>
      <c r="C59" s="365"/>
      <c r="D59" s="365"/>
      <c r="E59" s="365"/>
      <c r="F59" s="365"/>
      <c r="G59" s="365"/>
      <c r="H59" s="365"/>
      <c r="I59" s="365"/>
      <c r="J59" s="399"/>
      <c r="K59" s="365"/>
      <c r="L59" s="365"/>
      <c r="M59" s="365"/>
      <c r="N59" s="365"/>
      <c r="O59" s="365"/>
    </row>
  </sheetData>
  <mergeCells count="5">
    <mergeCell ref="B2:G3"/>
    <mergeCell ref="B17:I17"/>
    <mergeCell ref="B18:I18"/>
    <mergeCell ref="B19:I19"/>
    <mergeCell ref="B20:I20"/>
  </mergeCells>
  <phoneticPr fontId="23" type="noConversion"/>
  <hyperlinks>
    <hyperlink ref="B20" r:id="rId1" display="2. Règlement sur la déclaration obligatoire de certaines émissions de contaminants dans l'atmosphère"/>
    <hyperlink ref="B19" r:id="rId2" display="1. Environnement Canada (2016) National Inventory Report 1990-2014: Greenhouse Gas Sources and Sinks in Canada, [En ligne]. http://unfccc.int/national_reports/annex_i_ghg_inventories/national_inventories_submissions/items/9492.php"/>
    <hyperlink ref="B19:I19" r:id="rId3" display="1. Environnement Canada (2016) National Inventory Report 1990-2015: Greenhouse Gas Sources and Sinks in Canada."/>
  </hyperlinks>
  <pageMargins left="0.70866141732283472" right="0.70866141732283472" top="0.74803149606299213" bottom="0.74803149606299213" header="0.31496062992125984" footer="0.31496062992125984"/>
  <pageSetup scale="99" orientation="landscape" r:id="rId4"/>
  <headerFooter>
    <oddFooter>&amp;L&amp;"Arial,Normal"&amp;10Transition énergétique Québec&amp;R&amp;F
&amp;A</oddFooter>
  </headerFooter>
  <drawing r:id="rId5"/>
  <legacyDrawing r:id="rId6"/>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8"/>
  <dimension ref="B1:C540"/>
  <sheetViews>
    <sheetView zoomScale="70" zoomScaleNormal="70" workbookViewId="0"/>
  </sheetViews>
  <sheetFormatPr baseColWidth="10" defaultRowHeight="14.4"/>
  <cols>
    <col min="2" max="2" width="79.109375" customWidth="1"/>
    <col min="3" max="3" width="25.44140625" customWidth="1"/>
  </cols>
  <sheetData>
    <row r="1" spans="2:3" ht="15" thickBot="1">
      <c r="B1" s="585" t="s">
        <v>740</v>
      </c>
      <c r="C1" s="585"/>
    </row>
    <row r="2" spans="2:3" ht="39.6">
      <c r="B2" s="176" t="s">
        <v>438</v>
      </c>
      <c r="C2" s="375" t="s">
        <v>439</v>
      </c>
    </row>
    <row r="3" spans="2:3">
      <c r="B3" s="177" t="s">
        <v>440</v>
      </c>
      <c r="C3" s="178" t="s">
        <v>441</v>
      </c>
    </row>
    <row r="4" spans="2:3">
      <c r="B4" s="177" t="s">
        <v>443</v>
      </c>
      <c r="C4" s="178" t="s">
        <v>444</v>
      </c>
    </row>
    <row r="5" spans="2:3">
      <c r="B5" s="177" t="s">
        <v>445</v>
      </c>
      <c r="C5" s="178" t="s">
        <v>446</v>
      </c>
    </row>
    <row r="6" spans="2:3">
      <c r="B6" s="177" t="s">
        <v>447</v>
      </c>
      <c r="C6" s="178" t="s">
        <v>448</v>
      </c>
    </row>
    <row r="7" spans="2:3">
      <c r="B7" s="177" t="s">
        <v>449</v>
      </c>
      <c r="C7" s="178" t="s">
        <v>450</v>
      </c>
    </row>
    <row r="8" spans="2:3">
      <c r="B8" s="316" t="s">
        <v>660</v>
      </c>
      <c r="C8" s="178" t="s">
        <v>451</v>
      </c>
    </row>
    <row r="9" spans="2:3">
      <c r="B9" s="177" t="s">
        <v>1044</v>
      </c>
      <c r="C9" s="178" t="s">
        <v>1043</v>
      </c>
    </row>
    <row r="10" spans="2:3">
      <c r="B10" s="177" t="s">
        <v>609</v>
      </c>
      <c r="C10" s="178" t="s">
        <v>741</v>
      </c>
    </row>
    <row r="11" spans="2:3">
      <c r="B11" s="177" t="s">
        <v>452</v>
      </c>
      <c r="C11" s="178" t="s">
        <v>453</v>
      </c>
    </row>
    <row r="12" spans="2:3">
      <c r="B12" s="177" t="s">
        <v>454</v>
      </c>
      <c r="C12" s="178" t="s">
        <v>455</v>
      </c>
    </row>
    <row r="13" spans="2:3">
      <c r="B13" s="177" t="s">
        <v>456</v>
      </c>
      <c r="C13" s="178" t="s">
        <v>457</v>
      </c>
    </row>
    <row r="14" spans="2:3">
      <c r="B14" s="177" t="s">
        <v>458</v>
      </c>
      <c r="C14" s="178" t="s">
        <v>459</v>
      </c>
    </row>
    <row r="15" spans="2:3">
      <c r="B15" s="177" t="s">
        <v>460</v>
      </c>
      <c r="C15" s="178" t="s">
        <v>461</v>
      </c>
    </row>
    <row r="16" spans="2:3">
      <c r="B16" s="177" t="s">
        <v>1021</v>
      </c>
      <c r="C16" s="178" t="s">
        <v>1020</v>
      </c>
    </row>
    <row r="17" spans="2:3">
      <c r="B17" s="177" t="s">
        <v>620</v>
      </c>
      <c r="C17" s="178" t="s">
        <v>752</v>
      </c>
    </row>
    <row r="18" spans="2:3">
      <c r="B18" s="511" t="s">
        <v>1045</v>
      </c>
      <c r="C18" s="178" t="s">
        <v>1043</v>
      </c>
    </row>
    <row r="19" spans="2:3">
      <c r="B19" s="177" t="s">
        <v>621</v>
      </c>
      <c r="C19" s="179" t="s">
        <v>753</v>
      </c>
    </row>
    <row r="20" spans="2:3">
      <c r="B20" s="180" t="s">
        <v>738</v>
      </c>
      <c r="C20" s="317" t="s">
        <v>1050</v>
      </c>
    </row>
    <row r="21" spans="2:3">
      <c r="B21" s="177" t="s">
        <v>1034</v>
      </c>
      <c r="C21" s="178" t="s">
        <v>462</v>
      </c>
    </row>
    <row r="22" spans="2:3">
      <c r="B22" s="180" t="s">
        <v>463</v>
      </c>
      <c r="C22" s="178" t="s">
        <v>464</v>
      </c>
    </row>
    <row r="23" spans="2:3">
      <c r="B23" s="177" t="s">
        <v>610</v>
      </c>
      <c r="C23" s="178" t="s">
        <v>742</v>
      </c>
    </row>
    <row r="24" spans="2:3">
      <c r="B24" s="511" t="s">
        <v>465</v>
      </c>
      <c r="C24" s="178" t="s">
        <v>466</v>
      </c>
    </row>
    <row r="25" spans="2:3">
      <c r="B25" s="177" t="s">
        <v>1037</v>
      </c>
      <c r="C25" s="178" t="s">
        <v>1036</v>
      </c>
    </row>
    <row r="26" spans="2:3">
      <c r="B26" s="318" t="s">
        <v>467</v>
      </c>
      <c r="C26" s="178" t="s">
        <v>468</v>
      </c>
    </row>
    <row r="27" spans="2:3">
      <c r="B27" s="177" t="s">
        <v>1029</v>
      </c>
      <c r="C27" s="178" t="s">
        <v>1028</v>
      </c>
    </row>
    <row r="28" spans="2:3">
      <c r="B28" s="177" t="s">
        <v>469</v>
      </c>
      <c r="C28" s="178" t="s">
        <v>470</v>
      </c>
    </row>
    <row r="29" spans="2:3">
      <c r="B29" s="180" t="s">
        <v>750</v>
      </c>
      <c r="C29" s="179" t="s">
        <v>754</v>
      </c>
    </row>
    <row r="30" spans="2:3">
      <c r="B30" s="177" t="s">
        <v>739</v>
      </c>
      <c r="C30" s="178" t="s">
        <v>755</v>
      </c>
    </row>
    <row r="31" spans="2:3">
      <c r="B31" s="177" t="s">
        <v>471</v>
      </c>
      <c r="C31" s="178" t="s">
        <v>472</v>
      </c>
    </row>
    <row r="32" spans="2:3">
      <c r="B32" s="177" t="s">
        <v>473</v>
      </c>
      <c r="C32" s="178" t="s">
        <v>474</v>
      </c>
    </row>
    <row r="33" spans="2:3">
      <c r="B33" s="177" t="s">
        <v>475</v>
      </c>
      <c r="C33" s="178" t="s">
        <v>1023</v>
      </c>
    </row>
    <row r="34" spans="2:3">
      <c r="B34" s="177" t="s">
        <v>661</v>
      </c>
      <c r="C34" s="178" t="s">
        <v>663</v>
      </c>
    </row>
    <row r="35" spans="2:3">
      <c r="B35" s="177" t="s">
        <v>611</v>
      </c>
      <c r="C35" s="178" t="s">
        <v>714</v>
      </c>
    </row>
    <row r="36" spans="2:3">
      <c r="B36" s="177" t="s">
        <v>612</v>
      </c>
      <c r="C36" s="178" t="s">
        <v>743</v>
      </c>
    </row>
    <row r="37" spans="2:3">
      <c r="B37" s="177" t="s">
        <v>613</v>
      </c>
      <c r="C37" s="178" t="s">
        <v>744</v>
      </c>
    </row>
    <row r="38" spans="2:3">
      <c r="B38" s="177" t="s">
        <v>709</v>
      </c>
      <c r="C38" s="178" t="s">
        <v>1022</v>
      </c>
    </row>
    <row r="39" spans="2:3">
      <c r="B39" s="177" t="s">
        <v>614</v>
      </c>
      <c r="C39" s="178" t="s">
        <v>745</v>
      </c>
    </row>
    <row r="40" spans="2:3">
      <c r="B40" s="177" t="s">
        <v>476</v>
      </c>
      <c r="C40" s="178" t="s">
        <v>477</v>
      </c>
    </row>
    <row r="41" spans="2:3">
      <c r="B41" s="177" t="s">
        <v>618</v>
      </c>
      <c r="C41" s="178" t="s">
        <v>478</v>
      </c>
    </row>
    <row r="42" spans="2:3">
      <c r="B42" s="177" t="s">
        <v>479</v>
      </c>
      <c r="C42" s="178" t="s">
        <v>480</v>
      </c>
    </row>
    <row r="43" spans="2:3">
      <c r="B43" s="177" t="s">
        <v>481</v>
      </c>
      <c r="C43" s="178" t="s">
        <v>482</v>
      </c>
    </row>
    <row r="44" spans="2:3">
      <c r="B44" s="177" t="s">
        <v>483</v>
      </c>
      <c r="C44" s="178" t="s">
        <v>484</v>
      </c>
    </row>
    <row r="45" spans="2:3">
      <c r="B45" s="177" t="s">
        <v>485</v>
      </c>
      <c r="C45" s="178" t="s">
        <v>486</v>
      </c>
    </row>
    <row r="46" spans="2:3">
      <c r="B46" s="177" t="s">
        <v>487</v>
      </c>
      <c r="C46" s="178" t="s">
        <v>488</v>
      </c>
    </row>
    <row r="47" spans="2:3">
      <c r="B47" s="177" t="s">
        <v>489</v>
      </c>
      <c r="C47" s="178" t="s">
        <v>490</v>
      </c>
    </row>
    <row r="48" spans="2:3">
      <c r="B48" s="177" t="s">
        <v>491</v>
      </c>
      <c r="C48" s="178" t="s">
        <v>492</v>
      </c>
    </row>
    <row r="49" spans="2:3">
      <c r="B49" s="177" t="s">
        <v>710</v>
      </c>
      <c r="C49" s="178" t="s">
        <v>493</v>
      </c>
    </row>
    <row r="50" spans="2:3">
      <c r="B50" s="177" t="s">
        <v>494</v>
      </c>
      <c r="C50" s="178" t="s">
        <v>495</v>
      </c>
    </row>
    <row r="51" spans="2:3">
      <c r="B51" s="177" t="s">
        <v>496</v>
      </c>
      <c r="C51" s="178" t="s">
        <v>497</v>
      </c>
    </row>
    <row r="52" spans="2:3">
      <c r="B52" s="177" t="s">
        <v>1042</v>
      </c>
      <c r="C52" s="178" t="s">
        <v>715</v>
      </c>
    </row>
    <row r="53" spans="2:3">
      <c r="B53" s="177" t="s">
        <v>514</v>
      </c>
      <c r="C53" s="178" t="s">
        <v>515</v>
      </c>
    </row>
    <row r="54" spans="2:3">
      <c r="B54" s="177" t="s">
        <v>498</v>
      </c>
      <c r="C54" s="178" t="s">
        <v>499</v>
      </c>
    </row>
    <row r="55" spans="2:3">
      <c r="B55" s="177" t="s">
        <v>711</v>
      </c>
      <c r="C55" s="178" t="s">
        <v>716</v>
      </c>
    </row>
    <row r="56" spans="2:3">
      <c r="B56" s="177" t="s">
        <v>500</v>
      </c>
      <c r="C56" s="178" t="s">
        <v>501</v>
      </c>
    </row>
    <row r="57" spans="2:3">
      <c r="B57" s="177" t="s">
        <v>1026</v>
      </c>
      <c r="C57" s="178" t="s">
        <v>717</v>
      </c>
    </row>
    <row r="58" spans="2:3">
      <c r="B58" s="177" t="s">
        <v>1025</v>
      </c>
      <c r="C58" s="178" t="s">
        <v>718</v>
      </c>
    </row>
    <row r="59" spans="2:3">
      <c r="B59" s="177" t="s">
        <v>502</v>
      </c>
      <c r="C59" s="178" t="s">
        <v>503</v>
      </c>
    </row>
    <row r="60" spans="2:3">
      <c r="B60" s="177" t="s">
        <v>504</v>
      </c>
      <c r="C60" s="178" t="s">
        <v>505</v>
      </c>
    </row>
    <row r="61" spans="2:3">
      <c r="B61" s="177" t="s">
        <v>506</v>
      </c>
      <c r="C61" s="178" t="s">
        <v>507</v>
      </c>
    </row>
    <row r="62" spans="2:3">
      <c r="B62" s="177" t="s">
        <v>508</v>
      </c>
      <c r="C62" s="178" t="s">
        <v>509</v>
      </c>
    </row>
    <row r="63" spans="2:3">
      <c r="B63" s="177" t="s">
        <v>510</v>
      </c>
      <c r="C63" s="178" t="s">
        <v>511</v>
      </c>
    </row>
    <row r="64" spans="2:3">
      <c r="B64" s="177" t="s">
        <v>615</v>
      </c>
      <c r="C64" s="178" t="s">
        <v>713</v>
      </c>
    </row>
    <row r="65" spans="2:3">
      <c r="B65" s="177" t="s">
        <v>512</v>
      </c>
      <c r="C65" s="178" t="s">
        <v>513</v>
      </c>
    </row>
    <row r="66" spans="2:3">
      <c r="B66" s="177" t="s">
        <v>517</v>
      </c>
      <c r="C66" s="178" t="s">
        <v>518</v>
      </c>
    </row>
    <row r="67" spans="2:3">
      <c r="B67" s="177" t="s">
        <v>519</v>
      </c>
      <c r="C67" s="178" t="s">
        <v>520</v>
      </c>
    </row>
    <row r="68" spans="2:3">
      <c r="B68" s="177" t="s">
        <v>1033</v>
      </c>
      <c r="C68" s="178" t="s">
        <v>521</v>
      </c>
    </row>
    <row r="69" spans="2:3">
      <c r="B69" s="177" t="s">
        <v>522</v>
      </c>
      <c r="C69" s="178" t="s">
        <v>523</v>
      </c>
    </row>
    <row r="70" spans="2:3">
      <c r="B70" s="177" t="s">
        <v>524</v>
      </c>
      <c r="C70" s="178" t="s">
        <v>525</v>
      </c>
    </row>
    <row r="71" spans="2:3">
      <c r="B71" s="177" t="s">
        <v>526</v>
      </c>
      <c r="C71" s="178" t="s">
        <v>527</v>
      </c>
    </row>
    <row r="72" spans="2:3">
      <c r="B72" s="177" t="s">
        <v>1024</v>
      </c>
      <c r="C72" s="178" t="s">
        <v>720</v>
      </c>
    </row>
    <row r="73" spans="2:3">
      <c r="B73" s="177" t="s">
        <v>763</v>
      </c>
      <c r="C73" s="178" t="s">
        <v>664</v>
      </c>
    </row>
    <row r="74" spans="2:3">
      <c r="B74" s="177" t="s">
        <v>1017</v>
      </c>
      <c r="C74" s="178" t="s">
        <v>529</v>
      </c>
    </row>
    <row r="75" spans="2:3">
      <c r="B75" s="177" t="s">
        <v>794</v>
      </c>
      <c r="C75" s="178" t="s">
        <v>530</v>
      </c>
    </row>
    <row r="76" spans="2:3">
      <c r="B76" s="177" t="s">
        <v>751</v>
      </c>
      <c r="C76" s="178" t="s">
        <v>531</v>
      </c>
    </row>
    <row r="77" spans="2:3">
      <c r="B77" s="177" t="s">
        <v>1051</v>
      </c>
      <c r="C77" s="178" t="s">
        <v>532</v>
      </c>
    </row>
    <row r="78" spans="2:3">
      <c r="B78" s="177" t="s">
        <v>712</v>
      </c>
      <c r="C78" s="178" t="s">
        <v>719</v>
      </c>
    </row>
    <row r="79" spans="2:3">
      <c r="B79" s="177" t="s">
        <v>1052</v>
      </c>
      <c r="C79" s="178" t="s">
        <v>533</v>
      </c>
    </row>
    <row r="80" spans="2:3">
      <c r="B80" s="177" t="s">
        <v>534</v>
      </c>
      <c r="C80" s="178" t="s">
        <v>535</v>
      </c>
    </row>
    <row r="81" spans="2:3">
      <c r="B81" s="177" t="s">
        <v>1032</v>
      </c>
      <c r="C81" s="178" t="s">
        <v>536</v>
      </c>
    </row>
    <row r="82" spans="2:3">
      <c r="B82" s="177" t="s">
        <v>1018</v>
      </c>
      <c r="C82" s="178" t="s">
        <v>537</v>
      </c>
    </row>
    <row r="83" spans="2:3">
      <c r="B83" s="177" t="s">
        <v>1041</v>
      </c>
      <c r="C83" s="178" t="s">
        <v>528</v>
      </c>
    </row>
    <row r="84" spans="2:3">
      <c r="B84" s="177" t="s">
        <v>538</v>
      </c>
      <c r="C84" s="179" t="s">
        <v>539</v>
      </c>
    </row>
    <row r="85" spans="2:3">
      <c r="B85" s="177" t="s">
        <v>541</v>
      </c>
      <c r="C85" s="178" t="s">
        <v>542</v>
      </c>
    </row>
    <row r="86" spans="2:3">
      <c r="B86" s="177" t="s">
        <v>1053</v>
      </c>
      <c r="C86" s="178" t="s">
        <v>540</v>
      </c>
    </row>
    <row r="87" spans="2:3">
      <c r="B87" s="177" t="s">
        <v>543</v>
      </c>
      <c r="C87" s="178" t="s">
        <v>544</v>
      </c>
    </row>
    <row r="88" spans="2:3">
      <c r="B88" s="177" t="s">
        <v>545</v>
      </c>
      <c r="C88" s="178" t="s">
        <v>546</v>
      </c>
    </row>
    <row r="89" spans="2:3">
      <c r="B89" s="177" t="s">
        <v>547</v>
      </c>
      <c r="C89" s="178" t="s">
        <v>548</v>
      </c>
    </row>
    <row r="90" spans="2:3">
      <c r="B90" s="177" t="s">
        <v>549</v>
      </c>
      <c r="C90" s="178" t="s">
        <v>550</v>
      </c>
    </row>
    <row r="91" spans="2:3">
      <c r="B91" s="177" t="s">
        <v>1027</v>
      </c>
      <c r="C91" s="178" t="s">
        <v>551</v>
      </c>
    </row>
    <row r="92" spans="2:3">
      <c r="B92" s="177" t="s">
        <v>552</v>
      </c>
      <c r="C92" s="178" t="s">
        <v>553</v>
      </c>
    </row>
    <row r="93" spans="2:3">
      <c r="B93" s="177" t="s">
        <v>554</v>
      </c>
      <c r="C93" s="178" t="s">
        <v>555</v>
      </c>
    </row>
    <row r="94" spans="2:3">
      <c r="B94" s="177" t="s">
        <v>662</v>
      </c>
      <c r="C94" s="178" t="s">
        <v>556</v>
      </c>
    </row>
    <row r="95" spans="2:3">
      <c r="B95" s="180" t="s">
        <v>557</v>
      </c>
      <c r="C95" s="178" t="s">
        <v>558</v>
      </c>
    </row>
    <row r="96" spans="2:3">
      <c r="B96" s="177" t="s">
        <v>559</v>
      </c>
      <c r="C96" s="178" t="s">
        <v>560</v>
      </c>
    </row>
    <row r="97" spans="2:3">
      <c r="B97" s="180" t="s">
        <v>561</v>
      </c>
      <c r="C97" s="178" t="s">
        <v>562</v>
      </c>
    </row>
    <row r="98" spans="2:3">
      <c r="B98" s="177" t="s">
        <v>563</v>
      </c>
      <c r="C98" s="178" t="s">
        <v>564</v>
      </c>
    </row>
    <row r="99" spans="2:3">
      <c r="B99" s="177" t="s">
        <v>565</v>
      </c>
      <c r="C99" s="178" t="s">
        <v>566</v>
      </c>
    </row>
    <row r="100" spans="2:3">
      <c r="B100" s="177" t="s">
        <v>567</v>
      </c>
      <c r="C100" s="178" t="s">
        <v>568</v>
      </c>
    </row>
    <row r="101" spans="2:3">
      <c r="B101" s="177" t="s">
        <v>569</v>
      </c>
      <c r="C101" s="178" t="s">
        <v>570</v>
      </c>
    </row>
    <row r="102" spans="2:3">
      <c r="B102" s="177" t="s">
        <v>1054</v>
      </c>
      <c r="C102" s="178" t="s">
        <v>571</v>
      </c>
    </row>
    <row r="103" spans="2:3">
      <c r="B103" s="177" t="s">
        <v>572</v>
      </c>
      <c r="C103" s="178" t="s">
        <v>573</v>
      </c>
    </row>
    <row r="104" spans="2:3">
      <c r="B104" s="177" t="s">
        <v>1055</v>
      </c>
      <c r="C104" s="178" t="s">
        <v>442</v>
      </c>
    </row>
    <row r="105" spans="2:3">
      <c r="B105" s="180" t="s">
        <v>759</v>
      </c>
      <c r="C105" s="178" t="s">
        <v>756</v>
      </c>
    </row>
    <row r="106" spans="2:3">
      <c r="B106" s="177" t="s">
        <v>1046</v>
      </c>
      <c r="C106" s="178" t="s">
        <v>1043</v>
      </c>
    </row>
    <row r="107" spans="2:3">
      <c r="B107" s="177" t="s">
        <v>1019</v>
      </c>
      <c r="C107" s="178" t="s">
        <v>574</v>
      </c>
    </row>
    <row r="108" spans="2:3">
      <c r="B108" s="177" t="s">
        <v>1056</v>
      </c>
      <c r="C108" s="178" t="s">
        <v>575</v>
      </c>
    </row>
    <row r="109" spans="2:3">
      <c r="B109" s="177" t="s">
        <v>576</v>
      </c>
      <c r="C109" s="178" t="s">
        <v>577</v>
      </c>
    </row>
    <row r="110" spans="2:3">
      <c r="B110" s="177" t="s">
        <v>578</v>
      </c>
      <c r="C110" s="178" t="s">
        <v>579</v>
      </c>
    </row>
    <row r="111" spans="2:3">
      <c r="B111" s="177" t="s">
        <v>580</v>
      </c>
      <c r="C111" s="178" t="s">
        <v>581</v>
      </c>
    </row>
    <row r="112" spans="2:3">
      <c r="B112" s="177" t="s">
        <v>582</v>
      </c>
      <c r="C112" s="178" t="s">
        <v>583</v>
      </c>
    </row>
    <row r="113" spans="2:3">
      <c r="B113" s="177" t="s">
        <v>1039</v>
      </c>
      <c r="C113" s="178" t="s">
        <v>584</v>
      </c>
    </row>
    <row r="114" spans="2:3">
      <c r="B114" s="177" t="s">
        <v>585</v>
      </c>
      <c r="C114" s="178" t="s">
        <v>586</v>
      </c>
    </row>
    <row r="115" spans="2:3">
      <c r="B115" s="177" t="s">
        <v>1040</v>
      </c>
      <c r="C115" s="178" t="s">
        <v>516</v>
      </c>
    </row>
    <row r="116" spans="2:3">
      <c r="B116" s="177" t="s">
        <v>1038</v>
      </c>
      <c r="C116" s="178" t="s">
        <v>587</v>
      </c>
    </row>
    <row r="117" spans="2:3">
      <c r="B117" s="177" t="s">
        <v>588</v>
      </c>
      <c r="C117" s="178" t="s">
        <v>589</v>
      </c>
    </row>
    <row r="118" spans="2:3">
      <c r="B118" s="177" t="s">
        <v>590</v>
      </c>
      <c r="C118" s="178" t="s">
        <v>591</v>
      </c>
    </row>
    <row r="119" spans="2:3">
      <c r="B119" s="177" t="s">
        <v>592</v>
      </c>
      <c r="C119" s="178" t="s">
        <v>593</v>
      </c>
    </row>
    <row r="120" spans="2:3">
      <c r="B120" s="177" t="s">
        <v>594</v>
      </c>
      <c r="C120" s="178" t="s">
        <v>595</v>
      </c>
    </row>
    <row r="121" spans="2:3">
      <c r="B121" s="177" t="s">
        <v>596</v>
      </c>
      <c r="C121" s="178" t="s">
        <v>597</v>
      </c>
    </row>
    <row r="122" spans="2:3">
      <c r="B122" s="177" t="s">
        <v>1031</v>
      </c>
      <c r="C122" s="178" t="s">
        <v>1030</v>
      </c>
    </row>
    <row r="123" spans="2:3">
      <c r="B123" s="177" t="s">
        <v>598</v>
      </c>
      <c r="C123" s="178" t="s">
        <v>599</v>
      </c>
    </row>
    <row r="124" spans="2:3">
      <c r="B124" s="177" t="s">
        <v>600</v>
      </c>
      <c r="C124" s="178" t="s">
        <v>601</v>
      </c>
    </row>
    <row r="125" spans="2:3">
      <c r="B125" s="177" t="s">
        <v>602</v>
      </c>
      <c r="C125" s="178" t="s">
        <v>603</v>
      </c>
    </row>
    <row r="126" spans="2:3">
      <c r="B126" s="177" t="s">
        <v>604</v>
      </c>
      <c r="C126" s="178" t="s">
        <v>605</v>
      </c>
    </row>
    <row r="127" spans="2:3">
      <c r="B127" s="177" t="s">
        <v>606</v>
      </c>
      <c r="C127" s="178" t="s">
        <v>607</v>
      </c>
    </row>
    <row r="128" spans="2:3">
      <c r="B128" s="177" t="s">
        <v>1035</v>
      </c>
      <c r="C128" s="178" t="s">
        <v>760</v>
      </c>
    </row>
    <row r="129" spans="2:3">
      <c r="B129" s="319" t="s">
        <v>619</v>
      </c>
      <c r="C129" s="178" t="s">
        <v>608</v>
      </c>
    </row>
    <row r="130" spans="2:3">
      <c r="B130" s="177"/>
      <c r="C130" s="178"/>
    </row>
    <row r="131" spans="2:3">
      <c r="B131" s="177"/>
      <c r="C131" s="178"/>
    </row>
    <row r="132" spans="2:3">
      <c r="B132" s="177"/>
      <c r="C132" s="178"/>
    </row>
    <row r="133" spans="2:3">
      <c r="B133" s="177"/>
      <c r="C133" s="178"/>
    </row>
    <row r="134" spans="2:3">
      <c r="B134" s="177"/>
      <c r="C134" s="178"/>
    </row>
    <row r="135" spans="2:3">
      <c r="B135" s="177"/>
      <c r="C135" s="178"/>
    </row>
    <row r="136" spans="2:3">
      <c r="B136" s="177"/>
      <c r="C136" s="178"/>
    </row>
    <row r="137" spans="2:3">
      <c r="B137" s="177"/>
      <c r="C137" s="178"/>
    </row>
    <row r="138" spans="2:3">
      <c r="B138" s="177"/>
      <c r="C138" s="178"/>
    </row>
    <row r="139" spans="2:3">
      <c r="B139" s="177"/>
      <c r="C139" s="178"/>
    </row>
    <row r="140" spans="2:3">
      <c r="B140" s="177"/>
      <c r="C140" s="178"/>
    </row>
    <row r="141" spans="2:3">
      <c r="B141" s="177"/>
      <c r="C141" s="178"/>
    </row>
    <row r="142" spans="2:3">
      <c r="B142" s="177"/>
      <c r="C142" s="178"/>
    </row>
    <row r="143" spans="2:3">
      <c r="B143" s="177"/>
      <c r="C143" s="178"/>
    </row>
    <row r="144" spans="2:3">
      <c r="B144" s="177"/>
      <c r="C144" s="178"/>
    </row>
    <row r="145" spans="2:3">
      <c r="B145" s="177"/>
      <c r="C145" s="178"/>
    </row>
    <row r="146" spans="2:3">
      <c r="B146" s="177"/>
      <c r="C146" s="178"/>
    </row>
    <row r="147" spans="2:3">
      <c r="B147" s="177"/>
      <c r="C147" s="178"/>
    </row>
    <row r="148" spans="2:3">
      <c r="B148" s="177"/>
      <c r="C148" s="178"/>
    </row>
    <row r="149" spans="2:3">
      <c r="B149" s="177"/>
      <c r="C149" s="178"/>
    </row>
    <row r="150" spans="2:3">
      <c r="B150" s="177"/>
      <c r="C150" s="178"/>
    </row>
    <row r="151" spans="2:3">
      <c r="B151" s="177"/>
      <c r="C151" s="178"/>
    </row>
    <row r="152" spans="2:3">
      <c r="B152" s="177"/>
      <c r="C152" s="178"/>
    </row>
    <row r="153" spans="2:3">
      <c r="B153" s="177"/>
      <c r="C153" s="178"/>
    </row>
    <row r="154" spans="2:3">
      <c r="B154" s="177"/>
      <c r="C154" s="178"/>
    </row>
    <row r="155" spans="2:3">
      <c r="B155" s="177"/>
      <c r="C155" s="178"/>
    </row>
    <row r="156" spans="2:3">
      <c r="B156" s="177"/>
      <c r="C156" s="178"/>
    </row>
    <row r="157" spans="2:3">
      <c r="B157" s="177"/>
      <c r="C157" s="178"/>
    </row>
    <row r="158" spans="2:3">
      <c r="B158" s="177"/>
      <c r="C158" s="178"/>
    </row>
    <row r="159" spans="2:3">
      <c r="B159" s="177"/>
      <c r="C159" s="178"/>
    </row>
    <row r="160" spans="2:3">
      <c r="B160" s="177"/>
      <c r="C160" s="178"/>
    </row>
    <row r="161" spans="2:3">
      <c r="B161" s="177"/>
      <c r="C161" s="178"/>
    </row>
    <row r="162" spans="2:3">
      <c r="B162" s="177"/>
      <c r="C162" s="178"/>
    </row>
    <row r="163" spans="2:3">
      <c r="B163" s="177"/>
      <c r="C163" s="178"/>
    </row>
    <row r="164" spans="2:3">
      <c r="B164" s="177"/>
      <c r="C164" s="178"/>
    </row>
    <row r="165" spans="2:3">
      <c r="B165" s="177"/>
      <c r="C165" s="178"/>
    </row>
    <row r="166" spans="2:3">
      <c r="B166" s="177"/>
      <c r="C166" s="178"/>
    </row>
    <row r="167" spans="2:3">
      <c r="B167" s="177"/>
      <c r="C167" s="178"/>
    </row>
    <row r="168" spans="2:3">
      <c r="B168" s="177"/>
      <c r="C168" s="178"/>
    </row>
    <row r="169" spans="2:3">
      <c r="B169" s="177"/>
      <c r="C169" s="178"/>
    </row>
    <row r="170" spans="2:3">
      <c r="B170" s="177"/>
      <c r="C170" s="178"/>
    </row>
    <row r="171" spans="2:3">
      <c r="B171" s="177"/>
      <c r="C171" s="178"/>
    </row>
    <row r="172" spans="2:3">
      <c r="B172" s="177"/>
      <c r="C172" s="178"/>
    </row>
    <row r="173" spans="2:3">
      <c r="B173" s="177"/>
      <c r="C173" s="178"/>
    </row>
    <row r="174" spans="2:3">
      <c r="B174" s="177"/>
      <c r="C174" s="178"/>
    </row>
    <row r="175" spans="2:3">
      <c r="B175" s="177"/>
      <c r="C175" s="178"/>
    </row>
    <row r="176" spans="2:3">
      <c r="B176" s="177"/>
      <c r="C176" s="178"/>
    </row>
    <row r="177" spans="2:3">
      <c r="B177" s="177"/>
      <c r="C177" s="178"/>
    </row>
    <row r="178" spans="2:3">
      <c r="B178" s="177"/>
      <c r="C178" s="178"/>
    </row>
    <row r="179" spans="2:3">
      <c r="B179" s="177"/>
      <c r="C179" s="178"/>
    </row>
    <row r="180" spans="2:3">
      <c r="B180" s="177"/>
      <c r="C180" s="178"/>
    </row>
    <row r="181" spans="2:3">
      <c r="B181" s="177"/>
      <c r="C181" s="178"/>
    </row>
    <row r="182" spans="2:3">
      <c r="B182" s="177"/>
      <c r="C182" s="178"/>
    </row>
    <row r="183" spans="2:3">
      <c r="B183" s="177"/>
      <c r="C183" s="178"/>
    </row>
    <row r="184" spans="2:3">
      <c r="B184" s="177"/>
      <c r="C184" s="178"/>
    </row>
    <row r="185" spans="2:3">
      <c r="B185" s="177"/>
      <c r="C185" s="178"/>
    </row>
    <row r="186" spans="2:3">
      <c r="B186" s="177"/>
      <c r="C186" s="178"/>
    </row>
    <row r="187" spans="2:3">
      <c r="B187" s="177"/>
      <c r="C187" s="178"/>
    </row>
    <row r="188" spans="2:3">
      <c r="B188" s="177"/>
      <c r="C188" s="178"/>
    </row>
    <row r="189" spans="2:3">
      <c r="B189" s="177"/>
      <c r="C189" s="178"/>
    </row>
    <row r="190" spans="2:3">
      <c r="B190" s="177"/>
      <c r="C190" s="178"/>
    </row>
    <row r="191" spans="2:3">
      <c r="B191" s="177"/>
      <c r="C191" s="178"/>
    </row>
    <row r="192" spans="2:3">
      <c r="B192" s="177"/>
      <c r="C192" s="179"/>
    </row>
    <row r="193" spans="2:3">
      <c r="B193" s="177"/>
      <c r="C193" s="178"/>
    </row>
    <row r="194" spans="2:3">
      <c r="B194" s="177"/>
      <c r="C194" s="178"/>
    </row>
    <row r="195" spans="2:3">
      <c r="B195" s="177"/>
      <c r="C195" s="178"/>
    </row>
    <row r="196" spans="2:3">
      <c r="B196" s="177"/>
      <c r="C196" s="178"/>
    </row>
    <row r="197" spans="2:3">
      <c r="B197" s="177"/>
      <c r="C197" s="178"/>
    </row>
    <row r="198" spans="2:3">
      <c r="B198" s="177"/>
      <c r="C198" s="178"/>
    </row>
    <row r="199" spans="2:3">
      <c r="B199" s="177"/>
      <c r="C199" s="178"/>
    </row>
    <row r="200" spans="2:3">
      <c r="B200" s="177"/>
      <c r="C200" s="178"/>
    </row>
    <row r="201" spans="2:3">
      <c r="B201" s="177"/>
      <c r="C201" s="178"/>
    </row>
    <row r="202" spans="2:3">
      <c r="B202" s="177"/>
      <c r="C202" s="178"/>
    </row>
    <row r="203" spans="2:3">
      <c r="B203" s="177"/>
      <c r="C203" s="178"/>
    </row>
    <row r="204" spans="2:3">
      <c r="B204" s="177"/>
      <c r="C204" s="178"/>
    </row>
    <row r="205" spans="2:3">
      <c r="B205" s="177"/>
      <c r="C205" s="178"/>
    </row>
    <row r="206" spans="2:3">
      <c r="B206" s="177"/>
      <c r="C206" s="178"/>
    </row>
    <row r="207" spans="2:3">
      <c r="B207" s="177"/>
      <c r="C207" s="178"/>
    </row>
    <row r="208" spans="2:3">
      <c r="B208" s="177"/>
      <c r="C208" s="178"/>
    </row>
    <row r="209" spans="2:3">
      <c r="B209" s="177"/>
      <c r="C209" s="178"/>
    </row>
    <row r="210" spans="2:3">
      <c r="B210" s="177"/>
      <c r="C210" s="178"/>
    </row>
    <row r="211" spans="2:3">
      <c r="B211" s="177"/>
      <c r="C211" s="178"/>
    </row>
    <row r="212" spans="2:3">
      <c r="B212" s="177"/>
      <c r="C212" s="178"/>
    </row>
    <row r="213" spans="2:3">
      <c r="B213" s="177"/>
      <c r="C213" s="178"/>
    </row>
    <row r="214" spans="2:3">
      <c r="B214" s="177"/>
      <c r="C214" s="178"/>
    </row>
    <row r="215" spans="2:3">
      <c r="B215" s="177"/>
      <c r="C215" s="178"/>
    </row>
    <row r="216" spans="2:3">
      <c r="B216" s="177"/>
      <c r="C216" s="178"/>
    </row>
    <row r="217" spans="2:3">
      <c r="B217" s="177"/>
      <c r="C217" s="178"/>
    </row>
    <row r="218" spans="2:3">
      <c r="B218" s="177"/>
      <c r="C218" s="178"/>
    </row>
    <row r="219" spans="2:3">
      <c r="B219" s="177"/>
      <c r="C219" s="178"/>
    </row>
    <row r="220" spans="2:3">
      <c r="B220" s="177"/>
      <c r="C220" s="178"/>
    </row>
    <row r="221" spans="2:3">
      <c r="B221" s="177"/>
      <c r="C221" s="178"/>
    </row>
    <row r="222" spans="2:3">
      <c r="B222" s="177"/>
      <c r="C222" s="178"/>
    </row>
    <row r="223" spans="2:3">
      <c r="B223" s="177"/>
      <c r="C223" s="178"/>
    </row>
    <row r="224" spans="2:3">
      <c r="B224" s="177"/>
      <c r="C224" s="178"/>
    </row>
    <row r="225" spans="2:3">
      <c r="B225" s="177"/>
      <c r="C225" s="178"/>
    </row>
    <row r="226" spans="2:3">
      <c r="B226" s="177"/>
      <c r="C226" s="178"/>
    </row>
    <row r="227" spans="2:3">
      <c r="B227" s="177"/>
      <c r="C227" s="178"/>
    </row>
    <row r="228" spans="2:3">
      <c r="B228" s="177"/>
      <c r="C228" s="178"/>
    </row>
    <row r="229" spans="2:3">
      <c r="B229" s="177"/>
      <c r="C229" s="178"/>
    </row>
    <row r="230" spans="2:3">
      <c r="B230" s="177"/>
      <c r="C230" s="178"/>
    </row>
    <row r="231" spans="2:3">
      <c r="B231" s="177"/>
      <c r="C231" s="178"/>
    </row>
    <row r="232" spans="2:3">
      <c r="B232" s="177"/>
      <c r="C232" s="178"/>
    </row>
    <row r="233" spans="2:3">
      <c r="B233" s="177"/>
      <c r="C233" s="178"/>
    </row>
    <row r="234" spans="2:3">
      <c r="B234" s="177"/>
      <c r="C234" s="178"/>
    </row>
    <row r="235" spans="2:3">
      <c r="B235" s="177"/>
      <c r="C235" s="178"/>
    </row>
    <row r="236" spans="2:3">
      <c r="B236" s="177"/>
      <c r="C236" s="179"/>
    </row>
    <row r="237" spans="2:3">
      <c r="B237" s="177"/>
      <c r="C237" s="178"/>
    </row>
    <row r="238" spans="2:3">
      <c r="B238" s="177"/>
      <c r="C238" s="178"/>
    </row>
    <row r="239" spans="2:3">
      <c r="B239" s="180"/>
      <c r="C239" s="179"/>
    </row>
    <row r="240" spans="2:3">
      <c r="B240" s="177"/>
      <c r="C240" s="178"/>
    </row>
    <row r="241" spans="2:3">
      <c r="B241" s="177"/>
      <c r="C241" s="179"/>
    </row>
    <row r="242" spans="2:3">
      <c r="B242" s="177"/>
      <c r="C242" s="178"/>
    </row>
    <row r="243" spans="2:3">
      <c r="B243" s="177"/>
      <c r="C243" s="178"/>
    </row>
    <row r="244" spans="2:3">
      <c r="B244" s="180"/>
      <c r="C244" s="178"/>
    </row>
    <row r="245" spans="2:3">
      <c r="B245" s="180"/>
      <c r="C245" s="178"/>
    </row>
    <row r="246" spans="2:3">
      <c r="B246" s="320"/>
      <c r="C246" s="181"/>
    </row>
    <row r="247" spans="2:3">
      <c r="B247" s="177"/>
      <c r="C247" s="178"/>
    </row>
    <row r="248" spans="2:3">
      <c r="B248" s="177"/>
      <c r="C248" s="178"/>
    </row>
    <row r="249" spans="2:3">
      <c r="B249" s="177"/>
      <c r="C249" s="179"/>
    </row>
    <row r="250" spans="2:3">
      <c r="B250" s="180"/>
      <c r="C250" s="179"/>
    </row>
    <row r="251" spans="2:3">
      <c r="B251" s="177"/>
      <c r="C251" s="178"/>
    </row>
    <row r="252" spans="2:3">
      <c r="B252" s="177"/>
      <c r="C252" s="178"/>
    </row>
    <row r="253" spans="2:3">
      <c r="B253" s="177"/>
      <c r="C253" s="178"/>
    </row>
    <row r="254" spans="2:3">
      <c r="B254" s="180"/>
      <c r="C254" s="178"/>
    </row>
    <row r="255" spans="2:3">
      <c r="B255" s="177"/>
      <c r="C255" s="178"/>
    </row>
    <row r="256" spans="2:3">
      <c r="B256" s="511"/>
      <c r="C256" s="178"/>
    </row>
    <row r="257" spans="2:3">
      <c r="B257" s="177"/>
      <c r="C257" s="178"/>
    </row>
    <row r="258" spans="2:3">
      <c r="B258" s="177"/>
      <c r="C258" s="178"/>
    </row>
    <row r="259" spans="2:3">
      <c r="B259" s="177"/>
      <c r="C259" s="178"/>
    </row>
    <row r="260" spans="2:3">
      <c r="B260" s="320"/>
      <c r="C260" s="181"/>
    </row>
    <row r="261" spans="2:3">
      <c r="B261" s="177"/>
      <c r="C261" s="179"/>
    </row>
    <row r="262" spans="2:3">
      <c r="B262" s="177"/>
      <c r="C262" s="178"/>
    </row>
    <row r="263" spans="2:3">
      <c r="B263" s="177"/>
      <c r="C263" s="178"/>
    </row>
    <row r="264" spans="2:3">
      <c r="B264" s="177"/>
      <c r="C264" s="178"/>
    </row>
    <row r="265" spans="2:3">
      <c r="B265" s="177"/>
      <c r="C265" s="178"/>
    </row>
    <row r="266" spans="2:3">
      <c r="B266" s="180"/>
      <c r="C266" s="178"/>
    </row>
    <row r="267" spans="2:3">
      <c r="B267" s="177"/>
      <c r="C267" s="178"/>
    </row>
    <row r="268" spans="2:3">
      <c r="B268" s="180"/>
      <c r="C268" s="179"/>
    </row>
    <row r="269" spans="2:3">
      <c r="B269" s="177"/>
      <c r="C269" s="178"/>
    </row>
    <row r="270" spans="2:3">
      <c r="B270" s="177"/>
      <c r="C270" s="178"/>
    </row>
    <row r="271" spans="2:3">
      <c r="B271" s="177"/>
      <c r="C271" s="178"/>
    </row>
    <row r="272" spans="2:3">
      <c r="B272" s="177"/>
      <c r="C272" s="178"/>
    </row>
    <row r="273" spans="2:3">
      <c r="B273" s="177"/>
      <c r="C273" s="178"/>
    </row>
    <row r="274" spans="2:3">
      <c r="B274" s="177"/>
      <c r="C274" s="178"/>
    </row>
    <row r="275" spans="2:3">
      <c r="B275" s="177"/>
      <c r="C275" s="178"/>
    </row>
    <row r="276" spans="2:3">
      <c r="B276" s="177"/>
      <c r="C276" s="178"/>
    </row>
    <row r="277" spans="2:3">
      <c r="B277" s="177"/>
      <c r="C277" s="178"/>
    </row>
    <row r="278" spans="2:3">
      <c r="B278" s="177"/>
      <c r="C278" s="178"/>
    </row>
    <row r="279" spans="2:3">
      <c r="B279" s="177"/>
      <c r="C279" s="178"/>
    </row>
    <row r="280" spans="2:3">
      <c r="B280" s="177"/>
      <c r="C280" s="178"/>
    </row>
    <row r="281" spans="2:3">
      <c r="B281" s="177"/>
      <c r="C281" s="178"/>
    </row>
    <row r="282" spans="2:3">
      <c r="B282" s="177"/>
      <c r="C282" s="178"/>
    </row>
    <row r="283" spans="2:3">
      <c r="B283" s="177"/>
      <c r="C283" s="178"/>
    </row>
    <row r="284" spans="2:3">
      <c r="B284" s="177"/>
      <c r="C284" s="178"/>
    </row>
    <row r="285" spans="2:3">
      <c r="B285" s="177"/>
      <c r="C285" s="178"/>
    </row>
    <row r="286" spans="2:3">
      <c r="B286" s="177"/>
      <c r="C286" s="178"/>
    </row>
    <row r="287" spans="2:3">
      <c r="B287" s="177"/>
      <c r="C287" s="178"/>
    </row>
    <row r="288" spans="2:3">
      <c r="B288" s="177"/>
      <c r="C288" s="178"/>
    </row>
    <row r="289" spans="2:3">
      <c r="B289" s="177"/>
      <c r="C289" s="178"/>
    </row>
    <row r="290" spans="2:3">
      <c r="B290" s="177"/>
      <c r="C290" s="178"/>
    </row>
    <row r="291" spans="2:3">
      <c r="B291" s="177"/>
      <c r="C291" s="178"/>
    </row>
    <row r="292" spans="2:3">
      <c r="B292" s="177"/>
      <c r="C292" s="178"/>
    </row>
    <row r="293" spans="2:3">
      <c r="B293" s="177"/>
      <c r="C293" s="178"/>
    </row>
    <row r="294" spans="2:3">
      <c r="B294" s="177"/>
      <c r="C294" s="178"/>
    </row>
    <row r="295" spans="2:3">
      <c r="B295" s="177"/>
      <c r="C295" s="178"/>
    </row>
    <row r="296" spans="2:3">
      <c r="B296" s="177"/>
      <c r="C296" s="178"/>
    </row>
    <row r="297" spans="2:3">
      <c r="B297" s="177"/>
      <c r="C297" s="178"/>
    </row>
    <row r="298" spans="2:3">
      <c r="B298" s="177"/>
      <c r="C298" s="178"/>
    </row>
    <row r="299" spans="2:3">
      <c r="B299" s="177"/>
      <c r="C299" s="178"/>
    </row>
    <row r="300" spans="2:3">
      <c r="B300" s="177"/>
      <c r="C300" s="178"/>
    </row>
    <row r="301" spans="2:3">
      <c r="B301" s="177"/>
      <c r="C301" s="178"/>
    </row>
    <row r="302" spans="2:3">
      <c r="B302" s="177"/>
      <c r="C302" s="178"/>
    </row>
    <row r="303" spans="2:3">
      <c r="B303" s="177"/>
      <c r="C303" s="178"/>
    </row>
    <row r="304" spans="2:3">
      <c r="B304" s="177"/>
      <c r="C304" s="178"/>
    </row>
    <row r="305" spans="2:3">
      <c r="B305" s="177"/>
      <c r="C305" s="178"/>
    </row>
    <row r="306" spans="2:3">
      <c r="B306" s="177"/>
      <c r="C306" s="178"/>
    </row>
    <row r="307" spans="2:3">
      <c r="B307" s="177"/>
      <c r="C307" s="178"/>
    </row>
    <row r="308" spans="2:3">
      <c r="B308" s="177"/>
      <c r="C308" s="178"/>
    </row>
    <row r="309" spans="2:3">
      <c r="B309" s="177"/>
      <c r="C309" s="178"/>
    </row>
    <row r="310" spans="2:3">
      <c r="B310" s="177"/>
      <c r="C310" s="178"/>
    </row>
    <row r="311" spans="2:3">
      <c r="B311" s="177"/>
      <c r="C311" s="178"/>
    </row>
    <row r="312" spans="2:3">
      <c r="B312" s="177"/>
      <c r="C312" s="178"/>
    </row>
    <row r="313" spans="2:3">
      <c r="B313" s="177"/>
      <c r="C313" s="178"/>
    </row>
    <row r="314" spans="2:3">
      <c r="B314" s="177"/>
      <c r="C314" s="178"/>
    </row>
    <row r="315" spans="2:3">
      <c r="B315" s="177"/>
      <c r="C315" s="178"/>
    </row>
    <row r="316" spans="2:3">
      <c r="B316" s="177"/>
      <c r="C316" s="178"/>
    </row>
    <row r="317" spans="2:3">
      <c r="B317" s="177"/>
      <c r="C317" s="178"/>
    </row>
    <row r="318" spans="2:3">
      <c r="B318" s="177"/>
      <c r="C318" s="178"/>
    </row>
    <row r="319" spans="2:3">
      <c r="B319" s="177"/>
      <c r="C319" s="178"/>
    </row>
    <row r="320" spans="2:3">
      <c r="B320" s="177"/>
      <c r="C320" s="178"/>
    </row>
    <row r="321" spans="2:3">
      <c r="B321" s="177"/>
      <c r="C321" s="178"/>
    </row>
    <row r="322" spans="2:3">
      <c r="B322" s="177"/>
      <c r="C322" s="178"/>
    </row>
    <row r="323" spans="2:3">
      <c r="B323" s="177"/>
      <c r="C323" s="178"/>
    </row>
    <row r="324" spans="2:3">
      <c r="B324" s="177"/>
      <c r="C324" s="178"/>
    </row>
    <row r="325" spans="2:3">
      <c r="B325" s="177"/>
      <c r="C325" s="178"/>
    </row>
    <row r="326" spans="2:3">
      <c r="B326" s="177"/>
      <c r="C326" s="178"/>
    </row>
    <row r="327" spans="2:3">
      <c r="B327" s="177"/>
      <c r="C327" s="178"/>
    </row>
    <row r="328" spans="2:3">
      <c r="B328" s="177"/>
      <c r="C328" s="178"/>
    </row>
    <row r="329" spans="2:3">
      <c r="B329" s="177"/>
      <c r="C329" s="178"/>
    </row>
    <row r="330" spans="2:3">
      <c r="B330" s="177"/>
      <c r="C330" s="178"/>
    </row>
    <row r="331" spans="2:3">
      <c r="B331" s="177"/>
      <c r="C331" s="178"/>
    </row>
    <row r="332" spans="2:3">
      <c r="B332" s="177"/>
      <c r="C332" s="178"/>
    </row>
    <row r="333" spans="2:3">
      <c r="B333" s="177"/>
      <c r="C333" s="178"/>
    </row>
    <row r="334" spans="2:3">
      <c r="B334" s="177"/>
      <c r="C334" s="178"/>
    </row>
    <row r="335" spans="2:3">
      <c r="B335" s="177"/>
      <c r="C335" s="178"/>
    </row>
    <row r="336" spans="2:3">
      <c r="B336" s="177"/>
      <c r="C336" s="178"/>
    </row>
    <row r="337" spans="2:3">
      <c r="B337" s="177"/>
      <c r="C337" s="178"/>
    </row>
    <row r="338" spans="2:3">
      <c r="B338" s="177"/>
      <c r="C338" s="178"/>
    </row>
    <row r="339" spans="2:3">
      <c r="B339" s="177"/>
      <c r="C339" s="178"/>
    </row>
    <row r="340" spans="2:3">
      <c r="B340" s="177"/>
      <c r="C340" s="178"/>
    </row>
    <row r="341" spans="2:3">
      <c r="B341" s="177"/>
      <c r="C341" s="178"/>
    </row>
    <row r="342" spans="2:3">
      <c r="B342" s="180"/>
      <c r="C342" s="179"/>
    </row>
    <row r="343" spans="2:3">
      <c r="B343" s="180"/>
      <c r="C343" s="179"/>
    </row>
    <row r="344" spans="2:3">
      <c r="B344" s="177"/>
      <c r="C344" s="178"/>
    </row>
    <row r="345" spans="2:3">
      <c r="B345" s="177"/>
      <c r="C345" s="178"/>
    </row>
    <row r="346" spans="2:3">
      <c r="B346" s="180"/>
      <c r="C346" s="179"/>
    </row>
    <row r="347" spans="2:3">
      <c r="B347" s="177"/>
      <c r="C347" s="178"/>
    </row>
    <row r="348" spans="2:3">
      <c r="B348" s="511"/>
      <c r="C348" s="178"/>
    </row>
    <row r="349" spans="2:3">
      <c r="B349" s="180"/>
      <c r="C349" s="317"/>
    </row>
    <row r="350" spans="2:3">
      <c r="B350" s="177"/>
      <c r="C350" s="178"/>
    </row>
    <row r="351" spans="2:3">
      <c r="B351" s="177"/>
      <c r="C351" s="178"/>
    </row>
    <row r="352" spans="2:3">
      <c r="B352" s="177"/>
      <c r="C352" s="178"/>
    </row>
    <row r="353" spans="2:3">
      <c r="B353" s="177"/>
      <c r="C353" s="178"/>
    </row>
    <row r="354" spans="2:3">
      <c r="B354" s="177"/>
      <c r="C354" s="178"/>
    </row>
    <row r="355" spans="2:3">
      <c r="B355" s="177"/>
      <c r="C355" s="178"/>
    </row>
    <row r="356" spans="2:3">
      <c r="B356" s="177"/>
      <c r="C356" s="178"/>
    </row>
    <row r="357" spans="2:3">
      <c r="B357" s="177"/>
      <c r="C357" s="178"/>
    </row>
    <row r="358" spans="2:3">
      <c r="B358" s="177"/>
      <c r="C358" s="178"/>
    </row>
    <row r="359" spans="2:3">
      <c r="B359" s="180"/>
      <c r="C359" s="178"/>
    </row>
    <row r="360" spans="2:3">
      <c r="B360" s="321"/>
      <c r="C360" s="322"/>
    </row>
    <row r="361" spans="2:3">
      <c r="B361" s="177"/>
      <c r="C361" s="178"/>
    </row>
    <row r="362" spans="2:3">
      <c r="B362" s="177"/>
      <c r="C362" s="178"/>
    </row>
    <row r="363" spans="2:3">
      <c r="B363" s="177"/>
      <c r="C363" s="178"/>
    </row>
    <row r="364" spans="2:3">
      <c r="B364" s="177"/>
      <c r="C364" s="178"/>
    </row>
    <row r="365" spans="2:3">
      <c r="B365" s="177"/>
      <c r="C365" s="178"/>
    </row>
    <row r="366" spans="2:3">
      <c r="B366" s="177"/>
      <c r="C366" s="178"/>
    </row>
    <row r="367" spans="2:3">
      <c r="B367" s="177"/>
      <c r="C367" s="178"/>
    </row>
    <row r="368" spans="2:3">
      <c r="B368" s="177"/>
      <c r="C368" s="179"/>
    </row>
    <row r="369" spans="2:3">
      <c r="B369" s="177"/>
      <c r="C369" s="178"/>
    </row>
    <row r="370" spans="2:3">
      <c r="B370" s="177"/>
      <c r="C370" s="178"/>
    </row>
    <row r="371" spans="2:3">
      <c r="B371" s="177"/>
      <c r="C371" s="178"/>
    </row>
    <row r="372" spans="2:3">
      <c r="B372" s="177"/>
      <c r="C372" s="178"/>
    </row>
    <row r="373" spans="2:3">
      <c r="B373" s="177"/>
      <c r="C373" s="178"/>
    </row>
    <row r="374" spans="2:3">
      <c r="B374" s="177"/>
      <c r="C374" s="178"/>
    </row>
    <row r="375" spans="2:3">
      <c r="B375" s="177"/>
      <c r="C375" s="178"/>
    </row>
    <row r="376" spans="2:3">
      <c r="B376" s="177"/>
      <c r="C376" s="178"/>
    </row>
    <row r="377" spans="2:3">
      <c r="B377" s="177"/>
      <c r="C377" s="178"/>
    </row>
    <row r="378" spans="2:3">
      <c r="B378" s="177"/>
      <c r="C378" s="179"/>
    </row>
    <row r="379" spans="2:3">
      <c r="B379" s="177"/>
      <c r="C379" s="178"/>
    </row>
    <row r="380" spans="2:3">
      <c r="B380" s="177"/>
      <c r="C380" s="178"/>
    </row>
    <row r="381" spans="2:3">
      <c r="B381" s="177"/>
      <c r="C381" s="178"/>
    </row>
    <row r="382" spans="2:3">
      <c r="B382" s="177"/>
      <c r="C382" s="178"/>
    </row>
    <row r="383" spans="2:3">
      <c r="B383" s="177"/>
      <c r="C383" s="178"/>
    </row>
    <row r="384" spans="2:3">
      <c r="B384" s="177"/>
      <c r="C384" s="178"/>
    </row>
    <row r="385" spans="2:3">
      <c r="B385" s="177"/>
      <c r="C385" s="178"/>
    </row>
    <row r="386" spans="2:3">
      <c r="B386" s="177"/>
      <c r="C386" s="178"/>
    </row>
    <row r="387" spans="2:3">
      <c r="B387" s="177"/>
      <c r="C387" s="178"/>
    </row>
    <row r="388" spans="2:3">
      <c r="B388" s="177"/>
      <c r="C388" s="178"/>
    </row>
    <row r="389" spans="2:3">
      <c r="B389" s="177"/>
      <c r="C389" s="178"/>
    </row>
    <row r="390" spans="2:3">
      <c r="B390" s="177"/>
      <c r="C390" s="178"/>
    </row>
    <row r="391" spans="2:3">
      <c r="B391" s="177"/>
      <c r="C391" s="178"/>
    </row>
    <row r="392" spans="2:3">
      <c r="B392" s="177"/>
      <c r="C392" s="178"/>
    </row>
    <row r="393" spans="2:3">
      <c r="B393" s="177"/>
      <c r="C393" s="179"/>
    </row>
    <row r="394" spans="2:3">
      <c r="B394" s="177"/>
      <c r="C394" s="178"/>
    </row>
    <row r="395" spans="2:3">
      <c r="B395" s="177"/>
      <c r="C395" s="178"/>
    </row>
    <row r="396" spans="2:3">
      <c r="B396" s="177"/>
      <c r="C396" s="179"/>
    </row>
    <row r="397" spans="2:3">
      <c r="B397" s="177"/>
      <c r="C397" s="178"/>
    </row>
    <row r="398" spans="2:3">
      <c r="B398" s="177"/>
      <c r="C398" s="179"/>
    </row>
    <row r="399" spans="2:3">
      <c r="B399" s="177"/>
      <c r="C399" s="179"/>
    </row>
    <row r="400" spans="2:3">
      <c r="B400" s="177"/>
      <c r="C400" s="178"/>
    </row>
    <row r="401" spans="2:3">
      <c r="B401" s="177"/>
      <c r="C401" s="178"/>
    </row>
    <row r="402" spans="2:3">
      <c r="B402" s="177"/>
      <c r="C402" s="178"/>
    </row>
    <row r="403" spans="2:3">
      <c r="B403" s="177"/>
      <c r="C403" s="323"/>
    </row>
    <row r="404" spans="2:3">
      <c r="B404" s="177"/>
      <c r="C404" s="178"/>
    </row>
    <row r="405" spans="2:3">
      <c r="B405" s="177"/>
      <c r="C405" s="179"/>
    </row>
    <row r="406" spans="2:3">
      <c r="B406" s="177"/>
      <c r="C406" s="178"/>
    </row>
    <row r="407" spans="2:3">
      <c r="B407" s="177"/>
      <c r="C407" s="179"/>
    </row>
    <row r="408" spans="2:3">
      <c r="B408" s="177"/>
      <c r="C408" s="178"/>
    </row>
    <row r="409" spans="2:3">
      <c r="B409" s="177"/>
      <c r="C409" s="178"/>
    </row>
    <row r="410" spans="2:3">
      <c r="B410" s="177"/>
      <c r="C410" s="179"/>
    </row>
    <row r="411" spans="2:3">
      <c r="B411" s="177"/>
      <c r="C411" s="178"/>
    </row>
    <row r="412" spans="2:3">
      <c r="B412" s="177"/>
      <c r="C412" s="179"/>
    </row>
    <row r="413" spans="2:3">
      <c r="B413" s="177"/>
      <c r="C413" s="178"/>
    </row>
    <row r="414" spans="2:3">
      <c r="B414" s="177"/>
      <c r="C414" s="179"/>
    </row>
    <row r="415" spans="2:3">
      <c r="B415" s="177"/>
      <c r="C415" s="179"/>
    </row>
    <row r="416" spans="2:3">
      <c r="B416" s="177"/>
      <c r="C416" s="178"/>
    </row>
    <row r="417" spans="2:3">
      <c r="B417" s="177"/>
      <c r="C417" s="178"/>
    </row>
    <row r="418" spans="2:3">
      <c r="B418" s="321"/>
      <c r="C418" s="322"/>
    </row>
    <row r="419" spans="2:3">
      <c r="B419" s="177"/>
      <c r="C419" s="178"/>
    </row>
    <row r="420" spans="2:3">
      <c r="B420" s="177"/>
      <c r="C420" s="178"/>
    </row>
    <row r="421" spans="2:3">
      <c r="B421" s="177"/>
      <c r="C421" s="178"/>
    </row>
    <row r="422" spans="2:3">
      <c r="B422" s="177"/>
      <c r="C422" s="178"/>
    </row>
    <row r="423" spans="2:3">
      <c r="B423" s="177"/>
      <c r="C423" s="178"/>
    </row>
    <row r="424" spans="2:3">
      <c r="B424" s="177"/>
      <c r="C424" s="178"/>
    </row>
    <row r="425" spans="2:3">
      <c r="B425" s="177"/>
      <c r="C425" s="178"/>
    </row>
    <row r="426" spans="2:3">
      <c r="B426" s="177"/>
      <c r="C426" s="178"/>
    </row>
    <row r="427" spans="2:3">
      <c r="B427" s="177"/>
      <c r="C427" s="178"/>
    </row>
    <row r="428" spans="2:3">
      <c r="B428" s="177"/>
      <c r="C428" s="178"/>
    </row>
    <row r="429" spans="2:3">
      <c r="B429" s="177"/>
      <c r="C429" s="178"/>
    </row>
    <row r="430" spans="2:3">
      <c r="B430" s="177"/>
      <c r="C430" s="178"/>
    </row>
    <row r="431" spans="2:3">
      <c r="B431" s="177"/>
      <c r="C431" s="178"/>
    </row>
    <row r="432" spans="2:3">
      <c r="B432" s="177"/>
      <c r="C432" s="178"/>
    </row>
    <row r="433" spans="2:3">
      <c r="B433" s="177"/>
      <c r="C433" s="178"/>
    </row>
    <row r="434" spans="2:3">
      <c r="B434" s="177"/>
      <c r="C434" s="178"/>
    </row>
    <row r="435" spans="2:3">
      <c r="B435" s="177"/>
      <c r="C435" s="179"/>
    </row>
    <row r="436" spans="2:3">
      <c r="B436" s="177"/>
      <c r="C436" s="178"/>
    </row>
    <row r="437" spans="2:3">
      <c r="B437" s="177"/>
      <c r="C437" s="179"/>
    </row>
    <row r="438" spans="2:3">
      <c r="B438" s="180"/>
      <c r="C438" s="179"/>
    </row>
    <row r="439" spans="2:3">
      <c r="B439" s="177"/>
      <c r="C439" s="178"/>
    </row>
    <row r="440" spans="2:3">
      <c r="B440" s="177"/>
      <c r="C440" s="178"/>
    </row>
    <row r="441" spans="2:3">
      <c r="B441" s="177"/>
      <c r="C441" s="178"/>
    </row>
    <row r="442" spans="2:3">
      <c r="B442" s="177"/>
      <c r="C442" s="178"/>
    </row>
    <row r="443" spans="2:3">
      <c r="B443" s="177"/>
      <c r="C443" s="178"/>
    </row>
    <row r="444" spans="2:3">
      <c r="B444" s="177"/>
      <c r="C444" s="178"/>
    </row>
    <row r="445" spans="2:3">
      <c r="B445" s="177"/>
      <c r="C445" s="179"/>
    </row>
    <row r="446" spans="2:3">
      <c r="B446" s="177"/>
      <c r="C446" s="178"/>
    </row>
    <row r="447" spans="2:3">
      <c r="B447" s="177"/>
      <c r="C447" s="179"/>
    </row>
    <row r="448" spans="2:3">
      <c r="B448" s="177"/>
      <c r="C448" s="178"/>
    </row>
    <row r="449" spans="2:3">
      <c r="B449" s="177"/>
      <c r="C449" s="178"/>
    </row>
    <row r="450" spans="2:3">
      <c r="B450" s="177"/>
      <c r="C450" s="178"/>
    </row>
    <row r="451" spans="2:3">
      <c r="B451" s="177"/>
      <c r="C451" s="178"/>
    </row>
    <row r="452" spans="2:3">
      <c r="B452" s="177"/>
      <c r="C452" s="178"/>
    </row>
    <row r="453" spans="2:3">
      <c r="B453" s="177"/>
      <c r="C453" s="178"/>
    </row>
    <row r="454" spans="2:3">
      <c r="B454" s="177"/>
      <c r="C454" s="178"/>
    </row>
    <row r="455" spans="2:3">
      <c r="B455" s="177"/>
      <c r="C455" s="178"/>
    </row>
    <row r="456" spans="2:3">
      <c r="B456" s="177"/>
      <c r="C456" s="178"/>
    </row>
    <row r="457" spans="2:3">
      <c r="B457" s="180"/>
      <c r="C457" s="178"/>
    </row>
    <row r="458" spans="2:3">
      <c r="B458" s="180"/>
      <c r="C458" s="181"/>
    </row>
    <row r="459" spans="2:3">
      <c r="B459" s="177"/>
      <c r="C459" s="179"/>
    </row>
    <row r="460" spans="2:3">
      <c r="B460" s="177"/>
      <c r="C460" s="178"/>
    </row>
    <row r="461" spans="2:3">
      <c r="B461" s="177"/>
      <c r="C461" s="178"/>
    </row>
    <row r="462" spans="2:3">
      <c r="B462" s="177"/>
      <c r="C462" s="178"/>
    </row>
    <row r="463" spans="2:3">
      <c r="B463" s="180"/>
      <c r="C463" s="179"/>
    </row>
    <row r="464" spans="2:3">
      <c r="B464" s="177"/>
      <c r="C464" s="178"/>
    </row>
    <row r="465" spans="2:3">
      <c r="B465" s="177"/>
      <c r="C465" s="178"/>
    </row>
    <row r="466" spans="2:3">
      <c r="B466" s="177"/>
      <c r="C466" s="178"/>
    </row>
    <row r="467" spans="2:3">
      <c r="B467" s="511"/>
      <c r="C467" s="178"/>
    </row>
    <row r="468" spans="2:3">
      <c r="B468" s="376"/>
      <c r="C468" s="178"/>
    </row>
    <row r="469" spans="2:3">
      <c r="B469" s="177"/>
      <c r="C469" s="178"/>
    </row>
    <row r="470" spans="2:3">
      <c r="B470" s="177"/>
      <c r="C470" s="178"/>
    </row>
    <row r="471" spans="2:3">
      <c r="B471" s="177"/>
      <c r="C471" s="178"/>
    </row>
    <row r="472" spans="2:3">
      <c r="B472" s="177"/>
      <c r="C472" s="178"/>
    </row>
    <row r="473" spans="2:3">
      <c r="B473" s="177"/>
      <c r="C473" s="178"/>
    </row>
    <row r="474" spans="2:3">
      <c r="B474" s="177"/>
      <c r="C474" s="178"/>
    </row>
    <row r="475" spans="2:3">
      <c r="B475" s="177"/>
      <c r="C475" s="178"/>
    </row>
    <row r="476" spans="2:3">
      <c r="B476" s="177"/>
      <c r="C476" s="178"/>
    </row>
    <row r="477" spans="2:3">
      <c r="B477" s="177"/>
      <c r="C477" s="178"/>
    </row>
    <row r="478" spans="2:3">
      <c r="B478" s="177"/>
      <c r="C478" s="178"/>
    </row>
    <row r="479" spans="2:3">
      <c r="B479" s="177"/>
      <c r="C479" s="178"/>
    </row>
    <row r="480" spans="2:3">
      <c r="B480" s="177"/>
      <c r="C480" s="179"/>
    </row>
    <row r="481" spans="2:3">
      <c r="B481" s="177"/>
      <c r="C481" s="178"/>
    </row>
    <row r="482" spans="2:3">
      <c r="B482" s="177"/>
      <c r="C482" s="178"/>
    </row>
    <row r="483" spans="2:3">
      <c r="B483" s="177"/>
      <c r="C483" s="179"/>
    </row>
    <row r="484" spans="2:3">
      <c r="B484" s="180"/>
      <c r="C484" s="178"/>
    </row>
    <row r="485" spans="2:3">
      <c r="B485" s="177"/>
      <c r="C485" s="178"/>
    </row>
    <row r="486" spans="2:3">
      <c r="B486" s="177"/>
      <c r="C486" s="178"/>
    </row>
    <row r="487" spans="2:3">
      <c r="B487" s="177"/>
      <c r="C487" s="178"/>
    </row>
    <row r="488" spans="2:3">
      <c r="B488" s="177"/>
      <c r="C488" s="178"/>
    </row>
    <row r="489" spans="2:3">
      <c r="B489" s="180"/>
      <c r="C489" s="178"/>
    </row>
    <row r="490" spans="2:3">
      <c r="B490" s="177"/>
      <c r="C490" s="178"/>
    </row>
    <row r="491" spans="2:3">
      <c r="B491" s="177"/>
      <c r="C491" s="178"/>
    </row>
    <row r="492" spans="2:3">
      <c r="B492" s="180"/>
      <c r="C492" s="178"/>
    </row>
    <row r="493" spans="2:3">
      <c r="B493" s="177"/>
      <c r="C493" s="178"/>
    </row>
    <row r="494" spans="2:3">
      <c r="B494" s="320"/>
      <c r="C494" s="181"/>
    </row>
    <row r="495" spans="2:3">
      <c r="B495" s="511"/>
      <c r="C495" s="178"/>
    </row>
    <row r="496" spans="2:3">
      <c r="B496" s="177"/>
      <c r="C496" s="178"/>
    </row>
    <row r="497" spans="2:3">
      <c r="B497" s="180"/>
      <c r="C497" s="178"/>
    </row>
    <row r="498" spans="2:3">
      <c r="B498" s="177"/>
      <c r="C498" s="178"/>
    </row>
    <row r="499" spans="2:3">
      <c r="B499" s="177"/>
      <c r="C499" s="178"/>
    </row>
    <row r="500" spans="2:3">
      <c r="B500" s="177"/>
      <c r="C500" s="178"/>
    </row>
    <row r="501" spans="2:3">
      <c r="B501" s="177"/>
      <c r="C501" s="178"/>
    </row>
    <row r="502" spans="2:3">
      <c r="B502" s="177"/>
      <c r="C502" s="178"/>
    </row>
    <row r="503" spans="2:3">
      <c r="B503" s="177"/>
      <c r="C503" s="179"/>
    </row>
    <row r="504" spans="2:3">
      <c r="B504" s="177"/>
      <c r="C504" s="178"/>
    </row>
    <row r="505" spans="2:3">
      <c r="B505" s="177"/>
      <c r="C505" s="178"/>
    </row>
    <row r="506" spans="2:3">
      <c r="B506" s="177"/>
      <c r="C506" s="178"/>
    </row>
    <row r="507" spans="2:3">
      <c r="B507" s="177"/>
      <c r="C507" s="178"/>
    </row>
    <row r="508" spans="2:3">
      <c r="B508" s="177"/>
      <c r="C508" s="178"/>
    </row>
    <row r="509" spans="2:3">
      <c r="B509" s="177"/>
      <c r="C509" s="179"/>
    </row>
    <row r="510" spans="2:3">
      <c r="B510" s="177"/>
      <c r="C510" s="178"/>
    </row>
    <row r="511" spans="2:3">
      <c r="B511" s="177"/>
      <c r="C511" s="178"/>
    </row>
    <row r="512" spans="2:3">
      <c r="B512" s="177"/>
      <c r="C512" s="178"/>
    </row>
    <row r="513" spans="2:3">
      <c r="B513" s="177"/>
      <c r="C513" s="178"/>
    </row>
    <row r="514" spans="2:3">
      <c r="B514" s="177"/>
      <c r="C514" s="178"/>
    </row>
    <row r="515" spans="2:3">
      <c r="B515" s="180"/>
      <c r="C515" s="317"/>
    </row>
    <row r="516" spans="2:3">
      <c r="B516" s="177"/>
      <c r="C516" s="178"/>
    </row>
    <row r="517" spans="2:3">
      <c r="B517" s="177"/>
      <c r="C517" s="178"/>
    </row>
    <row r="518" spans="2:3">
      <c r="B518" s="177"/>
      <c r="C518" s="178"/>
    </row>
    <row r="519" spans="2:3">
      <c r="B519" s="177"/>
      <c r="C519" s="178"/>
    </row>
    <row r="520" spans="2:3">
      <c r="B520" s="177"/>
      <c r="C520" s="178"/>
    </row>
    <row r="521" spans="2:3">
      <c r="B521" s="177"/>
      <c r="C521" s="178"/>
    </row>
    <row r="522" spans="2:3">
      <c r="B522" s="177"/>
      <c r="C522" s="178"/>
    </row>
    <row r="523" spans="2:3">
      <c r="B523" s="177"/>
      <c r="C523" s="179"/>
    </row>
    <row r="524" spans="2:3">
      <c r="B524" s="177"/>
      <c r="C524" s="178"/>
    </row>
    <row r="525" spans="2:3">
      <c r="B525" s="177"/>
      <c r="C525" s="178"/>
    </row>
    <row r="526" spans="2:3">
      <c r="B526" s="177"/>
      <c r="C526" s="179"/>
    </row>
    <row r="527" spans="2:3" ht="15" thickBot="1">
      <c r="B527" s="515"/>
      <c r="C527" s="324"/>
    </row>
    <row r="528" spans="2:3">
      <c r="B528" s="516"/>
      <c r="C528" s="519"/>
    </row>
    <row r="529" spans="2:3">
      <c r="B529" s="513"/>
      <c r="C529" s="377"/>
    </row>
    <row r="530" spans="2:3">
      <c r="B530" s="513"/>
      <c r="C530" s="518"/>
    </row>
    <row r="531" spans="2:3">
      <c r="B531" s="513"/>
      <c r="C531" s="518"/>
    </row>
    <row r="532" spans="2:3">
      <c r="B532" s="513"/>
      <c r="C532" s="518"/>
    </row>
    <row r="533" spans="2:3">
      <c r="B533" s="513"/>
      <c r="C533" s="518"/>
    </row>
    <row r="534" spans="2:3" ht="15" thickBot="1">
      <c r="B534" s="517"/>
      <c r="C534" s="520"/>
    </row>
    <row r="535" spans="2:3">
      <c r="B535" s="512"/>
      <c r="C535" s="325"/>
    </row>
    <row r="536" spans="2:3">
      <c r="B536" s="512"/>
      <c r="C536" s="325"/>
    </row>
    <row r="537" spans="2:3">
      <c r="B537" s="512"/>
      <c r="C537" s="325"/>
    </row>
    <row r="538" spans="2:3">
      <c r="B538" s="512"/>
      <c r="C538" s="325"/>
    </row>
    <row r="539" spans="2:3">
      <c r="B539" s="512"/>
      <c r="C539" s="325"/>
    </row>
    <row r="540" spans="2:3" ht="15" thickBot="1">
      <c r="B540" s="514"/>
      <c r="C540" s="326"/>
    </row>
  </sheetData>
  <autoFilter ref="B2:C540">
    <sortState ref="B3:C540">
      <sortCondition ref="B2:B540"/>
    </sortState>
  </autoFilter>
  <mergeCells count="1">
    <mergeCell ref="B1:C1"/>
  </mergeCells>
  <phoneticPr fontId="23" type="noConversion"/>
  <pageMargins left="0.78740157499999996" right="0.78740157499999996" top="0.984251969" bottom="0.984251969" header="0.4921259845" footer="0.4921259845"/>
  <headerFooter alignWithMargins="0"/>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5"/>
  <dimension ref="A1:HQ96"/>
  <sheetViews>
    <sheetView showZeros="0" zoomScale="70" zoomScaleNormal="70" workbookViewId="0">
      <selection activeCell="E88" sqref="E88"/>
    </sheetView>
  </sheetViews>
  <sheetFormatPr baseColWidth="10" defaultColWidth="25.33203125" defaultRowHeight="14.4"/>
  <cols>
    <col min="1" max="1" width="27.6640625" customWidth="1"/>
    <col min="2" max="4" width="25.6640625" customWidth="1"/>
    <col min="5" max="5" width="25.6640625" style="200" customWidth="1"/>
    <col min="6" max="7" width="25.6640625" customWidth="1"/>
    <col min="8" max="8" width="39.44140625" customWidth="1"/>
    <col min="9" max="11" width="25.6640625" customWidth="1"/>
    <col min="12" max="12" width="29.5546875" customWidth="1"/>
    <col min="13" max="13" width="25.6640625" customWidth="1"/>
    <col min="14" max="14" width="29.88671875" customWidth="1"/>
    <col min="15" max="15" width="25.6640625" customWidth="1"/>
    <col min="16" max="92" width="30.6640625" customWidth="1"/>
    <col min="93" max="93" width="30" customWidth="1"/>
    <col min="94" max="94" width="28" customWidth="1"/>
    <col min="95" max="95" width="34.33203125" customWidth="1"/>
    <col min="96" max="96" width="18.44140625" customWidth="1"/>
  </cols>
  <sheetData>
    <row r="1" spans="2:54" s="140" customFormat="1" ht="20.100000000000001" customHeight="1">
      <c r="B1" s="154" t="s">
        <v>413</v>
      </c>
      <c r="C1" s="132"/>
      <c r="D1" s="133"/>
      <c r="E1" s="133"/>
      <c r="F1" s="134"/>
      <c r="G1" s="135"/>
      <c r="H1" s="136"/>
      <c r="I1" s="137"/>
      <c r="J1" s="137"/>
      <c r="K1" s="137"/>
      <c r="L1" s="137"/>
      <c r="M1" s="137"/>
      <c r="N1" s="137"/>
      <c r="O1" s="137"/>
      <c r="P1" s="137"/>
      <c r="Q1" s="137"/>
      <c r="R1" s="137"/>
      <c r="S1" s="137"/>
      <c r="T1" s="137"/>
      <c r="U1" s="137"/>
      <c r="V1" s="137"/>
      <c r="W1" s="137"/>
      <c r="X1" s="137"/>
      <c r="Y1" s="138"/>
    </row>
    <row r="2" spans="2:54" s="140" customFormat="1" ht="15.75" customHeight="1" thickBot="1">
      <c r="B2" s="141"/>
      <c r="C2" s="132"/>
      <c r="D2" s="133"/>
      <c r="E2" s="133"/>
      <c r="F2" s="134"/>
      <c r="G2" s="136"/>
      <c r="H2" s="136"/>
      <c r="I2" s="137"/>
      <c r="J2" s="137"/>
      <c r="K2" s="137"/>
      <c r="L2" s="137"/>
      <c r="M2" s="137"/>
      <c r="N2" s="137"/>
      <c r="O2" s="137"/>
      <c r="P2" s="137"/>
      <c r="Q2" s="137"/>
      <c r="R2" s="137"/>
      <c r="S2" s="137"/>
      <c r="T2" s="137"/>
      <c r="U2" s="137"/>
      <c r="V2" s="137"/>
      <c r="W2" s="137"/>
      <c r="X2" s="137"/>
      <c r="Y2" s="138"/>
    </row>
    <row r="3" spans="2:54" s="150" customFormat="1" ht="52.5" customHeight="1">
      <c r="B3" s="142" t="s">
        <v>437</v>
      </c>
      <c r="C3" s="144" t="s">
        <v>382</v>
      </c>
      <c r="D3" s="142" t="s">
        <v>381</v>
      </c>
      <c r="E3" s="146" t="s">
        <v>387</v>
      </c>
      <c r="F3" s="143"/>
      <c r="G3" s="145"/>
      <c r="H3" s="145"/>
      <c r="I3" s="145" t="s">
        <v>808</v>
      </c>
      <c r="J3" s="146" t="s">
        <v>383</v>
      </c>
      <c r="K3" s="147" t="s">
        <v>384</v>
      </c>
      <c r="L3" s="145" t="s">
        <v>808</v>
      </c>
      <c r="M3" s="146" t="s">
        <v>388</v>
      </c>
      <c r="N3" s="146" t="s">
        <v>399</v>
      </c>
      <c r="O3" s="146" t="s">
        <v>400</v>
      </c>
      <c r="AE3" s="142" t="s">
        <v>417</v>
      </c>
      <c r="AO3" s="148" t="s">
        <v>385</v>
      </c>
      <c r="AP3" s="149" t="s">
        <v>386</v>
      </c>
      <c r="AS3" s="146" t="s">
        <v>389</v>
      </c>
      <c r="AT3" s="146" t="s">
        <v>390</v>
      </c>
      <c r="AU3" s="146" t="s">
        <v>391</v>
      </c>
      <c r="AV3" s="146" t="s">
        <v>392</v>
      </c>
      <c r="AW3" s="146" t="s">
        <v>393</v>
      </c>
      <c r="AX3" s="146" t="s">
        <v>394</v>
      </c>
      <c r="AY3" s="146" t="s">
        <v>395</v>
      </c>
      <c r="AZ3" s="146" t="s">
        <v>396</v>
      </c>
      <c r="BA3" s="146" t="s">
        <v>397</v>
      </c>
      <c r="BB3" s="146" t="s">
        <v>398</v>
      </c>
    </row>
    <row r="4" spans="2:54" s="151" customFormat="1" ht="29.25" customHeight="1">
      <c r="B4" s="439" t="s">
        <v>437</v>
      </c>
      <c r="C4" s="433" t="s">
        <v>382</v>
      </c>
      <c r="D4" s="423" t="s">
        <v>401</v>
      </c>
      <c r="E4" s="427" t="s">
        <v>405</v>
      </c>
      <c r="F4" s="431"/>
      <c r="G4" s="435"/>
      <c r="H4" s="435"/>
      <c r="I4" s="586" t="s">
        <v>809</v>
      </c>
      <c r="J4" s="427" t="s">
        <v>402</v>
      </c>
      <c r="K4" s="435" t="s">
        <v>403</v>
      </c>
      <c r="L4" s="586" t="s">
        <v>809</v>
      </c>
      <c r="M4" s="425" t="s">
        <v>388</v>
      </c>
      <c r="N4" s="427" t="s">
        <v>410</v>
      </c>
      <c r="O4" s="429" t="s">
        <v>411</v>
      </c>
      <c r="AE4" s="588" t="s">
        <v>417</v>
      </c>
      <c r="AO4" s="437" t="s">
        <v>404</v>
      </c>
      <c r="AP4" s="438"/>
      <c r="AS4" s="427" t="s">
        <v>406</v>
      </c>
      <c r="AT4" s="425" t="s">
        <v>390</v>
      </c>
      <c r="AU4" s="425" t="s">
        <v>391</v>
      </c>
      <c r="AV4" s="425" t="s">
        <v>392</v>
      </c>
      <c r="AW4" s="425" t="s">
        <v>393</v>
      </c>
      <c r="AX4" s="425" t="s">
        <v>394</v>
      </c>
      <c r="AY4" s="425" t="s">
        <v>395</v>
      </c>
      <c r="AZ4" s="427" t="s">
        <v>407</v>
      </c>
      <c r="BA4" s="427" t="s">
        <v>408</v>
      </c>
      <c r="BB4" s="427" t="s">
        <v>409</v>
      </c>
    </row>
    <row r="5" spans="2:54" s="150" customFormat="1" ht="10.8" thickBot="1">
      <c r="B5" s="440"/>
      <c r="C5" s="434"/>
      <c r="D5" s="424"/>
      <c r="E5" s="428"/>
      <c r="F5" s="432"/>
      <c r="G5" s="436"/>
      <c r="H5" s="436"/>
      <c r="I5" s="587"/>
      <c r="J5" s="428"/>
      <c r="K5" s="436"/>
      <c r="L5" s="587"/>
      <c r="M5" s="426"/>
      <c r="N5" s="428"/>
      <c r="O5" s="430"/>
      <c r="AE5" s="589"/>
      <c r="AO5" s="152" t="s">
        <v>385</v>
      </c>
      <c r="AP5" s="153" t="s">
        <v>386</v>
      </c>
      <c r="AS5" s="428"/>
      <c r="AT5" s="426"/>
      <c r="AU5" s="426"/>
      <c r="AV5" s="426"/>
      <c r="AW5" s="426"/>
      <c r="AX5" s="426"/>
      <c r="AY5" s="426"/>
      <c r="AZ5" s="428"/>
      <c r="BA5" s="428"/>
      <c r="BB5" s="428"/>
    </row>
    <row r="6" spans="2:54" ht="15" customHeight="1" thickBot="1">
      <c r="E6"/>
    </row>
    <row r="7" spans="2:54" ht="29.4" thickTop="1">
      <c r="B7" s="4" t="s">
        <v>437</v>
      </c>
      <c r="C7" s="4" t="s">
        <v>382</v>
      </c>
      <c r="D7" s="4" t="s">
        <v>401</v>
      </c>
      <c r="E7" s="4" t="str">
        <f>'1. IDENTITÉ'!A10</f>
        <v>Ministère ou organisme :</v>
      </c>
      <c r="F7" s="442" t="s">
        <v>807</v>
      </c>
      <c r="G7" s="445" t="s">
        <v>811</v>
      </c>
      <c r="H7" s="444" t="s">
        <v>812</v>
      </c>
      <c r="I7" s="442" t="s">
        <v>809</v>
      </c>
      <c r="J7" s="4" t="str">
        <f>DH32</f>
        <v>Superficie</v>
      </c>
      <c r="K7" s="4" t="str">
        <f>DI32</f>
        <v>Nombre de bâtiments</v>
      </c>
      <c r="L7" s="443" t="s">
        <v>810</v>
      </c>
      <c r="M7" s="4" t="str">
        <f>'1. IDENTITÉ'!A13</f>
        <v>Catégorie :</v>
      </c>
      <c r="N7" s="4" t="str">
        <f>'1. IDENTITÉ'!A24</f>
        <v>Intensité énergétique minimale :</v>
      </c>
      <c r="O7" s="4" t="str">
        <f>'1. IDENTITÉ'!A25</f>
        <v>Intensité énergétique maximale :</v>
      </c>
      <c r="AE7" s="4" t="s">
        <v>437</v>
      </c>
      <c r="AO7" s="4" t="s">
        <v>385</v>
      </c>
      <c r="AP7" s="4" t="s">
        <v>386</v>
      </c>
      <c r="AS7" s="4" t="str">
        <f>'1. IDENTITÉ'!A14</f>
        <v>Nom de la personne responsable :</v>
      </c>
      <c r="AT7" s="4" t="str">
        <f>'1. IDENTITÉ'!A15</f>
        <v>Titre :</v>
      </c>
      <c r="AU7" s="4" t="str">
        <f>'1. IDENTITÉ'!A16</f>
        <v>Adresse :</v>
      </c>
      <c r="AV7" s="4" t="str">
        <f>'1. IDENTITÉ'!A17</f>
        <v>Ville :</v>
      </c>
      <c r="AW7" s="4" t="str">
        <f>'1. IDENTITÉ'!A18</f>
        <v>Téléphone :</v>
      </c>
      <c r="AX7" s="4" t="str">
        <f>'1. IDENTITÉ'!A19</f>
        <v>Courriel :</v>
      </c>
      <c r="AY7" s="4" t="str">
        <f>'1. IDENTITÉ'!A20</f>
        <v>Date :</v>
      </c>
      <c r="AZ7" s="4" t="str">
        <f>'1. IDENTITÉ'!A21</f>
        <v>Année financière :</v>
      </c>
      <c r="BA7" s="4" t="str">
        <f>'1. IDENTITÉ'!A22</f>
        <v>Année de référence :</v>
      </c>
      <c r="BB7" s="4" t="str">
        <f>'1. IDENTITÉ'!A23</f>
        <v>Facteur de consommation variable :</v>
      </c>
    </row>
    <row r="8" spans="2:54" s="140" customFormat="1" ht="13.5" customHeight="1">
      <c r="B8" s="159" t="str">
        <f>IF('1. IDENTITÉ'!$B$11&lt;&gt;0,'1. IDENTITÉ'!$B$11,IF(ISERROR(VLOOKUP(Transition!E8,ListeMO!$B$3:$C$133,2,FALSE)),"",VLOOKUP(Transition!E8,ListeMO!$B$3:$C$133,2,FALSE)))</f>
        <v/>
      </c>
      <c r="C8" s="159" t="str">
        <f t="shared" ref="C8:C28" si="0">B41</f>
        <v>2009-2010</v>
      </c>
      <c r="D8" s="159">
        <f>'1. IDENTITÉ'!$B$12</f>
        <v>0</v>
      </c>
      <c r="E8" s="159" t="str">
        <f>'1. IDENTITÉ'!$B$10</f>
        <v>NOM DE L'ENTITÉ</v>
      </c>
      <c r="F8" s="159"/>
      <c r="G8" s="159"/>
      <c r="H8" s="159"/>
      <c r="I8" s="159"/>
      <c r="J8" s="159">
        <f t="shared" ref="J8:J28" si="1">DH41</f>
        <v>0</v>
      </c>
      <c r="K8" s="159">
        <f t="shared" ref="K8:K28" si="2">DI41</f>
        <v>0</v>
      </c>
      <c r="L8" s="159"/>
      <c r="M8" s="159">
        <f>'1. IDENTITÉ'!$B$13</f>
        <v>0</v>
      </c>
      <c r="N8" s="164">
        <f>'1. IDENTITÉ'!$B$24</f>
        <v>0</v>
      </c>
      <c r="O8" s="164">
        <f>'1. IDENTITÉ'!$B$25</f>
        <v>0</v>
      </c>
      <c r="AE8" s="211" t="str">
        <f t="shared" ref="AE8:AE28" si="3">CONCATENATE(B8,"-",C8)</f>
        <v>-2009-2010</v>
      </c>
      <c r="AO8" s="159" t="s">
        <v>414</v>
      </c>
      <c r="AP8" s="159"/>
      <c r="AS8" s="159">
        <f>'1. IDENTITÉ'!$B$14</f>
        <v>0</v>
      </c>
      <c r="AT8" s="159">
        <f>'1. IDENTITÉ'!$B$15</f>
        <v>0</v>
      </c>
      <c r="AU8" s="159">
        <f>'1. IDENTITÉ'!$B$16</f>
        <v>0</v>
      </c>
      <c r="AV8" s="173">
        <f>'1. IDENTITÉ'!$B$17</f>
        <v>0</v>
      </c>
      <c r="AW8" s="159">
        <f>'1. IDENTITÉ'!$B$18</f>
        <v>0</v>
      </c>
      <c r="AX8" s="161">
        <f>'1. IDENTITÉ'!$B$19</f>
        <v>0</v>
      </c>
      <c r="AY8" s="159">
        <f>'1. IDENTITÉ'!$B$20</f>
        <v>0</v>
      </c>
      <c r="AZ8" s="172" t="str">
        <f>'1. IDENTITÉ'!$B$21</f>
        <v>avril-mars</v>
      </c>
      <c r="BA8" s="162">
        <f>'1. IDENTITÉ'!$B$22</f>
        <v>0</v>
      </c>
      <c r="BB8" s="163">
        <f>'1. IDENTITÉ'!$B$23</f>
        <v>0.35</v>
      </c>
    </row>
    <row r="9" spans="2:54" ht="15.75" customHeight="1">
      <c r="B9" s="159" t="str">
        <f>IF('1. IDENTITÉ'!$B$11&lt;&gt;0,'1. IDENTITÉ'!$B$11,IF(ISERROR(VLOOKUP(Transition!E9,ListeMO!$B$3:$C$133,2,FALSE)),"",VLOOKUP(Transition!E9,ListeMO!$B$3:$C$133,2,FALSE)))</f>
        <v/>
      </c>
      <c r="C9" s="159" t="str">
        <f t="shared" si="0"/>
        <v>2010-2011</v>
      </c>
      <c r="D9" s="159">
        <f>'1. IDENTITÉ'!$B$12</f>
        <v>0</v>
      </c>
      <c r="E9" s="159" t="str">
        <f>'1. IDENTITÉ'!$B$10</f>
        <v>NOM DE L'ENTITÉ</v>
      </c>
      <c r="F9" s="159"/>
      <c r="G9" s="159"/>
      <c r="H9" s="159"/>
      <c r="I9" s="159"/>
      <c r="J9" s="159">
        <f t="shared" si="1"/>
        <v>0</v>
      </c>
      <c r="K9" s="159">
        <f t="shared" si="2"/>
        <v>0</v>
      </c>
      <c r="L9" s="159"/>
      <c r="M9" s="159">
        <f>'1. IDENTITÉ'!$B$13</f>
        <v>0</v>
      </c>
      <c r="N9" s="164">
        <f>'1. IDENTITÉ'!$B$24</f>
        <v>0</v>
      </c>
      <c r="O9" s="164">
        <f>'1. IDENTITÉ'!$B$25</f>
        <v>0</v>
      </c>
      <c r="AE9" s="211" t="str">
        <f t="shared" si="3"/>
        <v>-2010-2011</v>
      </c>
      <c r="AO9" s="159" t="s">
        <v>414</v>
      </c>
      <c r="AP9" s="159"/>
      <c r="AS9" s="159">
        <f>'1. IDENTITÉ'!$B$14</f>
        <v>0</v>
      </c>
      <c r="AT9" s="159">
        <f>'1. IDENTITÉ'!$B$15</f>
        <v>0</v>
      </c>
      <c r="AU9" s="159">
        <f>'1. IDENTITÉ'!$B$16</f>
        <v>0</v>
      </c>
      <c r="AV9" s="173">
        <f>'1. IDENTITÉ'!$B$17</f>
        <v>0</v>
      </c>
      <c r="AW9" s="159">
        <f>'1. IDENTITÉ'!$B$18</f>
        <v>0</v>
      </c>
      <c r="AX9" s="161">
        <f>'1. IDENTITÉ'!$B$19</f>
        <v>0</v>
      </c>
      <c r="AY9" s="159">
        <f>'1. IDENTITÉ'!$B$20</f>
        <v>0</v>
      </c>
      <c r="AZ9" s="172" t="str">
        <f>'1. IDENTITÉ'!$B$21</f>
        <v>avril-mars</v>
      </c>
      <c r="BA9" s="162">
        <f>'1. IDENTITÉ'!$B$22</f>
        <v>0</v>
      </c>
      <c r="BB9" s="163">
        <f>'1. IDENTITÉ'!$B$23</f>
        <v>0.35</v>
      </c>
    </row>
    <row r="10" spans="2:54" ht="15" customHeight="1">
      <c r="B10" s="159" t="str">
        <f>IF('1. IDENTITÉ'!$B$11&lt;&gt;0,'1. IDENTITÉ'!$B$11,IF(ISERROR(VLOOKUP(Transition!E10,ListeMO!$B$3:$C$133,2,FALSE)),"",VLOOKUP(Transition!E10,ListeMO!$B$3:$C$133,2,FALSE)))</f>
        <v/>
      </c>
      <c r="C10" s="159" t="str">
        <f t="shared" si="0"/>
        <v>2011-2012</v>
      </c>
      <c r="D10" s="159">
        <f>'1. IDENTITÉ'!$B$12</f>
        <v>0</v>
      </c>
      <c r="E10" s="159" t="str">
        <f>'1. IDENTITÉ'!$B$10</f>
        <v>NOM DE L'ENTITÉ</v>
      </c>
      <c r="F10" s="159"/>
      <c r="G10" s="159"/>
      <c r="H10" s="159"/>
      <c r="I10" s="159"/>
      <c r="J10" s="159">
        <f t="shared" si="1"/>
        <v>0</v>
      </c>
      <c r="K10" s="159">
        <f t="shared" si="2"/>
        <v>0</v>
      </c>
      <c r="L10" s="159"/>
      <c r="M10" s="159">
        <f>'1. IDENTITÉ'!$B$13</f>
        <v>0</v>
      </c>
      <c r="N10" s="164">
        <f>'1. IDENTITÉ'!$B$24</f>
        <v>0</v>
      </c>
      <c r="O10" s="164">
        <f>'1. IDENTITÉ'!$B$25</f>
        <v>0</v>
      </c>
      <c r="AE10" s="211" t="str">
        <f t="shared" si="3"/>
        <v>-2011-2012</v>
      </c>
      <c r="AO10" s="159" t="s">
        <v>414</v>
      </c>
      <c r="AP10" s="159"/>
      <c r="AS10" s="159">
        <f>'1. IDENTITÉ'!$B$14</f>
        <v>0</v>
      </c>
      <c r="AT10" s="159">
        <f>'1. IDENTITÉ'!$B$15</f>
        <v>0</v>
      </c>
      <c r="AU10" s="159">
        <f>'1. IDENTITÉ'!$B$16</f>
        <v>0</v>
      </c>
      <c r="AV10" s="173">
        <f>'1. IDENTITÉ'!$B$17</f>
        <v>0</v>
      </c>
      <c r="AW10" s="159">
        <f>'1. IDENTITÉ'!$B$18</f>
        <v>0</v>
      </c>
      <c r="AX10" s="161">
        <f>'1. IDENTITÉ'!$B$19</f>
        <v>0</v>
      </c>
      <c r="AY10" s="159">
        <f>'1. IDENTITÉ'!$B$20</f>
        <v>0</v>
      </c>
      <c r="AZ10" s="172" t="str">
        <f>'1. IDENTITÉ'!$B$21</f>
        <v>avril-mars</v>
      </c>
      <c r="BA10" s="162">
        <f>'1. IDENTITÉ'!$B$22</f>
        <v>0</v>
      </c>
      <c r="BB10" s="163">
        <f>'1. IDENTITÉ'!$B$23</f>
        <v>0.35</v>
      </c>
    </row>
    <row r="11" spans="2:54" ht="15" customHeight="1">
      <c r="B11" s="159" t="str">
        <f>IF('1. IDENTITÉ'!$B$11&lt;&gt;0,'1. IDENTITÉ'!$B$11,IF(ISERROR(VLOOKUP(Transition!E11,ListeMO!$B$3:$C$133,2,FALSE)),"",VLOOKUP(Transition!E11,ListeMO!$B$3:$C$133,2,FALSE)))</f>
        <v/>
      </c>
      <c r="C11" s="159" t="str">
        <f t="shared" si="0"/>
        <v>2012-2013</v>
      </c>
      <c r="D11" s="159">
        <f>'1. IDENTITÉ'!$B$12</f>
        <v>0</v>
      </c>
      <c r="E11" s="159" t="str">
        <f>'1. IDENTITÉ'!$B$10</f>
        <v>NOM DE L'ENTITÉ</v>
      </c>
      <c r="F11" s="159"/>
      <c r="G11" s="159"/>
      <c r="H11" s="159"/>
      <c r="I11" s="159"/>
      <c r="J11" s="159">
        <f t="shared" si="1"/>
        <v>0</v>
      </c>
      <c r="K11" s="159">
        <f t="shared" si="2"/>
        <v>0</v>
      </c>
      <c r="L11" s="159"/>
      <c r="M11" s="159">
        <f>'1. IDENTITÉ'!$B$13</f>
        <v>0</v>
      </c>
      <c r="N11" s="164">
        <f>'1. IDENTITÉ'!$B$24</f>
        <v>0</v>
      </c>
      <c r="O11" s="164">
        <f>'1. IDENTITÉ'!$B$25</f>
        <v>0</v>
      </c>
      <c r="AE11" s="211" t="str">
        <f t="shared" si="3"/>
        <v>-2012-2013</v>
      </c>
      <c r="AO11" s="159" t="s">
        <v>414</v>
      </c>
      <c r="AP11" s="159"/>
      <c r="AS11" s="159">
        <f>'1. IDENTITÉ'!$B$14</f>
        <v>0</v>
      </c>
      <c r="AT11" s="159">
        <f>'1. IDENTITÉ'!$B$15</f>
        <v>0</v>
      </c>
      <c r="AU11" s="159">
        <f>'1. IDENTITÉ'!$B$16</f>
        <v>0</v>
      </c>
      <c r="AV11" s="173">
        <f>'1. IDENTITÉ'!$B$17</f>
        <v>0</v>
      </c>
      <c r="AW11" s="159">
        <f>'1. IDENTITÉ'!$B$18</f>
        <v>0</v>
      </c>
      <c r="AX11" s="161">
        <f>'1. IDENTITÉ'!$B$19</f>
        <v>0</v>
      </c>
      <c r="AY11" s="159">
        <f>'1. IDENTITÉ'!$B$20</f>
        <v>0</v>
      </c>
      <c r="AZ11" s="172" t="str">
        <f>'1. IDENTITÉ'!$B$21</f>
        <v>avril-mars</v>
      </c>
      <c r="BA11" s="162">
        <f>'1. IDENTITÉ'!$B$22</f>
        <v>0</v>
      </c>
      <c r="BB11" s="163">
        <f>'1. IDENTITÉ'!$B$23</f>
        <v>0.35</v>
      </c>
    </row>
    <row r="12" spans="2:54" ht="15" customHeight="1">
      <c r="B12" s="159" t="str">
        <f>IF('1. IDENTITÉ'!$B$11&lt;&gt;0,'1. IDENTITÉ'!$B$11,IF(ISERROR(VLOOKUP(Transition!E12,ListeMO!$B$3:$C$133,2,FALSE)),"",VLOOKUP(Transition!E12,ListeMO!$B$3:$C$133,2,FALSE)))</f>
        <v/>
      </c>
      <c r="C12" s="159" t="str">
        <f t="shared" si="0"/>
        <v>2013-2014</v>
      </c>
      <c r="D12" s="159">
        <f>'1. IDENTITÉ'!$B$12</f>
        <v>0</v>
      </c>
      <c r="E12" s="159" t="str">
        <f>'1. IDENTITÉ'!$B$10</f>
        <v>NOM DE L'ENTITÉ</v>
      </c>
      <c r="F12" s="159"/>
      <c r="G12" s="159"/>
      <c r="H12" s="159"/>
      <c r="I12" s="159"/>
      <c r="J12" s="159">
        <f t="shared" si="1"/>
        <v>0</v>
      </c>
      <c r="K12" s="159">
        <f t="shared" si="2"/>
        <v>0</v>
      </c>
      <c r="L12" s="159"/>
      <c r="M12" s="159">
        <f>'1. IDENTITÉ'!$B$13</f>
        <v>0</v>
      </c>
      <c r="N12" s="164">
        <f>'1. IDENTITÉ'!$B$24</f>
        <v>0</v>
      </c>
      <c r="O12" s="164">
        <f>'1. IDENTITÉ'!$B$25</f>
        <v>0</v>
      </c>
      <c r="AE12" s="211" t="str">
        <f t="shared" si="3"/>
        <v>-2013-2014</v>
      </c>
      <c r="AO12" s="159" t="s">
        <v>414</v>
      </c>
      <c r="AP12" s="159"/>
      <c r="AS12" s="159">
        <f>'1. IDENTITÉ'!$B$14</f>
        <v>0</v>
      </c>
      <c r="AT12" s="159">
        <f>'1. IDENTITÉ'!$B$15</f>
        <v>0</v>
      </c>
      <c r="AU12" s="159">
        <f>'1. IDENTITÉ'!$B$16</f>
        <v>0</v>
      </c>
      <c r="AV12" s="173">
        <f>'1. IDENTITÉ'!$B$17</f>
        <v>0</v>
      </c>
      <c r="AW12" s="159">
        <f>'1. IDENTITÉ'!$B$18</f>
        <v>0</v>
      </c>
      <c r="AX12" s="161">
        <f>'1. IDENTITÉ'!$B$19</f>
        <v>0</v>
      </c>
      <c r="AY12" s="159">
        <f>'1. IDENTITÉ'!$B$20</f>
        <v>0</v>
      </c>
      <c r="AZ12" s="172" t="str">
        <f>'1. IDENTITÉ'!$B$21</f>
        <v>avril-mars</v>
      </c>
      <c r="BA12" s="162">
        <f>'1. IDENTITÉ'!$B$22</f>
        <v>0</v>
      </c>
      <c r="BB12" s="163">
        <f>'1. IDENTITÉ'!$B$23</f>
        <v>0.35</v>
      </c>
    </row>
    <row r="13" spans="2:54" ht="15" customHeight="1">
      <c r="B13" s="159" t="str">
        <f>IF('1. IDENTITÉ'!$B$11&lt;&gt;0,'1. IDENTITÉ'!$B$11,IF(ISERROR(VLOOKUP(Transition!E13,ListeMO!$B$3:$C$133,2,FALSE)),"",VLOOKUP(Transition!E13,ListeMO!$B$3:$C$133,2,FALSE)))</f>
        <v/>
      </c>
      <c r="C13" s="159" t="str">
        <f t="shared" si="0"/>
        <v>2014-2015</v>
      </c>
      <c r="D13" s="159">
        <f>'1. IDENTITÉ'!$B$12</f>
        <v>0</v>
      </c>
      <c r="E13" s="159" t="str">
        <f>'1. IDENTITÉ'!$B$10</f>
        <v>NOM DE L'ENTITÉ</v>
      </c>
      <c r="F13" s="159"/>
      <c r="G13" s="159"/>
      <c r="H13" s="159"/>
      <c r="I13" s="159"/>
      <c r="J13" s="159">
        <f t="shared" si="1"/>
        <v>0</v>
      </c>
      <c r="K13" s="159">
        <f t="shared" si="2"/>
        <v>0</v>
      </c>
      <c r="L13" s="159"/>
      <c r="M13" s="159">
        <f>'1. IDENTITÉ'!$B$13</f>
        <v>0</v>
      </c>
      <c r="N13" s="164">
        <f>'1. IDENTITÉ'!$B$24</f>
        <v>0</v>
      </c>
      <c r="O13" s="164">
        <f>'1. IDENTITÉ'!$B$25</f>
        <v>0</v>
      </c>
      <c r="AE13" s="211" t="str">
        <f t="shared" si="3"/>
        <v>-2014-2015</v>
      </c>
      <c r="AO13" s="159" t="s">
        <v>414</v>
      </c>
      <c r="AP13" s="159"/>
      <c r="AS13" s="159">
        <f>'1. IDENTITÉ'!$B$14</f>
        <v>0</v>
      </c>
      <c r="AT13" s="159">
        <f>'1. IDENTITÉ'!$B$15</f>
        <v>0</v>
      </c>
      <c r="AU13" s="159">
        <f>'1. IDENTITÉ'!$B$16</f>
        <v>0</v>
      </c>
      <c r="AV13" s="173">
        <f>'1. IDENTITÉ'!$B$17</f>
        <v>0</v>
      </c>
      <c r="AW13" s="159">
        <f>'1. IDENTITÉ'!$B$18</f>
        <v>0</v>
      </c>
      <c r="AX13" s="161">
        <f>'1. IDENTITÉ'!$B$19</f>
        <v>0</v>
      </c>
      <c r="AY13" s="159">
        <f>'1. IDENTITÉ'!$B$20</f>
        <v>0</v>
      </c>
      <c r="AZ13" s="172" t="str">
        <f>'1. IDENTITÉ'!$B$21</f>
        <v>avril-mars</v>
      </c>
      <c r="BA13" s="162">
        <f>'1. IDENTITÉ'!$B$22</f>
        <v>0</v>
      </c>
      <c r="BB13" s="163">
        <f>'1. IDENTITÉ'!$B$23</f>
        <v>0.35</v>
      </c>
    </row>
    <row r="14" spans="2:54" ht="15" customHeight="1">
      <c r="B14" s="159" t="str">
        <f>IF('1. IDENTITÉ'!$B$11&lt;&gt;0,'1. IDENTITÉ'!$B$11,IF(ISERROR(VLOOKUP(Transition!E14,ListeMO!$B$3:$C$133,2,FALSE)),"",VLOOKUP(Transition!E14,ListeMO!$B$3:$C$133,2,FALSE)))</f>
        <v/>
      </c>
      <c r="C14" s="159" t="str">
        <f t="shared" si="0"/>
        <v>2015-2016</v>
      </c>
      <c r="D14" s="159">
        <f>'1. IDENTITÉ'!$B$12</f>
        <v>0</v>
      </c>
      <c r="E14" s="159" t="str">
        <f>'1. IDENTITÉ'!$B$10</f>
        <v>NOM DE L'ENTITÉ</v>
      </c>
      <c r="F14" s="159"/>
      <c r="G14" s="159"/>
      <c r="H14" s="159"/>
      <c r="I14" s="159"/>
      <c r="J14" s="159">
        <f t="shared" si="1"/>
        <v>0</v>
      </c>
      <c r="K14" s="159">
        <f t="shared" si="2"/>
        <v>0</v>
      </c>
      <c r="L14" s="159"/>
      <c r="M14" s="159">
        <f>'1. IDENTITÉ'!$B$13</f>
        <v>0</v>
      </c>
      <c r="N14" s="164">
        <f>'1. IDENTITÉ'!$B$24</f>
        <v>0</v>
      </c>
      <c r="O14" s="164">
        <f>'1. IDENTITÉ'!$B$25</f>
        <v>0</v>
      </c>
      <c r="AE14" s="211" t="str">
        <f t="shared" si="3"/>
        <v>-2015-2016</v>
      </c>
      <c r="AO14" s="159" t="s">
        <v>414</v>
      </c>
      <c r="AP14" s="159"/>
      <c r="AS14" s="159">
        <f>'1. IDENTITÉ'!$B$14</f>
        <v>0</v>
      </c>
      <c r="AT14" s="159">
        <f>'1. IDENTITÉ'!$B$15</f>
        <v>0</v>
      </c>
      <c r="AU14" s="159">
        <f>'1. IDENTITÉ'!$B$16</f>
        <v>0</v>
      </c>
      <c r="AV14" s="173">
        <f>'1. IDENTITÉ'!$B$17</f>
        <v>0</v>
      </c>
      <c r="AW14" s="159">
        <f>'1. IDENTITÉ'!$B$18</f>
        <v>0</v>
      </c>
      <c r="AX14" s="161">
        <f>'1. IDENTITÉ'!$B$19</f>
        <v>0</v>
      </c>
      <c r="AY14" s="159">
        <f>'1. IDENTITÉ'!$B$20</f>
        <v>0</v>
      </c>
      <c r="AZ14" s="172" t="str">
        <f>'1. IDENTITÉ'!$B$21</f>
        <v>avril-mars</v>
      </c>
      <c r="BA14" s="162">
        <f>'1. IDENTITÉ'!$B$22</f>
        <v>0</v>
      </c>
      <c r="BB14" s="163">
        <f>'1. IDENTITÉ'!$B$23</f>
        <v>0.35</v>
      </c>
    </row>
    <row r="15" spans="2:54" ht="15" customHeight="1">
      <c r="B15" s="159" t="str">
        <f>IF('1. IDENTITÉ'!$B$11&lt;&gt;0,'1. IDENTITÉ'!$B$11,IF(ISERROR(VLOOKUP(Transition!E15,ListeMO!$B$3:$C$133,2,FALSE)),"",VLOOKUP(Transition!E15,ListeMO!$B$3:$C$133,2,FALSE)))</f>
        <v/>
      </c>
      <c r="C15" s="159" t="str">
        <f t="shared" si="0"/>
        <v>2016-2017</v>
      </c>
      <c r="D15" s="159">
        <f>'1. IDENTITÉ'!$B$12</f>
        <v>0</v>
      </c>
      <c r="E15" s="159" t="str">
        <f>'1. IDENTITÉ'!$B$10</f>
        <v>NOM DE L'ENTITÉ</v>
      </c>
      <c r="F15" s="159"/>
      <c r="G15" s="159"/>
      <c r="H15" s="159"/>
      <c r="I15" s="159"/>
      <c r="J15" s="159">
        <f t="shared" si="1"/>
        <v>0</v>
      </c>
      <c r="K15" s="159">
        <f t="shared" si="2"/>
        <v>0</v>
      </c>
      <c r="L15" s="159"/>
      <c r="M15" s="159">
        <f>'1. IDENTITÉ'!$B$13</f>
        <v>0</v>
      </c>
      <c r="N15" s="164">
        <f>'1. IDENTITÉ'!$B$24</f>
        <v>0</v>
      </c>
      <c r="O15" s="164">
        <f>'1. IDENTITÉ'!$B$25</f>
        <v>0</v>
      </c>
      <c r="AE15" s="211" t="str">
        <f t="shared" si="3"/>
        <v>-2016-2017</v>
      </c>
      <c r="AO15" s="159" t="s">
        <v>414</v>
      </c>
      <c r="AP15" s="159"/>
      <c r="AS15" s="159">
        <f>'1. IDENTITÉ'!$B$14</f>
        <v>0</v>
      </c>
      <c r="AT15" s="159">
        <f>'1. IDENTITÉ'!$B$15</f>
        <v>0</v>
      </c>
      <c r="AU15" s="159">
        <f>'1. IDENTITÉ'!$B$16</f>
        <v>0</v>
      </c>
      <c r="AV15" s="173">
        <f>'1. IDENTITÉ'!$B$17</f>
        <v>0</v>
      </c>
      <c r="AW15" s="159">
        <f>'1. IDENTITÉ'!$B$18</f>
        <v>0</v>
      </c>
      <c r="AX15" s="161">
        <f>'1. IDENTITÉ'!$B$19</f>
        <v>0</v>
      </c>
      <c r="AY15" s="159">
        <f>'1. IDENTITÉ'!$B$20</f>
        <v>0</v>
      </c>
      <c r="AZ15" s="172" t="str">
        <f>'1. IDENTITÉ'!$B$21</f>
        <v>avril-mars</v>
      </c>
      <c r="BA15" s="162">
        <f>'1. IDENTITÉ'!$B$22</f>
        <v>0</v>
      </c>
      <c r="BB15" s="163">
        <f>'1. IDENTITÉ'!$B$23</f>
        <v>0.35</v>
      </c>
    </row>
    <row r="16" spans="2:54" ht="15" customHeight="1">
      <c r="B16" s="159" t="str">
        <f>IF('1. IDENTITÉ'!$B$11&lt;&gt;0,'1. IDENTITÉ'!$B$11,IF(ISERROR(VLOOKUP(Transition!E16,ListeMO!$B$3:$C$133,2,FALSE)),"",VLOOKUP(Transition!E16,ListeMO!$B$3:$C$133,2,FALSE)))</f>
        <v/>
      </c>
      <c r="C16" s="159" t="str">
        <f t="shared" si="0"/>
        <v>2017-2018</v>
      </c>
      <c r="D16" s="159">
        <f>'1. IDENTITÉ'!$B$12</f>
        <v>0</v>
      </c>
      <c r="E16" s="159" t="str">
        <f>'1. IDENTITÉ'!$B$10</f>
        <v>NOM DE L'ENTITÉ</v>
      </c>
      <c r="F16" s="159"/>
      <c r="G16" s="159"/>
      <c r="H16" s="159"/>
      <c r="I16" s="159"/>
      <c r="J16" s="159">
        <f t="shared" si="1"/>
        <v>0</v>
      </c>
      <c r="K16" s="159">
        <f t="shared" si="2"/>
        <v>0</v>
      </c>
      <c r="L16" s="159"/>
      <c r="M16" s="159">
        <f>'1. IDENTITÉ'!$B$13</f>
        <v>0</v>
      </c>
      <c r="N16" s="164">
        <f>'1. IDENTITÉ'!$B$24</f>
        <v>0</v>
      </c>
      <c r="O16" s="164">
        <f>'1. IDENTITÉ'!$B$25</f>
        <v>0</v>
      </c>
      <c r="AE16" s="211" t="str">
        <f t="shared" si="3"/>
        <v>-2017-2018</v>
      </c>
      <c r="AO16" s="159" t="s">
        <v>414</v>
      </c>
      <c r="AP16" s="159"/>
      <c r="AS16" s="159">
        <f>'1. IDENTITÉ'!$B$14</f>
        <v>0</v>
      </c>
      <c r="AT16" s="159">
        <f>'1. IDENTITÉ'!$B$15</f>
        <v>0</v>
      </c>
      <c r="AU16" s="159">
        <f>'1. IDENTITÉ'!$B$16</f>
        <v>0</v>
      </c>
      <c r="AV16" s="173">
        <f>'1. IDENTITÉ'!$B$17</f>
        <v>0</v>
      </c>
      <c r="AW16" s="159">
        <f>'1. IDENTITÉ'!$B$18</f>
        <v>0</v>
      </c>
      <c r="AX16" s="161">
        <f>'1. IDENTITÉ'!$B$19</f>
        <v>0</v>
      </c>
      <c r="AY16" s="159">
        <f>'1. IDENTITÉ'!$B$20</f>
        <v>0</v>
      </c>
      <c r="AZ16" s="172" t="str">
        <f>'1. IDENTITÉ'!$B$21</f>
        <v>avril-mars</v>
      </c>
      <c r="BA16" s="162">
        <f>'1. IDENTITÉ'!$B$22</f>
        <v>0</v>
      </c>
      <c r="BB16" s="163">
        <f>'1. IDENTITÉ'!$B$23</f>
        <v>0.35</v>
      </c>
    </row>
    <row r="17" spans="2:124" ht="15" customHeight="1">
      <c r="B17" s="159" t="str">
        <f>IF('1. IDENTITÉ'!$B$11&lt;&gt;0,'1. IDENTITÉ'!$B$11,IF(ISERROR(VLOOKUP(Transition!E17,ListeMO!$B$3:$C$133,2,FALSE)),"",VLOOKUP(Transition!E17,ListeMO!$B$3:$C$133,2,FALSE)))</f>
        <v/>
      </c>
      <c r="C17" s="159" t="str">
        <f t="shared" si="0"/>
        <v>2018-2019</v>
      </c>
      <c r="D17" s="159">
        <f>'1. IDENTITÉ'!$B$12</f>
        <v>0</v>
      </c>
      <c r="E17" s="159" t="str">
        <f>'1. IDENTITÉ'!$B$10</f>
        <v>NOM DE L'ENTITÉ</v>
      </c>
      <c r="F17" s="159"/>
      <c r="G17" s="159"/>
      <c r="H17" s="159"/>
      <c r="I17" s="159"/>
      <c r="J17" s="159">
        <f t="shared" si="1"/>
        <v>0</v>
      </c>
      <c r="K17" s="159">
        <f t="shared" si="2"/>
        <v>0</v>
      </c>
      <c r="L17" s="159"/>
      <c r="M17" s="159">
        <f>'1. IDENTITÉ'!$B$13</f>
        <v>0</v>
      </c>
      <c r="N17" s="164">
        <f>'1. IDENTITÉ'!$B$24</f>
        <v>0</v>
      </c>
      <c r="O17" s="164">
        <f>'1. IDENTITÉ'!$B$25</f>
        <v>0</v>
      </c>
      <c r="AE17" s="211" t="str">
        <f t="shared" si="3"/>
        <v>-2018-2019</v>
      </c>
      <c r="AO17" s="159" t="s">
        <v>414</v>
      </c>
      <c r="AP17" s="159"/>
      <c r="AS17" s="159">
        <f>'1. IDENTITÉ'!$B$14</f>
        <v>0</v>
      </c>
      <c r="AT17" s="159">
        <f>'1. IDENTITÉ'!$B$15</f>
        <v>0</v>
      </c>
      <c r="AU17" s="172">
        <f>'1. IDENTITÉ'!$B$16</f>
        <v>0</v>
      </c>
      <c r="AV17" s="173">
        <f>'1. IDENTITÉ'!$B$17</f>
        <v>0</v>
      </c>
      <c r="AW17" s="159">
        <f>'1. IDENTITÉ'!$B$18</f>
        <v>0</v>
      </c>
      <c r="AX17" s="161">
        <f>'1. IDENTITÉ'!$B$19</f>
        <v>0</v>
      </c>
      <c r="AY17" s="159">
        <f>'1. IDENTITÉ'!$B$20</f>
        <v>0</v>
      </c>
      <c r="AZ17" s="172" t="str">
        <f>'1. IDENTITÉ'!$B$21</f>
        <v>avril-mars</v>
      </c>
      <c r="BA17" s="162">
        <f>'1. IDENTITÉ'!$B$22</f>
        <v>0</v>
      </c>
      <c r="BB17" s="163">
        <f>'1. IDENTITÉ'!$B$23</f>
        <v>0.35</v>
      </c>
    </row>
    <row r="18" spans="2:124" ht="15" customHeight="1">
      <c r="B18" s="159" t="str">
        <f>IF('1. IDENTITÉ'!$B$11&lt;&gt;0,'1. IDENTITÉ'!$B$11,IF(ISERROR(VLOOKUP(Transition!E18,ListeMO!$B$3:$C$133,2,FALSE)),"",VLOOKUP(Transition!E18,ListeMO!$B$3:$C$133,2,FALSE)))</f>
        <v/>
      </c>
      <c r="C18" s="159" t="str">
        <f t="shared" si="0"/>
        <v>2019-2020</v>
      </c>
      <c r="D18" s="159">
        <f>'1. IDENTITÉ'!$B$12</f>
        <v>0</v>
      </c>
      <c r="E18" s="159" t="str">
        <f>'1. IDENTITÉ'!$B$10</f>
        <v>NOM DE L'ENTITÉ</v>
      </c>
      <c r="F18" s="159"/>
      <c r="G18" s="159"/>
      <c r="H18" s="159"/>
      <c r="I18" s="159"/>
      <c r="J18" s="159">
        <f t="shared" si="1"/>
        <v>0</v>
      </c>
      <c r="K18" s="159">
        <f t="shared" si="2"/>
        <v>0</v>
      </c>
      <c r="L18" s="159"/>
      <c r="M18" s="159">
        <f>'1. IDENTITÉ'!$B$13</f>
        <v>0</v>
      </c>
      <c r="N18" s="164">
        <f>'1. IDENTITÉ'!$B$24</f>
        <v>0</v>
      </c>
      <c r="O18" s="164">
        <f>'1. IDENTITÉ'!$B$25</f>
        <v>0</v>
      </c>
      <c r="AE18" s="211" t="str">
        <f t="shared" si="3"/>
        <v>-2019-2020</v>
      </c>
      <c r="AO18" s="159" t="s">
        <v>414</v>
      </c>
      <c r="AP18" s="159"/>
      <c r="AS18" s="159">
        <f>'1. IDENTITÉ'!$B$14</f>
        <v>0</v>
      </c>
      <c r="AT18" s="159">
        <f>'1. IDENTITÉ'!$B$15</f>
        <v>0</v>
      </c>
      <c r="AU18" s="172">
        <f>'1. IDENTITÉ'!$B$16</f>
        <v>0</v>
      </c>
      <c r="AV18" s="173">
        <f>'1. IDENTITÉ'!$B$17</f>
        <v>0</v>
      </c>
      <c r="AW18" s="159">
        <f>'1. IDENTITÉ'!$B$18</f>
        <v>0</v>
      </c>
      <c r="AX18" s="161">
        <f>'1. IDENTITÉ'!$B$19</f>
        <v>0</v>
      </c>
      <c r="AY18" s="159">
        <f>'1. IDENTITÉ'!$B$20</f>
        <v>0</v>
      </c>
      <c r="AZ18" s="172" t="str">
        <f>'1. IDENTITÉ'!$B$21</f>
        <v>avril-mars</v>
      </c>
      <c r="BA18" s="162">
        <f>'1. IDENTITÉ'!$B$22</f>
        <v>0</v>
      </c>
      <c r="BB18" s="163">
        <f>'1. IDENTITÉ'!$B$23</f>
        <v>0.35</v>
      </c>
    </row>
    <row r="19" spans="2:124" ht="15" customHeight="1">
      <c r="B19" s="159" t="str">
        <f>IF('1. IDENTITÉ'!$B$11&lt;&gt;0,'1. IDENTITÉ'!$B$11,IF(ISERROR(VLOOKUP(Transition!E19,ListeMO!$B$3:$C$133,2,FALSE)),"",VLOOKUP(Transition!E19,ListeMO!$B$3:$C$133,2,FALSE)))</f>
        <v/>
      </c>
      <c r="C19" s="159" t="str">
        <f t="shared" si="0"/>
        <v>2020-2021</v>
      </c>
      <c r="D19" s="159">
        <f>'1. IDENTITÉ'!$B$12</f>
        <v>0</v>
      </c>
      <c r="E19" s="159" t="str">
        <f>'1. IDENTITÉ'!$B$10</f>
        <v>NOM DE L'ENTITÉ</v>
      </c>
      <c r="F19" s="159"/>
      <c r="G19" s="159"/>
      <c r="H19" s="159"/>
      <c r="I19" s="159"/>
      <c r="J19" s="159">
        <f t="shared" si="1"/>
        <v>0</v>
      </c>
      <c r="K19" s="159">
        <f t="shared" si="2"/>
        <v>0</v>
      </c>
      <c r="L19" s="159"/>
      <c r="M19" s="159">
        <f>'1. IDENTITÉ'!$B$13</f>
        <v>0</v>
      </c>
      <c r="N19" s="164">
        <f>'1. IDENTITÉ'!$B$24</f>
        <v>0</v>
      </c>
      <c r="O19" s="164">
        <f>'1. IDENTITÉ'!$B$25</f>
        <v>0</v>
      </c>
      <c r="AA19" s="160"/>
      <c r="AB19" s="160"/>
      <c r="AC19" s="160"/>
      <c r="AD19" s="160"/>
      <c r="AE19" s="211" t="str">
        <f t="shared" si="3"/>
        <v>-2020-2021</v>
      </c>
      <c r="AF19" s="160"/>
      <c r="AG19" s="160"/>
      <c r="AH19" s="160"/>
      <c r="AI19" s="160"/>
      <c r="AJ19" s="160"/>
      <c r="AK19" s="160"/>
      <c r="AL19" s="160"/>
      <c r="AO19" s="159" t="s">
        <v>414</v>
      </c>
      <c r="AP19" s="159"/>
      <c r="AS19" s="159">
        <f>'1. IDENTITÉ'!$B$14</f>
        <v>0</v>
      </c>
      <c r="AT19" s="159">
        <f>'1. IDENTITÉ'!$B$15</f>
        <v>0</v>
      </c>
      <c r="AU19" s="172">
        <f>'1. IDENTITÉ'!$B$16</f>
        <v>0</v>
      </c>
      <c r="AV19" s="173">
        <f>'1. IDENTITÉ'!$B$17</f>
        <v>0</v>
      </c>
      <c r="AW19" s="159">
        <f>'1. IDENTITÉ'!$B$18</f>
        <v>0</v>
      </c>
      <c r="AX19" s="161">
        <f>'1. IDENTITÉ'!$B$19</f>
        <v>0</v>
      </c>
      <c r="AY19" s="159">
        <f>'1. IDENTITÉ'!$B$20</f>
        <v>0</v>
      </c>
      <c r="AZ19" s="172" t="str">
        <f>'1. IDENTITÉ'!$B$21</f>
        <v>avril-mars</v>
      </c>
      <c r="BA19" s="162">
        <f>'1. IDENTITÉ'!$B$22</f>
        <v>0</v>
      </c>
      <c r="BB19" s="163">
        <f>'1. IDENTITÉ'!$B$23</f>
        <v>0.35</v>
      </c>
      <c r="BE19" s="139"/>
      <c r="BF19" s="155"/>
      <c r="BG19" s="156"/>
      <c r="BH19" s="155"/>
      <c r="BI19" s="139"/>
      <c r="BJ19" s="155"/>
      <c r="BK19" s="155"/>
      <c r="BL19" s="156"/>
      <c r="BM19" s="139"/>
      <c r="BN19" s="140"/>
      <c r="BO19" s="157"/>
      <c r="BP19" s="140"/>
      <c r="BQ19" s="140"/>
      <c r="BR19" s="140"/>
      <c r="BS19" s="165"/>
      <c r="BT19" s="140"/>
      <c r="BU19" s="140"/>
      <c r="BV19" s="166"/>
      <c r="BW19" s="166"/>
      <c r="BX19" s="167"/>
      <c r="BY19" s="167"/>
      <c r="BZ19" s="167"/>
      <c r="CA19" s="167"/>
      <c r="CB19" s="167"/>
      <c r="CC19" s="167"/>
      <c r="CD19" s="167"/>
      <c r="CE19" s="167"/>
      <c r="CF19" s="167"/>
      <c r="CG19" s="167"/>
      <c r="CH19" s="167"/>
      <c r="CI19" s="167"/>
      <c r="CJ19" s="167"/>
      <c r="CK19" s="167"/>
      <c r="CL19" s="167"/>
      <c r="CM19" s="167"/>
      <c r="CN19" s="158"/>
      <c r="CO19" s="158"/>
      <c r="CP19" s="158"/>
      <c r="CQ19" s="158"/>
      <c r="CR19" s="158"/>
      <c r="CS19" s="158"/>
      <c r="CT19" s="158"/>
      <c r="CU19" s="158"/>
      <c r="CV19" s="140"/>
      <c r="CW19" s="160"/>
      <c r="CX19" s="160"/>
      <c r="CY19" s="140"/>
      <c r="CZ19" s="160"/>
      <c r="DA19" s="140"/>
      <c r="DB19" s="140"/>
      <c r="DC19" s="140"/>
      <c r="DD19" s="160"/>
      <c r="DE19" s="160"/>
      <c r="DF19" s="140"/>
      <c r="DG19" s="140"/>
      <c r="DH19" s="140"/>
      <c r="DI19" s="140"/>
      <c r="DJ19" s="140"/>
      <c r="DK19" s="140"/>
      <c r="DL19" s="140"/>
      <c r="DM19" s="140"/>
      <c r="DN19" s="140"/>
      <c r="DO19" s="140"/>
      <c r="DP19" s="140"/>
      <c r="DQ19" s="140"/>
      <c r="DR19" s="140"/>
      <c r="DS19" s="140"/>
      <c r="DT19" s="140"/>
    </row>
    <row r="20" spans="2:124" ht="15" customHeight="1">
      <c r="B20" s="159" t="str">
        <f>IF('1. IDENTITÉ'!$B$11&lt;&gt;0,'1. IDENTITÉ'!$B$11,IF(ISERROR(VLOOKUP(Transition!E20,ListeMO!$B$3:$C$133,2,FALSE)),"",VLOOKUP(Transition!E20,ListeMO!$B$3:$C$133,2,FALSE)))</f>
        <v/>
      </c>
      <c r="C20" s="159" t="str">
        <f t="shared" si="0"/>
        <v>2021-2022</v>
      </c>
      <c r="D20" s="159">
        <f>'1. IDENTITÉ'!$B$12</f>
        <v>0</v>
      </c>
      <c r="E20" s="159" t="str">
        <f>'1. IDENTITÉ'!$B$10</f>
        <v>NOM DE L'ENTITÉ</v>
      </c>
      <c r="F20" s="159"/>
      <c r="G20" s="159"/>
      <c r="H20" s="159"/>
      <c r="I20" s="159"/>
      <c r="J20" s="159">
        <f t="shared" si="1"/>
        <v>0</v>
      </c>
      <c r="K20" s="159">
        <f t="shared" si="2"/>
        <v>0</v>
      </c>
      <c r="L20" s="159"/>
      <c r="M20" s="159">
        <f>'1. IDENTITÉ'!$B$13</f>
        <v>0</v>
      </c>
      <c r="N20" s="164">
        <f>'1. IDENTITÉ'!$B$24</f>
        <v>0</v>
      </c>
      <c r="O20" s="164">
        <f>'1. IDENTITÉ'!$B$25</f>
        <v>0</v>
      </c>
      <c r="AA20" s="160"/>
      <c r="AB20" s="160"/>
      <c r="AC20" s="160"/>
      <c r="AD20" s="160"/>
      <c r="AE20" s="211" t="str">
        <f t="shared" si="3"/>
        <v>-2021-2022</v>
      </c>
      <c r="AF20" s="160"/>
      <c r="AG20" s="160"/>
      <c r="AH20" s="160"/>
      <c r="AI20" s="160"/>
      <c r="AJ20" s="160"/>
      <c r="AK20" s="160"/>
      <c r="AL20" s="160"/>
      <c r="AO20" s="159" t="s">
        <v>414</v>
      </c>
      <c r="AP20" s="159"/>
      <c r="AS20" s="159">
        <f>'1. IDENTITÉ'!$B$14</f>
        <v>0</v>
      </c>
      <c r="AT20" s="159">
        <f>'1. IDENTITÉ'!$B$15</f>
        <v>0</v>
      </c>
      <c r="AU20" s="172">
        <f>'1. IDENTITÉ'!$B$16</f>
        <v>0</v>
      </c>
      <c r="AV20" s="173">
        <f>'1. IDENTITÉ'!$B$17</f>
        <v>0</v>
      </c>
      <c r="AW20" s="159">
        <f>'1. IDENTITÉ'!$B$18</f>
        <v>0</v>
      </c>
      <c r="AX20" s="161">
        <f>'1. IDENTITÉ'!$B$19</f>
        <v>0</v>
      </c>
      <c r="AY20" s="159">
        <f>'1. IDENTITÉ'!$B$20</f>
        <v>0</v>
      </c>
      <c r="AZ20" s="172" t="str">
        <f>'1. IDENTITÉ'!$B$21</f>
        <v>avril-mars</v>
      </c>
      <c r="BA20" s="162">
        <f>'1. IDENTITÉ'!$B$22</f>
        <v>0</v>
      </c>
      <c r="BB20" s="163">
        <f>'1. IDENTITÉ'!$B$23</f>
        <v>0.35</v>
      </c>
      <c r="BE20" s="139"/>
      <c r="BF20" s="155"/>
      <c r="BG20" s="156"/>
      <c r="BH20" s="155"/>
      <c r="BI20" s="139"/>
      <c r="BJ20" s="155"/>
      <c r="BK20" s="155"/>
      <c r="BL20" s="156"/>
      <c r="BM20" s="139"/>
      <c r="BN20" s="140"/>
      <c r="BO20" s="157"/>
      <c r="BP20" s="140"/>
      <c r="BQ20" s="140"/>
      <c r="BR20" s="140"/>
      <c r="BS20" s="165"/>
      <c r="BT20" s="140"/>
      <c r="BU20" s="140"/>
      <c r="BV20" s="166"/>
      <c r="BW20" s="166"/>
      <c r="BX20" s="167"/>
      <c r="BY20" s="167"/>
      <c r="BZ20" s="167"/>
      <c r="CA20" s="167"/>
      <c r="CB20" s="167"/>
      <c r="CC20" s="167"/>
      <c r="CD20" s="167"/>
      <c r="CE20" s="167"/>
      <c r="CF20" s="167"/>
      <c r="CG20" s="167"/>
      <c r="CH20" s="167"/>
      <c r="CI20" s="167"/>
      <c r="CJ20" s="167"/>
      <c r="CK20" s="167"/>
      <c r="CL20" s="167"/>
      <c r="CM20" s="167"/>
      <c r="CN20" s="158"/>
      <c r="CO20" s="158"/>
      <c r="CP20" s="158"/>
      <c r="CQ20" s="158"/>
      <c r="CR20" s="158"/>
      <c r="CS20" s="158"/>
      <c r="CT20" s="158"/>
      <c r="CU20" s="158"/>
      <c r="CV20" s="140"/>
      <c r="CW20" s="160"/>
      <c r="CX20" s="160"/>
      <c r="CY20" s="140"/>
      <c r="CZ20" s="160"/>
      <c r="DA20" s="140"/>
      <c r="DB20" s="140"/>
      <c r="DC20" s="140"/>
      <c r="DD20" s="160"/>
      <c r="DE20" s="160"/>
      <c r="DF20" s="140"/>
      <c r="DG20" s="140"/>
      <c r="DH20" s="140"/>
      <c r="DI20" s="140"/>
      <c r="DJ20" s="140"/>
      <c r="DK20" s="140"/>
      <c r="DL20" s="140"/>
      <c r="DM20" s="140"/>
      <c r="DN20" s="140"/>
      <c r="DO20" s="140"/>
      <c r="DP20" s="140"/>
      <c r="DQ20" s="140"/>
      <c r="DR20" s="140"/>
      <c r="DS20" s="140"/>
      <c r="DT20" s="140"/>
    </row>
    <row r="21" spans="2:124" ht="15" customHeight="1">
      <c r="B21" s="159" t="str">
        <f>IF('1. IDENTITÉ'!$B$11&lt;&gt;0,'1. IDENTITÉ'!$B$11,IF(ISERROR(VLOOKUP(Transition!E21,ListeMO!$B$3:$C$133,2,FALSE)),"",VLOOKUP(Transition!E21,ListeMO!$B$3:$C$133,2,FALSE)))</f>
        <v/>
      </c>
      <c r="C21" s="159" t="str">
        <f t="shared" si="0"/>
        <v>2022-2023</v>
      </c>
      <c r="D21" s="159">
        <f>'1. IDENTITÉ'!$B$12</f>
        <v>0</v>
      </c>
      <c r="E21" s="159" t="str">
        <f>'1. IDENTITÉ'!$B$10</f>
        <v>NOM DE L'ENTITÉ</v>
      </c>
      <c r="F21" s="159"/>
      <c r="G21" s="159"/>
      <c r="H21" s="159"/>
      <c r="I21" s="159"/>
      <c r="J21" s="159">
        <f t="shared" si="1"/>
        <v>0</v>
      </c>
      <c r="K21" s="159">
        <f t="shared" si="2"/>
        <v>0</v>
      </c>
      <c r="L21" s="159"/>
      <c r="M21" s="159">
        <f>'1. IDENTITÉ'!$B$13</f>
        <v>0</v>
      </c>
      <c r="N21" s="164">
        <f>'1. IDENTITÉ'!$B$24</f>
        <v>0</v>
      </c>
      <c r="O21" s="164">
        <f>'1. IDENTITÉ'!$B$25</f>
        <v>0</v>
      </c>
      <c r="AA21" s="160"/>
      <c r="AB21" s="160"/>
      <c r="AC21" s="160"/>
      <c r="AD21" s="160"/>
      <c r="AE21" s="211" t="str">
        <f t="shared" si="3"/>
        <v>-2022-2023</v>
      </c>
      <c r="AF21" s="160"/>
      <c r="AG21" s="160"/>
      <c r="AH21" s="160"/>
      <c r="AI21" s="160"/>
      <c r="AJ21" s="160"/>
      <c r="AK21" s="160"/>
      <c r="AL21" s="160"/>
      <c r="AO21" s="159" t="s">
        <v>414</v>
      </c>
      <c r="AP21" s="159"/>
      <c r="AS21" s="159">
        <f>'1. IDENTITÉ'!$B$14</f>
        <v>0</v>
      </c>
      <c r="AT21" s="159">
        <f>'1. IDENTITÉ'!$B$15</f>
        <v>0</v>
      </c>
      <c r="AU21" s="172">
        <f>'1. IDENTITÉ'!$B$16</f>
        <v>0</v>
      </c>
      <c r="AV21" s="173">
        <f>'1. IDENTITÉ'!$B$17</f>
        <v>0</v>
      </c>
      <c r="AW21" s="159">
        <f>'1. IDENTITÉ'!$B$18</f>
        <v>0</v>
      </c>
      <c r="AX21" s="161">
        <f>'1. IDENTITÉ'!$B$19</f>
        <v>0</v>
      </c>
      <c r="AY21" s="159">
        <f>'1. IDENTITÉ'!$B$20</f>
        <v>0</v>
      </c>
      <c r="AZ21" s="172" t="str">
        <f>'1. IDENTITÉ'!$B$21</f>
        <v>avril-mars</v>
      </c>
      <c r="BA21" s="162">
        <f>'1. IDENTITÉ'!$B$22</f>
        <v>0</v>
      </c>
      <c r="BB21" s="163">
        <f>'1. IDENTITÉ'!$B$23</f>
        <v>0.35</v>
      </c>
      <c r="BE21" s="139"/>
      <c r="BF21" s="155"/>
      <c r="BG21" s="156"/>
      <c r="BH21" s="155"/>
      <c r="BI21" s="139"/>
      <c r="BJ21" s="155"/>
      <c r="BK21" s="155"/>
      <c r="BL21" s="156"/>
      <c r="BM21" s="139"/>
      <c r="BN21" s="140"/>
      <c r="BO21" s="157"/>
      <c r="BP21" s="140"/>
      <c r="BQ21" s="140"/>
      <c r="BR21" s="140"/>
      <c r="BS21" s="165"/>
      <c r="BT21" s="140"/>
      <c r="BU21" s="140"/>
      <c r="BV21" s="166"/>
      <c r="BW21" s="166"/>
      <c r="BX21" s="167"/>
      <c r="BY21" s="167"/>
      <c r="BZ21" s="167"/>
      <c r="CA21" s="167"/>
      <c r="CB21" s="167"/>
      <c r="CC21" s="167"/>
      <c r="CD21" s="167"/>
      <c r="CE21" s="167"/>
      <c r="CF21" s="167"/>
      <c r="CG21" s="167"/>
      <c r="CH21" s="167"/>
      <c r="CI21" s="167"/>
      <c r="CJ21" s="167"/>
      <c r="CK21" s="167"/>
      <c r="CL21" s="167"/>
      <c r="CM21" s="167"/>
      <c r="CN21" s="158"/>
      <c r="CO21" s="158"/>
      <c r="CP21" s="158"/>
      <c r="CQ21" s="158"/>
      <c r="CR21" s="158"/>
      <c r="CS21" s="158"/>
      <c r="CT21" s="158"/>
      <c r="CU21" s="158"/>
      <c r="CV21" s="140"/>
      <c r="CW21" s="160"/>
      <c r="CX21" s="160"/>
      <c r="CY21" s="140"/>
      <c r="CZ21" s="160"/>
      <c r="DA21" s="140"/>
      <c r="DB21" s="140"/>
      <c r="DC21" s="140"/>
      <c r="DD21" s="160"/>
      <c r="DE21" s="160"/>
      <c r="DF21" s="140"/>
      <c r="DG21" s="140"/>
      <c r="DH21" s="140"/>
      <c r="DI21" s="140"/>
      <c r="DJ21" s="140"/>
      <c r="DK21" s="140"/>
      <c r="DL21" s="140"/>
      <c r="DM21" s="140"/>
      <c r="DN21" s="140"/>
      <c r="DO21" s="140"/>
      <c r="DP21" s="140"/>
      <c r="DQ21" s="140"/>
      <c r="DR21" s="140"/>
      <c r="DS21" s="140"/>
      <c r="DT21" s="140"/>
    </row>
    <row r="22" spans="2:124" ht="15" customHeight="1">
      <c r="B22" s="159" t="str">
        <f>IF('1. IDENTITÉ'!$B$11&lt;&gt;0,'1. IDENTITÉ'!$B$11,IF(ISERROR(VLOOKUP(Transition!E22,ListeMO!$B$3:$C$133,2,FALSE)),"",VLOOKUP(Transition!E22,ListeMO!$B$3:$C$133,2,FALSE)))</f>
        <v/>
      </c>
      <c r="C22" s="159" t="str">
        <f t="shared" si="0"/>
        <v>2023-2024</v>
      </c>
      <c r="D22" s="159">
        <f>'1. IDENTITÉ'!$B$12</f>
        <v>0</v>
      </c>
      <c r="E22" s="159" t="str">
        <f>'1. IDENTITÉ'!$B$10</f>
        <v>NOM DE L'ENTITÉ</v>
      </c>
      <c r="F22" s="159"/>
      <c r="G22" s="159"/>
      <c r="H22" s="159"/>
      <c r="I22" s="159"/>
      <c r="J22" s="159">
        <f t="shared" si="1"/>
        <v>0</v>
      </c>
      <c r="K22" s="159">
        <f t="shared" si="2"/>
        <v>0</v>
      </c>
      <c r="L22" s="159"/>
      <c r="M22" s="159">
        <f>'1. IDENTITÉ'!$B$13</f>
        <v>0</v>
      </c>
      <c r="N22" s="164">
        <f>'1. IDENTITÉ'!$B$24</f>
        <v>0</v>
      </c>
      <c r="O22" s="164">
        <f>'1. IDENTITÉ'!$B$25</f>
        <v>0</v>
      </c>
      <c r="AA22" s="160"/>
      <c r="AB22" s="160"/>
      <c r="AC22" s="160"/>
      <c r="AD22" s="160"/>
      <c r="AE22" s="211" t="str">
        <f t="shared" si="3"/>
        <v>-2023-2024</v>
      </c>
      <c r="AF22" s="160"/>
      <c r="AG22" s="160"/>
      <c r="AH22" s="160"/>
      <c r="AI22" s="160"/>
      <c r="AJ22" s="160"/>
      <c r="AK22" s="160"/>
      <c r="AL22" s="160"/>
      <c r="AO22" s="159" t="s">
        <v>414</v>
      </c>
      <c r="AP22" s="159"/>
      <c r="AS22" s="159">
        <f>'1. IDENTITÉ'!$B$14</f>
        <v>0</v>
      </c>
      <c r="AT22" s="159">
        <f>'1. IDENTITÉ'!$B$15</f>
        <v>0</v>
      </c>
      <c r="AU22" s="172">
        <f>'1. IDENTITÉ'!$B$16</f>
        <v>0</v>
      </c>
      <c r="AV22" s="173">
        <f>'1. IDENTITÉ'!$B$17</f>
        <v>0</v>
      </c>
      <c r="AW22" s="159">
        <f>'1. IDENTITÉ'!$B$18</f>
        <v>0</v>
      </c>
      <c r="AX22" s="161">
        <f>'1. IDENTITÉ'!$B$19</f>
        <v>0</v>
      </c>
      <c r="AY22" s="159">
        <f>'1. IDENTITÉ'!$B$20</f>
        <v>0</v>
      </c>
      <c r="AZ22" s="172" t="str">
        <f>'1. IDENTITÉ'!$B$21</f>
        <v>avril-mars</v>
      </c>
      <c r="BA22" s="162">
        <f>'1. IDENTITÉ'!$B$22</f>
        <v>0</v>
      </c>
      <c r="BB22" s="163">
        <f>'1. IDENTITÉ'!$B$23</f>
        <v>0.35</v>
      </c>
      <c r="BE22" s="139"/>
      <c r="BF22" s="155"/>
      <c r="BG22" s="156"/>
      <c r="BH22" s="155"/>
      <c r="BI22" s="139"/>
      <c r="BJ22" s="155"/>
      <c r="BK22" s="155"/>
      <c r="BL22" s="156"/>
      <c r="BM22" s="139"/>
      <c r="BN22" s="140"/>
      <c r="BO22" s="157"/>
      <c r="BP22" s="140"/>
      <c r="BQ22" s="140"/>
      <c r="BR22" s="140"/>
      <c r="BS22" s="165"/>
      <c r="BT22" s="140"/>
      <c r="BU22" s="140"/>
      <c r="BV22" s="166"/>
      <c r="BW22" s="166"/>
      <c r="BX22" s="167"/>
      <c r="BY22" s="167"/>
      <c r="BZ22" s="167"/>
      <c r="CA22" s="167"/>
      <c r="CB22" s="167"/>
      <c r="CC22" s="167"/>
      <c r="CD22" s="167"/>
      <c r="CE22" s="167"/>
      <c r="CF22" s="167"/>
      <c r="CG22" s="167"/>
      <c r="CH22" s="167"/>
      <c r="CI22" s="167"/>
      <c r="CJ22" s="167"/>
      <c r="CK22" s="167"/>
      <c r="CL22" s="167"/>
      <c r="CM22" s="167"/>
      <c r="CN22" s="158"/>
      <c r="CO22" s="158"/>
      <c r="CP22" s="158"/>
      <c r="CQ22" s="158"/>
      <c r="CR22" s="158"/>
      <c r="CS22" s="158"/>
      <c r="CT22" s="158"/>
      <c r="CU22" s="158"/>
      <c r="CV22" s="140"/>
      <c r="CW22" s="160"/>
      <c r="CX22" s="160"/>
      <c r="CY22" s="140"/>
      <c r="CZ22" s="160"/>
      <c r="DA22" s="140"/>
      <c r="DB22" s="140"/>
      <c r="DC22" s="140"/>
      <c r="DD22" s="160"/>
      <c r="DE22" s="160"/>
      <c r="DF22" s="140"/>
      <c r="DG22" s="140"/>
      <c r="DH22" s="140"/>
      <c r="DI22" s="140"/>
      <c r="DJ22" s="140"/>
      <c r="DK22" s="140"/>
      <c r="DL22" s="140"/>
      <c r="DM22" s="140"/>
      <c r="DN22" s="140"/>
      <c r="DO22" s="140"/>
      <c r="DP22" s="140"/>
      <c r="DQ22" s="140"/>
      <c r="DR22" s="140"/>
      <c r="DS22" s="140"/>
      <c r="DT22" s="140"/>
    </row>
    <row r="23" spans="2:124" ht="15" customHeight="1">
      <c r="B23" s="159" t="str">
        <f>IF('1. IDENTITÉ'!$B$11&lt;&gt;0,'1. IDENTITÉ'!$B$11,IF(ISERROR(VLOOKUP(Transition!E23,ListeMO!$B$3:$C$133,2,FALSE)),"",VLOOKUP(Transition!E23,ListeMO!$B$3:$C$133,2,FALSE)))</f>
        <v/>
      </c>
      <c r="C23" s="159" t="str">
        <f t="shared" si="0"/>
        <v>2024-2025</v>
      </c>
      <c r="D23" s="159">
        <f>'1. IDENTITÉ'!$B$12</f>
        <v>0</v>
      </c>
      <c r="E23" s="159" t="str">
        <f>'1. IDENTITÉ'!$B$10</f>
        <v>NOM DE L'ENTITÉ</v>
      </c>
      <c r="F23" s="159"/>
      <c r="G23" s="159"/>
      <c r="H23" s="159"/>
      <c r="I23" s="159"/>
      <c r="J23" s="159">
        <f t="shared" si="1"/>
        <v>0</v>
      </c>
      <c r="K23" s="159">
        <f t="shared" si="2"/>
        <v>0</v>
      </c>
      <c r="L23" s="159"/>
      <c r="M23" s="159">
        <f>'1. IDENTITÉ'!$B$13</f>
        <v>0</v>
      </c>
      <c r="N23" s="164">
        <f>'1. IDENTITÉ'!$B$24</f>
        <v>0</v>
      </c>
      <c r="O23" s="164">
        <f>'1. IDENTITÉ'!$B$25</f>
        <v>0</v>
      </c>
      <c r="AA23" s="160"/>
      <c r="AB23" s="160"/>
      <c r="AC23" s="160"/>
      <c r="AD23" s="160"/>
      <c r="AE23" s="211" t="str">
        <f t="shared" si="3"/>
        <v>-2024-2025</v>
      </c>
      <c r="AF23" s="160"/>
      <c r="AG23" s="160"/>
      <c r="AH23" s="160"/>
      <c r="AI23" s="160"/>
      <c r="AJ23" s="160"/>
      <c r="AK23" s="160"/>
      <c r="AL23" s="160"/>
      <c r="AO23" s="159" t="s">
        <v>414</v>
      </c>
      <c r="AP23" s="159"/>
      <c r="AS23" s="159">
        <f>'1. IDENTITÉ'!$B$14</f>
        <v>0</v>
      </c>
      <c r="AT23" s="159">
        <f>'1. IDENTITÉ'!$B$15</f>
        <v>0</v>
      </c>
      <c r="AU23" s="172">
        <f>'1. IDENTITÉ'!$B$16</f>
        <v>0</v>
      </c>
      <c r="AV23" s="173">
        <f>'1. IDENTITÉ'!$B$17</f>
        <v>0</v>
      </c>
      <c r="AW23" s="159">
        <f>'1. IDENTITÉ'!$B$18</f>
        <v>0</v>
      </c>
      <c r="AX23" s="161">
        <f>'1. IDENTITÉ'!$B$19</f>
        <v>0</v>
      </c>
      <c r="AY23" s="159">
        <f>'1. IDENTITÉ'!$B$20</f>
        <v>0</v>
      </c>
      <c r="AZ23" s="172" t="str">
        <f>'1. IDENTITÉ'!$B$21</f>
        <v>avril-mars</v>
      </c>
      <c r="BA23" s="162">
        <f>'1. IDENTITÉ'!$B$22</f>
        <v>0</v>
      </c>
      <c r="BB23" s="163">
        <f>'1. IDENTITÉ'!$B$23</f>
        <v>0.35</v>
      </c>
      <c r="BE23" s="139"/>
      <c r="BF23" s="155"/>
      <c r="BG23" s="156"/>
      <c r="BH23" s="155"/>
      <c r="BI23" s="139"/>
      <c r="BJ23" s="155"/>
      <c r="BK23" s="155"/>
      <c r="BL23" s="156"/>
      <c r="BM23" s="139"/>
      <c r="BN23" s="140"/>
      <c r="BO23" s="157"/>
      <c r="BP23" s="140"/>
      <c r="BQ23" s="140"/>
      <c r="BR23" s="140"/>
      <c r="BS23" s="165"/>
      <c r="BT23" s="140"/>
      <c r="BU23" s="140"/>
      <c r="BV23" s="166"/>
      <c r="BW23" s="166"/>
      <c r="BX23" s="167"/>
      <c r="BY23" s="167"/>
      <c r="BZ23" s="167"/>
      <c r="CA23" s="167"/>
      <c r="CB23" s="167"/>
      <c r="CC23" s="167"/>
      <c r="CD23" s="167"/>
      <c r="CE23" s="167"/>
      <c r="CF23" s="167"/>
      <c r="CG23" s="167"/>
      <c r="CH23" s="167"/>
      <c r="CI23" s="167"/>
      <c r="CJ23" s="167"/>
      <c r="CK23" s="167"/>
      <c r="CL23" s="167"/>
      <c r="CM23" s="167"/>
      <c r="CN23" s="158"/>
      <c r="CO23" s="158"/>
      <c r="CP23" s="158"/>
      <c r="CQ23" s="158"/>
      <c r="CR23" s="158"/>
      <c r="CS23" s="158"/>
      <c r="CT23" s="158"/>
      <c r="CU23" s="158"/>
      <c r="CV23" s="140"/>
      <c r="CW23" s="160"/>
      <c r="CX23" s="160"/>
      <c r="CY23" s="140"/>
      <c r="CZ23" s="160"/>
      <c r="DA23" s="140"/>
      <c r="DB23" s="140"/>
      <c r="DC23" s="140"/>
      <c r="DD23" s="160"/>
      <c r="DE23" s="160"/>
      <c r="DF23" s="140"/>
      <c r="DG23" s="140"/>
      <c r="DH23" s="140"/>
      <c r="DI23" s="140"/>
      <c r="DJ23" s="140"/>
      <c r="DK23" s="140"/>
      <c r="DL23" s="140"/>
      <c r="DM23" s="140"/>
      <c r="DN23" s="140"/>
      <c r="DO23" s="140"/>
      <c r="DP23" s="140"/>
      <c r="DQ23" s="140"/>
      <c r="DR23" s="140"/>
      <c r="DS23" s="140"/>
      <c r="DT23" s="140"/>
    </row>
    <row r="24" spans="2:124" ht="15" customHeight="1">
      <c r="B24" s="159" t="str">
        <f>IF('1. IDENTITÉ'!$B$11&lt;&gt;0,'1. IDENTITÉ'!$B$11,IF(ISERROR(VLOOKUP(Transition!E24,ListeMO!$B$3:$C$133,2,FALSE)),"",VLOOKUP(Transition!E24,ListeMO!$B$3:$C$133,2,FALSE)))</f>
        <v/>
      </c>
      <c r="C24" s="159" t="str">
        <f t="shared" si="0"/>
        <v>2025-2026</v>
      </c>
      <c r="D24" s="159">
        <f>'1. IDENTITÉ'!$B$12</f>
        <v>0</v>
      </c>
      <c r="E24" s="159" t="str">
        <f>'1. IDENTITÉ'!$B$10</f>
        <v>NOM DE L'ENTITÉ</v>
      </c>
      <c r="F24" s="159"/>
      <c r="G24" s="159"/>
      <c r="H24" s="159"/>
      <c r="I24" s="159"/>
      <c r="J24" s="159">
        <f t="shared" si="1"/>
        <v>0</v>
      </c>
      <c r="K24" s="159">
        <f t="shared" si="2"/>
        <v>0</v>
      </c>
      <c r="L24" s="159"/>
      <c r="M24" s="159">
        <f>'1. IDENTITÉ'!$B$13</f>
        <v>0</v>
      </c>
      <c r="N24" s="164">
        <f>'1. IDENTITÉ'!$B$24</f>
        <v>0</v>
      </c>
      <c r="O24" s="164">
        <f>'1. IDENTITÉ'!$B$25</f>
        <v>0</v>
      </c>
      <c r="AA24" s="160"/>
      <c r="AB24" s="160"/>
      <c r="AC24" s="160"/>
      <c r="AD24" s="160"/>
      <c r="AE24" s="211" t="str">
        <f t="shared" si="3"/>
        <v>-2025-2026</v>
      </c>
      <c r="AF24" s="160"/>
      <c r="AG24" s="160"/>
      <c r="AH24" s="160"/>
      <c r="AI24" s="160"/>
      <c r="AJ24" s="160"/>
      <c r="AK24" s="160"/>
      <c r="AL24" s="160"/>
      <c r="AO24" s="159" t="s">
        <v>414</v>
      </c>
      <c r="AP24" s="159"/>
      <c r="AS24" s="159">
        <f>'1. IDENTITÉ'!$B$14</f>
        <v>0</v>
      </c>
      <c r="AT24" s="159">
        <f>'1. IDENTITÉ'!$B$15</f>
        <v>0</v>
      </c>
      <c r="AU24" s="172">
        <f>'1. IDENTITÉ'!$B$16</f>
        <v>0</v>
      </c>
      <c r="AV24" s="173">
        <f>'1. IDENTITÉ'!$B$17</f>
        <v>0</v>
      </c>
      <c r="AW24" s="159">
        <f>'1. IDENTITÉ'!$B$18</f>
        <v>0</v>
      </c>
      <c r="AX24" s="161">
        <f>'1. IDENTITÉ'!$B$19</f>
        <v>0</v>
      </c>
      <c r="AY24" s="159">
        <f>'1. IDENTITÉ'!$B$20</f>
        <v>0</v>
      </c>
      <c r="AZ24" s="172" t="str">
        <f>'1. IDENTITÉ'!$B$21</f>
        <v>avril-mars</v>
      </c>
      <c r="BA24" s="162">
        <f>'1. IDENTITÉ'!$B$22</f>
        <v>0</v>
      </c>
      <c r="BB24" s="163">
        <f>'1. IDENTITÉ'!$B$23</f>
        <v>0.35</v>
      </c>
      <c r="BE24" s="139"/>
      <c r="BF24" s="155"/>
      <c r="BG24" s="156"/>
      <c r="BH24" s="155"/>
      <c r="BI24" s="139"/>
      <c r="BJ24" s="155"/>
      <c r="BK24" s="155"/>
      <c r="BL24" s="156"/>
      <c r="BM24" s="139"/>
      <c r="BN24" s="140"/>
      <c r="BO24" s="157"/>
      <c r="BP24" s="140"/>
      <c r="BQ24" s="140"/>
      <c r="BR24" s="140"/>
      <c r="BS24" s="165"/>
      <c r="BT24" s="140"/>
      <c r="BU24" s="140"/>
      <c r="BV24" s="166"/>
      <c r="BW24" s="166"/>
      <c r="BX24" s="167"/>
      <c r="BY24" s="167"/>
      <c r="BZ24" s="167"/>
      <c r="CA24" s="167"/>
      <c r="CB24" s="167"/>
      <c r="CC24" s="167"/>
      <c r="CD24" s="167"/>
      <c r="CE24" s="167"/>
      <c r="CF24" s="167"/>
      <c r="CG24" s="167"/>
      <c r="CH24" s="167"/>
      <c r="CI24" s="167"/>
      <c r="CJ24" s="167"/>
      <c r="CK24" s="167"/>
      <c r="CL24" s="167"/>
      <c r="CM24" s="167"/>
      <c r="CN24" s="158"/>
      <c r="CO24" s="158"/>
      <c r="CP24" s="158"/>
      <c r="CQ24" s="158"/>
      <c r="CR24" s="158"/>
      <c r="CS24" s="158"/>
      <c r="CT24" s="158"/>
      <c r="CU24" s="158"/>
      <c r="CV24" s="140"/>
      <c r="CW24" s="160"/>
      <c r="CX24" s="160"/>
      <c r="CY24" s="140"/>
      <c r="CZ24" s="160"/>
      <c r="DA24" s="140"/>
      <c r="DB24" s="140"/>
      <c r="DC24" s="140"/>
      <c r="DD24" s="160"/>
      <c r="DE24" s="160"/>
      <c r="DF24" s="140"/>
      <c r="DG24" s="140"/>
      <c r="DH24" s="140"/>
      <c r="DI24" s="140"/>
      <c r="DJ24" s="140"/>
      <c r="DK24" s="140"/>
      <c r="DL24" s="140"/>
      <c r="DM24" s="140"/>
      <c r="DN24" s="140"/>
      <c r="DO24" s="140"/>
      <c r="DP24" s="140"/>
      <c r="DQ24" s="140"/>
      <c r="DR24" s="140"/>
      <c r="DS24" s="140"/>
      <c r="DT24" s="140"/>
    </row>
    <row r="25" spans="2:124" ht="15" customHeight="1">
      <c r="B25" s="159" t="str">
        <f>IF('1. IDENTITÉ'!$B$11&lt;&gt;0,'1. IDENTITÉ'!$B$11,IF(ISERROR(VLOOKUP(Transition!E25,ListeMO!$B$3:$C$133,2,FALSE)),"",VLOOKUP(Transition!E25,ListeMO!$B$3:$C$133,2,FALSE)))</f>
        <v/>
      </c>
      <c r="C25" s="159" t="str">
        <f t="shared" si="0"/>
        <v>2026-2027</v>
      </c>
      <c r="D25" s="159">
        <f>'1. IDENTITÉ'!$B$12</f>
        <v>0</v>
      </c>
      <c r="E25" s="159" t="str">
        <f>'1. IDENTITÉ'!$B$10</f>
        <v>NOM DE L'ENTITÉ</v>
      </c>
      <c r="F25" s="159"/>
      <c r="G25" s="159"/>
      <c r="H25" s="159"/>
      <c r="I25" s="159"/>
      <c r="J25" s="159">
        <f t="shared" si="1"/>
        <v>0</v>
      </c>
      <c r="K25" s="159">
        <f t="shared" si="2"/>
        <v>0</v>
      </c>
      <c r="L25" s="159"/>
      <c r="M25" s="159">
        <f>'1. IDENTITÉ'!$B$13</f>
        <v>0</v>
      </c>
      <c r="N25" s="164">
        <f>'1. IDENTITÉ'!$B$24</f>
        <v>0</v>
      </c>
      <c r="O25" s="164">
        <f>'1. IDENTITÉ'!$B$25</f>
        <v>0</v>
      </c>
      <c r="AA25" s="160"/>
      <c r="AB25" s="160"/>
      <c r="AC25" s="160"/>
      <c r="AD25" s="160"/>
      <c r="AE25" s="211" t="str">
        <f t="shared" si="3"/>
        <v>-2026-2027</v>
      </c>
      <c r="AF25" s="160"/>
      <c r="AG25" s="160"/>
      <c r="AH25" s="160"/>
      <c r="AI25" s="160"/>
      <c r="AJ25" s="160"/>
      <c r="AK25" s="160"/>
      <c r="AL25" s="160"/>
      <c r="AO25" s="159" t="s">
        <v>414</v>
      </c>
      <c r="AP25" s="159"/>
      <c r="AS25" s="159">
        <f>'1. IDENTITÉ'!$B$14</f>
        <v>0</v>
      </c>
      <c r="AT25" s="159">
        <f>'1. IDENTITÉ'!$B$15</f>
        <v>0</v>
      </c>
      <c r="AU25" s="172">
        <f>'1. IDENTITÉ'!$B$16</f>
        <v>0</v>
      </c>
      <c r="AV25" s="173">
        <f>'1. IDENTITÉ'!$B$17</f>
        <v>0</v>
      </c>
      <c r="AW25" s="159">
        <f>'1. IDENTITÉ'!$B$18</f>
        <v>0</v>
      </c>
      <c r="AX25" s="161">
        <f>'1. IDENTITÉ'!$B$19</f>
        <v>0</v>
      </c>
      <c r="AY25" s="159">
        <f>'1. IDENTITÉ'!$B$20</f>
        <v>0</v>
      </c>
      <c r="AZ25" s="172" t="str">
        <f>'1. IDENTITÉ'!$B$21</f>
        <v>avril-mars</v>
      </c>
      <c r="BA25" s="162">
        <f>'1. IDENTITÉ'!$B$22</f>
        <v>0</v>
      </c>
      <c r="BB25" s="163">
        <f>'1. IDENTITÉ'!$B$23</f>
        <v>0.35</v>
      </c>
      <c r="BE25" s="139"/>
      <c r="BF25" s="155"/>
      <c r="BG25" s="156"/>
      <c r="BH25" s="155"/>
      <c r="BI25" s="139"/>
      <c r="BJ25" s="155"/>
      <c r="BK25" s="155"/>
      <c r="BL25" s="156"/>
      <c r="BM25" s="139"/>
      <c r="BN25" s="140"/>
      <c r="BO25" s="157"/>
      <c r="BP25" s="140"/>
      <c r="BQ25" s="140"/>
      <c r="BR25" s="140"/>
      <c r="BS25" s="165"/>
      <c r="BT25" s="140"/>
      <c r="BU25" s="140"/>
      <c r="BV25" s="166"/>
      <c r="BW25" s="166"/>
      <c r="BX25" s="167"/>
      <c r="BY25" s="167"/>
      <c r="BZ25" s="167"/>
      <c r="CA25" s="167"/>
      <c r="CB25" s="167"/>
      <c r="CC25" s="167"/>
      <c r="CD25" s="167"/>
      <c r="CE25" s="167"/>
      <c r="CF25" s="167"/>
      <c r="CG25" s="167"/>
      <c r="CH25" s="167"/>
      <c r="CI25" s="167"/>
      <c r="CJ25" s="167"/>
      <c r="CK25" s="167"/>
      <c r="CL25" s="167"/>
      <c r="CM25" s="167"/>
      <c r="CN25" s="158"/>
      <c r="CO25" s="158"/>
      <c r="CP25" s="158"/>
      <c r="CQ25" s="158"/>
      <c r="CR25" s="158"/>
      <c r="CS25" s="158"/>
      <c r="CT25" s="158"/>
      <c r="CU25" s="158"/>
      <c r="CV25" s="140"/>
      <c r="CW25" s="160"/>
      <c r="CX25" s="160"/>
      <c r="CY25" s="140"/>
      <c r="CZ25" s="160"/>
      <c r="DA25" s="140"/>
      <c r="DB25" s="140"/>
      <c r="DC25" s="140"/>
      <c r="DD25" s="160"/>
      <c r="DE25" s="160"/>
      <c r="DF25" s="140"/>
      <c r="DG25" s="140"/>
      <c r="DH25" s="140"/>
      <c r="DI25" s="140"/>
      <c r="DJ25" s="140"/>
      <c r="DK25" s="140"/>
      <c r="DL25" s="140"/>
      <c r="DM25" s="140"/>
      <c r="DN25" s="140"/>
      <c r="DO25" s="140"/>
      <c r="DP25" s="140"/>
      <c r="DQ25" s="140"/>
      <c r="DR25" s="140"/>
      <c r="DS25" s="140"/>
      <c r="DT25" s="140"/>
    </row>
    <row r="26" spans="2:124" ht="15" customHeight="1">
      <c r="B26" s="159" t="str">
        <f>IF('1. IDENTITÉ'!$B$11&lt;&gt;0,'1. IDENTITÉ'!$B$11,IF(ISERROR(VLOOKUP(Transition!E26,ListeMO!$B$3:$C$133,2,FALSE)),"",VLOOKUP(Transition!E26,ListeMO!$B$3:$C$133,2,FALSE)))</f>
        <v/>
      </c>
      <c r="C26" s="159" t="str">
        <f t="shared" si="0"/>
        <v>2027-2028</v>
      </c>
      <c r="D26" s="159">
        <f>'1. IDENTITÉ'!$B$12</f>
        <v>0</v>
      </c>
      <c r="E26" s="159" t="str">
        <f>'1. IDENTITÉ'!$B$10</f>
        <v>NOM DE L'ENTITÉ</v>
      </c>
      <c r="F26" s="159"/>
      <c r="G26" s="159"/>
      <c r="H26" s="159"/>
      <c r="I26" s="159"/>
      <c r="J26" s="159">
        <f t="shared" si="1"/>
        <v>0</v>
      </c>
      <c r="K26" s="159">
        <f t="shared" si="2"/>
        <v>0</v>
      </c>
      <c r="L26" s="159"/>
      <c r="M26" s="159">
        <f>'1. IDENTITÉ'!$B$13</f>
        <v>0</v>
      </c>
      <c r="N26" s="164">
        <f>'1. IDENTITÉ'!$B$24</f>
        <v>0</v>
      </c>
      <c r="O26" s="164">
        <f>'1. IDENTITÉ'!$B$25</f>
        <v>0</v>
      </c>
      <c r="AA26" s="160"/>
      <c r="AB26" s="160"/>
      <c r="AC26" s="160"/>
      <c r="AD26" s="160"/>
      <c r="AE26" s="211" t="str">
        <f t="shared" si="3"/>
        <v>-2027-2028</v>
      </c>
      <c r="AF26" s="160"/>
      <c r="AG26" s="160"/>
      <c r="AH26" s="160"/>
      <c r="AI26" s="160"/>
      <c r="AJ26" s="160"/>
      <c r="AK26" s="160"/>
      <c r="AL26" s="160"/>
      <c r="AO26" s="159" t="s">
        <v>414</v>
      </c>
      <c r="AP26" s="159"/>
      <c r="AS26" s="159">
        <f>'1. IDENTITÉ'!$B$14</f>
        <v>0</v>
      </c>
      <c r="AT26" s="159">
        <f>'1. IDENTITÉ'!$B$15</f>
        <v>0</v>
      </c>
      <c r="AU26" s="172">
        <f>'1. IDENTITÉ'!$B$16</f>
        <v>0</v>
      </c>
      <c r="AV26" s="173">
        <f>'1. IDENTITÉ'!$B$17</f>
        <v>0</v>
      </c>
      <c r="AW26" s="159">
        <f>'1. IDENTITÉ'!$B$18</f>
        <v>0</v>
      </c>
      <c r="AX26" s="161">
        <f>'1. IDENTITÉ'!$B$19</f>
        <v>0</v>
      </c>
      <c r="AY26" s="159">
        <f>'1. IDENTITÉ'!$B$20</f>
        <v>0</v>
      </c>
      <c r="AZ26" s="172" t="str">
        <f>'1. IDENTITÉ'!$B$21</f>
        <v>avril-mars</v>
      </c>
      <c r="BA26" s="162">
        <f>'1. IDENTITÉ'!$B$22</f>
        <v>0</v>
      </c>
      <c r="BB26" s="163">
        <f>'1. IDENTITÉ'!$B$23</f>
        <v>0.35</v>
      </c>
      <c r="BE26" s="139"/>
      <c r="BF26" s="155"/>
      <c r="BG26" s="156"/>
      <c r="BH26" s="155"/>
      <c r="BI26" s="139"/>
      <c r="BJ26" s="155"/>
      <c r="BK26" s="155"/>
      <c r="BL26" s="156"/>
      <c r="BM26" s="139"/>
      <c r="BN26" s="140"/>
      <c r="BO26" s="157"/>
      <c r="BP26" s="140"/>
      <c r="BQ26" s="140"/>
      <c r="BR26" s="140"/>
      <c r="BS26" s="165"/>
      <c r="BT26" s="140"/>
      <c r="BU26" s="140"/>
      <c r="BV26" s="166"/>
      <c r="BW26" s="166"/>
      <c r="BX26" s="167"/>
      <c r="BY26" s="167"/>
      <c r="BZ26" s="167"/>
      <c r="CA26" s="167"/>
      <c r="CB26" s="167"/>
      <c r="CC26" s="167"/>
      <c r="CD26" s="167"/>
      <c r="CE26" s="167"/>
      <c r="CF26" s="167"/>
      <c r="CG26" s="167"/>
      <c r="CH26" s="167"/>
      <c r="CI26" s="167"/>
      <c r="CJ26" s="167"/>
      <c r="CK26" s="167"/>
      <c r="CL26" s="167"/>
      <c r="CM26" s="167"/>
      <c r="CN26" s="158"/>
      <c r="CO26" s="158"/>
      <c r="CP26" s="158"/>
      <c r="CQ26" s="158"/>
      <c r="CR26" s="158"/>
      <c r="CS26" s="158"/>
      <c r="CT26" s="158"/>
      <c r="CU26" s="158"/>
      <c r="CV26" s="140"/>
      <c r="CW26" s="160"/>
      <c r="CX26" s="160"/>
      <c r="CY26" s="140"/>
      <c r="CZ26" s="160"/>
      <c r="DA26" s="140"/>
      <c r="DB26" s="140"/>
      <c r="DC26" s="140"/>
      <c r="DD26" s="160"/>
      <c r="DE26" s="160"/>
      <c r="DF26" s="140"/>
      <c r="DG26" s="140"/>
      <c r="DH26" s="140"/>
      <c r="DI26" s="140"/>
      <c r="DJ26" s="140"/>
      <c r="DK26" s="140"/>
      <c r="DL26" s="140"/>
      <c r="DM26" s="140"/>
      <c r="DN26" s="140"/>
      <c r="DO26" s="140"/>
      <c r="DP26" s="140"/>
      <c r="DQ26" s="140"/>
      <c r="DR26" s="140"/>
      <c r="DS26" s="140"/>
      <c r="DT26" s="140"/>
    </row>
    <row r="27" spans="2:124" ht="15" customHeight="1">
      <c r="B27" s="159" t="str">
        <f>IF('1. IDENTITÉ'!$B$11&lt;&gt;0,'1. IDENTITÉ'!$B$11,IF(ISERROR(VLOOKUP(Transition!E27,ListeMO!$B$3:$C$133,2,FALSE)),"",VLOOKUP(Transition!E27,ListeMO!$B$3:$C$133,2,FALSE)))</f>
        <v/>
      </c>
      <c r="C27" s="159" t="str">
        <f t="shared" si="0"/>
        <v>2028-2029</v>
      </c>
      <c r="D27" s="159">
        <f>'1. IDENTITÉ'!$B$12</f>
        <v>0</v>
      </c>
      <c r="E27" s="159" t="str">
        <f>'1. IDENTITÉ'!$B$10</f>
        <v>NOM DE L'ENTITÉ</v>
      </c>
      <c r="F27" s="159"/>
      <c r="G27" s="159"/>
      <c r="H27" s="159"/>
      <c r="I27" s="159"/>
      <c r="J27" s="159">
        <f t="shared" si="1"/>
        <v>0</v>
      </c>
      <c r="K27" s="159">
        <f t="shared" si="2"/>
        <v>0</v>
      </c>
      <c r="L27" s="159"/>
      <c r="M27" s="159">
        <f>'1. IDENTITÉ'!$B$13</f>
        <v>0</v>
      </c>
      <c r="N27" s="164">
        <f>'1. IDENTITÉ'!$B$24</f>
        <v>0</v>
      </c>
      <c r="O27" s="164">
        <f>'1. IDENTITÉ'!$B$25</f>
        <v>0</v>
      </c>
      <c r="AA27" s="160"/>
      <c r="AB27" s="160"/>
      <c r="AC27" s="160"/>
      <c r="AD27" s="160"/>
      <c r="AE27" s="211" t="str">
        <f t="shared" si="3"/>
        <v>-2028-2029</v>
      </c>
      <c r="AF27" s="160"/>
      <c r="AG27" s="160"/>
      <c r="AH27" s="160"/>
      <c r="AI27" s="160"/>
      <c r="AJ27" s="160"/>
      <c r="AK27" s="160"/>
      <c r="AL27" s="160"/>
      <c r="AO27" s="159" t="s">
        <v>414</v>
      </c>
      <c r="AP27" s="159"/>
      <c r="AS27" s="159">
        <f>'1. IDENTITÉ'!$B$14</f>
        <v>0</v>
      </c>
      <c r="AT27" s="159">
        <f>'1. IDENTITÉ'!$B$15</f>
        <v>0</v>
      </c>
      <c r="AU27" s="172">
        <f>'1. IDENTITÉ'!$B$16</f>
        <v>0</v>
      </c>
      <c r="AV27" s="173">
        <f>'1. IDENTITÉ'!$B$17</f>
        <v>0</v>
      </c>
      <c r="AW27" s="159">
        <f>'1. IDENTITÉ'!$B$18</f>
        <v>0</v>
      </c>
      <c r="AX27" s="161">
        <f>'1. IDENTITÉ'!$B$19</f>
        <v>0</v>
      </c>
      <c r="AY27" s="159">
        <f>'1. IDENTITÉ'!$B$20</f>
        <v>0</v>
      </c>
      <c r="AZ27" s="172" t="str">
        <f>'1. IDENTITÉ'!$B$21</f>
        <v>avril-mars</v>
      </c>
      <c r="BA27" s="162">
        <f>'1. IDENTITÉ'!$B$22</f>
        <v>0</v>
      </c>
      <c r="BB27" s="163">
        <f>'1. IDENTITÉ'!$B$23</f>
        <v>0.35</v>
      </c>
      <c r="BE27" s="139"/>
      <c r="BF27" s="155"/>
      <c r="BG27" s="156"/>
      <c r="BH27" s="155"/>
      <c r="BI27" s="139"/>
      <c r="BJ27" s="155"/>
      <c r="BK27" s="155"/>
      <c r="BL27" s="156"/>
      <c r="BM27" s="139"/>
      <c r="BN27" s="140"/>
      <c r="BO27" s="157"/>
      <c r="BP27" s="140"/>
      <c r="BQ27" s="140"/>
      <c r="BR27" s="140"/>
      <c r="BS27" s="165"/>
      <c r="BT27" s="140"/>
      <c r="BU27" s="140"/>
      <c r="BV27" s="166"/>
      <c r="BW27" s="166"/>
      <c r="BX27" s="167"/>
      <c r="BY27" s="167"/>
      <c r="BZ27" s="167"/>
      <c r="CA27" s="167"/>
      <c r="CB27" s="167"/>
      <c r="CC27" s="167"/>
      <c r="CD27" s="167"/>
      <c r="CE27" s="167"/>
      <c r="CF27" s="167"/>
      <c r="CG27" s="167"/>
      <c r="CH27" s="167"/>
      <c r="CI27" s="167"/>
      <c r="CJ27" s="167"/>
      <c r="CK27" s="167"/>
      <c r="CL27" s="167"/>
      <c r="CM27" s="167"/>
      <c r="CN27" s="158"/>
      <c r="CO27" s="158"/>
      <c r="CP27" s="158"/>
      <c r="CQ27" s="158"/>
      <c r="CR27" s="158"/>
      <c r="CS27" s="158"/>
      <c r="CT27" s="158"/>
      <c r="CU27" s="158"/>
      <c r="CV27" s="140"/>
      <c r="CW27" s="160"/>
      <c r="CX27" s="160"/>
      <c r="CY27" s="140"/>
      <c r="CZ27" s="160"/>
      <c r="DA27" s="140"/>
      <c r="DB27" s="140"/>
      <c r="DC27" s="140"/>
      <c r="DD27" s="160"/>
      <c r="DE27" s="160"/>
      <c r="DF27" s="140"/>
      <c r="DG27" s="140"/>
      <c r="DH27" s="140"/>
      <c r="DI27" s="140"/>
      <c r="DJ27" s="140"/>
      <c r="DK27" s="140"/>
      <c r="DL27" s="140"/>
      <c r="DM27" s="140"/>
      <c r="DN27" s="140"/>
      <c r="DO27" s="140"/>
      <c r="DP27" s="140"/>
      <c r="DQ27" s="140"/>
      <c r="DR27" s="140"/>
      <c r="DS27" s="140"/>
      <c r="DT27" s="140"/>
    </row>
    <row r="28" spans="2:124" ht="15" customHeight="1">
      <c r="B28" s="159" t="str">
        <f>IF('1. IDENTITÉ'!$B$11&lt;&gt;0,'1. IDENTITÉ'!$B$11,IF(ISERROR(VLOOKUP(Transition!E28,ListeMO!$B$3:$C$133,2,FALSE)),"",VLOOKUP(Transition!E28,ListeMO!$B$3:$C$133,2,FALSE)))</f>
        <v/>
      </c>
      <c r="C28" s="159" t="str">
        <f t="shared" si="0"/>
        <v>2029-2030</v>
      </c>
      <c r="D28" s="159">
        <f>'1. IDENTITÉ'!$B$12</f>
        <v>0</v>
      </c>
      <c r="E28" s="159" t="str">
        <f>'1. IDENTITÉ'!$B$10</f>
        <v>NOM DE L'ENTITÉ</v>
      </c>
      <c r="F28" s="159"/>
      <c r="G28" s="159"/>
      <c r="H28" s="159"/>
      <c r="I28" s="159"/>
      <c r="J28" s="159">
        <f t="shared" si="1"/>
        <v>0</v>
      </c>
      <c r="K28" s="159">
        <f t="shared" si="2"/>
        <v>0</v>
      </c>
      <c r="L28" s="159"/>
      <c r="M28" s="159">
        <f>'1. IDENTITÉ'!$B$13</f>
        <v>0</v>
      </c>
      <c r="N28" s="164">
        <f>'1. IDENTITÉ'!$B$24</f>
        <v>0</v>
      </c>
      <c r="O28" s="164">
        <f>'1. IDENTITÉ'!$B$25</f>
        <v>0</v>
      </c>
      <c r="AA28" s="160"/>
      <c r="AB28" s="160"/>
      <c r="AC28" s="160"/>
      <c r="AD28" s="160"/>
      <c r="AE28" s="211" t="str">
        <f t="shared" si="3"/>
        <v>-2029-2030</v>
      </c>
      <c r="AF28" s="160"/>
      <c r="AG28" s="160"/>
      <c r="AH28" s="160"/>
      <c r="AI28" s="160"/>
      <c r="AJ28" s="160"/>
      <c r="AK28" s="160"/>
      <c r="AL28" s="160"/>
      <c r="AO28" s="159" t="s">
        <v>414</v>
      </c>
      <c r="AP28" s="159"/>
      <c r="AS28" s="159">
        <f>'1. IDENTITÉ'!$B$14</f>
        <v>0</v>
      </c>
      <c r="AT28" s="159">
        <f>'1. IDENTITÉ'!$B$15</f>
        <v>0</v>
      </c>
      <c r="AU28" s="172">
        <f>'1. IDENTITÉ'!$B$16</f>
        <v>0</v>
      </c>
      <c r="AV28" s="173">
        <f>'1. IDENTITÉ'!$B$17</f>
        <v>0</v>
      </c>
      <c r="AW28" s="159">
        <f>'1. IDENTITÉ'!$B$18</f>
        <v>0</v>
      </c>
      <c r="AX28" s="161">
        <f>'1. IDENTITÉ'!$B$19</f>
        <v>0</v>
      </c>
      <c r="AY28" s="159">
        <f>'1. IDENTITÉ'!$B$20</f>
        <v>0</v>
      </c>
      <c r="AZ28" s="172" t="str">
        <f>'1. IDENTITÉ'!$B$21</f>
        <v>avril-mars</v>
      </c>
      <c r="BA28" s="162">
        <f>'1. IDENTITÉ'!$B$22</f>
        <v>0</v>
      </c>
      <c r="BB28" s="163">
        <f>'1. IDENTITÉ'!$B$23</f>
        <v>0.35</v>
      </c>
      <c r="BE28" s="139"/>
      <c r="BF28" s="155"/>
      <c r="BG28" s="156"/>
      <c r="BH28" s="155"/>
      <c r="BI28" s="139"/>
      <c r="BJ28" s="155"/>
      <c r="BK28" s="155"/>
      <c r="BL28" s="156"/>
      <c r="BM28" s="139"/>
      <c r="BN28" s="140"/>
      <c r="BO28" s="157"/>
      <c r="BP28" s="140"/>
      <c r="BQ28" s="140"/>
      <c r="BR28" s="140"/>
      <c r="BS28" s="165"/>
      <c r="BT28" s="140"/>
      <c r="BU28" s="140"/>
      <c r="BV28" s="166"/>
      <c r="BW28" s="166"/>
      <c r="BX28" s="167"/>
      <c r="BY28" s="167"/>
      <c r="BZ28" s="167"/>
      <c r="CA28" s="167"/>
      <c r="CB28" s="167"/>
      <c r="CC28" s="167"/>
      <c r="CD28" s="167"/>
      <c r="CE28" s="167"/>
      <c r="CF28" s="167"/>
      <c r="CG28" s="167"/>
      <c r="CH28" s="167"/>
      <c r="CI28" s="167"/>
      <c r="CJ28" s="167"/>
      <c r="CK28" s="167"/>
      <c r="CL28" s="167"/>
      <c r="CM28" s="167"/>
      <c r="CN28" s="158"/>
      <c r="CO28" s="158"/>
      <c r="CP28" s="158"/>
      <c r="CQ28" s="158"/>
      <c r="CR28" s="158"/>
      <c r="CS28" s="158"/>
      <c r="CT28" s="158"/>
      <c r="CU28" s="158"/>
      <c r="CV28" s="140"/>
      <c r="CW28" s="160"/>
      <c r="CX28" s="160"/>
      <c r="CY28" s="140"/>
      <c r="CZ28" s="160"/>
      <c r="DA28" s="140"/>
      <c r="DB28" s="140"/>
      <c r="DC28" s="140"/>
      <c r="DD28" s="160"/>
      <c r="DE28" s="160"/>
      <c r="DF28" s="140"/>
      <c r="DG28" s="140"/>
      <c r="DH28" s="140"/>
      <c r="DI28" s="140"/>
      <c r="DJ28" s="140"/>
      <c r="DK28" s="140"/>
      <c r="DL28" s="140"/>
      <c r="DM28" s="140"/>
      <c r="DN28" s="140"/>
      <c r="DO28" s="140"/>
      <c r="DP28" s="140"/>
      <c r="DQ28" s="140"/>
      <c r="DR28" s="140"/>
      <c r="DS28" s="140"/>
      <c r="DT28" s="140"/>
    </row>
    <row r="29" spans="2:124" ht="15" customHeight="1"/>
    <row r="30" spans="2:124" ht="15" customHeight="1"/>
    <row r="31" spans="2:124" ht="15" customHeight="1" thickBot="1">
      <c r="B31">
        <f>'1. IDENTITÉ'!C16</f>
        <v>0</v>
      </c>
      <c r="C31">
        <f>'1. IDENTITÉ'!E16</f>
        <v>0</v>
      </c>
      <c r="D31">
        <f>'1. IDENTITÉ'!F16</f>
        <v>0</v>
      </c>
      <c r="R31" s="446"/>
      <c r="AQ31" s="446"/>
    </row>
    <row r="32" spans="2:124" ht="35.25" customHeight="1" thickTop="1">
      <c r="B32" s="1">
        <f>RÉSUMÉ!A1</f>
        <v>0</v>
      </c>
      <c r="C32" s="556" t="str">
        <f>RÉSUMÉ!B1</f>
        <v>TOTAL</v>
      </c>
      <c r="D32" s="574">
        <f>RÉSUMÉ!C1</f>
        <v>0</v>
      </c>
      <c r="E32" s="557">
        <f>RÉSUMÉ!D1</f>
        <v>0</v>
      </c>
      <c r="F32" s="556" t="str">
        <f>RÉSUMÉ!E1</f>
        <v>Intensité énergétique</v>
      </c>
      <c r="G32" s="574">
        <f>RÉSUMÉ!F1</f>
        <v>0</v>
      </c>
      <c r="H32" s="557">
        <f>RÉSUMÉ!G1</f>
        <v>0</v>
      </c>
      <c r="I32" s="556" t="str">
        <f>RÉSUMÉ!H1</f>
        <v>GES</v>
      </c>
      <c r="J32" s="557">
        <f>RÉSUMÉ!I1</f>
        <v>0</v>
      </c>
      <c r="K32" s="556" t="str">
        <f>RÉSUMÉ!J1</f>
        <v>Économie d'énergie</v>
      </c>
      <c r="L32" s="557">
        <f>RÉSUMÉ!K1</f>
        <v>0</v>
      </c>
      <c r="Q32" s="556" t="str">
        <f>RÉSUMÉ!Q1</f>
        <v>Consommation électrique</v>
      </c>
      <c r="R32" s="557">
        <f>RÉSUMÉ!R1</f>
        <v>0</v>
      </c>
      <c r="S32" s="459"/>
      <c r="T32" s="459"/>
      <c r="U32" s="459"/>
      <c r="V32" s="459"/>
      <c r="W32" s="459"/>
      <c r="X32" s="278" t="str">
        <f>RÉSUMÉ!S1</f>
        <v>Gaz naturel</v>
      </c>
      <c r="Y32" s="458">
        <f>RÉSUMÉ!T1</f>
        <v>0</v>
      </c>
      <c r="Z32" s="459"/>
      <c r="AA32" s="459"/>
      <c r="AB32" s="459"/>
      <c r="AC32" s="459"/>
      <c r="AD32" s="459"/>
      <c r="AE32" s="278" t="str">
        <f>RÉSUMÉ!U1</f>
        <v>Mazout n°2</v>
      </c>
      <c r="AF32" s="458">
        <f>RÉSUMÉ!V1</f>
        <v>0</v>
      </c>
      <c r="AG32" s="459"/>
      <c r="AH32" s="459"/>
      <c r="AI32" s="459"/>
      <c r="AJ32" s="459"/>
      <c r="AK32" s="459"/>
      <c r="AL32" s="278" t="str">
        <f>RÉSUMÉ!W1</f>
        <v>Mazout n°6</v>
      </c>
      <c r="AM32" s="458">
        <f>RÉSUMÉ!X1</f>
        <v>0</v>
      </c>
      <c r="AN32" s="459"/>
      <c r="AO32" s="459"/>
      <c r="AP32" s="459"/>
      <c r="AQ32" s="459"/>
      <c r="AR32" s="459"/>
      <c r="AS32" s="278" t="s">
        <v>806</v>
      </c>
      <c r="AT32" s="458"/>
      <c r="AU32" s="459"/>
      <c r="AV32" s="459"/>
      <c r="AW32" s="459"/>
      <c r="AX32" s="459"/>
      <c r="AY32" s="459"/>
      <c r="AZ32" s="278" t="str">
        <f>RÉSUMÉ!AA1</f>
        <v>Propane</v>
      </c>
      <c r="BA32" s="458">
        <f>RÉSUMÉ!AB1</f>
        <v>0</v>
      </c>
      <c r="BB32" s="459"/>
      <c r="BC32" s="459"/>
      <c r="BD32" s="459"/>
      <c r="BE32" s="459"/>
      <c r="BF32" s="459"/>
      <c r="BG32" s="278" t="str">
        <f>RÉSUMÉ!AC1</f>
        <v>Résidus de bois
 (8 % d'humidité)</v>
      </c>
      <c r="BH32" s="458">
        <f>RÉSUMÉ!AD1</f>
        <v>0</v>
      </c>
      <c r="BI32" s="459"/>
      <c r="BJ32" s="459"/>
      <c r="BK32" s="459"/>
      <c r="BL32" s="459"/>
      <c r="BM32" s="459"/>
      <c r="BN32" s="278" t="str">
        <f>RÉSUMÉ!AE1</f>
        <v>Résidus de bois
(35 % d'humidité)</v>
      </c>
      <c r="BO32" s="458">
        <f>RÉSUMÉ!AF1</f>
        <v>0</v>
      </c>
      <c r="BP32" s="459"/>
      <c r="BQ32" s="459"/>
      <c r="BR32" s="459"/>
      <c r="BS32" s="459"/>
      <c r="BT32" s="459"/>
      <c r="BU32" s="278" t="s">
        <v>412</v>
      </c>
      <c r="BV32" s="458"/>
      <c r="BW32" s="459"/>
      <c r="BX32" s="459"/>
      <c r="BY32" s="459"/>
      <c r="BZ32" s="459"/>
      <c r="CA32" s="459"/>
      <c r="CB32" s="278" t="s">
        <v>624</v>
      </c>
      <c r="CC32" s="458"/>
      <c r="CD32" s="459"/>
      <c r="CE32" s="459"/>
      <c r="CF32" s="459"/>
      <c r="CG32" s="459"/>
      <c r="CH32" s="459"/>
      <c r="CI32" s="278" t="s">
        <v>625</v>
      </c>
      <c r="CJ32" s="458"/>
      <c r="CK32" s="461"/>
      <c r="CL32" s="461"/>
      <c r="CM32" s="461"/>
      <c r="CN32" s="461"/>
      <c r="CO32" s="461"/>
      <c r="CP32" s="10" t="str">
        <f>RÉSUMÉ!AM1</f>
        <v>DJC</v>
      </c>
      <c r="CQ32" s="10" t="str">
        <f>RÉSUMÉ!AN1</f>
        <v>Superficie contient des surfaces louées</v>
      </c>
      <c r="CR32" s="10" t="str">
        <f>RÉSUMÉ!AO1</f>
        <v>Valeurs de consommation proviennent de surfaces des surfaces louées</v>
      </c>
      <c r="CS32" s="10" t="str">
        <f>RÉSUMÉ!AP1</f>
        <v>Projet(s) modifiant la superficie fait(s) lors de l'année de suivi</v>
      </c>
      <c r="CT32" s="10" t="str">
        <f>RÉSUMÉ!AQ1</f>
        <v>Taxes de ventes inclues dans le montant dépensé en énergie</v>
      </c>
      <c r="CU32" s="10" t="str">
        <f>RÉSUMÉ!AR1</f>
        <v>Murs extérieurs exclus de la superficie</v>
      </c>
      <c r="DE32" s="556" t="str">
        <f>RÉSUMÉ!L1</f>
        <v>Économie de coûts</v>
      </c>
      <c r="DF32" s="557">
        <f>RÉSUMÉ!M1</f>
        <v>0</v>
      </c>
      <c r="DG32" s="4" t="str">
        <f>RÉSUMÉ!N1</f>
        <v>Économie de GES</v>
      </c>
      <c r="DH32" s="4" t="str">
        <f>RÉSUMÉ!O1</f>
        <v>Superficie</v>
      </c>
      <c r="DI32" s="4" t="str">
        <f>RÉSUMÉ!P1</f>
        <v>Nombre de bâtiments</v>
      </c>
    </row>
    <row r="33" spans="2:113" ht="15" customHeight="1" thickBot="1">
      <c r="B33" s="1">
        <f>RÉSUMÉ!A2</f>
        <v>0</v>
      </c>
      <c r="C33" s="7" t="str">
        <f>RÉSUMÉ!B2</f>
        <v xml:space="preserve"> [GJ réel]</v>
      </c>
      <c r="D33" s="11" t="str">
        <f>RÉSUMÉ!C2</f>
        <v>[GJ 09-10 ajusté]</v>
      </c>
      <c r="E33" s="6" t="str">
        <f>RÉSUMÉ!D2</f>
        <v>[$ réel]</v>
      </c>
      <c r="F33" s="7" t="str">
        <f>RÉSUMÉ!E2</f>
        <v>[GJ réel/m²]</v>
      </c>
      <c r="G33" s="11" t="str">
        <f>RÉSUMÉ!F2</f>
        <v>[GJ 09-10 ajusté/m²]</v>
      </c>
      <c r="H33" s="6" t="str">
        <f>RÉSUMÉ!G2</f>
        <v>[$ réel/m²]</v>
      </c>
      <c r="I33" s="7" t="str">
        <f>RÉSUMÉ!H2</f>
        <v>[t éq. CO2]</v>
      </c>
      <c r="J33" s="6" t="str">
        <f>RÉSUMÉ!I2</f>
        <v>[kg éq. CO2/m²]</v>
      </c>
      <c r="K33" s="7" t="str">
        <f>RÉSUMÉ!J2</f>
        <v>[GJ ajusté/m²]</v>
      </c>
      <c r="L33" s="6" t="str">
        <f>RÉSUMÉ!K2</f>
        <v>[%]</v>
      </c>
      <c r="Q33" s="7" t="str">
        <f>RÉSUMÉ!Q2</f>
        <v xml:space="preserve"> [kWh]</v>
      </c>
      <c r="R33" s="6" t="str">
        <f>RÉSUMÉ!R2</f>
        <v xml:space="preserve"> [$]</v>
      </c>
      <c r="S33" s="460"/>
      <c r="T33" s="460"/>
      <c r="U33" s="460"/>
      <c r="V33" s="460"/>
      <c r="W33" s="460"/>
      <c r="X33" s="7" t="str">
        <f>RÉSUMÉ!S2</f>
        <v xml:space="preserve"> [m³]</v>
      </c>
      <c r="Y33" s="6" t="str">
        <f>RÉSUMÉ!T2</f>
        <v xml:space="preserve"> [$]</v>
      </c>
      <c r="Z33" s="460"/>
      <c r="AA33" s="460"/>
      <c r="AB33" s="460"/>
      <c r="AC33" s="460"/>
      <c r="AD33" s="460"/>
      <c r="AE33" s="7" t="str">
        <f>RÉSUMÉ!U2</f>
        <v xml:space="preserve"> [l]</v>
      </c>
      <c r="AF33" s="6" t="str">
        <f>RÉSUMÉ!V2</f>
        <v xml:space="preserve"> [$]</v>
      </c>
      <c r="AG33" s="460"/>
      <c r="AH33" s="460"/>
      <c r="AI33" s="460"/>
      <c r="AJ33" s="460"/>
      <c r="AK33" s="460"/>
      <c r="AL33" s="7" t="str">
        <f>RÉSUMÉ!W2</f>
        <v xml:space="preserve"> [l]</v>
      </c>
      <c r="AM33" s="6" t="str">
        <f>RÉSUMÉ!X2</f>
        <v xml:space="preserve"> [$]</v>
      </c>
      <c r="AN33" s="460"/>
      <c r="AO33" s="460"/>
      <c r="AP33" s="460"/>
      <c r="AQ33" s="460"/>
      <c r="AR33" s="460"/>
      <c r="AS33" s="7" t="s">
        <v>50</v>
      </c>
      <c r="AT33" s="6" t="s">
        <v>18</v>
      </c>
      <c r="AU33" s="460"/>
      <c r="AV33" s="460"/>
      <c r="AW33" s="460"/>
      <c r="AX33" s="460"/>
      <c r="AY33" s="460"/>
      <c r="AZ33" s="7" t="str">
        <f>RÉSUMÉ!AA2</f>
        <v xml:space="preserve"> [l]</v>
      </c>
      <c r="BA33" s="6" t="str">
        <f>RÉSUMÉ!AB2</f>
        <v xml:space="preserve"> [$]</v>
      </c>
      <c r="BB33" s="460"/>
      <c r="BC33" s="460"/>
      <c r="BD33" s="460"/>
      <c r="BE33" s="460"/>
      <c r="BF33" s="460"/>
      <c r="BG33" s="7" t="str">
        <f>RÉSUMÉ!AC2</f>
        <v xml:space="preserve"> [1000 kg MG]</v>
      </c>
      <c r="BH33" s="6" t="str">
        <f>RÉSUMÉ!AD2</f>
        <v xml:space="preserve"> [$]</v>
      </c>
      <c r="BI33" s="460"/>
      <c r="BJ33" s="460"/>
      <c r="BK33" s="460"/>
      <c r="BL33" s="460"/>
      <c r="BM33" s="460"/>
      <c r="BN33" s="7" t="str">
        <f>RÉSUMÉ!AE2</f>
        <v xml:space="preserve"> [1000 kg MG]</v>
      </c>
      <c r="BO33" s="6" t="str">
        <f>RÉSUMÉ!AF2</f>
        <v xml:space="preserve"> [$]</v>
      </c>
      <c r="BP33" s="460"/>
      <c r="BQ33" s="460"/>
      <c r="BR33" s="460"/>
      <c r="BS33" s="460"/>
      <c r="BT33" s="460"/>
      <c r="BU33" s="7" t="str">
        <f>RÉSUMÉ!AG2</f>
        <v>[lbs]</v>
      </c>
      <c r="BV33" s="6" t="str">
        <f>RÉSUMÉ!AH2</f>
        <v xml:space="preserve"> [$]</v>
      </c>
      <c r="BW33" s="460"/>
      <c r="BX33" s="460"/>
      <c r="BY33" s="460"/>
      <c r="BZ33" s="460"/>
      <c r="CA33" s="460"/>
      <c r="CB33" s="7" t="str">
        <f>RÉSUMÉ!AI2</f>
        <v>[MBTU]</v>
      </c>
      <c r="CC33" s="6" t="str">
        <f>RÉSUMÉ!AJ2</f>
        <v xml:space="preserve"> [$]</v>
      </c>
      <c r="CD33" s="460"/>
      <c r="CE33" s="460"/>
      <c r="CF33" s="460"/>
      <c r="CG33" s="460"/>
      <c r="CH33" s="460"/>
      <c r="CI33" s="7" t="str">
        <f>RÉSUMÉ!AK2</f>
        <v>[MBTU]</v>
      </c>
      <c r="CJ33" s="6" t="str">
        <f>RÉSUMÉ!AL2</f>
        <v xml:space="preserve"> [$]</v>
      </c>
      <c r="CK33" s="462"/>
      <c r="CL33" s="462"/>
      <c r="CM33" s="462"/>
      <c r="CN33" s="462"/>
      <c r="CO33" s="462"/>
      <c r="CP33" s="9" t="str">
        <f>RÉSUMÉ!AM2</f>
        <v xml:space="preserve"> [° C]</v>
      </c>
      <c r="CQ33" s="9" t="str">
        <f>RÉSUMÉ!AN2</f>
        <v xml:space="preserve"> [VRAI/FAUX]</v>
      </c>
      <c r="CR33" s="9" t="str">
        <f>RÉSUMÉ!AO2</f>
        <v xml:space="preserve"> [VRAI/FAUX]</v>
      </c>
      <c r="CS33" s="9" t="str">
        <f>RÉSUMÉ!AP2</f>
        <v xml:space="preserve"> [VRAI/FAUX]</v>
      </c>
      <c r="CT33" s="9" t="str">
        <f>RÉSUMÉ!AQ2</f>
        <v xml:space="preserve"> [VRAI/FAUX]</v>
      </c>
      <c r="CU33" s="9" t="str">
        <f>RÉSUMÉ!AR2</f>
        <v xml:space="preserve"> [VRAI/FAUX]</v>
      </c>
      <c r="DE33" s="7" t="str">
        <f>RÉSUMÉ!L2</f>
        <v>[$ réel/m²]</v>
      </c>
      <c r="DF33" s="6" t="str">
        <f>RÉSUMÉ!M2</f>
        <v>[%]</v>
      </c>
      <c r="DG33" s="9" t="str">
        <f>RÉSUMÉ!N2</f>
        <v>[t éq. CO2]</v>
      </c>
      <c r="DH33" s="8" t="str">
        <f>RÉSUMÉ!O2</f>
        <v>[m²]</v>
      </c>
      <c r="DI33" s="8">
        <f>RÉSUMÉ!P2</f>
        <v>0</v>
      </c>
    </row>
    <row r="34" spans="2:113" ht="15" customHeight="1" thickTop="1">
      <c r="B34" s="40" t="str">
        <f>RÉSUMÉ!A3</f>
        <v>s</v>
      </c>
      <c r="C34" s="105" t="e">
        <f>RÉSUMÉ!B3</f>
        <v>#REF!</v>
      </c>
      <c r="D34" s="106">
        <f>RÉSUMÉ!C3</f>
        <v>0</v>
      </c>
      <c r="E34" s="201" t="e">
        <f>RÉSUMÉ!D3</f>
        <v>#REF!</v>
      </c>
      <c r="F34" s="108">
        <f>RÉSUMÉ!E3</f>
        <v>0</v>
      </c>
      <c r="G34" s="106">
        <f>RÉSUMÉ!F3</f>
        <v>0</v>
      </c>
      <c r="H34" s="109">
        <f>RÉSUMÉ!G3</f>
        <v>0</v>
      </c>
      <c r="I34" s="105" t="e">
        <f>RÉSUMÉ!H3</f>
        <v>#REF!</v>
      </c>
      <c r="J34" s="107">
        <f>RÉSUMÉ!I3</f>
        <v>0</v>
      </c>
      <c r="K34" s="106">
        <f>RÉSUMÉ!J3</f>
        <v>0</v>
      </c>
      <c r="L34" s="110">
        <f>RÉSUMÉ!K3</f>
        <v>0</v>
      </c>
      <c r="Q34" s="105" t="e">
        <f>RÉSUMÉ!Q3</f>
        <v>#REF!</v>
      </c>
      <c r="R34" s="107" t="e">
        <f>RÉSUMÉ!R3</f>
        <v>#REF!</v>
      </c>
      <c r="S34" s="421"/>
      <c r="T34" s="421"/>
      <c r="U34" s="421"/>
      <c r="V34" s="421"/>
      <c r="W34" s="421"/>
      <c r="X34" s="105" t="e">
        <f>RÉSUMÉ!S3</f>
        <v>#REF!</v>
      </c>
      <c r="Y34" s="107" t="e">
        <f>RÉSUMÉ!T3</f>
        <v>#REF!</v>
      </c>
      <c r="Z34" s="421"/>
      <c r="AA34" s="421"/>
      <c r="AB34" s="421"/>
      <c r="AC34" s="421"/>
      <c r="AD34" s="421"/>
      <c r="AE34" s="105" t="e">
        <f>RÉSUMÉ!U3</f>
        <v>#REF!</v>
      </c>
      <c r="AF34" s="107" t="e">
        <f>RÉSUMÉ!V3</f>
        <v>#REF!</v>
      </c>
      <c r="AG34" s="421"/>
      <c r="AH34" s="421"/>
      <c r="AI34" s="421"/>
      <c r="AJ34" s="421"/>
      <c r="AK34" s="421"/>
      <c r="AL34" s="105" t="e">
        <f>RÉSUMÉ!W3</f>
        <v>#REF!</v>
      </c>
      <c r="AM34" s="107" t="e">
        <f>RÉSUMÉ!X3</f>
        <v>#REF!</v>
      </c>
      <c r="AN34" s="421"/>
      <c r="AO34" s="421"/>
      <c r="AP34" s="421"/>
      <c r="AQ34" s="421"/>
      <c r="AR34" s="421"/>
      <c r="AS34" s="105">
        <f>RÉSUMÉ!Y3</f>
        <v>0</v>
      </c>
      <c r="AT34" s="107">
        <f>RÉSUMÉ!Z3</f>
        <v>0</v>
      </c>
      <c r="AU34" s="421"/>
      <c r="AV34" s="421"/>
      <c r="AW34" s="421"/>
      <c r="AX34" s="421"/>
      <c r="AY34" s="421"/>
      <c r="AZ34" s="105" t="e">
        <f>RÉSUMÉ!AA3</f>
        <v>#REF!</v>
      </c>
      <c r="BA34" s="107" t="e">
        <f>RÉSUMÉ!AB3</f>
        <v>#REF!</v>
      </c>
      <c r="BB34" s="421"/>
      <c r="BC34" s="421"/>
      <c r="BD34" s="421"/>
      <c r="BE34" s="421"/>
      <c r="BF34" s="421"/>
      <c r="BG34" s="105" t="e">
        <f>RÉSUMÉ!AC3</f>
        <v>#REF!</v>
      </c>
      <c r="BH34" s="107" t="e">
        <f>RÉSUMÉ!AD3</f>
        <v>#REF!</v>
      </c>
      <c r="BI34" s="421"/>
      <c r="BJ34" s="421"/>
      <c r="BK34" s="421"/>
      <c r="BL34" s="421"/>
      <c r="BM34" s="421"/>
      <c r="BN34" s="105" t="e">
        <f>RÉSUMÉ!AE3</f>
        <v>#REF!</v>
      </c>
      <c r="BO34" s="107" t="e">
        <f>RÉSUMÉ!AF3</f>
        <v>#REF!</v>
      </c>
      <c r="BP34" s="421"/>
      <c r="BQ34" s="421"/>
      <c r="BR34" s="421"/>
      <c r="BS34" s="421"/>
      <c r="BT34" s="421"/>
      <c r="BU34" s="105">
        <f>RÉSUMÉ!AG3</f>
        <v>0</v>
      </c>
      <c r="BV34" s="107">
        <f>RÉSUMÉ!AH3</f>
        <v>0</v>
      </c>
      <c r="BW34" s="421"/>
      <c r="BX34" s="421"/>
      <c r="BY34" s="421"/>
      <c r="BZ34" s="421"/>
      <c r="CA34" s="421"/>
      <c r="CB34" s="105">
        <f>RÉSUMÉ!AI3</f>
        <v>0</v>
      </c>
      <c r="CC34" s="107">
        <f>RÉSUMÉ!AJ3</f>
        <v>0</v>
      </c>
      <c r="CD34" s="421"/>
      <c r="CE34" s="421"/>
      <c r="CF34" s="421"/>
      <c r="CG34" s="421"/>
      <c r="CH34" s="421"/>
      <c r="CI34" s="105">
        <f>RÉSUMÉ!AK3</f>
        <v>0</v>
      </c>
      <c r="CJ34" s="107">
        <f>RÉSUMÉ!AL3</f>
        <v>0</v>
      </c>
      <c r="CK34" s="115"/>
      <c r="CL34" s="115"/>
      <c r="CM34" s="115"/>
      <c r="CN34" s="115"/>
      <c r="CO34" s="115"/>
      <c r="CP34" s="113" t="e">
        <f>RÉSUMÉ!AM3</f>
        <v>#REF!</v>
      </c>
      <c r="CQ34" s="113">
        <f>RÉSUMÉ!AN3</f>
        <v>0</v>
      </c>
      <c r="CR34" s="113">
        <f>RÉSUMÉ!AO3</f>
        <v>0</v>
      </c>
      <c r="CS34" s="113">
        <f>RÉSUMÉ!AP3</f>
        <v>0</v>
      </c>
      <c r="CT34" s="113">
        <f>RÉSUMÉ!AQ3</f>
        <v>0</v>
      </c>
      <c r="CU34" s="113">
        <f>RÉSUMÉ!AR3</f>
        <v>0</v>
      </c>
      <c r="DE34" s="111">
        <f>RÉSUMÉ!L3</f>
        <v>0</v>
      </c>
      <c r="DF34" s="110">
        <f>RÉSUMÉ!M3</f>
        <v>0</v>
      </c>
      <c r="DG34" s="106">
        <f>RÉSUMÉ!N3</f>
        <v>0</v>
      </c>
      <c r="DH34" s="112">
        <f>RÉSUMÉ!O3</f>
        <v>0</v>
      </c>
      <c r="DI34" s="113" t="e">
        <f>RÉSUMÉ!P3</f>
        <v>#REF!</v>
      </c>
    </row>
    <row r="35" spans="2:113" ht="15" customHeight="1">
      <c r="B35" s="40" t="str">
        <f>RÉSUMÉ!A4</f>
        <v>2003-2004</v>
      </c>
      <c r="C35" s="114" t="e">
        <f>RÉSUMÉ!B4</f>
        <v>#REF!</v>
      </c>
      <c r="D35" s="106">
        <f>RÉSUMÉ!C4</f>
        <v>0</v>
      </c>
      <c r="E35" s="202" t="e">
        <f>RÉSUMÉ!D4</f>
        <v>#REF!</v>
      </c>
      <c r="F35" s="116">
        <f>RÉSUMÉ!E4</f>
        <v>0</v>
      </c>
      <c r="G35" s="106">
        <f>RÉSUMÉ!F4</f>
        <v>0</v>
      </c>
      <c r="H35" s="117">
        <f>RÉSUMÉ!G4</f>
        <v>0</v>
      </c>
      <c r="I35" s="114" t="e">
        <f>RÉSUMÉ!H4</f>
        <v>#REF!</v>
      </c>
      <c r="J35" s="115">
        <f>RÉSUMÉ!I4</f>
        <v>0</v>
      </c>
      <c r="K35" s="106">
        <f>RÉSUMÉ!J4</f>
        <v>0</v>
      </c>
      <c r="L35" s="118">
        <f>RÉSUMÉ!K4</f>
        <v>0</v>
      </c>
      <c r="Q35" s="114" t="e">
        <f>RÉSUMÉ!Q4</f>
        <v>#REF!</v>
      </c>
      <c r="R35" s="115" t="e">
        <f>RÉSUMÉ!R4</f>
        <v>#REF!</v>
      </c>
      <c r="S35" s="422"/>
      <c r="T35" s="422"/>
      <c r="U35" s="422"/>
      <c r="V35" s="422"/>
      <c r="W35" s="422"/>
      <c r="X35" s="114" t="e">
        <f>RÉSUMÉ!S4</f>
        <v>#REF!</v>
      </c>
      <c r="Y35" s="115" t="e">
        <f>RÉSUMÉ!T4</f>
        <v>#REF!</v>
      </c>
      <c r="Z35" s="422"/>
      <c r="AA35" s="422"/>
      <c r="AB35" s="422"/>
      <c r="AC35" s="422"/>
      <c r="AD35" s="422"/>
      <c r="AE35" s="114" t="e">
        <f>RÉSUMÉ!U4</f>
        <v>#REF!</v>
      </c>
      <c r="AF35" s="115" t="e">
        <f>RÉSUMÉ!V4</f>
        <v>#REF!</v>
      </c>
      <c r="AG35" s="422"/>
      <c r="AH35" s="422"/>
      <c r="AI35" s="422"/>
      <c r="AJ35" s="422"/>
      <c r="AK35" s="422"/>
      <c r="AL35" s="114" t="e">
        <f>RÉSUMÉ!W4</f>
        <v>#REF!</v>
      </c>
      <c r="AM35" s="115" t="e">
        <f>RÉSUMÉ!X4</f>
        <v>#REF!</v>
      </c>
      <c r="AN35" s="422"/>
      <c r="AO35" s="422"/>
      <c r="AP35" s="422"/>
      <c r="AQ35" s="422"/>
      <c r="AR35" s="422"/>
      <c r="AS35" s="114">
        <f>RÉSUMÉ!Y4</f>
        <v>0</v>
      </c>
      <c r="AT35" s="115">
        <f>RÉSUMÉ!Z4</f>
        <v>0</v>
      </c>
      <c r="AU35" s="422"/>
      <c r="AV35" s="422"/>
      <c r="AW35" s="422"/>
      <c r="AX35" s="422"/>
      <c r="AY35" s="422"/>
      <c r="AZ35" s="114" t="e">
        <f>RÉSUMÉ!AA4</f>
        <v>#REF!</v>
      </c>
      <c r="BA35" s="115" t="e">
        <f>RÉSUMÉ!AB4</f>
        <v>#REF!</v>
      </c>
      <c r="BB35" s="422"/>
      <c r="BC35" s="422"/>
      <c r="BD35" s="422"/>
      <c r="BE35" s="422"/>
      <c r="BF35" s="422"/>
      <c r="BG35" s="114" t="e">
        <f>RÉSUMÉ!AC4</f>
        <v>#REF!</v>
      </c>
      <c r="BH35" s="115" t="e">
        <f>RÉSUMÉ!AD4</f>
        <v>#REF!</v>
      </c>
      <c r="BI35" s="422"/>
      <c r="BJ35" s="422"/>
      <c r="BK35" s="422"/>
      <c r="BL35" s="422"/>
      <c r="BM35" s="422"/>
      <c r="BN35" s="114" t="e">
        <f>RÉSUMÉ!AE4</f>
        <v>#REF!</v>
      </c>
      <c r="BO35" s="115" t="e">
        <f>RÉSUMÉ!AF4</f>
        <v>#REF!</v>
      </c>
      <c r="BP35" s="422"/>
      <c r="BQ35" s="422"/>
      <c r="BR35" s="422"/>
      <c r="BS35" s="422"/>
      <c r="BT35" s="422"/>
      <c r="BU35" s="114">
        <f>RÉSUMÉ!AG4</f>
        <v>0</v>
      </c>
      <c r="BV35" s="115">
        <f>RÉSUMÉ!AH4</f>
        <v>0</v>
      </c>
      <c r="BW35" s="422"/>
      <c r="BX35" s="422"/>
      <c r="BY35" s="422"/>
      <c r="BZ35" s="422"/>
      <c r="CA35" s="422"/>
      <c r="CB35" s="114">
        <f>RÉSUMÉ!AI4</f>
        <v>0</v>
      </c>
      <c r="CC35" s="115">
        <f>RÉSUMÉ!AJ4</f>
        <v>0</v>
      </c>
      <c r="CD35" s="422"/>
      <c r="CE35" s="422"/>
      <c r="CF35" s="422"/>
      <c r="CG35" s="422"/>
      <c r="CH35" s="422"/>
      <c r="CI35" s="114">
        <f>RÉSUMÉ!AK4</f>
        <v>0</v>
      </c>
      <c r="CJ35" s="115">
        <f>RÉSUMÉ!AL4</f>
        <v>0</v>
      </c>
      <c r="CK35" s="115"/>
      <c r="CL35" s="115"/>
      <c r="CM35" s="115"/>
      <c r="CN35" s="115"/>
      <c r="CO35" s="115"/>
      <c r="CP35" s="113" t="e">
        <f>RÉSUMÉ!AM4</f>
        <v>#REF!</v>
      </c>
      <c r="CQ35" s="113">
        <f>RÉSUMÉ!AN4</f>
        <v>0</v>
      </c>
      <c r="CR35" s="113">
        <f>RÉSUMÉ!AO4</f>
        <v>0</v>
      </c>
      <c r="CS35" s="113">
        <f>RÉSUMÉ!AP4</f>
        <v>0</v>
      </c>
      <c r="CT35" s="113">
        <f>RÉSUMÉ!AQ4</f>
        <v>0</v>
      </c>
      <c r="CU35" s="113">
        <f>RÉSUMÉ!AR4</f>
        <v>0</v>
      </c>
      <c r="DE35" s="119">
        <f>RÉSUMÉ!L4</f>
        <v>0</v>
      </c>
      <c r="DF35" s="118">
        <f>RÉSUMÉ!M4</f>
        <v>0</v>
      </c>
      <c r="DG35" s="106">
        <f>RÉSUMÉ!N4</f>
        <v>0</v>
      </c>
      <c r="DH35" s="113">
        <f>RÉSUMÉ!O4</f>
        <v>0</v>
      </c>
      <c r="DI35" s="113" t="e">
        <f>RÉSUMÉ!P4</f>
        <v>#REF!</v>
      </c>
    </row>
    <row r="36" spans="2:113" ht="15" customHeight="1">
      <c r="B36" s="40" t="str">
        <f>RÉSUMÉ!A5</f>
        <v>2004-2005</v>
      </c>
      <c r="C36" s="114" t="e">
        <f>RÉSUMÉ!B5</f>
        <v>#REF!</v>
      </c>
      <c r="D36" s="106">
        <f>RÉSUMÉ!C5</f>
        <v>0</v>
      </c>
      <c r="E36" s="202" t="e">
        <f>RÉSUMÉ!D5</f>
        <v>#REF!</v>
      </c>
      <c r="F36" s="116">
        <f>RÉSUMÉ!E5</f>
        <v>0</v>
      </c>
      <c r="G36" s="106">
        <f>RÉSUMÉ!F5</f>
        <v>0</v>
      </c>
      <c r="H36" s="117">
        <f>RÉSUMÉ!G5</f>
        <v>0</v>
      </c>
      <c r="I36" s="114" t="e">
        <f>RÉSUMÉ!H5</f>
        <v>#REF!</v>
      </c>
      <c r="J36" s="115">
        <f>RÉSUMÉ!I5</f>
        <v>0</v>
      </c>
      <c r="K36" s="106">
        <f>RÉSUMÉ!J5</f>
        <v>0</v>
      </c>
      <c r="L36" s="118">
        <f>RÉSUMÉ!K5</f>
        <v>0</v>
      </c>
      <c r="Q36" s="114" t="e">
        <f>RÉSUMÉ!Q5</f>
        <v>#REF!</v>
      </c>
      <c r="R36" s="115" t="e">
        <f>RÉSUMÉ!R5</f>
        <v>#REF!</v>
      </c>
      <c r="S36" s="422"/>
      <c r="T36" s="422"/>
      <c r="U36" s="422"/>
      <c r="V36" s="422"/>
      <c r="W36" s="422"/>
      <c r="X36" s="114" t="e">
        <f>RÉSUMÉ!S5</f>
        <v>#REF!</v>
      </c>
      <c r="Y36" s="115" t="e">
        <f>RÉSUMÉ!T5</f>
        <v>#REF!</v>
      </c>
      <c r="Z36" s="422"/>
      <c r="AA36" s="422"/>
      <c r="AB36" s="422"/>
      <c r="AC36" s="422"/>
      <c r="AD36" s="422"/>
      <c r="AE36" s="114" t="e">
        <f>RÉSUMÉ!U5</f>
        <v>#REF!</v>
      </c>
      <c r="AF36" s="115" t="e">
        <f>RÉSUMÉ!V5</f>
        <v>#REF!</v>
      </c>
      <c r="AG36" s="422"/>
      <c r="AH36" s="422"/>
      <c r="AI36" s="422"/>
      <c r="AJ36" s="422"/>
      <c r="AK36" s="422"/>
      <c r="AL36" s="114" t="e">
        <f>RÉSUMÉ!W5</f>
        <v>#REF!</v>
      </c>
      <c r="AM36" s="115" t="e">
        <f>RÉSUMÉ!X5</f>
        <v>#REF!</v>
      </c>
      <c r="AN36" s="422"/>
      <c r="AO36" s="422"/>
      <c r="AP36" s="422"/>
      <c r="AQ36" s="422"/>
      <c r="AR36" s="422"/>
      <c r="AS36" s="114">
        <f>RÉSUMÉ!Y5</f>
        <v>0</v>
      </c>
      <c r="AT36" s="115">
        <f>RÉSUMÉ!Z5</f>
        <v>0</v>
      </c>
      <c r="AU36" s="422"/>
      <c r="AV36" s="422"/>
      <c r="AW36" s="422"/>
      <c r="AX36" s="422"/>
      <c r="AY36" s="422"/>
      <c r="AZ36" s="114" t="e">
        <f>RÉSUMÉ!AA5</f>
        <v>#REF!</v>
      </c>
      <c r="BA36" s="115" t="e">
        <f>RÉSUMÉ!AB5</f>
        <v>#REF!</v>
      </c>
      <c r="BB36" s="422"/>
      <c r="BC36" s="422"/>
      <c r="BD36" s="422"/>
      <c r="BE36" s="422"/>
      <c r="BF36" s="422"/>
      <c r="BG36" s="114" t="e">
        <f>RÉSUMÉ!AC5</f>
        <v>#REF!</v>
      </c>
      <c r="BH36" s="115" t="e">
        <f>RÉSUMÉ!AD5</f>
        <v>#REF!</v>
      </c>
      <c r="BI36" s="422"/>
      <c r="BJ36" s="422"/>
      <c r="BK36" s="422"/>
      <c r="BL36" s="422"/>
      <c r="BM36" s="422"/>
      <c r="BN36" s="114" t="e">
        <f>RÉSUMÉ!AE5</f>
        <v>#REF!</v>
      </c>
      <c r="BO36" s="115" t="e">
        <f>RÉSUMÉ!AF5</f>
        <v>#REF!</v>
      </c>
      <c r="BP36" s="422"/>
      <c r="BQ36" s="422"/>
      <c r="BR36" s="422"/>
      <c r="BS36" s="422"/>
      <c r="BT36" s="422"/>
      <c r="BU36" s="114">
        <f>RÉSUMÉ!AG5</f>
        <v>0</v>
      </c>
      <c r="BV36" s="115">
        <f>RÉSUMÉ!AH5</f>
        <v>0</v>
      </c>
      <c r="BW36" s="422"/>
      <c r="BX36" s="422"/>
      <c r="BY36" s="422"/>
      <c r="BZ36" s="422"/>
      <c r="CA36" s="422"/>
      <c r="CB36" s="114">
        <f>RÉSUMÉ!AI5</f>
        <v>0</v>
      </c>
      <c r="CC36" s="115">
        <f>RÉSUMÉ!AJ5</f>
        <v>0</v>
      </c>
      <c r="CD36" s="422"/>
      <c r="CE36" s="422"/>
      <c r="CF36" s="422"/>
      <c r="CG36" s="422"/>
      <c r="CH36" s="422"/>
      <c r="CI36" s="114">
        <f>RÉSUMÉ!AK5</f>
        <v>0</v>
      </c>
      <c r="CJ36" s="115">
        <f>RÉSUMÉ!AL5</f>
        <v>0</v>
      </c>
      <c r="CK36" s="115"/>
      <c r="CL36" s="115"/>
      <c r="CM36" s="115"/>
      <c r="CN36" s="115"/>
      <c r="CO36" s="115"/>
      <c r="CP36" s="113" t="e">
        <f>RÉSUMÉ!AM5</f>
        <v>#REF!</v>
      </c>
      <c r="CQ36" s="113">
        <f>RÉSUMÉ!AN5</f>
        <v>0</v>
      </c>
      <c r="CR36" s="113">
        <f>RÉSUMÉ!AO5</f>
        <v>0</v>
      </c>
      <c r="CS36" s="113">
        <f>RÉSUMÉ!AP5</f>
        <v>0</v>
      </c>
      <c r="CT36" s="113">
        <f>RÉSUMÉ!AQ5</f>
        <v>0</v>
      </c>
      <c r="CU36" s="113">
        <f>RÉSUMÉ!AR5</f>
        <v>0</v>
      </c>
      <c r="DE36" s="119">
        <f>RÉSUMÉ!L5</f>
        <v>0</v>
      </c>
      <c r="DF36" s="118">
        <f>RÉSUMÉ!M5</f>
        <v>0</v>
      </c>
      <c r="DG36" s="106">
        <f>RÉSUMÉ!N5</f>
        <v>0</v>
      </c>
      <c r="DH36" s="113">
        <f>RÉSUMÉ!O5</f>
        <v>0</v>
      </c>
      <c r="DI36" s="113" t="e">
        <f>RÉSUMÉ!P5</f>
        <v>#REF!</v>
      </c>
    </row>
    <row r="37" spans="2:113" ht="15" customHeight="1">
      <c r="B37" s="40" t="str">
        <f>RÉSUMÉ!A6</f>
        <v>2005-2006</v>
      </c>
      <c r="C37" s="114" t="e">
        <f>RÉSUMÉ!B6</f>
        <v>#REF!</v>
      </c>
      <c r="D37" s="106">
        <f>RÉSUMÉ!C6</f>
        <v>0</v>
      </c>
      <c r="E37" s="202" t="e">
        <f>RÉSUMÉ!D6</f>
        <v>#REF!</v>
      </c>
      <c r="F37" s="116">
        <f>RÉSUMÉ!E6</f>
        <v>0</v>
      </c>
      <c r="G37" s="106">
        <f>RÉSUMÉ!F6</f>
        <v>0</v>
      </c>
      <c r="H37" s="117">
        <f>RÉSUMÉ!G6</f>
        <v>0</v>
      </c>
      <c r="I37" s="114" t="e">
        <f>RÉSUMÉ!H6</f>
        <v>#REF!</v>
      </c>
      <c r="J37" s="115">
        <f>RÉSUMÉ!I6</f>
        <v>0</v>
      </c>
      <c r="K37" s="106">
        <f>RÉSUMÉ!J6</f>
        <v>0</v>
      </c>
      <c r="L37" s="118">
        <f>RÉSUMÉ!K6</f>
        <v>0</v>
      </c>
      <c r="Q37" s="114" t="e">
        <f>RÉSUMÉ!Q6</f>
        <v>#REF!</v>
      </c>
      <c r="R37" s="115" t="e">
        <f>RÉSUMÉ!R6</f>
        <v>#REF!</v>
      </c>
      <c r="S37" s="422"/>
      <c r="T37" s="422"/>
      <c r="U37" s="422"/>
      <c r="V37" s="422"/>
      <c r="W37" s="422"/>
      <c r="X37" s="114" t="e">
        <f>RÉSUMÉ!S6</f>
        <v>#REF!</v>
      </c>
      <c r="Y37" s="115" t="e">
        <f>RÉSUMÉ!T6</f>
        <v>#REF!</v>
      </c>
      <c r="Z37" s="422"/>
      <c r="AA37" s="422"/>
      <c r="AB37" s="422"/>
      <c r="AC37" s="422"/>
      <c r="AD37" s="422"/>
      <c r="AE37" s="114" t="e">
        <f>RÉSUMÉ!U6</f>
        <v>#REF!</v>
      </c>
      <c r="AF37" s="115" t="e">
        <f>RÉSUMÉ!V6</f>
        <v>#REF!</v>
      </c>
      <c r="AG37" s="422"/>
      <c r="AH37" s="422"/>
      <c r="AI37" s="422"/>
      <c r="AJ37" s="422"/>
      <c r="AK37" s="422"/>
      <c r="AL37" s="114" t="e">
        <f>RÉSUMÉ!W6</f>
        <v>#REF!</v>
      </c>
      <c r="AM37" s="115" t="e">
        <f>RÉSUMÉ!X6</f>
        <v>#REF!</v>
      </c>
      <c r="AN37" s="422"/>
      <c r="AO37" s="422"/>
      <c r="AP37" s="422"/>
      <c r="AQ37" s="422"/>
      <c r="AR37" s="422"/>
      <c r="AS37" s="114">
        <f>RÉSUMÉ!Y6</f>
        <v>0</v>
      </c>
      <c r="AT37" s="115">
        <f>RÉSUMÉ!Z6</f>
        <v>0</v>
      </c>
      <c r="AU37" s="422"/>
      <c r="AV37" s="422"/>
      <c r="AW37" s="422"/>
      <c r="AX37" s="422"/>
      <c r="AY37" s="422"/>
      <c r="AZ37" s="114" t="e">
        <f>RÉSUMÉ!AA6</f>
        <v>#REF!</v>
      </c>
      <c r="BA37" s="115" t="e">
        <f>RÉSUMÉ!AB6</f>
        <v>#REF!</v>
      </c>
      <c r="BB37" s="422"/>
      <c r="BC37" s="422"/>
      <c r="BD37" s="422"/>
      <c r="BE37" s="422"/>
      <c r="BF37" s="422"/>
      <c r="BG37" s="114" t="e">
        <f>RÉSUMÉ!AC6</f>
        <v>#REF!</v>
      </c>
      <c r="BH37" s="115" t="e">
        <f>RÉSUMÉ!AD6</f>
        <v>#REF!</v>
      </c>
      <c r="BI37" s="422"/>
      <c r="BJ37" s="422"/>
      <c r="BK37" s="422"/>
      <c r="BL37" s="422"/>
      <c r="BM37" s="422"/>
      <c r="BN37" s="114" t="e">
        <f>RÉSUMÉ!AE6</f>
        <v>#REF!</v>
      </c>
      <c r="BO37" s="115" t="e">
        <f>RÉSUMÉ!AF6</f>
        <v>#REF!</v>
      </c>
      <c r="BP37" s="422"/>
      <c r="BQ37" s="422"/>
      <c r="BR37" s="422"/>
      <c r="BS37" s="422"/>
      <c r="BT37" s="422"/>
      <c r="BU37" s="114">
        <f>RÉSUMÉ!AG6</f>
        <v>0</v>
      </c>
      <c r="BV37" s="115">
        <f>RÉSUMÉ!AH6</f>
        <v>0</v>
      </c>
      <c r="BW37" s="422"/>
      <c r="BX37" s="422"/>
      <c r="BY37" s="422"/>
      <c r="BZ37" s="422"/>
      <c r="CA37" s="422"/>
      <c r="CB37" s="114">
        <f>RÉSUMÉ!AI6</f>
        <v>0</v>
      </c>
      <c r="CC37" s="115">
        <f>RÉSUMÉ!AJ6</f>
        <v>0</v>
      </c>
      <c r="CD37" s="422"/>
      <c r="CE37" s="422"/>
      <c r="CF37" s="422"/>
      <c r="CG37" s="422"/>
      <c r="CH37" s="422"/>
      <c r="CI37" s="114">
        <f>RÉSUMÉ!AK6</f>
        <v>0</v>
      </c>
      <c r="CJ37" s="115">
        <f>RÉSUMÉ!AL6</f>
        <v>0</v>
      </c>
      <c r="CK37" s="115"/>
      <c r="CL37" s="115"/>
      <c r="CM37" s="115"/>
      <c r="CN37" s="115"/>
      <c r="CO37" s="115"/>
      <c r="CP37" s="113" t="e">
        <f>RÉSUMÉ!AM6</f>
        <v>#REF!</v>
      </c>
      <c r="CQ37" s="113">
        <f>RÉSUMÉ!AN6</f>
        <v>0</v>
      </c>
      <c r="CR37" s="113">
        <f>RÉSUMÉ!AO6</f>
        <v>0</v>
      </c>
      <c r="CS37" s="113">
        <f>RÉSUMÉ!AP6</f>
        <v>0</v>
      </c>
      <c r="CT37" s="113">
        <f>RÉSUMÉ!AQ6</f>
        <v>0</v>
      </c>
      <c r="CU37" s="113">
        <f>RÉSUMÉ!AR6</f>
        <v>0</v>
      </c>
      <c r="DE37" s="119">
        <f>RÉSUMÉ!L6</f>
        <v>0</v>
      </c>
      <c r="DF37" s="118">
        <f>RÉSUMÉ!M6</f>
        <v>0</v>
      </c>
      <c r="DG37" s="106">
        <f>RÉSUMÉ!N6</f>
        <v>0</v>
      </c>
      <c r="DH37" s="113">
        <f>RÉSUMÉ!O6</f>
        <v>0</v>
      </c>
      <c r="DI37" s="113" t="e">
        <f>RÉSUMÉ!P6</f>
        <v>#REF!</v>
      </c>
    </row>
    <row r="38" spans="2:113" ht="15" customHeight="1">
      <c r="B38" s="40" t="str">
        <f>RÉSUMÉ!A7</f>
        <v>2006-2007</v>
      </c>
      <c r="C38" s="114" t="e">
        <f>RÉSUMÉ!B7</f>
        <v>#REF!</v>
      </c>
      <c r="D38" s="106">
        <f>RÉSUMÉ!C7</f>
        <v>0</v>
      </c>
      <c r="E38" s="202" t="e">
        <f>RÉSUMÉ!D7</f>
        <v>#REF!</v>
      </c>
      <c r="F38" s="116">
        <f>RÉSUMÉ!E7</f>
        <v>0</v>
      </c>
      <c r="G38" s="106">
        <f>RÉSUMÉ!F7</f>
        <v>0</v>
      </c>
      <c r="H38" s="117">
        <f>RÉSUMÉ!G7</f>
        <v>0</v>
      </c>
      <c r="I38" s="114" t="e">
        <f>RÉSUMÉ!H7</f>
        <v>#REF!</v>
      </c>
      <c r="J38" s="115">
        <f>RÉSUMÉ!I7</f>
        <v>0</v>
      </c>
      <c r="K38" s="106">
        <f>RÉSUMÉ!J7</f>
        <v>0</v>
      </c>
      <c r="L38" s="118">
        <f>RÉSUMÉ!K7</f>
        <v>0</v>
      </c>
      <c r="Q38" s="114" t="e">
        <f>RÉSUMÉ!Q7</f>
        <v>#REF!</v>
      </c>
      <c r="R38" s="115" t="e">
        <f>RÉSUMÉ!R7</f>
        <v>#REF!</v>
      </c>
      <c r="S38" s="422"/>
      <c r="T38" s="422"/>
      <c r="U38" s="422"/>
      <c r="V38" s="422"/>
      <c r="W38" s="422"/>
      <c r="X38" s="114" t="e">
        <f>RÉSUMÉ!S7</f>
        <v>#REF!</v>
      </c>
      <c r="Y38" s="115" t="e">
        <f>RÉSUMÉ!T7</f>
        <v>#REF!</v>
      </c>
      <c r="Z38" s="422"/>
      <c r="AA38" s="422"/>
      <c r="AB38" s="422"/>
      <c r="AC38" s="422"/>
      <c r="AD38" s="422"/>
      <c r="AE38" s="114" t="e">
        <f>RÉSUMÉ!U7</f>
        <v>#REF!</v>
      </c>
      <c r="AF38" s="115" t="e">
        <f>RÉSUMÉ!V7</f>
        <v>#REF!</v>
      </c>
      <c r="AG38" s="422"/>
      <c r="AH38" s="422"/>
      <c r="AI38" s="422"/>
      <c r="AJ38" s="422"/>
      <c r="AK38" s="422"/>
      <c r="AL38" s="114" t="e">
        <f>RÉSUMÉ!W7</f>
        <v>#REF!</v>
      </c>
      <c r="AM38" s="115" t="e">
        <f>RÉSUMÉ!X7</f>
        <v>#REF!</v>
      </c>
      <c r="AN38" s="422"/>
      <c r="AO38" s="422"/>
      <c r="AP38" s="422"/>
      <c r="AQ38" s="422"/>
      <c r="AR38" s="422"/>
      <c r="AS38" s="114">
        <f>RÉSUMÉ!Y7</f>
        <v>0</v>
      </c>
      <c r="AT38" s="115">
        <f>RÉSUMÉ!Z7</f>
        <v>0</v>
      </c>
      <c r="AU38" s="422"/>
      <c r="AV38" s="422"/>
      <c r="AW38" s="422"/>
      <c r="AX38" s="422"/>
      <c r="AY38" s="422"/>
      <c r="AZ38" s="114" t="e">
        <f>RÉSUMÉ!AA7</f>
        <v>#REF!</v>
      </c>
      <c r="BA38" s="115" t="e">
        <f>RÉSUMÉ!AB7</f>
        <v>#REF!</v>
      </c>
      <c r="BB38" s="422"/>
      <c r="BC38" s="422"/>
      <c r="BD38" s="422"/>
      <c r="BE38" s="422"/>
      <c r="BF38" s="422"/>
      <c r="BG38" s="114" t="e">
        <f>RÉSUMÉ!AC7</f>
        <v>#REF!</v>
      </c>
      <c r="BH38" s="115" t="e">
        <f>RÉSUMÉ!AD7</f>
        <v>#REF!</v>
      </c>
      <c r="BI38" s="422"/>
      <c r="BJ38" s="422"/>
      <c r="BK38" s="422"/>
      <c r="BL38" s="422"/>
      <c r="BM38" s="422"/>
      <c r="BN38" s="114" t="e">
        <f>RÉSUMÉ!AE7</f>
        <v>#REF!</v>
      </c>
      <c r="BO38" s="115" t="e">
        <f>RÉSUMÉ!AF7</f>
        <v>#REF!</v>
      </c>
      <c r="BP38" s="422"/>
      <c r="BQ38" s="422"/>
      <c r="BR38" s="422"/>
      <c r="BS38" s="422"/>
      <c r="BT38" s="422"/>
      <c r="BU38" s="114">
        <f>RÉSUMÉ!AG7</f>
        <v>0</v>
      </c>
      <c r="BV38" s="115">
        <f>RÉSUMÉ!AH7</f>
        <v>0</v>
      </c>
      <c r="BW38" s="422"/>
      <c r="BX38" s="422"/>
      <c r="BY38" s="422"/>
      <c r="BZ38" s="422"/>
      <c r="CA38" s="422"/>
      <c r="CB38" s="114">
        <f>RÉSUMÉ!AI7</f>
        <v>0</v>
      </c>
      <c r="CC38" s="115">
        <f>RÉSUMÉ!AJ7</f>
        <v>0</v>
      </c>
      <c r="CD38" s="422"/>
      <c r="CE38" s="422"/>
      <c r="CF38" s="422"/>
      <c r="CG38" s="422"/>
      <c r="CH38" s="422"/>
      <c r="CI38" s="114">
        <f>RÉSUMÉ!AK7</f>
        <v>0</v>
      </c>
      <c r="CJ38" s="115">
        <f>RÉSUMÉ!AL7</f>
        <v>0</v>
      </c>
      <c r="CK38" s="115"/>
      <c r="CL38" s="115"/>
      <c r="CM38" s="115"/>
      <c r="CN38" s="115"/>
      <c r="CO38" s="115"/>
      <c r="CP38" s="113" t="e">
        <f>RÉSUMÉ!AM7</f>
        <v>#REF!</v>
      </c>
      <c r="CQ38" s="113">
        <f>RÉSUMÉ!AN7</f>
        <v>0</v>
      </c>
      <c r="CR38" s="113">
        <f>RÉSUMÉ!AO7</f>
        <v>0</v>
      </c>
      <c r="CS38" s="113">
        <f>RÉSUMÉ!AP7</f>
        <v>0</v>
      </c>
      <c r="CT38" s="113">
        <f>RÉSUMÉ!AQ7</f>
        <v>0</v>
      </c>
      <c r="CU38" s="113">
        <f>RÉSUMÉ!AR7</f>
        <v>0</v>
      </c>
      <c r="DE38" s="119">
        <f>RÉSUMÉ!L7</f>
        <v>0</v>
      </c>
      <c r="DF38" s="118">
        <f>RÉSUMÉ!M7</f>
        <v>0</v>
      </c>
      <c r="DG38" s="106">
        <f>RÉSUMÉ!N7</f>
        <v>0</v>
      </c>
      <c r="DH38" s="113">
        <f>RÉSUMÉ!O7</f>
        <v>0</v>
      </c>
      <c r="DI38" s="113" t="e">
        <f>RÉSUMÉ!P7</f>
        <v>#REF!</v>
      </c>
    </row>
    <row r="39" spans="2:113" ht="15" customHeight="1">
      <c r="B39" s="40" t="str">
        <f>RÉSUMÉ!A8</f>
        <v>2007-2008</v>
      </c>
      <c r="C39" s="114" t="e">
        <f>RÉSUMÉ!B8</f>
        <v>#REF!</v>
      </c>
      <c r="D39" s="106">
        <f>RÉSUMÉ!C8</f>
        <v>0</v>
      </c>
      <c r="E39" s="202" t="e">
        <f>RÉSUMÉ!D8</f>
        <v>#REF!</v>
      </c>
      <c r="F39" s="116">
        <f>RÉSUMÉ!E8</f>
        <v>0</v>
      </c>
      <c r="G39" s="106">
        <f>RÉSUMÉ!F8</f>
        <v>0</v>
      </c>
      <c r="H39" s="117">
        <f>RÉSUMÉ!G8</f>
        <v>0</v>
      </c>
      <c r="I39" s="114" t="e">
        <f>RÉSUMÉ!H8</f>
        <v>#REF!</v>
      </c>
      <c r="J39" s="115">
        <f>RÉSUMÉ!I8</f>
        <v>0</v>
      </c>
      <c r="K39" s="106">
        <f>RÉSUMÉ!J8</f>
        <v>0</v>
      </c>
      <c r="L39" s="118">
        <f>RÉSUMÉ!K8</f>
        <v>0</v>
      </c>
      <c r="Q39" s="114" t="e">
        <f>RÉSUMÉ!Q8</f>
        <v>#REF!</v>
      </c>
      <c r="R39" s="115" t="e">
        <f>RÉSUMÉ!R8</f>
        <v>#REF!</v>
      </c>
      <c r="S39" s="422"/>
      <c r="T39" s="422"/>
      <c r="U39" s="422"/>
      <c r="V39" s="422"/>
      <c r="W39" s="422"/>
      <c r="X39" s="114" t="e">
        <f>RÉSUMÉ!S8</f>
        <v>#REF!</v>
      </c>
      <c r="Y39" s="115" t="e">
        <f>RÉSUMÉ!T8</f>
        <v>#REF!</v>
      </c>
      <c r="Z39" s="422"/>
      <c r="AA39" s="422"/>
      <c r="AB39" s="422"/>
      <c r="AC39" s="422"/>
      <c r="AD39" s="422"/>
      <c r="AE39" s="114" t="e">
        <f>RÉSUMÉ!U8</f>
        <v>#REF!</v>
      </c>
      <c r="AF39" s="115" t="e">
        <f>RÉSUMÉ!V8</f>
        <v>#REF!</v>
      </c>
      <c r="AG39" s="422"/>
      <c r="AH39" s="422"/>
      <c r="AI39" s="422"/>
      <c r="AJ39" s="422"/>
      <c r="AK39" s="422"/>
      <c r="AL39" s="114" t="e">
        <f>RÉSUMÉ!W8</f>
        <v>#REF!</v>
      </c>
      <c r="AM39" s="115" t="e">
        <f>RÉSUMÉ!X8</f>
        <v>#REF!</v>
      </c>
      <c r="AN39" s="422"/>
      <c r="AO39" s="422"/>
      <c r="AP39" s="422"/>
      <c r="AQ39" s="422"/>
      <c r="AR39" s="422"/>
      <c r="AS39" s="114">
        <f>RÉSUMÉ!Y8</f>
        <v>0</v>
      </c>
      <c r="AT39" s="115">
        <f>RÉSUMÉ!Z8</f>
        <v>0</v>
      </c>
      <c r="AU39" s="422"/>
      <c r="AV39" s="422"/>
      <c r="AW39" s="422"/>
      <c r="AX39" s="422"/>
      <c r="AY39" s="422"/>
      <c r="AZ39" s="114" t="e">
        <f>RÉSUMÉ!AA8</f>
        <v>#REF!</v>
      </c>
      <c r="BA39" s="115" t="e">
        <f>RÉSUMÉ!AB8</f>
        <v>#REF!</v>
      </c>
      <c r="BB39" s="422"/>
      <c r="BC39" s="422"/>
      <c r="BD39" s="422"/>
      <c r="BE39" s="422"/>
      <c r="BF39" s="422"/>
      <c r="BG39" s="114" t="e">
        <f>RÉSUMÉ!AC8</f>
        <v>#REF!</v>
      </c>
      <c r="BH39" s="115" t="e">
        <f>RÉSUMÉ!AD8</f>
        <v>#REF!</v>
      </c>
      <c r="BI39" s="422"/>
      <c r="BJ39" s="422"/>
      <c r="BK39" s="422"/>
      <c r="BL39" s="422"/>
      <c r="BM39" s="422"/>
      <c r="BN39" s="114" t="e">
        <f>RÉSUMÉ!AE8</f>
        <v>#REF!</v>
      </c>
      <c r="BO39" s="115" t="e">
        <f>RÉSUMÉ!AF8</f>
        <v>#REF!</v>
      </c>
      <c r="BP39" s="422"/>
      <c r="BQ39" s="422"/>
      <c r="BR39" s="422"/>
      <c r="BS39" s="422"/>
      <c r="BT39" s="422"/>
      <c r="BU39" s="114">
        <f>RÉSUMÉ!AG8</f>
        <v>0</v>
      </c>
      <c r="BV39" s="115">
        <f>RÉSUMÉ!AH8</f>
        <v>0</v>
      </c>
      <c r="BW39" s="422"/>
      <c r="BX39" s="422"/>
      <c r="BY39" s="422"/>
      <c r="BZ39" s="422"/>
      <c r="CA39" s="422"/>
      <c r="CB39" s="114">
        <f>RÉSUMÉ!AI8</f>
        <v>0</v>
      </c>
      <c r="CC39" s="115">
        <f>RÉSUMÉ!AJ8</f>
        <v>0</v>
      </c>
      <c r="CD39" s="422"/>
      <c r="CE39" s="422"/>
      <c r="CF39" s="422"/>
      <c r="CG39" s="422"/>
      <c r="CH39" s="422"/>
      <c r="CI39" s="114">
        <f>RÉSUMÉ!AK8</f>
        <v>0</v>
      </c>
      <c r="CJ39" s="115">
        <f>RÉSUMÉ!AL8</f>
        <v>0</v>
      </c>
      <c r="CK39" s="115"/>
      <c r="CL39" s="115"/>
      <c r="CM39" s="115"/>
      <c r="CN39" s="115"/>
      <c r="CO39" s="115"/>
      <c r="CP39" s="113" t="e">
        <f>RÉSUMÉ!AM8</f>
        <v>#REF!</v>
      </c>
      <c r="CQ39" s="113">
        <f>RÉSUMÉ!AN8</f>
        <v>0</v>
      </c>
      <c r="CR39" s="113">
        <f>RÉSUMÉ!AO8</f>
        <v>0</v>
      </c>
      <c r="CS39" s="113">
        <f>RÉSUMÉ!AP8</f>
        <v>0</v>
      </c>
      <c r="CT39" s="113">
        <f>RÉSUMÉ!AQ8</f>
        <v>0</v>
      </c>
      <c r="CU39" s="113">
        <f>RÉSUMÉ!AR8</f>
        <v>0</v>
      </c>
      <c r="DE39" s="119">
        <f>RÉSUMÉ!L8</f>
        <v>0</v>
      </c>
      <c r="DF39" s="118">
        <f>RÉSUMÉ!M8</f>
        <v>0</v>
      </c>
      <c r="DG39" s="106">
        <f>RÉSUMÉ!N8</f>
        <v>0</v>
      </c>
      <c r="DH39" s="113">
        <f>RÉSUMÉ!O8</f>
        <v>0</v>
      </c>
      <c r="DI39" s="113" t="e">
        <f>RÉSUMÉ!P8</f>
        <v>#REF!</v>
      </c>
    </row>
    <row r="40" spans="2:113" ht="15" customHeight="1">
      <c r="B40" s="40" t="str">
        <f>RÉSUMÉ!A9</f>
        <v>2008-2009</v>
      </c>
      <c r="C40" s="114" t="e">
        <f>RÉSUMÉ!B9</f>
        <v>#REF!</v>
      </c>
      <c r="D40" s="106">
        <f>RÉSUMÉ!C9</f>
        <v>0</v>
      </c>
      <c r="E40" s="202" t="e">
        <f>RÉSUMÉ!D9</f>
        <v>#REF!</v>
      </c>
      <c r="F40" s="116">
        <f>RÉSUMÉ!E9</f>
        <v>0</v>
      </c>
      <c r="G40" s="106">
        <f>RÉSUMÉ!F9</f>
        <v>0</v>
      </c>
      <c r="H40" s="117">
        <f>RÉSUMÉ!G9</f>
        <v>0</v>
      </c>
      <c r="I40" s="114" t="e">
        <f>RÉSUMÉ!H9</f>
        <v>#REF!</v>
      </c>
      <c r="J40" s="115">
        <f>RÉSUMÉ!I9</f>
        <v>0</v>
      </c>
      <c r="K40" s="106">
        <f>RÉSUMÉ!J9</f>
        <v>0</v>
      </c>
      <c r="L40" s="118">
        <f>RÉSUMÉ!K9</f>
        <v>0</v>
      </c>
      <c r="Q40" s="114" t="e">
        <f>RÉSUMÉ!Q9</f>
        <v>#REF!</v>
      </c>
      <c r="R40" s="115" t="e">
        <f>RÉSUMÉ!R9</f>
        <v>#REF!</v>
      </c>
      <c r="S40" s="422"/>
      <c r="T40" s="422"/>
      <c r="U40" s="422"/>
      <c r="V40" s="422"/>
      <c r="W40" s="422"/>
      <c r="X40" s="114" t="e">
        <f>RÉSUMÉ!S9</f>
        <v>#REF!</v>
      </c>
      <c r="Y40" s="115" t="e">
        <f>RÉSUMÉ!T9</f>
        <v>#REF!</v>
      </c>
      <c r="Z40" s="422"/>
      <c r="AA40" s="422"/>
      <c r="AB40" s="422"/>
      <c r="AC40" s="422"/>
      <c r="AD40" s="422"/>
      <c r="AE40" s="114" t="e">
        <f>RÉSUMÉ!U9</f>
        <v>#REF!</v>
      </c>
      <c r="AF40" s="115" t="e">
        <f>RÉSUMÉ!V9</f>
        <v>#REF!</v>
      </c>
      <c r="AG40" s="422"/>
      <c r="AH40" s="422"/>
      <c r="AI40" s="422"/>
      <c r="AJ40" s="422"/>
      <c r="AK40" s="422"/>
      <c r="AL40" s="114" t="e">
        <f>RÉSUMÉ!W9</f>
        <v>#REF!</v>
      </c>
      <c r="AM40" s="115" t="e">
        <f>RÉSUMÉ!X9</f>
        <v>#REF!</v>
      </c>
      <c r="AN40" s="422"/>
      <c r="AO40" s="422"/>
      <c r="AP40" s="422"/>
      <c r="AQ40" s="422"/>
      <c r="AR40" s="422"/>
      <c r="AS40" s="114">
        <f>RÉSUMÉ!Y9</f>
        <v>0</v>
      </c>
      <c r="AT40" s="115">
        <f>RÉSUMÉ!Z9</f>
        <v>0</v>
      </c>
      <c r="AU40" s="422"/>
      <c r="AV40" s="422"/>
      <c r="AW40" s="422"/>
      <c r="AX40" s="422"/>
      <c r="AY40" s="422"/>
      <c r="AZ40" s="114" t="e">
        <f>RÉSUMÉ!AA9</f>
        <v>#REF!</v>
      </c>
      <c r="BA40" s="115" t="e">
        <f>RÉSUMÉ!AB9</f>
        <v>#REF!</v>
      </c>
      <c r="BB40" s="422"/>
      <c r="BC40" s="422"/>
      <c r="BD40" s="422"/>
      <c r="BE40" s="422"/>
      <c r="BF40" s="422"/>
      <c r="BG40" s="114" t="e">
        <f>RÉSUMÉ!AC9</f>
        <v>#REF!</v>
      </c>
      <c r="BH40" s="115" t="e">
        <f>RÉSUMÉ!AD9</f>
        <v>#REF!</v>
      </c>
      <c r="BI40" s="422"/>
      <c r="BJ40" s="422"/>
      <c r="BK40" s="422"/>
      <c r="BL40" s="422"/>
      <c r="BM40" s="422"/>
      <c r="BN40" s="114" t="e">
        <f>RÉSUMÉ!AE9</f>
        <v>#REF!</v>
      </c>
      <c r="BO40" s="115" t="e">
        <f>RÉSUMÉ!AF9</f>
        <v>#REF!</v>
      </c>
      <c r="BP40" s="422"/>
      <c r="BQ40" s="422"/>
      <c r="BR40" s="422"/>
      <c r="BS40" s="422"/>
      <c r="BT40" s="422"/>
      <c r="BU40" s="114">
        <f>RÉSUMÉ!AG9</f>
        <v>0</v>
      </c>
      <c r="BV40" s="115">
        <f>RÉSUMÉ!AH9</f>
        <v>0</v>
      </c>
      <c r="BW40" s="422"/>
      <c r="BX40" s="422"/>
      <c r="BY40" s="422"/>
      <c r="BZ40" s="422"/>
      <c r="CA40" s="422"/>
      <c r="CB40" s="114">
        <f>RÉSUMÉ!AI9</f>
        <v>0</v>
      </c>
      <c r="CC40" s="115">
        <f>RÉSUMÉ!AJ9</f>
        <v>0</v>
      </c>
      <c r="CD40" s="422"/>
      <c r="CE40" s="422"/>
      <c r="CF40" s="422"/>
      <c r="CG40" s="422"/>
      <c r="CH40" s="422"/>
      <c r="CI40" s="114">
        <f>RÉSUMÉ!AK9</f>
        <v>0</v>
      </c>
      <c r="CJ40" s="115">
        <f>RÉSUMÉ!AL9</f>
        <v>0</v>
      </c>
      <c r="CK40" s="115"/>
      <c r="CL40" s="115"/>
      <c r="CM40" s="115"/>
      <c r="CN40" s="115"/>
      <c r="CO40" s="115"/>
      <c r="CP40" s="113" t="e">
        <f>RÉSUMÉ!AM9</f>
        <v>#REF!</v>
      </c>
      <c r="CQ40" s="113">
        <f>RÉSUMÉ!AN9</f>
        <v>0</v>
      </c>
      <c r="CR40" s="113">
        <f>RÉSUMÉ!AO9</f>
        <v>0</v>
      </c>
      <c r="CS40" s="113">
        <f>RÉSUMÉ!AP9</f>
        <v>0</v>
      </c>
      <c r="CT40" s="113">
        <f>RÉSUMÉ!AQ9</f>
        <v>0</v>
      </c>
      <c r="CU40" s="113">
        <f>RÉSUMÉ!AR9</f>
        <v>0</v>
      </c>
      <c r="DE40" s="119">
        <f>RÉSUMÉ!L9</f>
        <v>0</v>
      </c>
      <c r="DF40" s="118">
        <f>RÉSUMÉ!M9</f>
        <v>0</v>
      </c>
      <c r="DG40" s="106">
        <f>RÉSUMÉ!N9</f>
        <v>0</v>
      </c>
      <c r="DH40" s="113">
        <f>RÉSUMÉ!O9</f>
        <v>0</v>
      </c>
      <c r="DI40" s="113" t="e">
        <f>RÉSUMÉ!P9</f>
        <v>#REF!</v>
      </c>
    </row>
    <row r="41" spans="2:113">
      <c r="B41" s="40" t="str">
        <f>RÉSUMÉ!A10</f>
        <v>2009-2010</v>
      </c>
      <c r="C41" s="114">
        <f>RÉSUMÉ!B10</f>
        <v>0</v>
      </c>
      <c r="D41" s="106">
        <f>RÉSUMÉ!C10</f>
        <v>0</v>
      </c>
      <c r="E41" s="202">
        <f>RÉSUMÉ!D10</f>
        <v>0</v>
      </c>
      <c r="F41" s="116">
        <f>RÉSUMÉ!E10</f>
        <v>0</v>
      </c>
      <c r="G41" s="106">
        <f>RÉSUMÉ!F10</f>
        <v>0</v>
      </c>
      <c r="H41" s="117">
        <f>RÉSUMÉ!G10</f>
        <v>0</v>
      </c>
      <c r="I41" s="114">
        <f>RÉSUMÉ!H10</f>
        <v>0</v>
      </c>
      <c r="J41" s="115">
        <f>RÉSUMÉ!I10</f>
        <v>0</v>
      </c>
      <c r="K41" s="106">
        <f>RÉSUMÉ!J10</f>
        <v>0</v>
      </c>
      <c r="L41" s="118">
        <f>RÉSUMÉ!K10</f>
        <v>0</v>
      </c>
      <c r="Q41" s="114">
        <f>RÉSUMÉ!Q10</f>
        <v>0</v>
      </c>
      <c r="R41" s="115">
        <f>RÉSUMÉ!R10</f>
        <v>0</v>
      </c>
      <c r="S41" s="422"/>
      <c r="T41" s="422"/>
      <c r="U41" s="422"/>
      <c r="V41" s="422"/>
      <c r="W41" s="422"/>
      <c r="X41" s="114">
        <f>RÉSUMÉ!S10</f>
        <v>0</v>
      </c>
      <c r="Y41" s="115">
        <f>RÉSUMÉ!T10</f>
        <v>0</v>
      </c>
      <c r="Z41" s="422"/>
      <c r="AA41" s="422"/>
      <c r="AB41" s="422"/>
      <c r="AC41" s="422"/>
      <c r="AD41" s="422"/>
      <c r="AE41" s="114">
        <f>RÉSUMÉ!U10</f>
        <v>0</v>
      </c>
      <c r="AF41" s="115">
        <f>RÉSUMÉ!V10</f>
        <v>0</v>
      </c>
      <c r="AG41" s="422"/>
      <c r="AH41" s="422"/>
      <c r="AI41" s="422"/>
      <c r="AJ41" s="422"/>
      <c r="AK41" s="422"/>
      <c r="AL41" s="114">
        <f>RÉSUMÉ!W10</f>
        <v>0</v>
      </c>
      <c r="AM41" s="115">
        <f>RÉSUMÉ!X10</f>
        <v>0</v>
      </c>
      <c r="AN41" s="422"/>
      <c r="AO41" s="422"/>
      <c r="AP41" s="422"/>
      <c r="AQ41" s="422"/>
      <c r="AR41" s="422"/>
      <c r="AS41" s="114">
        <f>RÉSUMÉ!Y10</f>
        <v>0</v>
      </c>
      <c r="AT41" s="115">
        <f>RÉSUMÉ!Z10</f>
        <v>0</v>
      </c>
      <c r="AU41" s="422"/>
      <c r="AV41" s="422"/>
      <c r="AW41" s="422"/>
      <c r="AX41" s="422"/>
      <c r="AY41" s="422"/>
      <c r="AZ41" s="114">
        <f>RÉSUMÉ!AA10</f>
        <v>0</v>
      </c>
      <c r="BA41" s="115">
        <f>RÉSUMÉ!AB10</f>
        <v>0</v>
      </c>
      <c r="BB41" s="422"/>
      <c r="BC41" s="422"/>
      <c r="BD41" s="422"/>
      <c r="BE41" s="422"/>
      <c r="BF41" s="422"/>
      <c r="BG41" s="114">
        <f>RÉSUMÉ!AC10</f>
        <v>0</v>
      </c>
      <c r="BH41" s="115">
        <f>RÉSUMÉ!AD10</f>
        <v>0</v>
      </c>
      <c r="BI41" s="422"/>
      <c r="BJ41" s="422"/>
      <c r="BK41" s="422"/>
      <c r="BL41" s="422"/>
      <c r="BM41" s="422"/>
      <c r="BN41" s="114">
        <f>RÉSUMÉ!AE10</f>
        <v>0</v>
      </c>
      <c r="BO41" s="115">
        <f>RÉSUMÉ!AF10</f>
        <v>0</v>
      </c>
      <c r="BP41" s="422"/>
      <c r="BQ41" s="422"/>
      <c r="BR41" s="422"/>
      <c r="BS41" s="422"/>
      <c r="BT41" s="422"/>
      <c r="BU41" s="114">
        <f>RÉSUMÉ!AG10</f>
        <v>0</v>
      </c>
      <c r="BV41" s="115">
        <f>RÉSUMÉ!AH10</f>
        <v>0</v>
      </c>
      <c r="BW41" s="422"/>
      <c r="BX41" s="422"/>
      <c r="BY41" s="422"/>
      <c r="BZ41" s="422"/>
      <c r="CA41" s="422"/>
      <c r="CB41" s="114">
        <f>RÉSUMÉ!AI10</f>
        <v>0</v>
      </c>
      <c r="CC41" s="115">
        <f>RÉSUMÉ!AJ10</f>
        <v>0</v>
      </c>
      <c r="CD41" s="422"/>
      <c r="CE41" s="422"/>
      <c r="CF41" s="422"/>
      <c r="CG41" s="422"/>
      <c r="CH41" s="422"/>
      <c r="CI41" s="114">
        <f>RÉSUMÉ!AK10</f>
        <v>0</v>
      </c>
      <c r="CJ41" s="115">
        <f>RÉSUMÉ!AL10</f>
        <v>0</v>
      </c>
      <c r="CK41" s="115"/>
      <c r="CL41" s="115"/>
      <c r="CM41" s="115"/>
      <c r="CN41" s="115"/>
      <c r="CO41" s="115"/>
      <c r="CP41" s="113">
        <f>RÉSUMÉ!AM10</f>
        <v>3967.8000000000006</v>
      </c>
      <c r="CQ41" s="113">
        <f>RÉSUMÉ!AN10</f>
        <v>0</v>
      </c>
      <c r="CR41" s="113">
        <f>RÉSUMÉ!AO10</f>
        <v>0</v>
      </c>
      <c r="CS41" s="113">
        <f>RÉSUMÉ!AP10</f>
        <v>0</v>
      </c>
      <c r="CT41" s="113">
        <f>RÉSUMÉ!AQ10</f>
        <v>0</v>
      </c>
      <c r="CU41" s="113">
        <f>RÉSUMÉ!AR10</f>
        <v>0</v>
      </c>
      <c r="DE41" s="119">
        <f>RÉSUMÉ!L10</f>
        <v>0</v>
      </c>
      <c r="DF41" s="118">
        <f>RÉSUMÉ!M10</f>
        <v>0</v>
      </c>
      <c r="DG41" s="106">
        <f>RÉSUMÉ!N10</f>
        <v>0</v>
      </c>
      <c r="DH41" s="113">
        <f>RÉSUMÉ!O10</f>
        <v>0</v>
      </c>
      <c r="DI41" s="113">
        <f>RÉSUMÉ!P10</f>
        <v>0</v>
      </c>
    </row>
    <row r="42" spans="2:113">
      <c r="B42" s="40" t="str">
        <f>RÉSUMÉ!A11</f>
        <v>2010-2011</v>
      </c>
      <c r="C42" s="114">
        <f>RÉSUMÉ!B11</f>
        <v>0</v>
      </c>
      <c r="D42" s="114">
        <f>RÉSUMÉ!C11</f>
        <v>0</v>
      </c>
      <c r="E42" s="202">
        <f>RÉSUMÉ!D11</f>
        <v>0</v>
      </c>
      <c r="F42" s="116">
        <f>RÉSUMÉ!E11</f>
        <v>0</v>
      </c>
      <c r="G42" s="114">
        <f>RÉSUMÉ!F11</f>
        <v>0</v>
      </c>
      <c r="H42" s="117">
        <f>RÉSUMÉ!G11</f>
        <v>0</v>
      </c>
      <c r="I42" s="114">
        <f>RÉSUMÉ!H11</f>
        <v>0</v>
      </c>
      <c r="J42" s="115">
        <f>RÉSUMÉ!I11</f>
        <v>0</v>
      </c>
      <c r="K42" s="120">
        <f>RÉSUMÉ!J11</f>
        <v>0</v>
      </c>
      <c r="L42" s="121">
        <f>RÉSUMÉ!K11</f>
        <v>0</v>
      </c>
      <c r="Q42" s="114">
        <f>RÉSUMÉ!Q11</f>
        <v>0</v>
      </c>
      <c r="R42" s="115">
        <f>RÉSUMÉ!R11</f>
        <v>0</v>
      </c>
      <c r="S42" s="422"/>
      <c r="T42" s="422"/>
      <c r="U42" s="422"/>
      <c r="V42" s="422"/>
      <c r="W42" s="422"/>
      <c r="X42" s="114">
        <f>RÉSUMÉ!S11</f>
        <v>0</v>
      </c>
      <c r="Y42" s="115">
        <f>RÉSUMÉ!T11</f>
        <v>0</v>
      </c>
      <c r="Z42" s="422"/>
      <c r="AA42" s="422"/>
      <c r="AB42" s="422"/>
      <c r="AC42" s="422"/>
      <c r="AD42" s="422"/>
      <c r="AE42" s="114">
        <f>RÉSUMÉ!U11</f>
        <v>0</v>
      </c>
      <c r="AF42" s="115">
        <f>RÉSUMÉ!V11</f>
        <v>0</v>
      </c>
      <c r="AG42" s="422"/>
      <c r="AH42" s="422"/>
      <c r="AI42" s="422"/>
      <c r="AJ42" s="422"/>
      <c r="AK42" s="422"/>
      <c r="AL42" s="114">
        <f>RÉSUMÉ!W11</f>
        <v>0</v>
      </c>
      <c r="AM42" s="115">
        <f>RÉSUMÉ!X11</f>
        <v>0</v>
      </c>
      <c r="AN42" s="422"/>
      <c r="AO42" s="422"/>
      <c r="AP42" s="422"/>
      <c r="AQ42" s="422"/>
      <c r="AR42" s="422"/>
      <c r="AS42" s="114">
        <f>RÉSUMÉ!Y11</f>
        <v>0</v>
      </c>
      <c r="AT42" s="115">
        <f>RÉSUMÉ!Z11</f>
        <v>0</v>
      </c>
      <c r="AU42" s="422"/>
      <c r="AV42" s="422"/>
      <c r="AW42" s="422"/>
      <c r="AX42" s="422"/>
      <c r="AY42" s="422"/>
      <c r="AZ42" s="114">
        <f>RÉSUMÉ!AA11</f>
        <v>0</v>
      </c>
      <c r="BA42" s="115">
        <f>RÉSUMÉ!AB11</f>
        <v>0</v>
      </c>
      <c r="BB42" s="422"/>
      <c r="BC42" s="422"/>
      <c r="BD42" s="422"/>
      <c r="BE42" s="422"/>
      <c r="BF42" s="422"/>
      <c r="BG42" s="114">
        <f>RÉSUMÉ!AC11</f>
        <v>0</v>
      </c>
      <c r="BH42" s="115">
        <f>RÉSUMÉ!AD11</f>
        <v>0</v>
      </c>
      <c r="BI42" s="422"/>
      <c r="BJ42" s="422"/>
      <c r="BK42" s="422"/>
      <c r="BL42" s="422"/>
      <c r="BM42" s="422"/>
      <c r="BN42" s="114">
        <f>RÉSUMÉ!AE11</f>
        <v>0</v>
      </c>
      <c r="BO42" s="115">
        <f>RÉSUMÉ!AF11</f>
        <v>0</v>
      </c>
      <c r="BP42" s="422"/>
      <c r="BQ42" s="422"/>
      <c r="BR42" s="422"/>
      <c r="BS42" s="422"/>
      <c r="BT42" s="422"/>
      <c r="BU42" s="114">
        <f>RÉSUMÉ!AG11</f>
        <v>0</v>
      </c>
      <c r="BV42" s="115">
        <f>RÉSUMÉ!AH11</f>
        <v>0</v>
      </c>
      <c r="BW42" s="422"/>
      <c r="BX42" s="422"/>
      <c r="BY42" s="422"/>
      <c r="BZ42" s="422"/>
      <c r="CA42" s="422"/>
      <c r="CB42" s="114">
        <f>RÉSUMÉ!AI11</f>
        <v>0</v>
      </c>
      <c r="CC42" s="115">
        <f>RÉSUMÉ!AJ11</f>
        <v>0</v>
      </c>
      <c r="CD42" s="422"/>
      <c r="CE42" s="422"/>
      <c r="CF42" s="422"/>
      <c r="CG42" s="422"/>
      <c r="CH42" s="422"/>
      <c r="CI42" s="114">
        <f>RÉSUMÉ!AK11</f>
        <v>0</v>
      </c>
      <c r="CJ42" s="115">
        <f>RÉSUMÉ!AL11</f>
        <v>0</v>
      </c>
      <c r="CK42" s="115"/>
      <c r="CL42" s="115"/>
      <c r="CM42" s="115"/>
      <c r="CN42" s="115"/>
      <c r="CO42" s="115"/>
      <c r="CP42" s="113">
        <f>RÉSUMÉ!AM11</f>
        <v>4187.3999999999996</v>
      </c>
      <c r="CQ42" s="113">
        <f>RÉSUMÉ!AN11</f>
        <v>0</v>
      </c>
      <c r="CR42" s="113">
        <f>RÉSUMÉ!AO11</f>
        <v>0</v>
      </c>
      <c r="CS42" s="113">
        <f>RÉSUMÉ!AP11</f>
        <v>0</v>
      </c>
      <c r="CT42" s="113">
        <f>RÉSUMÉ!AQ11</f>
        <v>0</v>
      </c>
      <c r="CU42" s="113">
        <f>RÉSUMÉ!AR11</f>
        <v>0</v>
      </c>
      <c r="DE42" s="122">
        <f>RÉSUMÉ!L11</f>
        <v>0</v>
      </c>
      <c r="DF42" s="121">
        <f>RÉSUMÉ!M11</f>
        <v>0</v>
      </c>
      <c r="DG42" s="114">
        <f>RÉSUMÉ!N11</f>
        <v>0</v>
      </c>
      <c r="DH42" s="113">
        <f>RÉSUMÉ!O11</f>
        <v>0</v>
      </c>
      <c r="DI42" s="113">
        <f>RÉSUMÉ!P11</f>
        <v>0</v>
      </c>
    </row>
    <row r="43" spans="2:113">
      <c r="B43" s="40" t="str">
        <f>RÉSUMÉ!A12</f>
        <v>2011-2012</v>
      </c>
      <c r="C43" s="114">
        <f>RÉSUMÉ!B12</f>
        <v>0</v>
      </c>
      <c r="D43" s="114">
        <f>RÉSUMÉ!C12</f>
        <v>0</v>
      </c>
      <c r="E43" s="202">
        <f>RÉSUMÉ!D12</f>
        <v>0</v>
      </c>
      <c r="F43" s="116">
        <f>RÉSUMÉ!E12</f>
        <v>0</v>
      </c>
      <c r="G43" s="114">
        <f>RÉSUMÉ!F12</f>
        <v>0</v>
      </c>
      <c r="H43" s="117">
        <f>RÉSUMÉ!G12</f>
        <v>0</v>
      </c>
      <c r="I43" s="114">
        <f>RÉSUMÉ!H12</f>
        <v>0</v>
      </c>
      <c r="J43" s="115">
        <f>RÉSUMÉ!I12</f>
        <v>0</v>
      </c>
      <c r="K43" s="120">
        <f>RÉSUMÉ!J12</f>
        <v>0</v>
      </c>
      <c r="L43" s="121">
        <f>RÉSUMÉ!K12</f>
        <v>0</v>
      </c>
      <c r="Q43" s="114">
        <f>RÉSUMÉ!Q12</f>
        <v>0</v>
      </c>
      <c r="R43" s="115">
        <f>RÉSUMÉ!R12</f>
        <v>0</v>
      </c>
      <c r="S43" s="422"/>
      <c r="T43" s="422"/>
      <c r="U43" s="422"/>
      <c r="V43" s="422"/>
      <c r="W43" s="422"/>
      <c r="X43" s="114">
        <f>RÉSUMÉ!S12</f>
        <v>0</v>
      </c>
      <c r="Y43" s="115">
        <f>RÉSUMÉ!T12</f>
        <v>0</v>
      </c>
      <c r="Z43" s="422"/>
      <c r="AA43" s="422"/>
      <c r="AB43" s="422"/>
      <c r="AC43" s="422"/>
      <c r="AD43" s="422"/>
      <c r="AE43" s="114">
        <f>RÉSUMÉ!U12</f>
        <v>0</v>
      </c>
      <c r="AF43" s="115">
        <f>RÉSUMÉ!V12</f>
        <v>0</v>
      </c>
      <c r="AG43" s="422"/>
      <c r="AH43" s="422"/>
      <c r="AI43" s="422"/>
      <c r="AJ43" s="422"/>
      <c r="AK43" s="422"/>
      <c r="AL43" s="114">
        <f>RÉSUMÉ!W12</f>
        <v>0</v>
      </c>
      <c r="AM43" s="115">
        <f>RÉSUMÉ!X12</f>
        <v>0</v>
      </c>
      <c r="AN43" s="422"/>
      <c r="AO43" s="422"/>
      <c r="AP43" s="422"/>
      <c r="AQ43" s="422"/>
      <c r="AR43" s="422"/>
      <c r="AS43" s="114">
        <f>RÉSUMÉ!Y12</f>
        <v>0</v>
      </c>
      <c r="AT43" s="115">
        <f>RÉSUMÉ!Z12</f>
        <v>0</v>
      </c>
      <c r="AU43" s="422"/>
      <c r="AV43" s="422"/>
      <c r="AW43" s="422"/>
      <c r="AX43" s="422"/>
      <c r="AY43" s="422"/>
      <c r="AZ43" s="114">
        <f>RÉSUMÉ!AA12</f>
        <v>0</v>
      </c>
      <c r="BA43" s="115">
        <f>RÉSUMÉ!AB12</f>
        <v>0</v>
      </c>
      <c r="BB43" s="422"/>
      <c r="BC43" s="422"/>
      <c r="BD43" s="422"/>
      <c r="BE43" s="422"/>
      <c r="BF43" s="422"/>
      <c r="BG43" s="114">
        <f>RÉSUMÉ!AC12</f>
        <v>0</v>
      </c>
      <c r="BH43" s="115">
        <f>RÉSUMÉ!AD12</f>
        <v>0</v>
      </c>
      <c r="BI43" s="422"/>
      <c r="BJ43" s="422"/>
      <c r="BK43" s="422"/>
      <c r="BL43" s="422"/>
      <c r="BM43" s="422"/>
      <c r="BN43" s="114">
        <f>RÉSUMÉ!AE12</f>
        <v>0</v>
      </c>
      <c r="BO43" s="115">
        <f>RÉSUMÉ!AF12</f>
        <v>0</v>
      </c>
      <c r="BP43" s="422"/>
      <c r="BQ43" s="422"/>
      <c r="BR43" s="422"/>
      <c r="BS43" s="422"/>
      <c r="BT43" s="422"/>
      <c r="BU43" s="114">
        <f>RÉSUMÉ!AG12</f>
        <v>0</v>
      </c>
      <c r="BV43" s="115">
        <f>RÉSUMÉ!AH12</f>
        <v>0</v>
      </c>
      <c r="BW43" s="422"/>
      <c r="BX43" s="422"/>
      <c r="BY43" s="422"/>
      <c r="BZ43" s="422"/>
      <c r="CA43" s="422"/>
      <c r="CB43" s="114">
        <f>RÉSUMÉ!AI12</f>
        <v>0</v>
      </c>
      <c r="CC43" s="115">
        <f>RÉSUMÉ!AJ12</f>
        <v>0</v>
      </c>
      <c r="CD43" s="422"/>
      <c r="CE43" s="422"/>
      <c r="CF43" s="422"/>
      <c r="CG43" s="422"/>
      <c r="CH43" s="422"/>
      <c r="CI43" s="114">
        <f>RÉSUMÉ!AK12</f>
        <v>0</v>
      </c>
      <c r="CJ43" s="115">
        <f>RÉSUMÉ!AL12</f>
        <v>0</v>
      </c>
      <c r="CK43" s="115"/>
      <c r="CL43" s="115"/>
      <c r="CM43" s="115"/>
      <c r="CN43" s="115"/>
      <c r="CO43" s="115"/>
      <c r="CP43" s="113">
        <f>RÉSUMÉ!AM12</f>
        <v>3730</v>
      </c>
      <c r="CQ43" s="113">
        <f>RÉSUMÉ!AN12</f>
        <v>0</v>
      </c>
      <c r="CR43" s="113">
        <f>RÉSUMÉ!AO12</f>
        <v>0</v>
      </c>
      <c r="CS43" s="113">
        <f>RÉSUMÉ!AP12</f>
        <v>0</v>
      </c>
      <c r="CT43" s="113">
        <f>RÉSUMÉ!AQ12</f>
        <v>0</v>
      </c>
      <c r="CU43" s="113">
        <f>RÉSUMÉ!AR12</f>
        <v>0</v>
      </c>
      <c r="DE43" s="122">
        <f>RÉSUMÉ!L12</f>
        <v>0</v>
      </c>
      <c r="DF43" s="121">
        <f>RÉSUMÉ!M12</f>
        <v>0</v>
      </c>
      <c r="DG43" s="114">
        <f>RÉSUMÉ!N12</f>
        <v>0</v>
      </c>
      <c r="DH43" s="113">
        <f>RÉSUMÉ!O12</f>
        <v>0</v>
      </c>
      <c r="DI43" s="113">
        <f>RÉSUMÉ!P12</f>
        <v>0</v>
      </c>
    </row>
    <row r="44" spans="2:113">
      <c r="B44" s="40" t="str">
        <f>RÉSUMÉ!A13</f>
        <v>2012-2013</v>
      </c>
      <c r="C44" s="114">
        <f>RÉSUMÉ!B13</f>
        <v>0</v>
      </c>
      <c r="D44" s="114">
        <f>RÉSUMÉ!C13</f>
        <v>0</v>
      </c>
      <c r="E44" s="202">
        <f>RÉSUMÉ!D13</f>
        <v>0</v>
      </c>
      <c r="F44" s="116">
        <f>RÉSUMÉ!E13</f>
        <v>0</v>
      </c>
      <c r="G44" s="114">
        <f>RÉSUMÉ!F13</f>
        <v>0</v>
      </c>
      <c r="H44" s="117">
        <f>RÉSUMÉ!G13</f>
        <v>0</v>
      </c>
      <c r="I44" s="114">
        <f>RÉSUMÉ!H13</f>
        <v>0</v>
      </c>
      <c r="J44" s="115">
        <f>RÉSUMÉ!I13</f>
        <v>0</v>
      </c>
      <c r="K44" s="120">
        <f>RÉSUMÉ!J13</f>
        <v>0</v>
      </c>
      <c r="L44" s="121">
        <f>RÉSUMÉ!K13</f>
        <v>0</v>
      </c>
      <c r="Q44" s="114">
        <f>RÉSUMÉ!Q13</f>
        <v>0</v>
      </c>
      <c r="R44" s="115">
        <f>RÉSUMÉ!R13</f>
        <v>0</v>
      </c>
      <c r="S44" s="422"/>
      <c r="T44" s="422"/>
      <c r="U44" s="422"/>
      <c r="V44" s="422"/>
      <c r="W44" s="422"/>
      <c r="X44" s="114">
        <f>RÉSUMÉ!S13</f>
        <v>0</v>
      </c>
      <c r="Y44" s="115">
        <f>RÉSUMÉ!T13</f>
        <v>0</v>
      </c>
      <c r="Z44" s="422"/>
      <c r="AA44" s="422"/>
      <c r="AB44" s="422"/>
      <c r="AC44" s="422"/>
      <c r="AD44" s="422"/>
      <c r="AE44" s="114">
        <f>RÉSUMÉ!U13</f>
        <v>0</v>
      </c>
      <c r="AF44" s="115">
        <f>RÉSUMÉ!V13</f>
        <v>0</v>
      </c>
      <c r="AG44" s="422"/>
      <c r="AH44" s="422"/>
      <c r="AI44" s="422"/>
      <c r="AJ44" s="422"/>
      <c r="AK44" s="422"/>
      <c r="AL44" s="114">
        <f>RÉSUMÉ!W13</f>
        <v>0</v>
      </c>
      <c r="AM44" s="115">
        <f>RÉSUMÉ!X13</f>
        <v>0</v>
      </c>
      <c r="AN44" s="422"/>
      <c r="AO44" s="422"/>
      <c r="AP44" s="422"/>
      <c r="AQ44" s="422"/>
      <c r="AR44" s="422"/>
      <c r="AS44" s="114">
        <f>RÉSUMÉ!Y13</f>
        <v>0</v>
      </c>
      <c r="AT44" s="115">
        <f>RÉSUMÉ!Z13</f>
        <v>0</v>
      </c>
      <c r="AU44" s="422"/>
      <c r="AV44" s="422"/>
      <c r="AW44" s="422"/>
      <c r="AX44" s="422"/>
      <c r="AY44" s="422"/>
      <c r="AZ44" s="114">
        <f>RÉSUMÉ!AA13</f>
        <v>0</v>
      </c>
      <c r="BA44" s="115">
        <f>RÉSUMÉ!AB13</f>
        <v>0</v>
      </c>
      <c r="BB44" s="422"/>
      <c r="BC44" s="422"/>
      <c r="BD44" s="422"/>
      <c r="BE44" s="422"/>
      <c r="BF44" s="422"/>
      <c r="BG44" s="114">
        <f>RÉSUMÉ!AC13</f>
        <v>0</v>
      </c>
      <c r="BH44" s="115">
        <f>RÉSUMÉ!AD13</f>
        <v>0</v>
      </c>
      <c r="BI44" s="422"/>
      <c r="BJ44" s="422"/>
      <c r="BK44" s="422"/>
      <c r="BL44" s="422"/>
      <c r="BM44" s="422"/>
      <c r="BN44" s="114">
        <f>RÉSUMÉ!AE13</f>
        <v>0</v>
      </c>
      <c r="BO44" s="115">
        <f>RÉSUMÉ!AF13</f>
        <v>0</v>
      </c>
      <c r="BP44" s="422"/>
      <c r="BQ44" s="422"/>
      <c r="BR44" s="422"/>
      <c r="BS44" s="422"/>
      <c r="BT44" s="422"/>
      <c r="BU44" s="114">
        <f>RÉSUMÉ!AG13</f>
        <v>0</v>
      </c>
      <c r="BV44" s="115">
        <f>RÉSUMÉ!AH13</f>
        <v>0</v>
      </c>
      <c r="BW44" s="422"/>
      <c r="BX44" s="422"/>
      <c r="BY44" s="422"/>
      <c r="BZ44" s="422"/>
      <c r="CA44" s="422"/>
      <c r="CB44" s="114">
        <f>RÉSUMÉ!AI13</f>
        <v>0</v>
      </c>
      <c r="CC44" s="115">
        <f>RÉSUMÉ!AJ13</f>
        <v>0</v>
      </c>
      <c r="CD44" s="422"/>
      <c r="CE44" s="422"/>
      <c r="CF44" s="422"/>
      <c r="CG44" s="422"/>
      <c r="CH44" s="422"/>
      <c r="CI44" s="114">
        <f>RÉSUMÉ!AK13</f>
        <v>0</v>
      </c>
      <c r="CJ44" s="115">
        <f>RÉSUMÉ!AL13</f>
        <v>0</v>
      </c>
      <c r="CK44" s="115"/>
      <c r="CL44" s="115"/>
      <c r="CM44" s="115"/>
      <c r="CN44" s="115"/>
      <c r="CO44" s="115"/>
      <c r="CP44" s="113">
        <f>RÉSUMÉ!AM13</f>
        <v>4039.4</v>
      </c>
      <c r="CQ44" s="113">
        <f>RÉSUMÉ!AN13</f>
        <v>0</v>
      </c>
      <c r="CR44" s="113">
        <f>RÉSUMÉ!AO13</f>
        <v>0</v>
      </c>
      <c r="CS44" s="113">
        <f>RÉSUMÉ!AP13</f>
        <v>0</v>
      </c>
      <c r="CT44" s="113">
        <f>RÉSUMÉ!AQ13</f>
        <v>0</v>
      </c>
      <c r="CU44" s="113">
        <f>RÉSUMÉ!AR13</f>
        <v>0</v>
      </c>
      <c r="DE44" s="122">
        <f>RÉSUMÉ!L13</f>
        <v>0</v>
      </c>
      <c r="DF44" s="121">
        <f>RÉSUMÉ!M13</f>
        <v>0</v>
      </c>
      <c r="DG44" s="114">
        <f>RÉSUMÉ!N13</f>
        <v>0</v>
      </c>
      <c r="DH44" s="113">
        <f>RÉSUMÉ!O13</f>
        <v>0</v>
      </c>
      <c r="DI44" s="113">
        <f>RÉSUMÉ!P13</f>
        <v>0</v>
      </c>
    </row>
    <row r="45" spans="2:113">
      <c r="B45" s="40" t="str">
        <f>RÉSUMÉ!A14</f>
        <v>2013-2014</v>
      </c>
      <c r="C45" s="114">
        <f>RÉSUMÉ!B14</f>
        <v>0</v>
      </c>
      <c r="D45" s="114">
        <f>RÉSUMÉ!C14</f>
        <v>0</v>
      </c>
      <c r="E45" s="202">
        <f>RÉSUMÉ!D14</f>
        <v>0</v>
      </c>
      <c r="F45" s="116">
        <f>RÉSUMÉ!E14</f>
        <v>0</v>
      </c>
      <c r="G45" s="114">
        <f>RÉSUMÉ!F14</f>
        <v>0</v>
      </c>
      <c r="H45" s="117">
        <f>RÉSUMÉ!G14</f>
        <v>0</v>
      </c>
      <c r="I45" s="114">
        <f>RÉSUMÉ!H14</f>
        <v>0</v>
      </c>
      <c r="J45" s="115">
        <f>RÉSUMÉ!I14</f>
        <v>0</v>
      </c>
      <c r="K45" s="120">
        <f>RÉSUMÉ!J14</f>
        <v>0</v>
      </c>
      <c r="L45" s="121">
        <f>RÉSUMÉ!K14</f>
        <v>0</v>
      </c>
      <c r="Q45" s="114">
        <f>RÉSUMÉ!Q14</f>
        <v>0</v>
      </c>
      <c r="R45" s="115">
        <f>RÉSUMÉ!R14</f>
        <v>0</v>
      </c>
      <c r="S45" s="422"/>
      <c r="T45" s="422"/>
      <c r="U45" s="422"/>
      <c r="V45" s="422"/>
      <c r="W45" s="422"/>
      <c r="X45" s="114">
        <f>RÉSUMÉ!S14</f>
        <v>0</v>
      </c>
      <c r="Y45" s="115">
        <f>RÉSUMÉ!T14</f>
        <v>0</v>
      </c>
      <c r="Z45" s="422"/>
      <c r="AA45" s="422"/>
      <c r="AB45" s="422"/>
      <c r="AC45" s="422"/>
      <c r="AD45" s="422"/>
      <c r="AE45" s="114">
        <f>RÉSUMÉ!U14</f>
        <v>0</v>
      </c>
      <c r="AF45" s="115">
        <f>RÉSUMÉ!V14</f>
        <v>0</v>
      </c>
      <c r="AG45" s="422"/>
      <c r="AH45" s="422"/>
      <c r="AI45" s="422"/>
      <c r="AJ45" s="422"/>
      <c r="AK45" s="422"/>
      <c r="AL45" s="114">
        <f>RÉSUMÉ!W14</f>
        <v>0</v>
      </c>
      <c r="AM45" s="115">
        <f>RÉSUMÉ!X14</f>
        <v>0</v>
      </c>
      <c r="AN45" s="422"/>
      <c r="AO45" s="422"/>
      <c r="AP45" s="422"/>
      <c r="AQ45" s="422"/>
      <c r="AR45" s="422"/>
      <c r="AS45" s="114">
        <f>RÉSUMÉ!Y14</f>
        <v>0</v>
      </c>
      <c r="AT45" s="115">
        <f>RÉSUMÉ!Z14</f>
        <v>0</v>
      </c>
      <c r="AU45" s="422"/>
      <c r="AV45" s="422"/>
      <c r="AW45" s="422"/>
      <c r="AX45" s="422"/>
      <c r="AY45" s="422"/>
      <c r="AZ45" s="114">
        <f>RÉSUMÉ!AA14</f>
        <v>0</v>
      </c>
      <c r="BA45" s="115">
        <f>RÉSUMÉ!AB14</f>
        <v>0</v>
      </c>
      <c r="BB45" s="422"/>
      <c r="BC45" s="422"/>
      <c r="BD45" s="422"/>
      <c r="BE45" s="422"/>
      <c r="BF45" s="422"/>
      <c r="BG45" s="114">
        <f>RÉSUMÉ!AC14</f>
        <v>0</v>
      </c>
      <c r="BH45" s="115">
        <f>RÉSUMÉ!AD14</f>
        <v>0</v>
      </c>
      <c r="BI45" s="422"/>
      <c r="BJ45" s="422"/>
      <c r="BK45" s="422"/>
      <c r="BL45" s="422"/>
      <c r="BM45" s="422"/>
      <c r="BN45" s="114">
        <f>RÉSUMÉ!AE14</f>
        <v>0</v>
      </c>
      <c r="BO45" s="115">
        <f>RÉSUMÉ!AF14</f>
        <v>0</v>
      </c>
      <c r="BP45" s="422"/>
      <c r="BQ45" s="422"/>
      <c r="BR45" s="422"/>
      <c r="BS45" s="422"/>
      <c r="BT45" s="422"/>
      <c r="BU45" s="114">
        <f>RÉSUMÉ!AG14</f>
        <v>0</v>
      </c>
      <c r="BV45" s="115">
        <f>RÉSUMÉ!AH14</f>
        <v>0</v>
      </c>
      <c r="BW45" s="422"/>
      <c r="BX45" s="422"/>
      <c r="BY45" s="422"/>
      <c r="BZ45" s="422"/>
      <c r="CA45" s="422"/>
      <c r="CB45" s="114">
        <f>RÉSUMÉ!AI14</f>
        <v>0</v>
      </c>
      <c r="CC45" s="115">
        <f>RÉSUMÉ!AJ14</f>
        <v>0</v>
      </c>
      <c r="CD45" s="422"/>
      <c r="CE45" s="422"/>
      <c r="CF45" s="422"/>
      <c r="CG45" s="422"/>
      <c r="CH45" s="422"/>
      <c r="CI45" s="114">
        <f>RÉSUMÉ!AK14</f>
        <v>0</v>
      </c>
      <c r="CJ45" s="115">
        <f>RÉSUMÉ!AL14</f>
        <v>0</v>
      </c>
      <c r="CK45" s="115"/>
      <c r="CL45" s="115"/>
      <c r="CM45" s="115"/>
      <c r="CN45" s="115"/>
      <c r="CO45" s="115"/>
      <c r="CP45" s="113">
        <f>RÉSUMÉ!AM14</f>
        <v>4562.5</v>
      </c>
      <c r="CQ45" s="113">
        <f>RÉSUMÉ!AN14</f>
        <v>0</v>
      </c>
      <c r="CR45" s="113">
        <f>RÉSUMÉ!AO14</f>
        <v>0</v>
      </c>
      <c r="CS45" s="113">
        <f>RÉSUMÉ!AP14</f>
        <v>0</v>
      </c>
      <c r="CT45" s="113">
        <f>RÉSUMÉ!AQ14</f>
        <v>0</v>
      </c>
      <c r="CU45" s="113">
        <f>RÉSUMÉ!AR14</f>
        <v>0</v>
      </c>
      <c r="DE45" s="122">
        <f>RÉSUMÉ!L14</f>
        <v>0</v>
      </c>
      <c r="DF45" s="121">
        <f>RÉSUMÉ!M14</f>
        <v>0</v>
      </c>
      <c r="DG45" s="114">
        <f>RÉSUMÉ!N14</f>
        <v>0</v>
      </c>
      <c r="DH45" s="113">
        <f>RÉSUMÉ!O14</f>
        <v>0</v>
      </c>
      <c r="DI45" s="113">
        <f>RÉSUMÉ!P14</f>
        <v>0</v>
      </c>
    </row>
    <row r="46" spans="2:113">
      <c r="B46" s="40" t="str">
        <f>RÉSUMÉ!A15</f>
        <v>2014-2015</v>
      </c>
      <c r="C46" s="114">
        <f>RÉSUMÉ!B15</f>
        <v>0</v>
      </c>
      <c r="D46" s="114">
        <f>RÉSUMÉ!C15</f>
        <v>0</v>
      </c>
      <c r="E46" s="202">
        <f>RÉSUMÉ!D15</f>
        <v>0</v>
      </c>
      <c r="F46" s="116">
        <f>RÉSUMÉ!E15</f>
        <v>0</v>
      </c>
      <c r="G46" s="114">
        <f>RÉSUMÉ!F15</f>
        <v>0</v>
      </c>
      <c r="H46" s="117">
        <f>RÉSUMÉ!G15</f>
        <v>0</v>
      </c>
      <c r="I46" s="114">
        <f>RÉSUMÉ!H15</f>
        <v>0</v>
      </c>
      <c r="J46" s="115">
        <f>RÉSUMÉ!I15</f>
        <v>0</v>
      </c>
      <c r="K46" s="120">
        <f>RÉSUMÉ!J15</f>
        <v>0</v>
      </c>
      <c r="L46" s="121">
        <f>RÉSUMÉ!K15</f>
        <v>0</v>
      </c>
      <c r="O46" t="s">
        <v>725</v>
      </c>
      <c r="P46" t="s">
        <v>725</v>
      </c>
      <c r="Q46" s="114">
        <f>RÉSUMÉ!Q15</f>
        <v>0</v>
      </c>
      <c r="R46" s="115">
        <f>RÉSUMÉ!R15</f>
        <v>0</v>
      </c>
      <c r="S46" s="422"/>
      <c r="T46" s="422"/>
      <c r="U46" s="422"/>
      <c r="V46" s="422"/>
      <c r="W46" s="422"/>
      <c r="X46" s="114">
        <f>RÉSUMÉ!S15</f>
        <v>0</v>
      </c>
      <c r="Y46" s="115">
        <f>RÉSUMÉ!T15</f>
        <v>0</v>
      </c>
      <c r="Z46" s="422"/>
      <c r="AA46" s="422"/>
      <c r="AB46" s="422"/>
      <c r="AC46" s="422"/>
      <c r="AD46" s="422"/>
      <c r="AE46" s="114">
        <f>RÉSUMÉ!U15</f>
        <v>0</v>
      </c>
      <c r="AF46" s="115">
        <f>RÉSUMÉ!V15</f>
        <v>0</v>
      </c>
      <c r="AG46" s="422"/>
      <c r="AH46" s="422"/>
      <c r="AI46" s="422"/>
      <c r="AJ46" s="422"/>
      <c r="AK46" s="422"/>
      <c r="AL46" s="114">
        <f>RÉSUMÉ!W15</f>
        <v>0</v>
      </c>
      <c r="AM46" s="115">
        <f>RÉSUMÉ!X15</f>
        <v>0</v>
      </c>
      <c r="AN46" s="422"/>
      <c r="AO46" s="422"/>
      <c r="AP46" s="422"/>
      <c r="AQ46" s="422"/>
      <c r="AR46" s="422"/>
      <c r="AS46" s="114">
        <f>RÉSUMÉ!Y15</f>
        <v>0</v>
      </c>
      <c r="AT46" s="115">
        <f>RÉSUMÉ!Z15</f>
        <v>0</v>
      </c>
      <c r="AU46" s="422"/>
      <c r="AV46" s="422"/>
      <c r="AW46" s="422"/>
      <c r="AX46" s="422"/>
      <c r="AY46" s="422"/>
      <c r="AZ46" s="114">
        <f>RÉSUMÉ!AA15</f>
        <v>0</v>
      </c>
      <c r="BA46" s="115">
        <f>RÉSUMÉ!AB15</f>
        <v>0</v>
      </c>
      <c r="BB46" s="422"/>
      <c r="BC46" s="422"/>
      <c r="BD46" s="422"/>
      <c r="BE46" s="422"/>
      <c r="BF46" s="422"/>
      <c r="BG46" s="114">
        <f>RÉSUMÉ!AC15</f>
        <v>0</v>
      </c>
      <c r="BH46" s="115">
        <f>RÉSUMÉ!AD15</f>
        <v>0</v>
      </c>
      <c r="BI46" s="422"/>
      <c r="BJ46" s="422"/>
      <c r="BK46" s="422"/>
      <c r="BL46" s="422"/>
      <c r="BM46" s="422"/>
      <c r="BN46" s="114">
        <f>RÉSUMÉ!AE15</f>
        <v>0</v>
      </c>
      <c r="BO46" s="115">
        <f>RÉSUMÉ!AF15</f>
        <v>0</v>
      </c>
      <c r="BP46" s="422"/>
      <c r="BQ46" s="422"/>
      <c r="BR46" s="422"/>
      <c r="BS46" s="422"/>
      <c r="BT46" s="422"/>
      <c r="BU46" s="114">
        <f>RÉSUMÉ!AG15</f>
        <v>0</v>
      </c>
      <c r="BV46" s="115">
        <f>RÉSUMÉ!AH15</f>
        <v>0</v>
      </c>
      <c r="BW46" s="422"/>
      <c r="BX46" s="422"/>
      <c r="BY46" s="422"/>
      <c r="BZ46" s="422"/>
      <c r="CA46" s="422"/>
      <c r="CB46" s="114">
        <f>RÉSUMÉ!AI15</f>
        <v>0</v>
      </c>
      <c r="CC46" s="115">
        <f>RÉSUMÉ!AJ15</f>
        <v>0</v>
      </c>
      <c r="CD46" s="422"/>
      <c r="CE46" s="422"/>
      <c r="CF46" s="422"/>
      <c r="CG46" s="422"/>
      <c r="CH46" s="422"/>
      <c r="CI46" s="114">
        <f>RÉSUMÉ!AK15</f>
        <v>0</v>
      </c>
      <c r="CJ46" s="115">
        <f>RÉSUMÉ!AL15</f>
        <v>0</v>
      </c>
      <c r="CK46" s="115"/>
      <c r="CL46" s="115"/>
      <c r="CM46" s="115"/>
      <c r="CN46" s="115"/>
      <c r="CO46" s="115"/>
      <c r="CP46" s="113">
        <f>RÉSUMÉ!AM15</f>
        <v>4543.1000000000004</v>
      </c>
      <c r="CQ46" s="113" t="str">
        <f>IF(RÉSUMÉ!AN15=FALSE,"",RÉSUMÉ!AN15)</f>
        <v/>
      </c>
      <c r="CR46" s="113" t="str">
        <f>IF(RÉSUMÉ!AO15=FALSE,"",RÉSUMÉ!AO15)</f>
        <v/>
      </c>
      <c r="CS46" s="113" t="str">
        <f>IF(RÉSUMÉ!AP15=FALSE,"",RÉSUMÉ!AP15)</f>
        <v/>
      </c>
      <c r="CT46" s="113" t="str">
        <f>IF(RÉSUMÉ!AQ15=FALSE,"",RÉSUMÉ!AQ15)</f>
        <v/>
      </c>
      <c r="CU46" s="113" t="str">
        <f>IF(RÉSUMÉ!AR15=FALSE,"",RÉSUMÉ!AR15)</f>
        <v/>
      </c>
      <c r="DE46" s="122">
        <f>RÉSUMÉ!L15</f>
        <v>0</v>
      </c>
      <c r="DF46" s="121">
        <f>RÉSUMÉ!M15</f>
        <v>0</v>
      </c>
      <c r="DG46" s="114">
        <f>RÉSUMÉ!N15</f>
        <v>0</v>
      </c>
      <c r="DH46" s="113">
        <f>RÉSUMÉ!O15</f>
        <v>0</v>
      </c>
      <c r="DI46" s="113">
        <f>RÉSUMÉ!P15</f>
        <v>0</v>
      </c>
    </row>
    <row r="47" spans="2:113">
      <c r="B47" s="40" t="str">
        <f>RÉSUMÉ!A16</f>
        <v>2015-2016</v>
      </c>
      <c r="C47" s="114">
        <f>RÉSUMÉ!B16</f>
        <v>0</v>
      </c>
      <c r="D47" s="114">
        <f>RÉSUMÉ!C16</f>
        <v>0</v>
      </c>
      <c r="E47" s="202">
        <f>RÉSUMÉ!D16</f>
        <v>0</v>
      </c>
      <c r="F47" s="116">
        <f>RÉSUMÉ!E16</f>
        <v>0</v>
      </c>
      <c r="G47" s="114">
        <f>RÉSUMÉ!F16</f>
        <v>0</v>
      </c>
      <c r="H47" s="117">
        <f>RÉSUMÉ!G16</f>
        <v>0</v>
      </c>
      <c r="I47" s="114">
        <f>RÉSUMÉ!H16</f>
        <v>0</v>
      </c>
      <c r="J47" s="115">
        <f>RÉSUMÉ!I16</f>
        <v>0</v>
      </c>
      <c r="K47" s="120">
        <f>RÉSUMÉ!J16</f>
        <v>0</v>
      </c>
      <c r="L47" s="121">
        <f>RÉSUMÉ!K16</f>
        <v>0</v>
      </c>
      <c r="O47" t="s">
        <v>725</v>
      </c>
      <c r="P47" t="s">
        <v>725</v>
      </c>
      <c r="Q47" s="114">
        <f>RÉSUMÉ!Q16</f>
        <v>0</v>
      </c>
      <c r="R47" s="115">
        <f>RÉSUMÉ!R16</f>
        <v>0</v>
      </c>
      <c r="S47" s="422"/>
      <c r="T47" s="422"/>
      <c r="U47" s="422"/>
      <c r="V47" s="422"/>
      <c r="W47" s="422"/>
      <c r="X47" s="114">
        <f>RÉSUMÉ!S16</f>
        <v>0</v>
      </c>
      <c r="Y47" s="115">
        <f>RÉSUMÉ!T16</f>
        <v>0</v>
      </c>
      <c r="Z47" s="422"/>
      <c r="AA47" s="422"/>
      <c r="AB47" s="422"/>
      <c r="AC47" s="422"/>
      <c r="AD47" s="422"/>
      <c r="AE47" s="114">
        <f>RÉSUMÉ!U16</f>
        <v>0</v>
      </c>
      <c r="AF47" s="115">
        <f>RÉSUMÉ!V16</f>
        <v>0</v>
      </c>
      <c r="AG47" s="422"/>
      <c r="AH47" s="422"/>
      <c r="AI47" s="422"/>
      <c r="AJ47" s="422"/>
      <c r="AK47" s="422"/>
      <c r="AL47" s="114">
        <f>RÉSUMÉ!W16</f>
        <v>0</v>
      </c>
      <c r="AM47" s="115">
        <f>RÉSUMÉ!X16</f>
        <v>0</v>
      </c>
      <c r="AN47" s="422"/>
      <c r="AO47" s="422"/>
      <c r="AP47" s="422"/>
      <c r="AQ47" s="422"/>
      <c r="AR47" s="422"/>
      <c r="AS47" s="114">
        <f>RÉSUMÉ!Y16</f>
        <v>0</v>
      </c>
      <c r="AT47" s="115">
        <f>RÉSUMÉ!Z16</f>
        <v>0</v>
      </c>
      <c r="AU47" s="422"/>
      <c r="AV47" s="422"/>
      <c r="AW47" s="422"/>
      <c r="AX47" s="422"/>
      <c r="AY47" s="422"/>
      <c r="AZ47" s="114">
        <f>RÉSUMÉ!AA16</f>
        <v>0</v>
      </c>
      <c r="BA47" s="115">
        <f>RÉSUMÉ!AB16</f>
        <v>0</v>
      </c>
      <c r="BB47" s="422"/>
      <c r="BC47" s="422"/>
      <c r="BD47" s="422"/>
      <c r="BE47" s="422"/>
      <c r="BF47" s="422"/>
      <c r="BG47" s="114">
        <f>RÉSUMÉ!AC16</f>
        <v>0</v>
      </c>
      <c r="BH47" s="115">
        <f>RÉSUMÉ!AD16</f>
        <v>0</v>
      </c>
      <c r="BI47" s="422"/>
      <c r="BJ47" s="422"/>
      <c r="BK47" s="422"/>
      <c r="BL47" s="422"/>
      <c r="BM47" s="422"/>
      <c r="BN47" s="114">
        <f>RÉSUMÉ!AE16</f>
        <v>0</v>
      </c>
      <c r="BO47" s="115">
        <f>RÉSUMÉ!AF16</f>
        <v>0</v>
      </c>
      <c r="BP47" s="422"/>
      <c r="BQ47" s="422"/>
      <c r="BR47" s="422"/>
      <c r="BS47" s="422"/>
      <c r="BT47" s="422"/>
      <c r="BU47" s="114">
        <f>RÉSUMÉ!AG16</f>
        <v>0</v>
      </c>
      <c r="BV47" s="115">
        <f>RÉSUMÉ!AH16</f>
        <v>0</v>
      </c>
      <c r="BW47" s="422"/>
      <c r="BX47" s="422"/>
      <c r="BY47" s="422"/>
      <c r="BZ47" s="422"/>
      <c r="CA47" s="422"/>
      <c r="CB47" s="114">
        <f>RÉSUMÉ!AI16</f>
        <v>0</v>
      </c>
      <c r="CC47" s="115">
        <f>RÉSUMÉ!AJ16</f>
        <v>0</v>
      </c>
      <c r="CD47" s="422"/>
      <c r="CE47" s="422"/>
      <c r="CF47" s="422"/>
      <c r="CG47" s="422"/>
      <c r="CH47" s="422"/>
      <c r="CI47" s="114">
        <f>RÉSUMÉ!AK16</f>
        <v>0</v>
      </c>
      <c r="CJ47" s="115">
        <f>RÉSUMÉ!AL16</f>
        <v>0</v>
      </c>
      <c r="CK47" s="115"/>
      <c r="CL47" s="115"/>
      <c r="CM47" s="115"/>
      <c r="CN47" s="115"/>
      <c r="CO47" s="115"/>
      <c r="CP47" s="113">
        <f>RÉSUMÉ!AM16</f>
        <v>3611.4000000000005</v>
      </c>
      <c r="CQ47" s="113" t="str">
        <f>IF(RÉSUMÉ!AN16=FALSE,"",RÉSUMÉ!AN16)</f>
        <v/>
      </c>
      <c r="CR47" s="113" t="str">
        <f>IF(RÉSUMÉ!AO16=FALSE,"",RÉSUMÉ!AO16)</f>
        <v/>
      </c>
      <c r="CS47" s="113" t="str">
        <f>IF(RÉSUMÉ!AP16=FALSE,"",RÉSUMÉ!AP16)</f>
        <v/>
      </c>
      <c r="CT47" s="113" t="str">
        <f>IF(RÉSUMÉ!AQ16=FALSE,"",RÉSUMÉ!AQ16)</f>
        <v/>
      </c>
      <c r="CU47" s="113" t="str">
        <f>IF(RÉSUMÉ!AR16=FALSE,"",RÉSUMÉ!AR16)</f>
        <v/>
      </c>
      <c r="DE47" s="122">
        <f>RÉSUMÉ!L16</f>
        <v>0</v>
      </c>
      <c r="DF47" s="121">
        <f>RÉSUMÉ!M16</f>
        <v>0</v>
      </c>
      <c r="DG47" s="114">
        <f>RÉSUMÉ!N16</f>
        <v>0</v>
      </c>
      <c r="DH47" s="113">
        <f>RÉSUMÉ!O16</f>
        <v>0</v>
      </c>
      <c r="DI47" s="113">
        <f>RÉSUMÉ!P16</f>
        <v>0</v>
      </c>
    </row>
    <row r="48" spans="2:113">
      <c r="B48" s="40" t="str">
        <f>RÉSUMÉ!A17</f>
        <v>2016-2017</v>
      </c>
      <c r="C48" s="114">
        <f>RÉSUMÉ!B17</f>
        <v>0</v>
      </c>
      <c r="D48" s="114">
        <f>RÉSUMÉ!C17</f>
        <v>0</v>
      </c>
      <c r="E48" s="202">
        <f>RÉSUMÉ!D17</f>
        <v>0</v>
      </c>
      <c r="F48" s="116">
        <f>RÉSUMÉ!E17</f>
        <v>0</v>
      </c>
      <c r="G48" s="114">
        <f>RÉSUMÉ!F17</f>
        <v>0</v>
      </c>
      <c r="H48" s="117">
        <f>RÉSUMÉ!G17</f>
        <v>0</v>
      </c>
      <c r="I48" s="114">
        <f>RÉSUMÉ!H17</f>
        <v>0</v>
      </c>
      <c r="J48" s="115">
        <f>RÉSUMÉ!I17</f>
        <v>0</v>
      </c>
      <c r="K48" s="120">
        <f>RÉSUMÉ!J17</f>
        <v>0</v>
      </c>
      <c r="L48" s="121">
        <f>RÉSUMÉ!K17</f>
        <v>0</v>
      </c>
      <c r="Q48" s="114">
        <f>RÉSUMÉ!Q17</f>
        <v>0</v>
      </c>
      <c r="R48" s="115">
        <f>RÉSUMÉ!R17</f>
        <v>0</v>
      </c>
      <c r="S48" s="422"/>
      <c r="T48" s="422"/>
      <c r="U48" s="422"/>
      <c r="V48" s="422"/>
      <c r="W48" s="422"/>
      <c r="X48" s="114">
        <f>RÉSUMÉ!S17</f>
        <v>0</v>
      </c>
      <c r="Y48" s="115">
        <f>RÉSUMÉ!T17</f>
        <v>0</v>
      </c>
      <c r="Z48" s="422"/>
      <c r="AA48" s="422"/>
      <c r="AB48" s="422"/>
      <c r="AC48" s="422"/>
      <c r="AD48" s="422"/>
      <c r="AE48" s="114">
        <f>RÉSUMÉ!U17</f>
        <v>0</v>
      </c>
      <c r="AF48" s="115">
        <f>RÉSUMÉ!V17</f>
        <v>0</v>
      </c>
      <c r="AG48" s="422"/>
      <c r="AH48" s="422"/>
      <c r="AI48" s="422"/>
      <c r="AJ48" s="422"/>
      <c r="AK48" s="422"/>
      <c r="AL48" s="114">
        <f>RÉSUMÉ!W17</f>
        <v>0</v>
      </c>
      <c r="AM48" s="115">
        <f>RÉSUMÉ!X17</f>
        <v>0</v>
      </c>
      <c r="AN48" s="422"/>
      <c r="AO48" s="422"/>
      <c r="AP48" s="422"/>
      <c r="AQ48" s="422"/>
      <c r="AR48" s="422"/>
      <c r="AS48" s="114">
        <f>RÉSUMÉ!Y17</f>
        <v>0</v>
      </c>
      <c r="AT48" s="115">
        <f>RÉSUMÉ!Z17</f>
        <v>0</v>
      </c>
      <c r="AU48" s="422"/>
      <c r="AV48" s="422"/>
      <c r="AW48" s="422"/>
      <c r="AX48" s="422"/>
      <c r="AY48" s="422"/>
      <c r="AZ48" s="114">
        <f>RÉSUMÉ!AA17</f>
        <v>0</v>
      </c>
      <c r="BA48" s="115">
        <f>RÉSUMÉ!AB17</f>
        <v>0</v>
      </c>
      <c r="BB48" s="422"/>
      <c r="BC48" s="422"/>
      <c r="BD48" s="422"/>
      <c r="BE48" s="422"/>
      <c r="BF48" s="422"/>
      <c r="BG48" s="114">
        <f>RÉSUMÉ!AC17</f>
        <v>0</v>
      </c>
      <c r="BH48" s="115">
        <f>RÉSUMÉ!AD17</f>
        <v>0</v>
      </c>
      <c r="BI48" s="422"/>
      <c r="BJ48" s="422"/>
      <c r="BK48" s="422"/>
      <c r="BL48" s="422"/>
      <c r="BM48" s="422"/>
      <c r="BN48" s="114">
        <f>RÉSUMÉ!AE17</f>
        <v>0</v>
      </c>
      <c r="BO48" s="115">
        <f>RÉSUMÉ!AF17</f>
        <v>0</v>
      </c>
      <c r="BP48" s="422"/>
      <c r="BQ48" s="422"/>
      <c r="BR48" s="422"/>
      <c r="BS48" s="422"/>
      <c r="BT48" s="422"/>
      <c r="BU48" s="114">
        <f>RÉSUMÉ!AG17</f>
        <v>0</v>
      </c>
      <c r="BV48" s="115">
        <f>RÉSUMÉ!AH17</f>
        <v>0</v>
      </c>
      <c r="BW48" s="422"/>
      <c r="BX48" s="422"/>
      <c r="BY48" s="422"/>
      <c r="BZ48" s="422"/>
      <c r="CA48" s="422"/>
      <c r="CB48" s="114">
        <f>RÉSUMÉ!AI17</f>
        <v>0</v>
      </c>
      <c r="CC48" s="115">
        <f>RÉSUMÉ!AJ17</f>
        <v>0</v>
      </c>
      <c r="CD48" s="422"/>
      <c r="CE48" s="422"/>
      <c r="CF48" s="422"/>
      <c r="CG48" s="422"/>
      <c r="CH48" s="422"/>
      <c r="CI48" s="114">
        <f>RÉSUMÉ!AK17</f>
        <v>0</v>
      </c>
      <c r="CJ48" s="115">
        <f>RÉSUMÉ!AL17</f>
        <v>0</v>
      </c>
      <c r="CK48" s="115"/>
      <c r="CL48" s="115"/>
      <c r="CM48" s="115"/>
      <c r="CN48" s="115"/>
      <c r="CO48" s="115"/>
      <c r="CP48" s="113">
        <f>RÉSUMÉ!AM17</f>
        <v>3951.9</v>
      </c>
      <c r="CQ48" s="113" t="str">
        <f>IF(RÉSUMÉ!AN17=FALSE,"",RÉSUMÉ!AN17)</f>
        <v/>
      </c>
      <c r="CR48" s="113" t="str">
        <f>IF(RÉSUMÉ!AO17=FALSE,"",RÉSUMÉ!AO17)</f>
        <v/>
      </c>
      <c r="CS48" s="113" t="str">
        <f>IF(RÉSUMÉ!AP17=FALSE,"",RÉSUMÉ!AP17)</f>
        <v/>
      </c>
      <c r="CT48" s="113" t="str">
        <f>IF(RÉSUMÉ!AQ17=FALSE,"",RÉSUMÉ!AQ17)</f>
        <v/>
      </c>
      <c r="CU48" s="113" t="str">
        <f>IF(RÉSUMÉ!AR17=FALSE,"",RÉSUMÉ!AR17)</f>
        <v/>
      </c>
      <c r="DE48" s="122">
        <f>RÉSUMÉ!L17</f>
        <v>0</v>
      </c>
      <c r="DF48" s="121">
        <f>RÉSUMÉ!M17</f>
        <v>0</v>
      </c>
      <c r="DG48" s="114">
        <f>RÉSUMÉ!N17</f>
        <v>0</v>
      </c>
      <c r="DH48" s="113">
        <f>RÉSUMÉ!O17</f>
        <v>0</v>
      </c>
      <c r="DI48" s="113">
        <f>RÉSUMÉ!P17</f>
        <v>0</v>
      </c>
    </row>
    <row r="49" spans="2:113">
      <c r="B49" s="40" t="str">
        <f>RÉSUMÉ!A18</f>
        <v>2017-2018</v>
      </c>
      <c r="C49" s="114">
        <f>RÉSUMÉ!B18</f>
        <v>0</v>
      </c>
      <c r="D49" s="114">
        <f>RÉSUMÉ!C18</f>
        <v>0</v>
      </c>
      <c r="E49" s="202">
        <f>RÉSUMÉ!D18</f>
        <v>0</v>
      </c>
      <c r="F49" s="116">
        <f>RÉSUMÉ!E18</f>
        <v>0</v>
      </c>
      <c r="G49" s="114">
        <f>RÉSUMÉ!F18</f>
        <v>0</v>
      </c>
      <c r="H49" s="117">
        <f>RÉSUMÉ!G18</f>
        <v>0</v>
      </c>
      <c r="I49" s="114">
        <f>RÉSUMÉ!H18</f>
        <v>0</v>
      </c>
      <c r="J49" s="115">
        <f>RÉSUMÉ!I18</f>
        <v>0</v>
      </c>
      <c r="K49" s="120">
        <f>RÉSUMÉ!J18</f>
        <v>0</v>
      </c>
      <c r="L49" s="121">
        <f>RÉSUMÉ!K18</f>
        <v>0</v>
      </c>
      <c r="Q49" s="114">
        <f>RÉSUMÉ!Q18</f>
        <v>0</v>
      </c>
      <c r="R49" s="115">
        <f>RÉSUMÉ!R18</f>
        <v>0</v>
      </c>
      <c r="S49" s="422"/>
      <c r="T49" s="422"/>
      <c r="U49" s="422"/>
      <c r="V49" s="422"/>
      <c r="W49" s="422"/>
      <c r="X49" s="114">
        <f>RÉSUMÉ!S18</f>
        <v>0</v>
      </c>
      <c r="Y49" s="115">
        <f>RÉSUMÉ!T18</f>
        <v>0</v>
      </c>
      <c r="Z49" s="422"/>
      <c r="AA49" s="422"/>
      <c r="AB49" s="422"/>
      <c r="AC49" s="422"/>
      <c r="AD49" s="422"/>
      <c r="AE49" s="114">
        <f>RÉSUMÉ!U18</f>
        <v>0</v>
      </c>
      <c r="AF49" s="115">
        <f>RÉSUMÉ!V18</f>
        <v>0</v>
      </c>
      <c r="AG49" s="422"/>
      <c r="AH49" s="422"/>
      <c r="AI49" s="422"/>
      <c r="AJ49" s="422"/>
      <c r="AK49" s="422"/>
      <c r="AL49" s="114">
        <f>RÉSUMÉ!W18</f>
        <v>0</v>
      </c>
      <c r="AM49" s="115">
        <f>RÉSUMÉ!X18</f>
        <v>0</v>
      </c>
      <c r="AN49" s="422"/>
      <c r="AO49" s="422"/>
      <c r="AP49" s="422"/>
      <c r="AQ49" s="422"/>
      <c r="AR49" s="422"/>
      <c r="AS49" s="114">
        <f>RÉSUMÉ!Y18</f>
        <v>0</v>
      </c>
      <c r="AT49" s="115">
        <f>RÉSUMÉ!Z18</f>
        <v>0</v>
      </c>
      <c r="AU49" s="422"/>
      <c r="AV49" s="422"/>
      <c r="AW49" s="422"/>
      <c r="AX49" s="422"/>
      <c r="AY49" s="422"/>
      <c r="AZ49" s="114">
        <f>RÉSUMÉ!AA18</f>
        <v>0</v>
      </c>
      <c r="BA49" s="115">
        <f>RÉSUMÉ!AB18</f>
        <v>0</v>
      </c>
      <c r="BB49" s="422"/>
      <c r="BC49" s="422"/>
      <c r="BD49" s="422"/>
      <c r="BE49" s="422"/>
      <c r="BF49" s="422"/>
      <c r="BG49" s="114">
        <f>RÉSUMÉ!AC18</f>
        <v>0</v>
      </c>
      <c r="BH49" s="115">
        <f>RÉSUMÉ!AD18</f>
        <v>0</v>
      </c>
      <c r="BI49" s="422"/>
      <c r="BJ49" s="422"/>
      <c r="BK49" s="422"/>
      <c r="BL49" s="422"/>
      <c r="BM49" s="422"/>
      <c r="BN49" s="114">
        <f>RÉSUMÉ!AE18</f>
        <v>0</v>
      </c>
      <c r="BO49" s="115">
        <f>RÉSUMÉ!AF18</f>
        <v>0</v>
      </c>
      <c r="BP49" s="422"/>
      <c r="BQ49" s="422"/>
      <c r="BR49" s="422"/>
      <c r="BS49" s="422"/>
      <c r="BT49" s="422"/>
      <c r="BU49" s="114">
        <f>RÉSUMÉ!AG18</f>
        <v>0</v>
      </c>
      <c r="BV49" s="115">
        <f>RÉSUMÉ!AH18</f>
        <v>0</v>
      </c>
      <c r="BW49" s="422"/>
      <c r="BX49" s="422"/>
      <c r="BY49" s="422"/>
      <c r="BZ49" s="422"/>
      <c r="CA49" s="422"/>
      <c r="CB49" s="114">
        <f>RÉSUMÉ!AI18</f>
        <v>0</v>
      </c>
      <c r="CC49" s="115">
        <f>RÉSUMÉ!AJ18</f>
        <v>0</v>
      </c>
      <c r="CD49" s="422"/>
      <c r="CE49" s="422"/>
      <c r="CF49" s="422"/>
      <c r="CG49" s="422"/>
      <c r="CH49" s="422"/>
      <c r="CI49" s="114">
        <f>RÉSUMÉ!AK18</f>
        <v>0</v>
      </c>
      <c r="CJ49" s="115">
        <f>RÉSUMÉ!AL18</f>
        <v>0</v>
      </c>
      <c r="CK49" s="115"/>
      <c r="CL49" s="115"/>
      <c r="CM49" s="115"/>
      <c r="CN49" s="115"/>
      <c r="CO49" s="115"/>
      <c r="CP49" s="113">
        <f>RÉSUMÉ!AM18</f>
        <v>3949.4000000000005</v>
      </c>
      <c r="CQ49" s="113" t="str">
        <f>IF(RÉSUMÉ!AN18=FALSE,"",RÉSUMÉ!AN18)</f>
        <v/>
      </c>
      <c r="CR49" s="113" t="str">
        <f>IF(RÉSUMÉ!AO18=FALSE,"",RÉSUMÉ!AO18)</f>
        <v/>
      </c>
      <c r="CS49" s="113" t="str">
        <f>IF(RÉSUMÉ!AP18=FALSE,"",RÉSUMÉ!AP18)</f>
        <v/>
      </c>
      <c r="CT49" s="113" t="str">
        <f>IF(RÉSUMÉ!AQ18=FALSE,"",RÉSUMÉ!AQ18)</f>
        <v/>
      </c>
      <c r="CU49" s="113" t="str">
        <f>IF(RÉSUMÉ!AR18=FALSE,"",RÉSUMÉ!AR18)</f>
        <v/>
      </c>
      <c r="DE49" s="122">
        <f>RÉSUMÉ!L18</f>
        <v>0</v>
      </c>
      <c r="DF49" s="121">
        <f>RÉSUMÉ!M18</f>
        <v>0</v>
      </c>
      <c r="DG49" s="114">
        <f>RÉSUMÉ!N18</f>
        <v>0</v>
      </c>
      <c r="DH49" s="113">
        <f>RÉSUMÉ!O18</f>
        <v>0</v>
      </c>
      <c r="DI49" s="113">
        <f>RÉSUMÉ!P18</f>
        <v>0</v>
      </c>
    </row>
    <row r="50" spans="2:113">
      <c r="B50" s="40" t="str">
        <f>RÉSUMÉ!A19</f>
        <v>2018-2019</v>
      </c>
      <c r="C50" s="114">
        <f>RÉSUMÉ!B19</f>
        <v>0</v>
      </c>
      <c r="D50" s="114">
        <f>RÉSUMÉ!C19</f>
        <v>0</v>
      </c>
      <c r="E50" s="202">
        <f>RÉSUMÉ!D19</f>
        <v>0</v>
      </c>
      <c r="F50" s="116">
        <f>RÉSUMÉ!E19</f>
        <v>0</v>
      </c>
      <c r="G50" s="114">
        <f>RÉSUMÉ!F19</f>
        <v>0</v>
      </c>
      <c r="H50" s="117">
        <f>RÉSUMÉ!G19</f>
        <v>0</v>
      </c>
      <c r="I50" s="114" t="e">
        <f>RÉSUMÉ!H19</f>
        <v>#NAME?</v>
      </c>
      <c r="J50" s="115">
        <f>RÉSUMÉ!I19</f>
        <v>0</v>
      </c>
      <c r="K50" s="120">
        <f>RÉSUMÉ!J19</f>
        <v>0</v>
      </c>
      <c r="L50" s="121">
        <f>RÉSUMÉ!K19</f>
        <v>0</v>
      </c>
      <c r="Q50" s="114">
        <f>RÉSUMÉ!Q19</f>
        <v>0</v>
      </c>
      <c r="R50" s="115">
        <f>RÉSUMÉ!R19</f>
        <v>0</v>
      </c>
      <c r="S50" s="422"/>
      <c r="T50" s="422"/>
      <c r="U50" s="422"/>
      <c r="V50" s="422"/>
      <c r="W50" s="422"/>
      <c r="X50" s="114">
        <f>RÉSUMÉ!S19</f>
        <v>0</v>
      </c>
      <c r="Y50" s="115">
        <f>RÉSUMÉ!T19</f>
        <v>0</v>
      </c>
      <c r="Z50" s="422"/>
      <c r="AA50" s="422"/>
      <c r="AB50" s="422"/>
      <c r="AC50" s="422"/>
      <c r="AD50" s="422"/>
      <c r="AE50" s="114">
        <f>RÉSUMÉ!U19</f>
        <v>0</v>
      </c>
      <c r="AF50" s="115">
        <f>RÉSUMÉ!V19</f>
        <v>0</v>
      </c>
      <c r="AG50" s="422"/>
      <c r="AH50" s="422"/>
      <c r="AI50" s="422"/>
      <c r="AJ50" s="422"/>
      <c r="AK50" s="422"/>
      <c r="AL50" s="114">
        <f>RÉSUMÉ!W19</f>
        <v>0</v>
      </c>
      <c r="AM50" s="115">
        <f>RÉSUMÉ!X19</f>
        <v>0</v>
      </c>
      <c r="AN50" s="422"/>
      <c r="AO50" s="422"/>
      <c r="AP50" s="422"/>
      <c r="AQ50" s="422"/>
      <c r="AR50" s="422"/>
      <c r="AS50" s="114">
        <f>RÉSUMÉ!Y19</f>
        <v>0</v>
      </c>
      <c r="AT50" s="115">
        <f>RÉSUMÉ!Z19</f>
        <v>0</v>
      </c>
      <c r="AU50" s="422"/>
      <c r="AV50" s="422"/>
      <c r="AW50" s="422"/>
      <c r="AX50" s="422"/>
      <c r="AY50" s="422"/>
      <c r="AZ50" s="114">
        <f>RÉSUMÉ!AA19</f>
        <v>0</v>
      </c>
      <c r="BA50" s="115">
        <f>RÉSUMÉ!AB19</f>
        <v>0</v>
      </c>
      <c r="BB50" s="422"/>
      <c r="BC50" s="422"/>
      <c r="BD50" s="422"/>
      <c r="BE50" s="422"/>
      <c r="BF50" s="422"/>
      <c r="BG50" s="114">
        <f>RÉSUMÉ!AC19</f>
        <v>0</v>
      </c>
      <c r="BH50" s="115">
        <f>RÉSUMÉ!AD19</f>
        <v>0</v>
      </c>
      <c r="BI50" s="422"/>
      <c r="BJ50" s="422"/>
      <c r="BK50" s="422"/>
      <c r="BL50" s="422"/>
      <c r="BM50" s="422"/>
      <c r="BN50" s="114">
        <f>RÉSUMÉ!AE19</f>
        <v>0</v>
      </c>
      <c r="BO50" s="115">
        <f>RÉSUMÉ!AF19</f>
        <v>0</v>
      </c>
      <c r="BP50" s="422"/>
      <c r="BQ50" s="422"/>
      <c r="BR50" s="422"/>
      <c r="BS50" s="422"/>
      <c r="BT50" s="422"/>
      <c r="BU50" s="114">
        <f>RÉSUMÉ!AG19</f>
        <v>0</v>
      </c>
      <c r="BV50" s="115">
        <f>RÉSUMÉ!AH19</f>
        <v>0</v>
      </c>
      <c r="BW50" s="422"/>
      <c r="BX50" s="422"/>
      <c r="BY50" s="422"/>
      <c r="BZ50" s="422"/>
      <c r="CA50" s="422"/>
      <c r="CB50" s="114">
        <f>RÉSUMÉ!AI19</f>
        <v>0</v>
      </c>
      <c r="CC50" s="115">
        <f>RÉSUMÉ!AJ19</f>
        <v>0</v>
      </c>
      <c r="CD50" s="422"/>
      <c r="CE50" s="422"/>
      <c r="CF50" s="422"/>
      <c r="CG50" s="422"/>
      <c r="CH50" s="422"/>
      <c r="CI50" s="114">
        <f>RÉSUMÉ!AK19</f>
        <v>0</v>
      </c>
      <c r="CJ50" s="115">
        <f>RÉSUMÉ!AL19</f>
        <v>0</v>
      </c>
      <c r="CK50" s="115"/>
      <c r="CL50" s="115"/>
      <c r="CM50" s="115"/>
      <c r="CN50" s="115"/>
      <c r="CO50" s="115"/>
      <c r="CP50" s="113">
        <f>RÉSUMÉ!AM19</f>
        <v>502.7</v>
      </c>
      <c r="CQ50" s="113" t="str">
        <f>IF(RÉSUMÉ!AN19=FALSE,"",RÉSUMÉ!AN19)</f>
        <v/>
      </c>
      <c r="CR50" s="113" t="str">
        <f>IF(RÉSUMÉ!AO19=FALSE,"",RÉSUMÉ!AO19)</f>
        <v/>
      </c>
      <c r="CS50" s="113" t="str">
        <f>IF(RÉSUMÉ!AP19=FALSE,"",RÉSUMÉ!AP19)</f>
        <v/>
      </c>
      <c r="CT50" s="113" t="str">
        <f>IF(RÉSUMÉ!AQ19=FALSE,"",RÉSUMÉ!AQ19)</f>
        <v/>
      </c>
      <c r="CU50" s="113" t="str">
        <f>IF(RÉSUMÉ!AR19=FALSE,"",RÉSUMÉ!AR19)</f>
        <v/>
      </c>
      <c r="DE50" s="122">
        <f>RÉSUMÉ!L19</f>
        <v>0</v>
      </c>
      <c r="DF50" s="121">
        <f>RÉSUMÉ!M19</f>
        <v>0</v>
      </c>
      <c r="DG50" s="114" t="e">
        <f>RÉSUMÉ!N19</f>
        <v>#NAME?</v>
      </c>
      <c r="DH50" s="113">
        <f>RÉSUMÉ!O19</f>
        <v>0</v>
      </c>
      <c r="DI50" s="113">
        <f>RÉSUMÉ!P19</f>
        <v>0</v>
      </c>
    </row>
    <row r="51" spans="2:113">
      <c r="B51" s="40" t="str">
        <f>RÉSUMÉ!A20</f>
        <v>2019-2020</v>
      </c>
      <c r="C51" s="114">
        <f>RÉSUMÉ!B20</f>
        <v>0</v>
      </c>
      <c r="D51" s="114">
        <f>RÉSUMÉ!C20</f>
        <v>0</v>
      </c>
      <c r="E51" s="202">
        <f>RÉSUMÉ!D20</f>
        <v>0</v>
      </c>
      <c r="F51" s="116">
        <f>RÉSUMÉ!E20</f>
        <v>0</v>
      </c>
      <c r="G51" s="114">
        <f>RÉSUMÉ!F20</f>
        <v>0</v>
      </c>
      <c r="H51" s="117">
        <f>RÉSUMÉ!G20</f>
        <v>0</v>
      </c>
      <c r="I51" s="114" t="e">
        <f>RÉSUMÉ!H20</f>
        <v>#NAME?</v>
      </c>
      <c r="J51" s="115">
        <f>RÉSUMÉ!I20</f>
        <v>0</v>
      </c>
      <c r="K51" s="120">
        <f>RÉSUMÉ!J20</f>
        <v>0</v>
      </c>
      <c r="L51" s="121">
        <f>RÉSUMÉ!K20</f>
        <v>0</v>
      </c>
      <c r="Q51" s="114">
        <f>RÉSUMÉ!Q20</f>
        <v>0</v>
      </c>
      <c r="R51" s="115">
        <f>RÉSUMÉ!R20</f>
        <v>0</v>
      </c>
      <c r="S51" s="422"/>
      <c r="T51" s="422"/>
      <c r="U51" s="422"/>
      <c r="V51" s="422"/>
      <c r="W51" s="422"/>
      <c r="X51" s="114">
        <f>RÉSUMÉ!S20</f>
        <v>0</v>
      </c>
      <c r="Y51" s="115">
        <f>RÉSUMÉ!T20</f>
        <v>0</v>
      </c>
      <c r="Z51" s="422"/>
      <c r="AA51" s="422"/>
      <c r="AB51" s="422"/>
      <c r="AC51" s="422"/>
      <c r="AD51" s="422"/>
      <c r="AE51" s="114">
        <f>RÉSUMÉ!U20</f>
        <v>0</v>
      </c>
      <c r="AF51" s="115">
        <f>RÉSUMÉ!V20</f>
        <v>0</v>
      </c>
      <c r="AG51" s="422"/>
      <c r="AH51" s="422"/>
      <c r="AI51" s="422"/>
      <c r="AJ51" s="422"/>
      <c r="AK51" s="422"/>
      <c r="AL51" s="114">
        <f>RÉSUMÉ!W20</f>
        <v>0</v>
      </c>
      <c r="AM51" s="115">
        <f>RÉSUMÉ!X20</f>
        <v>0</v>
      </c>
      <c r="AN51" s="422"/>
      <c r="AO51" s="422"/>
      <c r="AP51" s="422"/>
      <c r="AQ51" s="422"/>
      <c r="AR51" s="422"/>
      <c r="AS51" s="114">
        <f>RÉSUMÉ!Y20</f>
        <v>0</v>
      </c>
      <c r="AT51" s="115">
        <f>RÉSUMÉ!Z20</f>
        <v>0</v>
      </c>
      <c r="AU51" s="422"/>
      <c r="AV51" s="422"/>
      <c r="AW51" s="422"/>
      <c r="AX51" s="422"/>
      <c r="AY51" s="422"/>
      <c r="AZ51" s="114">
        <f>RÉSUMÉ!AA20</f>
        <v>0</v>
      </c>
      <c r="BA51" s="115">
        <f>RÉSUMÉ!AB20</f>
        <v>0</v>
      </c>
      <c r="BB51" s="422"/>
      <c r="BC51" s="422"/>
      <c r="BD51" s="422"/>
      <c r="BE51" s="422"/>
      <c r="BF51" s="422"/>
      <c r="BG51" s="114">
        <f>RÉSUMÉ!AC20</f>
        <v>0</v>
      </c>
      <c r="BH51" s="115">
        <f>RÉSUMÉ!AD20</f>
        <v>0</v>
      </c>
      <c r="BI51" s="422"/>
      <c r="BJ51" s="422"/>
      <c r="BK51" s="422"/>
      <c r="BL51" s="422"/>
      <c r="BM51" s="422"/>
      <c r="BN51" s="114">
        <f>RÉSUMÉ!AE20</f>
        <v>0</v>
      </c>
      <c r="BO51" s="115">
        <f>RÉSUMÉ!AF20</f>
        <v>0</v>
      </c>
      <c r="BP51" s="422"/>
      <c r="BQ51" s="422"/>
      <c r="BR51" s="422"/>
      <c r="BS51" s="422"/>
      <c r="BT51" s="422"/>
      <c r="BU51" s="114">
        <f>RÉSUMÉ!AG20</f>
        <v>0</v>
      </c>
      <c r="BV51" s="115">
        <f>RÉSUMÉ!AH20</f>
        <v>0</v>
      </c>
      <c r="BW51" s="422"/>
      <c r="BX51" s="422"/>
      <c r="BY51" s="422"/>
      <c r="BZ51" s="422"/>
      <c r="CA51" s="422"/>
      <c r="CB51" s="114">
        <f>RÉSUMÉ!AI20</f>
        <v>0</v>
      </c>
      <c r="CC51" s="115">
        <f>RÉSUMÉ!AJ20</f>
        <v>0</v>
      </c>
      <c r="CD51" s="422"/>
      <c r="CE51" s="422"/>
      <c r="CF51" s="422"/>
      <c r="CG51" s="422"/>
      <c r="CH51" s="422"/>
      <c r="CI51" s="114">
        <f>RÉSUMÉ!AK20</f>
        <v>0</v>
      </c>
      <c r="CJ51" s="115">
        <f>RÉSUMÉ!AL20</f>
        <v>0</v>
      </c>
      <c r="CK51" s="115"/>
      <c r="CL51" s="115"/>
      <c r="CM51" s="115"/>
      <c r="CN51" s="115"/>
      <c r="CO51" s="115"/>
      <c r="CP51" s="113">
        <f>RÉSUMÉ!AM20</f>
        <v>0</v>
      </c>
      <c r="CQ51" s="113" t="str">
        <f>IF(RÉSUMÉ!AN20=FALSE,"",RÉSUMÉ!AN20)</f>
        <v/>
      </c>
      <c r="CR51" s="113" t="str">
        <f>IF(RÉSUMÉ!AO20=FALSE,"",RÉSUMÉ!AO20)</f>
        <v/>
      </c>
      <c r="CS51" s="113" t="str">
        <f>IF(RÉSUMÉ!AP20=FALSE,"",RÉSUMÉ!AP20)</f>
        <v/>
      </c>
      <c r="CT51" s="113" t="str">
        <f>IF(RÉSUMÉ!AQ20=FALSE,"",RÉSUMÉ!AQ20)</f>
        <v/>
      </c>
      <c r="CU51" s="113" t="str">
        <f>IF(RÉSUMÉ!AR20=FALSE,"",RÉSUMÉ!AR20)</f>
        <v/>
      </c>
      <c r="DE51" s="122">
        <f>RÉSUMÉ!L20</f>
        <v>0</v>
      </c>
      <c r="DF51" s="121">
        <f>RÉSUMÉ!M20</f>
        <v>0</v>
      </c>
      <c r="DG51" s="114" t="e">
        <f>RÉSUMÉ!N20</f>
        <v>#NAME?</v>
      </c>
      <c r="DH51" s="113">
        <f>RÉSUMÉ!O20</f>
        <v>0</v>
      </c>
      <c r="DI51" s="113">
        <f>RÉSUMÉ!P20</f>
        <v>0</v>
      </c>
    </row>
    <row r="52" spans="2:113">
      <c r="B52" s="40" t="str">
        <f>RÉSUMÉ!A21</f>
        <v>2020-2021</v>
      </c>
      <c r="C52" s="114">
        <f>RÉSUMÉ!B21</f>
        <v>0</v>
      </c>
      <c r="D52" s="114">
        <f>RÉSUMÉ!C21</f>
        <v>0</v>
      </c>
      <c r="E52" s="202">
        <f>RÉSUMÉ!D21</f>
        <v>0</v>
      </c>
      <c r="F52" s="116">
        <f>RÉSUMÉ!E21</f>
        <v>0</v>
      </c>
      <c r="G52" s="114">
        <f>RÉSUMÉ!F21</f>
        <v>0</v>
      </c>
      <c r="H52" s="117">
        <f>RÉSUMÉ!G21</f>
        <v>0</v>
      </c>
      <c r="I52" s="114" t="e">
        <f>RÉSUMÉ!H21</f>
        <v>#NAME?</v>
      </c>
      <c r="J52" s="115">
        <f>RÉSUMÉ!I21</f>
        <v>0</v>
      </c>
      <c r="K52" s="120">
        <f>RÉSUMÉ!J21</f>
        <v>0</v>
      </c>
      <c r="L52" s="121">
        <f>RÉSUMÉ!K21</f>
        <v>0</v>
      </c>
      <c r="Q52" s="114">
        <f>RÉSUMÉ!Q21</f>
        <v>0</v>
      </c>
      <c r="R52" s="115">
        <f>RÉSUMÉ!R21</f>
        <v>0</v>
      </c>
      <c r="S52" s="422"/>
      <c r="T52" s="422"/>
      <c r="U52" s="422"/>
      <c r="V52" s="422"/>
      <c r="W52" s="422"/>
      <c r="X52" s="114">
        <f>RÉSUMÉ!S21</f>
        <v>0</v>
      </c>
      <c r="Y52" s="115">
        <f>RÉSUMÉ!T21</f>
        <v>0</v>
      </c>
      <c r="Z52" s="422"/>
      <c r="AA52" s="422"/>
      <c r="AB52" s="422"/>
      <c r="AC52" s="422"/>
      <c r="AD52" s="422"/>
      <c r="AE52" s="114">
        <f>RÉSUMÉ!U21</f>
        <v>0</v>
      </c>
      <c r="AF52" s="115">
        <f>RÉSUMÉ!V21</f>
        <v>0</v>
      </c>
      <c r="AG52" s="422"/>
      <c r="AH52" s="422"/>
      <c r="AI52" s="422"/>
      <c r="AJ52" s="422"/>
      <c r="AK52" s="422"/>
      <c r="AL52" s="114">
        <f>RÉSUMÉ!W21</f>
        <v>0</v>
      </c>
      <c r="AM52" s="115">
        <f>RÉSUMÉ!X21</f>
        <v>0</v>
      </c>
      <c r="AN52" s="422"/>
      <c r="AO52" s="422"/>
      <c r="AP52" s="422"/>
      <c r="AQ52" s="422"/>
      <c r="AR52" s="422"/>
      <c r="AS52" s="114">
        <f>RÉSUMÉ!Y21</f>
        <v>0</v>
      </c>
      <c r="AT52" s="115">
        <f>RÉSUMÉ!Z21</f>
        <v>0</v>
      </c>
      <c r="AU52" s="422"/>
      <c r="AV52" s="422"/>
      <c r="AW52" s="422"/>
      <c r="AX52" s="422"/>
      <c r="AY52" s="422"/>
      <c r="AZ52" s="114">
        <f>RÉSUMÉ!AA21</f>
        <v>0</v>
      </c>
      <c r="BA52" s="115">
        <f>RÉSUMÉ!AB21</f>
        <v>0</v>
      </c>
      <c r="BB52" s="422"/>
      <c r="BC52" s="422"/>
      <c r="BD52" s="422"/>
      <c r="BE52" s="422"/>
      <c r="BF52" s="422"/>
      <c r="BG52" s="114">
        <f>RÉSUMÉ!AC21</f>
        <v>0</v>
      </c>
      <c r="BH52" s="115">
        <f>RÉSUMÉ!AD21</f>
        <v>0</v>
      </c>
      <c r="BI52" s="422"/>
      <c r="BJ52" s="422"/>
      <c r="BK52" s="422"/>
      <c r="BL52" s="422"/>
      <c r="BM52" s="422"/>
      <c r="BN52" s="114">
        <f>RÉSUMÉ!AE21</f>
        <v>0</v>
      </c>
      <c r="BO52" s="115">
        <f>RÉSUMÉ!AF21</f>
        <v>0</v>
      </c>
      <c r="BP52" s="422"/>
      <c r="BQ52" s="422"/>
      <c r="BR52" s="422"/>
      <c r="BS52" s="422"/>
      <c r="BT52" s="422"/>
      <c r="BU52" s="114">
        <f>RÉSUMÉ!AG21</f>
        <v>0</v>
      </c>
      <c r="BV52" s="115">
        <f>RÉSUMÉ!AH21</f>
        <v>0</v>
      </c>
      <c r="BW52" s="422"/>
      <c r="BX52" s="422"/>
      <c r="BY52" s="422"/>
      <c r="BZ52" s="422"/>
      <c r="CA52" s="422"/>
      <c r="CB52" s="114">
        <f>RÉSUMÉ!AI21</f>
        <v>0</v>
      </c>
      <c r="CC52" s="115">
        <f>RÉSUMÉ!AJ21</f>
        <v>0</v>
      </c>
      <c r="CD52" s="422"/>
      <c r="CE52" s="422"/>
      <c r="CF52" s="422"/>
      <c r="CG52" s="422"/>
      <c r="CH52" s="422"/>
      <c r="CI52" s="114">
        <f>RÉSUMÉ!AK21</f>
        <v>0</v>
      </c>
      <c r="CJ52" s="115">
        <f>RÉSUMÉ!AL21</f>
        <v>0</v>
      </c>
      <c r="CK52" s="115"/>
      <c r="CL52" s="115"/>
      <c r="CM52" s="115"/>
      <c r="CN52" s="115"/>
      <c r="CO52" s="115"/>
      <c r="CP52" s="113">
        <f>RÉSUMÉ!AM21</f>
        <v>0</v>
      </c>
      <c r="CQ52" s="113" t="str">
        <f>IF(RÉSUMÉ!AN21=FALSE,"",RÉSUMÉ!AN21)</f>
        <v/>
      </c>
      <c r="CR52" s="113" t="str">
        <f>IF(RÉSUMÉ!AO21=FALSE,"",RÉSUMÉ!AO21)</f>
        <v/>
      </c>
      <c r="CS52" s="113" t="str">
        <f>IF(RÉSUMÉ!AP21=FALSE,"",RÉSUMÉ!AP21)</f>
        <v/>
      </c>
      <c r="CT52" s="113" t="str">
        <f>IF(RÉSUMÉ!AQ21=FALSE,"",RÉSUMÉ!AQ21)</f>
        <v/>
      </c>
      <c r="CU52" s="113" t="str">
        <f>IF(RÉSUMÉ!AR21=FALSE,"",RÉSUMÉ!AR21)</f>
        <v/>
      </c>
      <c r="DE52" s="122">
        <f>RÉSUMÉ!L21</f>
        <v>0</v>
      </c>
      <c r="DF52" s="121">
        <f>RÉSUMÉ!M21</f>
        <v>0</v>
      </c>
      <c r="DG52" s="114" t="e">
        <f>RÉSUMÉ!N21</f>
        <v>#NAME?</v>
      </c>
      <c r="DH52" s="113">
        <f>RÉSUMÉ!O21</f>
        <v>0</v>
      </c>
      <c r="DI52" s="113">
        <f>RÉSUMÉ!P21</f>
        <v>0</v>
      </c>
    </row>
    <row r="53" spans="2:113">
      <c r="B53" s="40" t="str">
        <f>RÉSUMÉ!A22</f>
        <v>2021-2022</v>
      </c>
      <c r="C53" s="114">
        <f>RÉSUMÉ!B22</f>
        <v>0</v>
      </c>
      <c r="D53" s="114">
        <f>RÉSUMÉ!C22</f>
        <v>0</v>
      </c>
      <c r="E53" s="202">
        <f>RÉSUMÉ!D22</f>
        <v>0</v>
      </c>
      <c r="F53" s="116">
        <f>RÉSUMÉ!E22</f>
        <v>0</v>
      </c>
      <c r="G53" s="114">
        <f>RÉSUMÉ!F22</f>
        <v>0</v>
      </c>
      <c r="H53" s="117">
        <f>RÉSUMÉ!G22</f>
        <v>0</v>
      </c>
      <c r="I53" s="114" t="e">
        <f>RÉSUMÉ!H22</f>
        <v>#NAME?</v>
      </c>
      <c r="J53" s="115">
        <f>RÉSUMÉ!I22</f>
        <v>0</v>
      </c>
      <c r="K53" s="120">
        <f>RÉSUMÉ!J22</f>
        <v>0</v>
      </c>
      <c r="L53" s="121">
        <f>RÉSUMÉ!K22</f>
        <v>0</v>
      </c>
      <c r="Q53" s="114">
        <f>RÉSUMÉ!Q22</f>
        <v>0</v>
      </c>
      <c r="R53" s="115">
        <f>RÉSUMÉ!R22</f>
        <v>0</v>
      </c>
      <c r="S53" s="422"/>
      <c r="T53" s="422"/>
      <c r="U53" s="422"/>
      <c r="V53" s="422"/>
      <c r="W53" s="422"/>
      <c r="X53" s="114">
        <f>RÉSUMÉ!S22</f>
        <v>0</v>
      </c>
      <c r="Y53" s="115">
        <f>RÉSUMÉ!T22</f>
        <v>0</v>
      </c>
      <c r="Z53" s="422"/>
      <c r="AA53" s="422"/>
      <c r="AB53" s="422"/>
      <c r="AC53" s="422"/>
      <c r="AD53" s="422"/>
      <c r="AE53" s="114">
        <f>RÉSUMÉ!U22</f>
        <v>0</v>
      </c>
      <c r="AF53" s="115">
        <f>RÉSUMÉ!V22</f>
        <v>0</v>
      </c>
      <c r="AG53" s="422"/>
      <c r="AH53" s="422"/>
      <c r="AI53" s="422"/>
      <c r="AJ53" s="422"/>
      <c r="AK53" s="422"/>
      <c r="AL53" s="114">
        <f>RÉSUMÉ!W22</f>
        <v>0</v>
      </c>
      <c r="AM53" s="115">
        <f>RÉSUMÉ!X22</f>
        <v>0</v>
      </c>
      <c r="AN53" s="422"/>
      <c r="AO53" s="422"/>
      <c r="AP53" s="422"/>
      <c r="AQ53" s="422"/>
      <c r="AR53" s="422"/>
      <c r="AS53" s="114">
        <f>RÉSUMÉ!Y22</f>
        <v>0</v>
      </c>
      <c r="AT53" s="115">
        <f>RÉSUMÉ!Z22</f>
        <v>0</v>
      </c>
      <c r="AU53" s="422"/>
      <c r="AV53" s="422"/>
      <c r="AW53" s="422"/>
      <c r="AX53" s="422"/>
      <c r="AY53" s="422"/>
      <c r="AZ53" s="114">
        <f>RÉSUMÉ!AA22</f>
        <v>0</v>
      </c>
      <c r="BA53" s="115">
        <f>RÉSUMÉ!AB22</f>
        <v>0</v>
      </c>
      <c r="BB53" s="422"/>
      <c r="BC53" s="422"/>
      <c r="BD53" s="422"/>
      <c r="BE53" s="422"/>
      <c r="BF53" s="422"/>
      <c r="BG53" s="114">
        <f>RÉSUMÉ!AC22</f>
        <v>0</v>
      </c>
      <c r="BH53" s="115">
        <f>RÉSUMÉ!AD22</f>
        <v>0</v>
      </c>
      <c r="BI53" s="422"/>
      <c r="BJ53" s="422"/>
      <c r="BK53" s="422"/>
      <c r="BL53" s="422"/>
      <c r="BM53" s="422"/>
      <c r="BN53" s="114">
        <f>RÉSUMÉ!AE22</f>
        <v>0</v>
      </c>
      <c r="BO53" s="115">
        <f>RÉSUMÉ!AF22</f>
        <v>0</v>
      </c>
      <c r="BP53" s="422"/>
      <c r="BQ53" s="422"/>
      <c r="BR53" s="422"/>
      <c r="BS53" s="422"/>
      <c r="BT53" s="422"/>
      <c r="BU53" s="114">
        <f>RÉSUMÉ!AG22</f>
        <v>0</v>
      </c>
      <c r="BV53" s="115">
        <f>RÉSUMÉ!AH22</f>
        <v>0</v>
      </c>
      <c r="BW53" s="422"/>
      <c r="BX53" s="422"/>
      <c r="BY53" s="422"/>
      <c r="BZ53" s="422"/>
      <c r="CA53" s="422"/>
      <c r="CB53" s="114">
        <f>RÉSUMÉ!AI22</f>
        <v>0</v>
      </c>
      <c r="CC53" s="115">
        <f>RÉSUMÉ!AJ22</f>
        <v>0</v>
      </c>
      <c r="CD53" s="422"/>
      <c r="CE53" s="422"/>
      <c r="CF53" s="422"/>
      <c r="CG53" s="422"/>
      <c r="CH53" s="422"/>
      <c r="CI53" s="114">
        <f>RÉSUMÉ!AK22</f>
        <v>0</v>
      </c>
      <c r="CJ53" s="115">
        <f>RÉSUMÉ!AL22</f>
        <v>0</v>
      </c>
      <c r="CK53" s="115"/>
      <c r="CL53" s="115"/>
      <c r="CM53" s="115"/>
      <c r="CN53" s="115"/>
      <c r="CO53" s="115"/>
      <c r="CP53" s="113">
        <f>RÉSUMÉ!AM22</f>
        <v>0</v>
      </c>
      <c r="CQ53" s="113" t="str">
        <f>IF(RÉSUMÉ!AN22=FALSE,"",RÉSUMÉ!AN22)</f>
        <v/>
      </c>
      <c r="CR53" s="113" t="str">
        <f>IF(RÉSUMÉ!AO22=FALSE,"",RÉSUMÉ!AO22)</f>
        <v/>
      </c>
      <c r="CS53" s="113" t="str">
        <f>IF(RÉSUMÉ!AP22=FALSE,"",RÉSUMÉ!AP22)</f>
        <v/>
      </c>
      <c r="CT53" s="113" t="str">
        <f>IF(RÉSUMÉ!AQ22=FALSE,"",RÉSUMÉ!AQ22)</f>
        <v/>
      </c>
      <c r="CU53" s="113" t="str">
        <f>IF(RÉSUMÉ!AR22=FALSE,"",RÉSUMÉ!AR22)</f>
        <v/>
      </c>
      <c r="DE53" s="122">
        <f>RÉSUMÉ!L22</f>
        <v>0</v>
      </c>
      <c r="DF53" s="121">
        <f>RÉSUMÉ!M22</f>
        <v>0</v>
      </c>
      <c r="DG53" s="114" t="e">
        <f>RÉSUMÉ!N22</f>
        <v>#NAME?</v>
      </c>
      <c r="DH53" s="113">
        <f>RÉSUMÉ!O22</f>
        <v>0</v>
      </c>
      <c r="DI53" s="113">
        <f>RÉSUMÉ!P22</f>
        <v>0</v>
      </c>
    </row>
    <row r="54" spans="2:113">
      <c r="B54" s="40" t="str">
        <f>RÉSUMÉ!A23</f>
        <v>2022-2023</v>
      </c>
      <c r="C54" s="114">
        <f>RÉSUMÉ!B23</f>
        <v>0</v>
      </c>
      <c r="D54" s="114">
        <f>RÉSUMÉ!C23</f>
        <v>0</v>
      </c>
      <c r="E54" s="202">
        <f>RÉSUMÉ!D23</f>
        <v>0</v>
      </c>
      <c r="F54" s="116">
        <f>RÉSUMÉ!E23</f>
        <v>0</v>
      </c>
      <c r="G54" s="114">
        <f>RÉSUMÉ!F23</f>
        <v>0</v>
      </c>
      <c r="H54" s="117">
        <f>RÉSUMÉ!G23</f>
        <v>0</v>
      </c>
      <c r="I54" s="114" t="e">
        <f>RÉSUMÉ!H23</f>
        <v>#NAME?</v>
      </c>
      <c r="J54" s="115">
        <f>RÉSUMÉ!I23</f>
        <v>0</v>
      </c>
      <c r="K54" s="120">
        <f>RÉSUMÉ!J23</f>
        <v>0</v>
      </c>
      <c r="L54" s="121">
        <f>RÉSUMÉ!K23</f>
        <v>0</v>
      </c>
      <c r="Q54" s="114">
        <f>RÉSUMÉ!Q23</f>
        <v>0</v>
      </c>
      <c r="R54" s="115">
        <f>RÉSUMÉ!R23</f>
        <v>0</v>
      </c>
      <c r="S54" s="422"/>
      <c r="T54" s="422"/>
      <c r="U54" s="422"/>
      <c r="V54" s="422"/>
      <c r="W54" s="422"/>
      <c r="X54" s="114">
        <f>RÉSUMÉ!S23</f>
        <v>0</v>
      </c>
      <c r="Y54" s="115">
        <f>RÉSUMÉ!T23</f>
        <v>0</v>
      </c>
      <c r="Z54" s="422"/>
      <c r="AA54" s="422"/>
      <c r="AB54" s="422"/>
      <c r="AC54" s="422"/>
      <c r="AD54" s="422"/>
      <c r="AE54" s="114">
        <f>RÉSUMÉ!U23</f>
        <v>0</v>
      </c>
      <c r="AF54" s="115">
        <f>RÉSUMÉ!V23</f>
        <v>0</v>
      </c>
      <c r="AG54" s="422"/>
      <c r="AH54" s="422"/>
      <c r="AI54" s="422"/>
      <c r="AJ54" s="422"/>
      <c r="AK54" s="422"/>
      <c r="AL54" s="114">
        <f>RÉSUMÉ!W23</f>
        <v>0</v>
      </c>
      <c r="AM54" s="115">
        <f>RÉSUMÉ!X23</f>
        <v>0</v>
      </c>
      <c r="AN54" s="422"/>
      <c r="AO54" s="422"/>
      <c r="AP54" s="422"/>
      <c r="AQ54" s="422"/>
      <c r="AR54" s="422"/>
      <c r="AS54" s="114">
        <f>RÉSUMÉ!Y23</f>
        <v>0</v>
      </c>
      <c r="AT54" s="115">
        <f>RÉSUMÉ!Z23</f>
        <v>0</v>
      </c>
      <c r="AU54" s="422"/>
      <c r="AV54" s="422"/>
      <c r="AW54" s="422"/>
      <c r="AX54" s="422"/>
      <c r="AY54" s="422"/>
      <c r="AZ54" s="114">
        <f>RÉSUMÉ!AA23</f>
        <v>0</v>
      </c>
      <c r="BA54" s="115">
        <f>RÉSUMÉ!AB23</f>
        <v>0</v>
      </c>
      <c r="BB54" s="422"/>
      <c r="BC54" s="422"/>
      <c r="BD54" s="422"/>
      <c r="BE54" s="422"/>
      <c r="BF54" s="422"/>
      <c r="BG54" s="114">
        <f>RÉSUMÉ!AC23</f>
        <v>0</v>
      </c>
      <c r="BH54" s="115">
        <f>RÉSUMÉ!AD23</f>
        <v>0</v>
      </c>
      <c r="BI54" s="422"/>
      <c r="BJ54" s="422"/>
      <c r="BK54" s="422"/>
      <c r="BL54" s="422"/>
      <c r="BM54" s="422"/>
      <c r="BN54" s="114">
        <f>RÉSUMÉ!AE23</f>
        <v>0</v>
      </c>
      <c r="BO54" s="115">
        <f>RÉSUMÉ!AF23</f>
        <v>0</v>
      </c>
      <c r="BP54" s="422"/>
      <c r="BQ54" s="422"/>
      <c r="BR54" s="422"/>
      <c r="BS54" s="422"/>
      <c r="BT54" s="422"/>
      <c r="BU54" s="114">
        <f>RÉSUMÉ!AG23</f>
        <v>0</v>
      </c>
      <c r="BV54" s="115">
        <f>RÉSUMÉ!AH23</f>
        <v>0</v>
      </c>
      <c r="BW54" s="422"/>
      <c r="BX54" s="422"/>
      <c r="BY54" s="422"/>
      <c r="BZ54" s="422"/>
      <c r="CA54" s="422"/>
      <c r="CB54" s="114">
        <f>RÉSUMÉ!AI23</f>
        <v>0</v>
      </c>
      <c r="CC54" s="115">
        <f>RÉSUMÉ!AJ23</f>
        <v>0</v>
      </c>
      <c r="CD54" s="422"/>
      <c r="CE54" s="422"/>
      <c r="CF54" s="422"/>
      <c r="CG54" s="422"/>
      <c r="CH54" s="422"/>
      <c r="CI54" s="114">
        <f>RÉSUMÉ!AK23</f>
        <v>0</v>
      </c>
      <c r="CJ54" s="115">
        <f>RÉSUMÉ!AL23</f>
        <v>0</v>
      </c>
      <c r="CK54" s="115"/>
      <c r="CL54" s="115"/>
      <c r="CM54" s="115"/>
      <c r="CN54" s="115"/>
      <c r="CO54" s="115"/>
      <c r="CP54" s="113">
        <f>RÉSUMÉ!AM23</f>
        <v>0</v>
      </c>
      <c r="CQ54" s="113" t="str">
        <f>IF(RÉSUMÉ!AN23=FALSE,"",RÉSUMÉ!AN23)</f>
        <v/>
      </c>
      <c r="CR54" s="113" t="str">
        <f>IF(RÉSUMÉ!AO23=FALSE,"",RÉSUMÉ!AO23)</f>
        <v/>
      </c>
      <c r="CS54" s="113" t="str">
        <f>IF(RÉSUMÉ!AP23=FALSE,"",RÉSUMÉ!AP23)</f>
        <v/>
      </c>
      <c r="CT54" s="113" t="str">
        <f>IF(RÉSUMÉ!AQ23=FALSE,"",RÉSUMÉ!AQ23)</f>
        <v/>
      </c>
      <c r="CU54" s="113" t="str">
        <f>IF(RÉSUMÉ!AR23=FALSE,"",RÉSUMÉ!AR23)</f>
        <v/>
      </c>
      <c r="DE54" s="122">
        <f>RÉSUMÉ!L23</f>
        <v>0</v>
      </c>
      <c r="DF54" s="121">
        <f>RÉSUMÉ!M23</f>
        <v>0</v>
      </c>
      <c r="DG54" s="114" t="e">
        <f>RÉSUMÉ!N23</f>
        <v>#NAME?</v>
      </c>
      <c r="DH54" s="113">
        <f>RÉSUMÉ!O23</f>
        <v>0</v>
      </c>
      <c r="DI54" s="113">
        <f>RÉSUMÉ!P23</f>
        <v>0</v>
      </c>
    </row>
    <row r="55" spans="2:113">
      <c r="B55" s="40" t="str">
        <f>RÉSUMÉ!A24</f>
        <v>2023-2024</v>
      </c>
      <c r="C55" s="114">
        <f>RÉSUMÉ!B24</f>
        <v>0</v>
      </c>
      <c r="D55" s="114">
        <f>RÉSUMÉ!C24</f>
        <v>0</v>
      </c>
      <c r="E55" s="202">
        <f>RÉSUMÉ!D24</f>
        <v>0</v>
      </c>
      <c r="F55" s="116">
        <f>RÉSUMÉ!E24</f>
        <v>0</v>
      </c>
      <c r="G55" s="114">
        <f>RÉSUMÉ!F24</f>
        <v>0</v>
      </c>
      <c r="H55" s="117">
        <f>RÉSUMÉ!G24</f>
        <v>0</v>
      </c>
      <c r="I55" s="114" t="e">
        <f>RÉSUMÉ!H24</f>
        <v>#NAME?</v>
      </c>
      <c r="J55" s="115">
        <f>RÉSUMÉ!I24</f>
        <v>0</v>
      </c>
      <c r="K55" s="120">
        <f>RÉSUMÉ!J24</f>
        <v>0</v>
      </c>
      <c r="L55" s="121">
        <f>RÉSUMÉ!K24</f>
        <v>0</v>
      </c>
      <c r="Q55" s="114">
        <f>RÉSUMÉ!Q24</f>
        <v>0</v>
      </c>
      <c r="R55" s="115">
        <f>RÉSUMÉ!R24</f>
        <v>0</v>
      </c>
      <c r="S55" s="422"/>
      <c r="T55" s="422"/>
      <c r="U55" s="422"/>
      <c r="V55" s="422"/>
      <c r="W55" s="422"/>
      <c r="X55" s="114">
        <f>RÉSUMÉ!S24</f>
        <v>0</v>
      </c>
      <c r="Y55" s="115">
        <f>RÉSUMÉ!T24</f>
        <v>0</v>
      </c>
      <c r="Z55" s="422"/>
      <c r="AA55" s="422"/>
      <c r="AB55" s="422"/>
      <c r="AC55" s="422"/>
      <c r="AD55" s="422"/>
      <c r="AE55" s="114">
        <f>RÉSUMÉ!U24</f>
        <v>0</v>
      </c>
      <c r="AF55" s="115">
        <f>RÉSUMÉ!V24</f>
        <v>0</v>
      </c>
      <c r="AG55" s="422"/>
      <c r="AH55" s="422"/>
      <c r="AI55" s="422"/>
      <c r="AJ55" s="422"/>
      <c r="AK55" s="422"/>
      <c r="AL55" s="114">
        <f>RÉSUMÉ!W24</f>
        <v>0</v>
      </c>
      <c r="AM55" s="115">
        <f>RÉSUMÉ!X24</f>
        <v>0</v>
      </c>
      <c r="AN55" s="422"/>
      <c r="AO55" s="422"/>
      <c r="AP55" s="422"/>
      <c r="AQ55" s="422"/>
      <c r="AR55" s="422"/>
      <c r="AS55" s="114">
        <f>RÉSUMÉ!Y24</f>
        <v>0</v>
      </c>
      <c r="AT55" s="115">
        <f>RÉSUMÉ!Z24</f>
        <v>0</v>
      </c>
      <c r="AU55" s="422"/>
      <c r="AV55" s="422"/>
      <c r="AW55" s="422"/>
      <c r="AX55" s="422"/>
      <c r="AY55" s="422"/>
      <c r="AZ55" s="114">
        <f>RÉSUMÉ!AA24</f>
        <v>0</v>
      </c>
      <c r="BA55" s="115">
        <f>RÉSUMÉ!AB24</f>
        <v>0</v>
      </c>
      <c r="BB55" s="422"/>
      <c r="BC55" s="422"/>
      <c r="BD55" s="422"/>
      <c r="BE55" s="422"/>
      <c r="BF55" s="422"/>
      <c r="BG55" s="114">
        <f>RÉSUMÉ!AC24</f>
        <v>0</v>
      </c>
      <c r="BH55" s="115">
        <f>RÉSUMÉ!AD24</f>
        <v>0</v>
      </c>
      <c r="BI55" s="422"/>
      <c r="BJ55" s="422"/>
      <c r="BK55" s="422"/>
      <c r="BL55" s="422"/>
      <c r="BM55" s="422"/>
      <c r="BN55" s="114">
        <f>RÉSUMÉ!AE24</f>
        <v>0</v>
      </c>
      <c r="BO55" s="115">
        <f>RÉSUMÉ!AF24</f>
        <v>0</v>
      </c>
      <c r="BP55" s="422"/>
      <c r="BQ55" s="422"/>
      <c r="BR55" s="422"/>
      <c r="BS55" s="422"/>
      <c r="BT55" s="422"/>
      <c r="BU55" s="114">
        <f>RÉSUMÉ!AG24</f>
        <v>0</v>
      </c>
      <c r="BV55" s="115">
        <f>RÉSUMÉ!AH24</f>
        <v>0</v>
      </c>
      <c r="BW55" s="422"/>
      <c r="BX55" s="422"/>
      <c r="BY55" s="422"/>
      <c r="BZ55" s="422"/>
      <c r="CA55" s="422"/>
      <c r="CB55" s="114">
        <f>RÉSUMÉ!AI24</f>
        <v>0</v>
      </c>
      <c r="CC55" s="115">
        <f>RÉSUMÉ!AJ24</f>
        <v>0</v>
      </c>
      <c r="CD55" s="422"/>
      <c r="CE55" s="422"/>
      <c r="CF55" s="422"/>
      <c r="CG55" s="422"/>
      <c r="CH55" s="422"/>
      <c r="CI55" s="114">
        <f>RÉSUMÉ!AK24</f>
        <v>0</v>
      </c>
      <c r="CJ55" s="115">
        <f>RÉSUMÉ!AL24</f>
        <v>0</v>
      </c>
      <c r="CK55" s="115"/>
      <c r="CL55" s="115"/>
      <c r="CM55" s="115"/>
      <c r="CN55" s="115"/>
      <c r="CO55" s="115"/>
      <c r="CP55" s="113">
        <f>RÉSUMÉ!AM24</f>
        <v>0</v>
      </c>
      <c r="CQ55" s="113" t="str">
        <f>IF(RÉSUMÉ!AN24=FALSE,"",RÉSUMÉ!AN24)</f>
        <v/>
      </c>
      <c r="CR55" s="113" t="str">
        <f>IF(RÉSUMÉ!AO24=FALSE,"",RÉSUMÉ!AO24)</f>
        <v/>
      </c>
      <c r="CS55" s="113" t="str">
        <f>IF(RÉSUMÉ!AP24=FALSE,"",RÉSUMÉ!AP24)</f>
        <v/>
      </c>
      <c r="CT55" s="113" t="str">
        <f>IF(RÉSUMÉ!AQ24=FALSE,"",RÉSUMÉ!AQ24)</f>
        <v/>
      </c>
      <c r="CU55" s="113" t="str">
        <f>IF(RÉSUMÉ!AR24=FALSE,"",RÉSUMÉ!AR24)</f>
        <v/>
      </c>
      <c r="DE55" s="122">
        <f>RÉSUMÉ!L24</f>
        <v>0</v>
      </c>
      <c r="DF55" s="121">
        <f>RÉSUMÉ!M24</f>
        <v>0</v>
      </c>
      <c r="DG55" s="114" t="e">
        <f>RÉSUMÉ!N24</f>
        <v>#NAME?</v>
      </c>
      <c r="DH55" s="113">
        <f>RÉSUMÉ!O24</f>
        <v>0</v>
      </c>
      <c r="DI55" s="113">
        <f>RÉSUMÉ!P24</f>
        <v>0</v>
      </c>
    </row>
    <row r="56" spans="2:113">
      <c r="B56" s="40" t="str">
        <f>RÉSUMÉ!A25</f>
        <v>2024-2025</v>
      </c>
      <c r="C56" s="114">
        <f>RÉSUMÉ!B25</f>
        <v>0</v>
      </c>
      <c r="D56" s="114">
        <f>RÉSUMÉ!C25</f>
        <v>0</v>
      </c>
      <c r="E56" s="202">
        <f>RÉSUMÉ!D25</f>
        <v>0</v>
      </c>
      <c r="F56" s="116">
        <f>RÉSUMÉ!E25</f>
        <v>0</v>
      </c>
      <c r="G56" s="114">
        <f>RÉSUMÉ!F25</f>
        <v>0</v>
      </c>
      <c r="H56" s="117">
        <f>RÉSUMÉ!G25</f>
        <v>0</v>
      </c>
      <c r="I56" s="114" t="e">
        <f>RÉSUMÉ!H25</f>
        <v>#NAME?</v>
      </c>
      <c r="J56" s="115">
        <f>RÉSUMÉ!I25</f>
        <v>0</v>
      </c>
      <c r="K56" s="120">
        <f>RÉSUMÉ!J25</f>
        <v>0</v>
      </c>
      <c r="L56" s="121">
        <f>RÉSUMÉ!K25</f>
        <v>0</v>
      </c>
      <c r="Q56" s="114">
        <f>RÉSUMÉ!Q25</f>
        <v>0</v>
      </c>
      <c r="R56" s="115">
        <f>RÉSUMÉ!R25</f>
        <v>0</v>
      </c>
      <c r="S56" s="422"/>
      <c r="T56" s="422"/>
      <c r="U56" s="422"/>
      <c r="V56" s="422"/>
      <c r="W56" s="422"/>
      <c r="X56" s="114">
        <f>RÉSUMÉ!S25</f>
        <v>0</v>
      </c>
      <c r="Y56" s="115">
        <f>RÉSUMÉ!T25</f>
        <v>0</v>
      </c>
      <c r="Z56" s="422"/>
      <c r="AA56" s="422"/>
      <c r="AB56" s="422"/>
      <c r="AC56" s="422"/>
      <c r="AD56" s="422"/>
      <c r="AE56" s="114">
        <f>RÉSUMÉ!U25</f>
        <v>0</v>
      </c>
      <c r="AF56" s="115">
        <f>RÉSUMÉ!V25</f>
        <v>0</v>
      </c>
      <c r="AG56" s="422"/>
      <c r="AH56" s="422"/>
      <c r="AI56" s="422"/>
      <c r="AJ56" s="422"/>
      <c r="AK56" s="422"/>
      <c r="AL56" s="114">
        <f>RÉSUMÉ!W25</f>
        <v>0</v>
      </c>
      <c r="AM56" s="115">
        <f>RÉSUMÉ!X25</f>
        <v>0</v>
      </c>
      <c r="AN56" s="422"/>
      <c r="AO56" s="422"/>
      <c r="AP56" s="422"/>
      <c r="AQ56" s="422"/>
      <c r="AR56" s="422"/>
      <c r="AS56" s="114">
        <f>RÉSUMÉ!Y25</f>
        <v>0</v>
      </c>
      <c r="AT56" s="115">
        <f>RÉSUMÉ!Z25</f>
        <v>0</v>
      </c>
      <c r="AU56" s="422"/>
      <c r="AV56" s="422"/>
      <c r="AW56" s="422"/>
      <c r="AX56" s="422"/>
      <c r="AY56" s="422"/>
      <c r="AZ56" s="114">
        <f>RÉSUMÉ!AA25</f>
        <v>0</v>
      </c>
      <c r="BA56" s="115">
        <f>RÉSUMÉ!AB25</f>
        <v>0</v>
      </c>
      <c r="BB56" s="422"/>
      <c r="BC56" s="422"/>
      <c r="BD56" s="422"/>
      <c r="BE56" s="422"/>
      <c r="BF56" s="422"/>
      <c r="BG56" s="114">
        <f>RÉSUMÉ!AC25</f>
        <v>0</v>
      </c>
      <c r="BH56" s="115">
        <f>RÉSUMÉ!AD25</f>
        <v>0</v>
      </c>
      <c r="BI56" s="422"/>
      <c r="BJ56" s="422"/>
      <c r="BK56" s="422"/>
      <c r="BL56" s="422"/>
      <c r="BM56" s="422"/>
      <c r="BN56" s="114">
        <f>RÉSUMÉ!AE25</f>
        <v>0</v>
      </c>
      <c r="BO56" s="115">
        <f>RÉSUMÉ!AF25</f>
        <v>0</v>
      </c>
      <c r="BP56" s="422"/>
      <c r="BQ56" s="422"/>
      <c r="BR56" s="422"/>
      <c r="BS56" s="422"/>
      <c r="BT56" s="422"/>
      <c r="BU56" s="114">
        <f>RÉSUMÉ!AG25</f>
        <v>0</v>
      </c>
      <c r="BV56" s="115">
        <f>RÉSUMÉ!AH25</f>
        <v>0</v>
      </c>
      <c r="BW56" s="422"/>
      <c r="BX56" s="422"/>
      <c r="BY56" s="422"/>
      <c r="BZ56" s="422"/>
      <c r="CA56" s="422"/>
      <c r="CB56" s="114">
        <f>RÉSUMÉ!AI25</f>
        <v>0</v>
      </c>
      <c r="CC56" s="115">
        <f>RÉSUMÉ!AJ25</f>
        <v>0</v>
      </c>
      <c r="CD56" s="422"/>
      <c r="CE56" s="422"/>
      <c r="CF56" s="422"/>
      <c r="CG56" s="422"/>
      <c r="CH56" s="422"/>
      <c r="CI56" s="114">
        <f>RÉSUMÉ!AK25</f>
        <v>0</v>
      </c>
      <c r="CJ56" s="115">
        <f>RÉSUMÉ!AL25</f>
        <v>0</v>
      </c>
      <c r="CK56" s="115"/>
      <c r="CL56" s="115"/>
      <c r="CM56" s="115"/>
      <c r="CN56" s="115"/>
      <c r="CO56" s="115"/>
      <c r="CP56" s="113">
        <f>RÉSUMÉ!AM25</f>
        <v>0</v>
      </c>
      <c r="CQ56" s="113" t="str">
        <f>IF(RÉSUMÉ!AN25=FALSE,"",RÉSUMÉ!AN25)</f>
        <v/>
      </c>
      <c r="CR56" s="113" t="str">
        <f>IF(RÉSUMÉ!AO25=FALSE,"",RÉSUMÉ!AO25)</f>
        <v/>
      </c>
      <c r="CS56" s="113" t="str">
        <f>IF(RÉSUMÉ!AP25=FALSE,"",RÉSUMÉ!AP25)</f>
        <v/>
      </c>
      <c r="CT56" s="113" t="str">
        <f>IF(RÉSUMÉ!AQ25=FALSE,"",RÉSUMÉ!AQ25)</f>
        <v/>
      </c>
      <c r="CU56" s="113" t="str">
        <f>IF(RÉSUMÉ!AR25=FALSE,"",RÉSUMÉ!AR25)</f>
        <v/>
      </c>
      <c r="DE56" s="122">
        <f>RÉSUMÉ!L25</f>
        <v>0</v>
      </c>
      <c r="DF56" s="121">
        <f>RÉSUMÉ!M25</f>
        <v>0</v>
      </c>
      <c r="DG56" s="114" t="e">
        <f>RÉSUMÉ!N25</f>
        <v>#NAME?</v>
      </c>
      <c r="DH56" s="113">
        <f>RÉSUMÉ!O25</f>
        <v>0</v>
      </c>
      <c r="DI56" s="113">
        <f>RÉSUMÉ!P25</f>
        <v>0</v>
      </c>
    </row>
    <row r="57" spans="2:113">
      <c r="B57" s="40" t="str">
        <f>RÉSUMÉ!A26</f>
        <v>2025-2026</v>
      </c>
      <c r="C57" s="114">
        <f>RÉSUMÉ!B26</f>
        <v>0</v>
      </c>
      <c r="D57" s="114">
        <f>RÉSUMÉ!C26</f>
        <v>0</v>
      </c>
      <c r="E57" s="202">
        <f>RÉSUMÉ!D26</f>
        <v>0</v>
      </c>
      <c r="F57" s="116">
        <f>RÉSUMÉ!E26</f>
        <v>0</v>
      </c>
      <c r="G57" s="114">
        <f>RÉSUMÉ!F26</f>
        <v>0</v>
      </c>
      <c r="H57" s="117">
        <f>RÉSUMÉ!G26</f>
        <v>0</v>
      </c>
      <c r="I57" s="114" t="e">
        <f>RÉSUMÉ!H26</f>
        <v>#NAME?</v>
      </c>
      <c r="J57" s="115">
        <f>RÉSUMÉ!I26</f>
        <v>0</v>
      </c>
      <c r="K57" s="120">
        <f>RÉSUMÉ!J26</f>
        <v>0</v>
      </c>
      <c r="L57" s="121">
        <f>RÉSUMÉ!K26</f>
        <v>0</v>
      </c>
      <c r="Q57" s="114">
        <f>RÉSUMÉ!Q26</f>
        <v>0</v>
      </c>
      <c r="R57" s="115">
        <f>RÉSUMÉ!R26</f>
        <v>0</v>
      </c>
      <c r="S57" s="422"/>
      <c r="T57" s="422"/>
      <c r="U57" s="422"/>
      <c r="V57" s="422"/>
      <c r="W57" s="422"/>
      <c r="X57" s="114">
        <f>RÉSUMÉ!S26</f>
        <v>0</v>
      </c>
      <c r="Y57" s="115">
        <f>RÉSUMÉ!T26</f>
        <v>0</v>
      </c>
      <c r="Z57" s="422"/>
      <c r="AA57" s="422"/>
      <c r="AB57" s="422"/>
      <c r="AC57" s="422"/>
      <c r="AD57" s="422"/>
      <c r="AE57" s="114">
        <f>RÉSUMÉ!U26</f>
        <v>0</v>
      </c>
      <c r="AF57" s="115">
        <f>RÉSUMÉ!V26</f>
        <v>0</v>
      </c>
      <c r="AG57" s="422"/>
      <c r="AH57" s="422"/>
      <c r="AI57" s="422"/>
      <c r="AJ57" s="422"/>
      <c r="AK57" s="422"/>
      <c r="AL57" s="114">
        <f>RÉSUMÉ!W26</f>
        <v>0</v>
      </c>
      <c r="AM57" s="115">
        <f>RÉSUMÉ!X26</f>
        <v>0</v>
      </c>
      <c r="AN57" s="422"/>
      <c r="AO57" s="422"/>
      <c r="AP57" s="422"/>
      <c r="AQ57" s="422"/>
      <c r="AR57" s="422"/>
      <c r="AS57" s="114">
        <f>RÉSUMÉ!Y26</f>
        <v>0</v>
      </c>
      <c r="AT57" s="115">
        <f>RÉSUMÉ!Z26</f>
        <v>0</v>
      </c>
      <c r="AU57" s="422"/>
      <c r="AV57" s="422"/>
      <c r="AW57" s="422"/>
      <c r="AX57" s="422"/>
      <c r="AY57" s="422"/>
      <c r="AZ57" s="114">
        <f>RÉSUMÉ!AA26</f>
        <v>0</v>
      </c>
      <c r="BA57" s="115">
        <f>RÉSUMÉ!AB26</f>
        <v>0</v>
      </c>
      <c r="BB57" s="422"/>
      <c r="BC57" s="422"/>
      <c r="BD57" s="422"/>
      <c r="BE57" s="422"/>
      <c r="BF57" s="422"/>
      <c r="BG57" s="114">
        <f>RÉSUMÉ!AC26</f>
        <v>0</v>
      </c>
      <c r="BH57" s="115">
        <f>RÉSUMÉ!AD26</f>
        <v>0</v>
      </c>
      <c r="BI57" s="422"/>
      <c r="BJ57" s="422"/>
      <c r="BK57" s="422"/>
      <c r="BL57" s="422"/>
      <c r="BM57" s="422"/>
      <c r="BN57" s="114">
        <f>RÉSUMÉ!AE26</f>
        <v>0</v>
      </c>
      <c r="BO57" s="115">
        <f>RÉSUMÉ!AF26</f>
        <v>0</v>
      </c>
      <c r="BP57" s="422"/>
      <c r="BQ57" s="422"/>
      <c r="BR57" s="422"/>
      <c r="BS57" s="422"/>
      <c r="BT57" s="422"/>
      <c r="BU57" s="114">
        <f>RÉSUMÉ!AG26</f>
        <v>0</v>
      </c>
      <c r="BV57" s="115">
        <f>RÉSUMÉ!AH26</f>
        <v>0</v>
      </c>
      <c r="BW57" s="422"/>
      <c r="BX57" s="422"/>
      <c r="BY57" s="422"/>
      <c r="BZ57" s="422"/>
      <c r="CA57" s="422"/>
      <c r="CB57" s="114">
        <f>RÉSUMÉ!AI26</f>
        <v>0</v>
      </c>
      <c r="CC57" s="115">
        <f>RÉSUMÉ!AJ26</f>
        <v>0</v>
      </c>
      <c r="CD57" s="422"/>
      <c r="CE57" s="422"/>
      <c r="CF57" s="422"/>
      <c r="CG57" s="422"/>
      <c r="CH57" s="422"/>
      <c r="CI57" s="114">
        <f>RÉSUMÉ!AK26</f>
        <v>0</v>
      </c>
      <c r="CJ57" s="115">
        <f>RÉSUMÉ!AL26</f>
        <v>0</v>
      </c>
      <c r="CK57" s="115"/>
      <c r="CL57" s="115"/>
      <c r="CM57" s="115"/>
      <c r="CN57" s="115"/>
      <c r="CO57" s="115"/>
      <c r="CP57" s="113">
        <f>RÉSUMÉ!AM26</f>
        <v>0</v>
      </c>
      <c r="CQ57" s="113" t="str">
        <f>IF(RÉSUMÉ!AN26=FALSE,"",RÉSUMÉ!AN26)</f>
        <v/>
      </c>
      <c r="CR57" s="113" t="str">
        <f>IF(RÉSUMÉ!AO26=FALSE,"",RÉSUMÉ!AO26)</f>
        <v/>
      </c>
      <c r="CS57" s="113" t="str">
        <f>IF(RÉSUMÉ!AP26=FALSE,"",RÉSUMÉ!AP26)</f>
        <v/>
      </c>
      <c r="CT57" s="113" t="str">
        <f>IF(RÉSUMÉ!AQ26=FALSE,"",RÉSUMÉ!AQ26)</f>
        <v/>
      </c>
      <c r="CU57" s="113" t="str">
        <f>IF(RÉSUMÉ!AR26=FALSE,"",RÉSUMÉ!AR26)</f>
        <v/>
      </c>
      <c r="DE57" s="122">
        <f>RÉSUMÉ!L26</f>
        <v>0</v>
      </c>
      <c r="DF57" s="121">
        <f>RÉSUMÉ!M26</f>
        <v>0</v>
      </c>
      <c r="DG57" s="114" t="e">
        <f>RÉSUMÉ!N26</f>
        <v>#NAME?</v>
      </c>
      <c r="DH57" s="113">
        <f>RÉSUMÉ!O26</f>
        <v>0</v>
      </c>
      <c r="DI57" s="113">
        <f>RÉSUMÉ!P26</f>
        <v>0</v>
      </c>
    </row>
    <row r="58" spans="2:113">
      <c r="B58" s="40" t="str">
        <f>RÉSUMÉ!A27</f>
        <v>2026-2027</v>
      </c>
      <c r="C58" s="114">
        <f>RÉSUMÉ!B27</f>
        <v>0</v>
      </c>
      <c r="D58" s="114">
        <f>RÉSUMÉ!C27</f>
        <v>0</v>
      </c>
      <c r="E58" s="202">
        <f>RÉSUMÉ!D27</f>
        <v>0</v>
      </c>
      <c r="F58" s="116">
        <f>RÉSUMÉ!E27</f>
        <v>0</v>
      </c>
      <c r="G58" s="114">
        <f>RÉSUMÉ!F27</f>
        <v>0</v>
      </c>
      <c r="H58" s="117">
        <f>RÉSUMÉ!G27</f>
        <v>0</v>
      </c>
      <c r="I58" s="114" t="e">
        <f>RÉSUMÉ!H27</f>
        <v>#NAME?</v>
      </c>
      <c r="J58" s="115">
        <f>RÉSUMÉ!I27</f>
        <v>0</v>
      </c>
      <c r="K58" s="120">
        <f>RÉSUMÉ!J27</f>
        <v>0</v>
      </c>
      <c r="L58" s="121">
        <f>RÉSUMÉ!K27</f>
        <v>0</v>
      </c>
      <c r="Q58" s="114">
        <f>RÉSUMÉ!Q27</f>
        <v>0</v>
      </c>
      <c r="R58" s="115">
        <f>RÉSUMÉ!R27</f>
        <v>0</v>
      </c>
      <c r="S58" s="422"/>
      <c r="T58" s="422"/>
      <c r="U58" s="422"/>
      <c r="V58" s="422"/>
      <c r="W58" s="422"/>
      <c r="X58" s="114">
        <f>RÉSUMÉ!S27</f>
        <v>0</v>
      </c>
      <c r="Y58" s="115">
        <f>RÉSUMÉ!T27</f>
        <v>0</v>
      </c>
      <c r="Z58" s="422"/>
      <c r="AA58" s="422"/>
      <c r="AB58" s="422"/>
      <c r="AC58" s="422"/>
      <c r="AD58" s="422"/>
      <c r="AE58" s="114">
        <f>RÉSUMÉ!U27</f>
        <v>0</v>
      </c>
      <c r="AF58" s="115">
        <f>RÉSUMÉ!V27</f>
        <v>0</v>
      </c>
      <c r="AG58" s="422"/>
      <c r="AH58" s="422"/>
      <c r="AI58" s="422"/>
      <c r="AJ58" s="422"/>
      <c r="AK58" s="422"/>
      <c r="AL58" s="114">
        <f>RÉSUMÉ!W27</f>
        <v>0</v>
      </c>
      <c r="AM58" s="115">
        <f>RÉSUMÉ!X27</f>
        <v>0</v>
      </c>
      <c r="AN58" s="422"/>
      <c r="AO58" s="422"/>
      <c r="AP58" s="422"/>
      <c r="AQ58" s="422"/>
      <c r="AR58" s="422"/>
      <c r="AS58" s="114">
        <f>RÉSUMÉ!Y27</f>
        <v>0</v>
      </c>
      <c r="AT58" s="115">
        <f>RÉSUMÉ!Z27</f>
        <v>0</v>
      </c>
      <c r="AU58" s="422"/>
      <c r="AV58" s="422"/>
      <c r="AW58" s="422"/>
      <c r="AX58" s="422"/>
      <c r="AY58" s="422"/>
      <c r="AZ58" s="114">
        <f>RÉSUMÉ!AA27</f>
        <v>0</v>
      </c>
      <c r="BA58" s="115">
        <f>RÉSUMÉ!AB27</f>
        <v>0</v>
      </c>
      <c r="BB58" s="422"/>
      <c r="BC58" s="422"/>
      <c r="BD58" s="422"/>
      <c r="BE58" s="422"/>
      <c r="BF58" s="422"/>
      <c r="BG58" s="114">
        <f>RÉSUMÉ!AC27</f>
        <v>0</v>
      </c>
      <c r="BH58" s="115">
        <f>RÉSUMÉ!AD27</f>
        <v>0</v>
      </c>
      <c r="BI58" s="422"/>
      <c r="BJ58" s="422"/>
      <c r="BK58" s="422"/>
      <c r="BL58" s="422"/>
      <c r="BM58" s="422"/>
      <c r="BN58" s="114">
        <f>RÉSUMÉ!AE27</f>
        <v>0</v>
      </c>
      <c r="BO58" s="115">
        <f>RÉSUMÉ!AF27</f>
        <v>0</v>
      </c>
      <c r="BP58" s="422"/>
      <c r="BQ58" s="422"/>
      <c r="BR58" s="422"/>
      <c r="BS58" s="422"/>
      <c r="BT58" s="422"/>
      <c r="BU58" s="114">
        <f>RÉSUMÉ!AG27</f>
        <v>0</v>
      </c>
      <c r="BV58" s="115">
        <f>RÉSUMÉ!AH27</f>
        <v>0</v>
      </c>
      <c r="BW58" s="422"/>
      <c r="BX58" s="422"/>
      <c r="BY58" s="422"/>
      <c r="BZ58" s="422"/>
      <c r="CA58" s="422"/>
      <c r="CB58" s="114">
        <f>RÉSUMÉ!AI27</f>
        <v>0</v>
      </c>
      <c r="CC58" s="115">
        <f>RÉSUMÉ!AJ27</f>
        <v>0</v>
      </c>
      <c r="CD58" s="422"/>
      <c r="CE58" s="422"/>
      <c r="CF58" s="422"/>
      <c r="CG58" s="422"/>
      <c r="CH58" s="422"/>
      <c r="CI58" s="114">
        <f>RÉSUMÉ!AK27</f>
        <v>0</v>
      </c>
      <c r="CJ58" s="115">
        <f>RÉSUMÉ!AL27</f>
        <v>0</v>
      </c>
      <c r="CK58" s="115"/>
      <c r="CL58" s="115"/>
      <c r="CM58" s="115"/>
      <c r="CN58" s="115"/>
      <c r="CO58" s="115"/>
      <c r="CP58" s="113">
        <f>RÉSUMÉ!AM27</f>
        <v>0</v>
      </c>
      <c r="CQ58" s="113" t="str">
        <f>IF(RÉSUMÉ!AN27=FALSE,"",RÉSUMÉ!AN27)</f>
        <v/>
      </c>
      <c r="CR58" s="113" t="str">
        <f>IF(RÉSUMÉ!AO27=FALSE,"",RÉSUMÉ!AO27)</f>
        <v/>
      </c>
      <c r="CS58" s="113" t="str">
        <f>IF(RÉSUMÉ!AP27=FALSE,"",RÉSUMÉ!AP27)</f>
        <v/>
      </c>
      <c r="CT58" s="113" t="str">
        <f>IF(RÉSUMÉ!AQ27=FALSE,"",RÉSUMÉ!AQ27)</f>
        <v/>
      </c>
      <c r="CU58" s="113" t="str">
        <f>IF(RÉSUMÉ!AR27=FALSE,"",RÉSUMÉ!AR27)</f>
        <v/>
      </c>
      <c r="DE58" s="122">
        <f>RÉSUMÉ!L27</f>
        <v>0</v>
      </c>
      <c r="DF58" s="121">
        <f>RÉSUMÉ!M27</f>
        <v>0</v>
      </c>
      <c r="DG58" s="114" t="e">
        <f>RÉSUMÉ!N27</f>
        <v>#NAME?</v>
      </c>
      <c r="DH58" s="113">
        <f>RÉSUMÉ!O27</f>
        <v>0</v>
      </c>
      <c r="DI58" s="113">
        <f>RÉSUMÉ!P27</f>
        <v>0</v>
      </c>
    </row>
    <row r="59" spans="2:113">
      <c r="B59" s="40" t="str">
        <f>RÉSUMÉ!A28</f>
        <v>2027-2028</v>
      </c>
      <c r="C59" s="114">
        <f>RÉSUMÉ!B28</f>
        <v>0</v>
      </c>
      <c r="D59" s="114">
        <f>RÉSUMÉ!C28</f>
        <v>0</v>
      </c>
      <c r="E59" s="202">
        <f>RÉSUMÉ!D28</f>
        <v>0</v>
      </c>
      <c r="F59" s="116">
        <f>RÉSUMÉ!E28</f>
        <v>0</v>
      </c>
      <c r="G59" s="114">
        <f>RÉSUMÉ!F28</f>
        <v>0</v>
      </c>
      <c r="H59" s="117">
        <f>RÉSUMÉ!G28</f>
        <v>0</v>
      </c>
      <c r="I59" s="114" t="e">
        <f>RÉSUMÉ!H28</f>
        <v>#NAME?</v>
      </c>
      <c r="J59" s="115">
        <f>RÉSUMÉ!I28</f>
        <v>0</v>
      </c>
      <c r="K59" s="120">
        <f>RÉSUMÉ!J28</f>
        <v>0</v>
      </c>
      <c r="L59" s="121">
        <f>RÉSUMÉ!K28</f>
        <v>0</v>
      </c>
      <c r="Q59" s="114">
        <f>RÉSUMÉ!Q28</f>
        <v>0</v>
      </c>
      <c r="R59" s="115">
        <f>RÉSUMÉ!R28</f>
        <v>0</v>
      </c>
      <c r="S59" s="422"/>
      <c r="T59" s="422"/>
      <c r="U59" s="422"/>
      <c r="V59" s="422"/>
      <c r="W59" s="422"/>
      <c r="X59" s="114">
        <f>RÉSUMÉ!S28</f>
        <v>0</v>
      </c>
      <c r="Y59" s="115">
        <f>RÉSUMÉ!T28</f>
        <v>0</v>
      </c>
      <c r="Z59" s="422"/>
      <c r="AA59" s="422"/>
      <c r="AB59" s="422"/>
      <c r="AC59" s="422"/>
      <c r="AD59" s="422"/>
      <c r="AE59" s="114">
        <f>RÉSUMÉ!U28</f>
        <v>0</v>
      </c>
      <c r="AF59" s="115">
        <f>RÉSUMÉ!V28</f>
        <v>0</v>
      </c>
      <c r="AG59" s="422"/>
      <c r="AH59" s="422"/>
      <c r="AI59" s="422"/>
      <c r="AJ59" s="422"/>
      <c r="AK59" s="422"/>
      <c r="AL59" s="114">
        <f>RÉSUMÉ!W28</f>
        <v>0</v>
      </c>
      <c r="AM59" s="115">
        <f>RÉSUMÉ!X28</f>
        <v>0</v>
      </c>
      <c r="AN59" s="422"/>
      <c r="AO59" s="422"/>
      <c r="AP59" s="422"/>
      <c r="AQ59" s="422"/>
      <c r="AR59" s="422"/>
      <c r="AS59" s="114">
        <f>RÉSUMÉ!Y28</f>
        <v>0</v>
      </c>
      <c r="AT59" s="115">
        <f>RÉSUMÉ!Z28</f>
        <v>0</v>
      </c>
      <c r="AU59" s="422"/>
      <c r="AV59" s="422"/>
      <c r="AW59" s="422"/>
      <c r="AX59" s="422"/>
      <c r="AY59" s="422"/>
      <c r="AZ59" s="114">
        <f>RÉSUMÉ!AA28</f>
        <v>0</v>
      </c>
      <c r="BA59" s="115">
        <f>RÉSUMÉ!AB28</f>
        <v>0</v>
      </c>
      <c r="BB59" s="422"/>
      <c r="BC59" s="422"/>
      <c r="BD59" s="422"/>
      <c r="BE59" s="422"/>
      <c r="BF59" s="422"/>
      <c r="BG59" s="114">
        <f>RÉSUMÉ!AC28</f>
        <v>0</v>
      </c>
      <c r="BH59" s="115">
        <f>RÉSUMÉ!AD28</f>
        <v>0</v>
      </c>
      <c r="BI59" s="422"/>
      <c r="BJ59" s="422"/>
      <c r="BK59" s="422"/>
      <c r="BL59" s="422"/>
      <c r="BM59" s="422"/>
      <c r="BN59" s="114">
        <f>RÉSUMÉ!AE28</f>
        <v>0</v>
      </c>
      <c r="BO59" s="115">
        <f>RÉSUMÉ!AF28</f>
        <v>0</v>
      </c>
      <c r="BP59" s="422"/>
      <c r="BQ59" s="422"/>
      <c r="BR59" s="422"/>
      <c r="BS59" s="422"/>
      <c r="BT59" s="422"/>
      <c r="BU59" s="114">
        <f>RÉSUMÉ!AG28</f>
        <v>0</v>
      </c>
      <c r="BV59" s="115">
        <f>RÉSUMÉ!AH28</f>
        <v>0</v>
      </c>
      <c r="BW59" s="422"/>
      <c r="BX59" s="422"/>
      <c r="BY59" s="422"/>
      <c r="BZ59" s="422"/>
      <c r="CA59" s="422"/>
      <c r="CB59" s="114">
        <f>RÉSUMÉ!AI28</f>
        <v>0</v>
      </c>
      <c r="CC59" s="115">
        <f>RÉSUMÉ!AJ28</f>
        <v>0</v>
      </c>
      <c r="CD59" s="422"/>
      <c r="CE59" s="422"/>
      <c r="CF59" s="422"/>
      <c r="CG59" s="422"/>
      <c r="CH59" s="422"/>
      <c r="CI59" s="114">
        <f>RÉSUMÉ!AK28</f>
        <v>0</v>
      </c>
      <c r="CJ59" s="115">
        <f>RÉSUMÉ!AL28</f>
        <v>0</v>
      </c>
      <c r="CK59" s="115"/>
      <c r="CL59" s="115"/>
      <c r="CM59" s="115"/>
      <c r="CN59" s="115"/>
      <c r="CO59" s="115"/>
      <c r="CP59" s="113">
        <f>RÉSUMÉ!AM28</f>
        <v>0</v>
      </c>
      <c r="CQ59" s="113" t="str">
        <f>IF(RÉSUMÉ!AN28=FALSE,"",RÉSUMÉ!AN28)</f>
        <v/>
      </c>
      <c r="CR59" s="113" t="str">
        <f>IF(RÉSUMÉ!AO28=FALSE,"",RÉSUMÉ!AO28)</f>
        <v/>
      </c>
      <c r="CS59" s="113" t="str">
        <f>IF(RÉSUMÉ!AP28=FALSE,"",RÉSUMÉ!AP28)</f>
        <v/>
      </c>
      <c r="CT59" s="113" t="str">
        <f>IF(RÉSUMÉ!AQ28=FALSE,"",RÉSUMÉ!AQ28)</f>
        <v/>
      </c>
      <c r="CU59" s="113" t="str">
        <f>IF(RÉSUMÉ!AR28=FALSE,"",RÉSUMÉ!AR28)</f>
        <v/>
      </c>
      <c r="DE59" s="122">
        <f>RÉSUMÉ!L28</f>
        <v>0</v>
      </c>
      <c r="DF59" s="121">
        <f>RÉSUMÉ!M28</f>
        <v>0</v>
      </c>
      <c r="DG59" s="114" t="e">
        <f>RÉSUMÉ!N28</f>
        <v>#NAME?</v>
      </c>
      <c r="DH59" s="113">
        <f>RÉSUMÉ!O28</f>
        <v>0</v>
      </c>
      <c r="DI59" s="113">
        <f>RÉSUMÉ!P28</f>
        <v>0</v>
      </c>
    </row>
    <row r="60" spans="2:113">
      <c r="B60" s="40" t="str">
        <f>RÉSUMÉ!A29</f>
        <v>2028-2029</v>
      </c>
      <c r="C60" s="114">
        <f>RÉSUMÉ!B29</f>
        <v>0</v>
      </c>
      <c r="D60" s="114">
        <f>RÉSUMÉ!C29</f>
        <v>0</v>
      </c>
      <c r="E60" s="202">
        <f>RÉSUMÉ!D29</f>
        <v>0</v>
      </c>
      <c r="F60" s="116">
        <f>RÉSUMÉ!E29</f>
        <v>0</v>
      </c>
      <c r="G60" s="114">
        <f>RÉSUMÉ!F29</f>
        <v>0</v>
      </c>
      <c r="H60" s="117">
        <f>RÉSUMÉ!G29</f>
        <v>0</v>
      </c>
      <c r="I60" s="114" t="e">
        <f>RÉSUMÉ!H29</f>
        <v>#NAME?</v>
      </c>
      <c r="J60" s="115">
        <f>RÉSUMÉ!I29</f>
        <v>0</v>
      </c>
      <c r="K60" s="120">
        <f>RÉSUMÉ!J29</f>
        <v>0</v>
      </c>
      <c r="L60" s="121">
        <f>RÉSUMÉ!K29</f>
        <v>0</v>
      </c>
      <c r="Q60" s="114">
        <f>RÉSUMÉ!Q29</f>
        <v>0</v>
      </c>
      <c r="R60" s="115">
        <f>RÉSUMÉ!R29</f>
        <v>0</v>
      </c>
      <c r="S60" s="422"/>
      <c r="T60" s="422"/>
      <c r="U60" s="422"/>
      <c r="V60" s="422"/>
      <c r="W60" s="422"/>
      <c r="X60" s="114">
        <f>RÉSUMÉ!S29</f>
        <v>0</v>
      </c>
      <c r="Y60" s="115">
        <f>RÉSUMÉ!T29</f>
        <v>0</v>
      </c>
      <c r="Z60" s="422"/>
      <c r="AA60" s="422"/>
      <c r="AB60" s="422"/>
      <c r="AC60" s="422"/>
      <c r="AD60" s="422"/>
      <c r="AE60" s="114">
        <f>RÉSUMÉ!U29</f>
        <v>0</v>
      </c>
      <c r="AF60" s="115">
        <f>RÉSUMÉ!V29</f>
        <v>0</v>
      </c>
      <c r="AG60" s="422"/>
      <c r="AH60" s="422"/>
      <c r="AI60" s="422"/>
      <c r="AJ60" s="422"/>
      <c r="AK60" s="422"/>
      <c r="AL60" s="114">
        <f>RÉSUMÉ!W29</f>
        <v>0</v>
      </c>
      <c r="AM60" s="115">
        <f>RÉSUMÉ!X29</f>
        <v>0</v>
      </c>
      <c r="AN60" s="422"/>
      <c r="AO60" s="422"/>
      <c r="AP60" s="422"/>
      <c r="AQ60" s="422"/>
      <c r="AR60" s="422"/>
      <c r="AS60" s="114">
        <f>RÉSUMÉ!Y29</f>
        <v>0</v>
      </c>
      <c r="AT60" s="115">
        <f>RÉSUMÉ!Z29</f>
        <v>0</v>
      </c>
      <c r="AU60" s="422"/>
      <c r="AV60" s="422"/>
      <c r="AW60" s="422"/>
      <c r="AX60" s="422"/>
      <c r="AY60" s="422"/>
      <c r="AZ60" s="114">
        <f>RÉSUMÉ!AA29</f>
        <v>0</v>
      </c>
      <c r="BA60" s="115">
        <f>RÉSUMÉ!AB29</f>
        <v>0</v>
      </c>
      <c r="BB60" s="422"/>
      <c r="BC60" s="422"/>
      <c r="BD60" s="422"/>
      <c r="BE60" s="422"/>
      <c r="BF60" s="422"/>
      <c r="BG60" s="114">
        <f>RÉSUMÉ!AC29</f>
        <v>0</v>
      </c>
      <c r="BH60" s="115">
        <f>RÉSUMÉ!AD29</f>
        <v>0</v>
      </c>
      <c r="BI60" s="422"/>
      <c r="BJ60" s="422"/>
      <c r="BK60" s="422"/>
      <c r="BL60" s="422"/>
      <c r="BM60" s="422"/>
      <c r="BN60" s="114">
        <f>RÉSUMÉ!AE29</f>
        <v>0</v>
      </c>
      <c r="BO60" s="115">
        <f>RÉSUMÉ!AF29</f>
        <v>0</v>
      </c>
      <c r="BP60" s="422"/>
      <c r="BQ60" s="422"/>
      <c r="BR60" s="422"/>
      <c r="BS60" s="422"/>
      <c r="BT60" s="422"/>
      <c r="BU60" s="114">
        <f>RÉSUMÉ!AG29</f>
        <v>0</v>
      </c>
      <c r="BV60" s="115">
        <f>RÉSUMÉ!AH29</f>
        <v>0</v>
      </c>
      <c r="BW60" s="422"/>
      <c r="BX60" s="422"/>
      <c r="BY60" s="422"/>
      <c r="BZ60" s="422"/>
      <c r="CA60" s="422"/>
      <c r="CB60" s="114">
        <f>RÉSUMÉ!AI29</f>
        <v>0</v>
      </c>
      <c r="CC60" s="115">
        <f>RÉSUMÉ!AJ29</f>
        <v>0</v>
      </c>
      <c r="CD60" s="422"/>
      <c r="CE60" s="422"/>
      <c r="CF60" s="422"/>
      <c r="CG60" s="422"/>
      <c r="CH60" s="422"/>
      <c r="CI60" s="114">
        <f>RÉSUMÉ!AK29</f>
        <v>0</v>
      </c>
      <c r="CJ60" s="115">
        <f>RÉSUMÉ!AL29</f>
        <v>0</v>
      </c>
      <c r="CK60" s="115"/>
      <c r="CL60" s="115"/>
      <c r="CM60" s="115"/>
      <c r="CN60" s="115"/>
      <c r="CO60" s="115"/>
      <c r="CP60" s="113">
        <f>RÉSUMÉ!AM29</f>
        <v>0</v>
      </c>
      <c r="CQ60" s="113" t="str">
        <f>IF(RÉSUMÉ!AN29=FALSE,"",RÉSUMÉ!AN29)</f>
        <v/>
      </c>
      <c r="CR60" s="113" t="str">
        <f>IF(RÉSUMÉ!AO29=FALSE,"",RÉSUMÉ!AO29)</f>
        <v/>
      </c>
      <c r="CS60" s="113" t="str">
        <f>IF(RÉSUMÉ!AP29=FALSE,"",RÉSUMÉ!AP29)</f>
        <v/>
      </c>
      <c r="CT60" s="113" t="str">
        <f>IF(RÉSUMÉ!AQ29=FALSE,"",RÉSUMÉ!AQ29)</f>
        <v/>
      </c>
      <c r="CU60" s="113" t="str">
        <f>IF(RÉSUMÉ!AR29=FALSE,"",RÉSUMÉ!AR29)</f>
        <v/>
      </c>
      <c r="DE60" s="122">
        <f>RÉSUMÉ!L29</f>
        <v>0</v>
      </c>
      <c r="DF60" s="121">
        <f>RÉSUMÉ!M29</f>
        <v>0</v>
      </c>
      <c r="DG60" s="114" t="e">
        <f>RÉSUMÉ!N29</f>
        <v>#NAME?</v>
      </c>
      <c r="DH60" s="113">
        <f>RÉSUMÉ!O29</f>
        <v>0</v>
      </c>
      <c r="DI60" s="113">
        <f>RÉSUMÉ!P29</f>
        <v>0</v>
      </c>
    </row>
    <row r="61" spans="2:113">
      <c r="B61" s="40" t="str">
        <f>RÉSUMÉ!A30</f>
        <v>2029-2030</v>
      </c>
      <c r="C61" s="114">
        <f>RÉSUMÉ!B30</f>
        <v>0</v>
      </c>
      <c r="D61" s="114">
        <f>RÉSUMÉ!C30</f>
        <v>0</v>
      </c>
      <c r="E61" s="202">
        <f>RÉSUMÉ!D30</f>
        <v>0</v>
      </c>
      <c r="F61" s="116">
        <f>RÉSUMÉ!E30</f>
        <v>0</v>
      </c>
      <c r="G61" s="114">
        <f>RÉSUMÉ!F30</f>
        <v>0</v>
      </c>
      <c r="H61" s="117">
        <f>RÉSUMÉ!G30</f>
        <v>0</v>
      </c>
      <c r="I61" s="114" t="e">
        <f>RÉSUMÉ!H30</f>
        <v>#NAME?</v>
      </c>
      <c r="J61" s="115">
        <f>RÉSUMÉ!I30</f>
        <v>0</v>
      </c>
      <c r="K61" s="120">
        <f>RÉSUMÉ!J30</f>
        <v>0</v>
      </c>
      <c r="L61" s="121">
        <f>RÉSUMÉ!K30</f>
        <v>0</v>
      </c>
      <c r="Q61" s="114">
        <f>RÉSUMÉ!Q30</f>
        <v>0</v>
      </c>
      <c r="R61" s="115">
        <f>RÉSUMÉ!R30</f>
        <v>0</v>
      </c>
      <c r="S61" s="422"/>
      <c r="T61" s="422"/>
      <c r="U61" s="422"/>
      <c r="V61" s="422"/>
      <c r="W61" s="422"/>
      <c r="X61" s="114">
        <f>RÉSUMÉ!S30</f>
        <v>0</v>
      </c>
      <c r="Y61" s="115">
        <f>RÉSUMÉ!T30</f>
        <v>0</v>
      </c>
      <c r="Z61" s="422"/>
      <c r="AA61" s="422"/>
      <c r="AB61" s="422"/>
      <c r="AC61" s="422"/>
      <c r="AD61" s="422"/>
      <c r="AE61" s="114">
        <f>RÉSUMÉ!U30</f>
        <v>0</v>
      </c>
      <c r="AF61" s="115">
        <f>RÉSUMÉ!V30</f>
        <v>0</v>
      </c>
      <c r="AG61" s="422"/>
      <c r="AH61" s="422"/>
      <c r="AI61" s="422"/>
      <c r="AJ61" s="422"/>
      <c r="AK61" s="422"/>
      <c r="AL61" s="114">
        <f>RÉSUMÉ!W30</f>
        <v>0</v>
      </c>
      <c r="AM61" s="115">
        <f>RÉSUMÉ!X30</f>
        <v>0</v>
      </c>
      <c r="AN61" s="422"/>
      <c r="AO61" s="422"/>
      <c r="AP61" s="422"/>
      <c r="AQ61" s="422"/>
      <c r="AR61" s="422"/>
      <c r="AS61" s="114">
        <f>RÉSUMÉ!Y30</f>
        <v>0</v>
      </c>
      <c r="AT61" s="115">
        <f>RÉSUMÉ!Z30</f>
        <v>0</v>
      </c>
      <c r="AU61" s="422"/>
      <c r="AV61" s="422"/>
      <c r="AW61" s="422"/>
      <c r="AX61" s="422"/>
      <c r="AY61" s="422"/>
      <c r="AZ61" s="114">
        <f>RÉSUMÉ!AA30</f>
        <v>0</v>
      </c>
      <c r="BA61" s="115">
        <f>RÉSUMÉ!AB30</f>
        <v>0</v>
      </c>
      <c r="BB61" s="422"/>
      <c r="BC61" s="422"/>
      <c r="BD61" s="422"/>
      <c r="BE61" s="422"/>
      <c r="BF61" s="422"/>
      <c r="BG61" s="114">
        <f>RÉSUMÉ!AC30</f>
        <v>0</v>
      </c>
      <c r="BH61" s="115">
        <f>RÉSUMÉ!AD30</f>
        <v>0</v>
      </c>
      <c r="BI61" s="422"/>
      <c r="BJ61" s="422"/>
      <c r="BK61" s="422"/>
      <c r="BL61" s="422"/>
      <c r="BM61" s="422"/>
      <c r="BN61" s="114">
        <f>RÉSUMÉ!AE30</f>
        <v>0</v>
      </c>
      <c r="BO61" s="115">
        <f>RÉSUMÉ!AF30</f>
        <v>0</v>
      </c>
      <c r="BP61" s="422"/>
      <c r="BQ61" s="422"/>
      <c r="BR61" s="422"/>
      <c r="BS61" s="422"/>
      <c r="BT61" s="422"/>
      <c r="BU61" s="114">
        <f>RÉSUMÉ!AG30</f>
        <v>0</v>
      </c>
      <c r="BV61" s="115">
        <f>RÉSUMÉ!AH30</f>
        <v>0</v>
      </c>
      <c r="BW61" s="422"/>
      <c r="BX61" s="422"/>
      <c r="BY61" s="422"/>
      <c r="BZ61" s="422"/>
      <c r="CA61" s="422"/>
      <c r="CB61" s="114">
        <f>RÉSUMÉ!AI30</f>
        <v>0</v>
      </c>
      <c r="CC61" s="115">
        <f>RÉSUMÉ!AJ30</f>
        <v>0</v>
      </c>
      <c r="CD61" s="422"/>
      <c r="CE61" s="422"/>
      <c r="CF61" s="422"/>
      <c r="CG61" s="422"/>
      <c r="CH61" s="422"/>
      <c r="CI61" s="114">
        <f>RÉSUMÉ!AK30</f>
        <v>0</v>
      </c>
      <c r="CJ61" s="115">
        <f>RÉSUMÉ!AL30</f>
        <v>0</v>
      </c>
      <c r="CK61" s="115"/>
      <c r="CL61" s="115"/>
      <c r="CM61" s="115"/>
      <c r="CN61" s="115"/>
      <c r="CO61" s="115"/>
      <c r="CP61" s="113">
        <f>RÉSUMÉ!AM30</f>
        <v>0</v>
      </c>
      <c r="CQ61" s="113" t="str">
        <f>IF(RÉSUMÉ!AN30=FALSE,"",RÉSUMÉ!AN30)</f>
        <v/>
      </c>
      <c r="CR61" s="113" t="str">
        <f>IF(RÉSUMÉ!AO30=FALSE,"",RÉSUMÉ!AO30)</f>
        <v/>
      </c>
      <c r="CS61" s="113" t="str">
        <f>IF(RÉSUMÉ!AP30=FALSE,"",RÉSUMÉ!AP30)</f>
        <v/>
      </c>
      <c r="CT61" s="113" t="str">
        <f>IF(RÉSUMÉ!AQ30=FALSE,"",RÉSUMÉ!AQ30)</f>
        <v/>
      </c>
      <c r="CU61" s="113" t="str">
        <f>IF(RÉSUMÉ!AR30=FALSE,"",RÉSUMÉ!AR30)</f>
        <v/>
      </c>
      <c r="DE61" s="122">
        <f>RÉSUMÉ!L30</f>
        <v>0</v>
      </c>
      <c r="DF61" s="121">
        <f>RÉSUMÉ!M30</f>
        <v>0</v>
      </c>
      <c r="DG61" s="114" t="e">
        <f>RÉSUMÉ!N30</f>
        <v>#NAME?</v>
      </c>
      <c r="DH61" s="113">
        <f>RÉSUMÉ!O30</f>
        <v>0</v>
      </c>
      <c r="DI61" s="113">
        <f>RÉSUMÉ!P30</f>
        <v>0</v>
      </c>
    </row>
    <row r="72" spans="1:225">
      <c r="O72" t="s">
        <v>725</v>
      </c>
      <c r="DN72" t="s">
        <v>920</v>
      </c>
    </row>
    <row r="73" spans="1:225" s="480" customFormat="1">
      <c r="A73" s="449" t="s">
        <v>890</v>
      </c>
      <c r="B73" s="450" t="s">
        <v>437</v>
      </c>
      <c r="C73" s="450" t="s">
        <v>382</v>
      </c>
      <c r="D73" s="450" t="s">
        <v>891</v>
      </c>
      <c r="E73" s="450" t="s">
        <v>892</v>
      </c>
      <c r="F73" s="450" t="s">
        <v>893</v>
      </c>
      <c r="G73" s="450" t="s">
        <v>811</v>
      </c>
      <c r="H73" s="455" t="s">
        <v>812</v>
      </c>
      <c r="I73" s="451" t="s">
        <v>808</v>
      </c>
      <c r="J73" s="452" t="s">
        <v>894</v>
      </c>
      <c r="K73" s="453" t="s">
        <v>895</v>
      </c>
      <c r="L73" s="452" t="s">
        <v>896</v>
      </c>
      <c r="M73" s="452" t="s">
        <v>388</v>
      </c>
      <c r="N73" s="454" t="s">
        <v>898</v>
      </c>
      <c r="O73" s="454" t="s">
        <v>899</v>
      </c>
      <c r="P73" s="447" t="s">
        <v>813</v>
      </c>
      <c r="Q73" s="448" t="s">
        <v>814</v>
      </c>
      <c r="R73" s="465" t="s">
        <v>815</v>
      </c>
      <c r="S73" s="466" t="s">
        <v>816</v>
      </c>
      <c r="T73" s="466" t="s">
        <v>817</v>
      </c>
      <c r="U73" s="466" t="s">
        <v>818</v>
      </c>
      <c r="V73" s="467" t="s">
        <v>819</v>
      </c>
      <c r="W73" s="447" t="s">
        <v>820</v>
      </c>
      <c r="X73" s="448" t="s">
        <v>821</v>
      </c>
      <c r="Y73" s="465" t="s">
        <v>822</v>
      </c>
      <c r="Z73" s="466" t="s">
        <v>823</v>
      </c>
      <c r="AA73" s="466" t="s">
        <v>824</v>
      </c>
      <c r="AB73" s="466" t="s">
        <v>825</v>
      </c>
      <c r="AC73" s="467" t="s">
        <v>826</v>
      </c>
      <c r="AD73" s="447" t="s">
        <v>827</v>
      </c>
      <c r="AE73" s="448" t="s">
        <v>828</v>
      </c>
      <c r="AF73" s="465" t="s">
        <v>829</v>
      </c>
      <c r="AG73" s="466" t="s">
        <v>830</v>
      </c>
      <c r="AH73" s="466" t="s">
        <v>831</v>
      </c>
      <c r="AI73" s="466" t="s">
        <v>832</v>
      </c>
      <c r="AJ73" s="467" t="s">
        <v>833</v>
      </c>
      <c r="AK73" s="447" t="s">
        <v>834</v>
      </c>
      <c r="AL73" s="448" t="s">
        <v>835</v>
      </c>
      <c r="AM73" s="465" t="s">
        <v>836</v>
      </c>
      <c r="AN73" s="466" t="s">
        <v>837</v>
      </c>
      <c r="AO73" s="466" t="s">
        <v>838</v>
      </c>
      <c r="AP73" s="466" t="s">
        <v>839</v>
      </c>
      <c r="AQ73" s="467" t="s">
        <v>840</v>
      </c>
      <c r="AR73" s="447" t="s">
        <v>841</v>
      </c>
      <c r="AS73" s="448" t="s">
        <v>842</v>
      </c>
      <c r="AT73" s="465" t="s">
        <v>843</v>
      </c>
      <c r="AU73" s="466" t="s">
        <v>844</v>
      </c>
      <c r="AV73" s="466" t="s">
        <v>845</v>
      </c>
      <c r="AW73" s="466" t="s">
        <v>846</v>
      </c>
      <c r="AX73" s="467" t="s">
        <v>847</v>
      </c>
      <c r="AY73" s="447" t="s">
        <v>848</v>
      </c>
      <c r="AZ73" s="448" t="s">
        <v>849</v>
      </c>
      <c r="BA73" s="465" t="s">
        <v>850</v>
      </c>
      <c r="BB73" s="466" t="s">
        <v>851</v>
      </c>
      <c r="BC73" s="466" t="s">
        <v>852</v>
      </c>
      <c r="BD73" s="466" t="s">
        <v>853</v>
      </c>
      <c r="BE73" s="467" t="s">
        <v>854</v>
      </c>
      <c r="BF73" s="447" t="s">
        <v>855</v>
      </c>
      <c r="BG73" s="448" t="s">
        <v>856</v>
      </c>
      <c r="BH73" s="465" t="s">
        <v>857</v>
      </c>
      <c r="BI73" s="466" t="s">
        <v>858</v>
      </c>
      <c r="BJ73" s="466" t="s">
        <v>859</v>
      </c>
      <c r="BK73" s="466" t="s">
        <v>860</v>
      </c>
      <c r="BL73" s="467" t="s">
        <v>861</v>
      </c>
      <c r="BM73" s="447" t="s">
        <v>862</v>
      </c>
      <c r="BN73" s="448" t="s">
        <v>863</v>
      </c>
      <c r="BO73" s="465" t="s">
        <v>864</v>
      </c>
      <c r="BP73" s="466" t="s">
        <v>865</v>
      </c>
      <c r="BQ73" s="466" t="s">
        <v>866</v>
      </c>
      <c r="BR73" s="466" t="s">
        <v>867</v>
      </c>
      <c r="BS73" s="467" t="s">
        <v>868</v>
      </c>
      <c r="BT73" s="447" t="s">
        <v>869</v>
      </c>
      <c r="BU73" s="448" t="s">
        <v>870</v>
      </c>
      <c r="BV73" s="465" t="s">
        <v>871</v>
      </c>
      <c r="BW73" s="466" t="s">
        <v>872</v>
      </c>
      <c r="BX73" s="466" t="s">
        <v>873</v>
      </c>
      <c r="BY73" s="466" t="s">
        <v>874</v>
      </c>
      <c r="BZ73" s="467" t="s">
        <v>875</v>
      </c>
      <c r="CA73" s="447" t="s">
        <v>876</v>
      </c>
      <c r="CB73" s="448" t="s">
        <v>877</v>
      </c>
      <c r="CC73" s="465" t="s">
        <v>878</v>
      </c>
      <c r="CD73" s="466" t="s">
        <v>879</v>
      </c>
      <c r="CE73" s="466" t="s">
        <v>880</v>
      </c>
      <c r="CF73" s="466" t="s">
        <v>881</v>
      </c>
      <c r="CG73" s="467" t="s">
        <v>882</v>
      </c>
      <c r="CH73" s="447" t="s">
        <v>883</v>
      </c>
      <c r="CI73" s="448" t="s">
        <v>884</v>
      </c>
      <c r="CJ73" s="465" t="s">
        <v>885</v>
      </c>
      <c r="CK73" s="466" t="s">
        <v>886</v>
      </c>
      <c r="CL73" s="466" t="s">
        <v>887</v>
      </c>
      <c r="CM73" s="466" t="s">
        <v>888</v>
      </c>
      <c r="CN73" s="467" t="s">
        <v>889</v>
      </c>
      <c r="CO73" s="468" t="s">
        <v>900</v>
      </c>
      <c r="CP73" s="469" t="s">
        <v>901</v>
      </c>
      <c r="CQ73" s="469" t="s">
        <v>902</v>
      </c>
      <c r="CR73" s="470" t="s">
        <v>903</v>
      </c>
      <c r="CS73" s="471" t="s">
        <v>904</v>
      </c>
      <c r="CT73" s="471" t="s">
        <v>905</v>
      </c>
      <c r="CU73" s="471" t="s">
        <v>906</v>
      </c>
      <c r="CV73" s="472" t="s">
        <v>907</v>
      </c>
      <c r="CW73" s="466" t="s">
        <v>908</v>
      </c>
      <c r="CX73" s="466" t="s">
        <v>909</v>
      </c>
      <c r="CY73" s="469" t="s">
        <v>910</v>
      </c>
      <c r="CZ73" s="469" t="s">
        <v>911</v>
      </c>
      <c r="DA73" s="469" t="s">
        <v>912</v>
      </c>
      <c r="DB73" s="473" t="s">
        <v>913</v>
      </c>
      <c r="DC73" s="473" t="s">
        <v>914</v>
      </c>
      <c r="DD73" s="474" t="s">
        <v>915</v>
      </c>
      <c r="DE73" s="475" t="s">
        <v>916</v>
      </c>
      <c r="DF73" s="475" t="s">
        <v>917</v>
      </c>
      <c r="DG73" s="476" t="s">
        <v>918</v>
      </c>
      <c r="DH73" s="477" t="s">
        <v>919</v>
      </c>
      <c r="DI73" s="478"/>
      <c r="DJ73" s="478"/>
      <c r="DK73" s="478"/>
      <c r="DL73" s="479"/>
      <c r="DN73" s="482" t="s">
        <v>808</v>
      </c>
      <c r="DO73" s="452" t="s">
        <v>894</v>
      </c>
      <c r="DP73" s="453" t="s">
        <v>347</v>
      </c>
      <c r="DQ73" s="481" t="s">
        <v>896</v>
      </c>
      <c r="DR73" s="452" t="s">
        <v>388</v>
      </c>
      <c r="DS73" s="454" t="s">
        <v>399</v>
      </c>
      <c r="DT73" s="454" t="s">
        <v>400</v>
      </c>
      <c r="DU73" s="447" t="s">
        <v>813</v>
      </c>
      <c r="DV73" s="448" t="s">
        <v>814</v>
      </c>
      <c r="DW73" s="465" t="s">
        <v>815</v>
      </c>
      <c r="DX73" s="466" t="s">
        <v>816</v>
      </c>
      <c r="DY73" s="466" t="s">
        <v>817</v>
      </c>
      <c r="DZ73" s="466" t="s">
        <v>818</v>
      </c>
      <c r="EA73" s="467" t="s">
        <v>819</v>
      </c>
      <c r="EB73" s="447" t="s">
        <v>820</v>
      </c>
      <c r="EC73" s="448" t="s">
        <v>821</v>
      </c>
      <c r="ED73" s="465" t="s">
        <v>822</v>
      </c>
      <c r="EE73" s="466" t="s">
        <v>823</v>
      </c>
      <c r="EF73" s="466" t="s">
        <v>824</v>
      </c>
      <c r="EG73" s="466" t="s">
        <v>825</v>
      </c>
      <c r="EH73" s="467" t="s">
        <v>826</v>
      </c>
      <c r="EI73" s="447" t="s">
        <v>827</v>
      </c>
      <c r="EJ73" s="448" t="s">
        <v>828</v>
      </c>
      <c r="EK73" s="465" t="s">
        <v>829</v>
      </c>
      <c r="EL73" s="466" t="s">
        <v>830</v>
      </c>
      <c r="EM73" s="466" t="s">
        <v>831</v>
      </c>
      <c r="EN73" s="466" t="s">
        <v>832</v>
      </c>
      <c r="EO73" s="467" t="s">
        <v>833</v>
      </c>
      <c r="EP73" s="447" t="s">
        <v>834</v>
      </c>
      <c r="EQ73" s="448" t="s">
        <v>835</v>
      </c>
      <c r="ER73" s="465" t="s">
        <v>836</v>
      </c>
      <c r="ES73" s="466" t="s">
        <v>837</v>
      </c>
      <c r="ET73" s="466" t="s">
        <v>838</v>
      </c>
      <c r="EU73" s="466" t="s">
        <v>839</v>
      </c>
      <c r="EV73" s="467" t="s">
        <v>840</v>
      </c>
      <c r="EW73" s="447" t="s">
        <v>841</v>
      </c>
      <c r="EX73" s="448" t="s">
        <v>842</v>
      </c>
      <c r="EY73" s="465" t="s">
        <v>843</v>
      </c>
      <c r="EZ73" s="466" t="s">
        <v>844</v>
      </c>
      <c r="FA73" s="466" t="s">
        <v>845</v>
      </c>
      <c r="FB73" s="466" t="s">
        <v>846</v>
      </c>
      <c r="FC73" s="467" t="s">
        <v>847</v>
      </c>
      <c r="FD73" s="447" t="s">
        <v>848</v>
      </c>
      <c r="FE73" s="448" t="s">
        <v>849</v>
      </c>
      <c r="FF73" s="465" t="s">
        <v>850</v>
      </c>
      <c r="FG73" s="466" t="s">
        <v>851</v>
      </c>
      <c r="FH73" s="466" t="s">
        <v>852</v>
      </c>
      <c r="FI73" s="466" t="s">
        <v>853</v>
      </c>
      <c r="FJ73" s="467" t="s">
        <v>854</v>
      </c>
      <c r="FK73" s="447" t="s">
        <v>855</v>
      </c>
      <c r="FL73" s="448" t="s">
        <v>856</v>
      </c>
      <c r="FM73" s="465" t="s">
        <v>857</v>
      </c>
      <c r="FN73" s="466" t="s">
        <v>858</v>
      </c>
      <c r="FO73" s="466" t="s">
        <v>859</v>
      </c>
      <c r="FP73" s="466" t="s">
        <v>860</v>
      </c>
      <c r="FQ73" s="467" t="s">
        <v>861</v>
      </c>
      <c r="FR73" s="447" t="s">
        <v>862</v>
      </c>
      <c r="FS73" s="448" t="s">
        <v>863</v>
      </c>
      <c r="FT73" s="465" t="s">
        <v>864</v>
      </c>
      <c r="FU73" s="466" t="s">
        <v>865</v>
      </c>
      <c r="FV73" s="466" t="s">
        <v>866</v>
      </c>
      <c r="FW73" s="466" t="s">
        <v>867</v>
      </c>
      <c r="FX73" s="467" t="s">
        <v>868</v>
      </c>
      <c r="FY73" s="447" t="s">
        <v>869</v>
      </c>
      <c r="FZ73" s="448" t="s">
        <v>870</v>
      </c>
      <c r="GA73" s="465" t="s">
        <v>871</v>
      </c>
      <c r="GB73" s="466" t="s">
        <v>872</v>
      </c>
      <c r="GC73" s="466" t="s">
        <v>873</v>
      </c>
      <c r="GD73" s="466" t="s">
        <v>874</v>
      </c>
      <c r="GE73" s="467" t="s">
        <v>875</v>
      </c>
      <c r="GF73" s="447" t="s">
        <v>876</v>
      </c>
      <c r="GG73" s="448" t="s">
        <v>877</v>
      </c>
      <c r="GH73" s="465" t="s">
        <v>878</v>
      </c>
      <c r="GI73" s="466" t="s">
        <v>879</v>
      </c>
      <c r="GJ73" s="466" t="s">
        <v>880</v>
      </c>
      <c r="GK73" s="466" t="s">
        <v>881</v>
      </c>
      <c r="GL73" s="467" t="s">
        <v>882</v>
      </c>
      <c r="GM73" s="447" t="s">
        <v>883</v>
      </c>
      <c r="GN73" s="448" t="s">
        <v>884</v>
      </c>
      <c r="GO73" s="465" t="s">
        <v>885</v>
      </c>
      <c r="GP73" s="466" t="s">
        <v>886</v>
      </c>
      <c r="GQ73" s="466" t="s">
        <v>887</v>
      </c>
      <c r="GR73" s="466" t="s">
        <v>888</v>
      </c>
      <c r="GS73" s="467" t="s">
        <v>889</v>
      </c>
      <c r="GT73" s="468" t="s">
        <v>900</v>
      </c>
      <c r="GU73" s="469" t="s">
        <v>901</v>
      </c>
      <c r="GV73" s="469" t="s">
        <v>902</v>
      </c>
      <c r="GW73" s="470" t="s">
        <v>903</v>
      </c>
      <c r="GX73" s="471" t="s">
        <v>904</v>
      </c>
      <c r="GY73" s="471" t="s">
        <v>905</v>
      </c>
      <c r="GZ73" s="471" t="s">
        <v>906</v>
      </c>
      <c r="HA73" s="472" t="s">
        <v>907</v>
      </c>
      <c r="HB73" s="466" t="s">
        <v>908</v>
      </c>
      <c r="HC73" s="466" t="s">
        <v>909</v>
      </c>
      <c r="HD73" s="469" t="s">
        <v>910</v>
      </c>
      <c r="HE73" s="469" t="s">
        <v>911</v>
      </c>
      <c r="HF73" s="469" t="s">
        <v>912</v>
      </c>
      <c r="HG73" s="473" t="s">
        <v>913</v>
      </c>
      <c r="HH73" s="473" t="s">
        <v>914</v>
      </c>
      <c r="HI73" s="474" t="s">
        <v>915</v>
      </c>
      <c r="HJ73" s="475" t="s">
        <v>921</v>
      </c>
      <c r="HK73" s="475" t="s">
        <v>917</v>
      </c>
      <c r="HL73" s="476" t="s">
        <v>918</v>
      </c>
      <c r="HM73" s="477" t="s">
        <v>919</v>
      </c>
      <c r="HN73" s="478"/>
      <c r="HO73" s="478"/>
      <c r="HP73" s="478"/>
      <c r="HQ73" s="479"/>
    </row>
    <row r="74" spans="1:225">
      <c r="A74" t="s">
        <v>627</v>
      </c>
      <c r="CR74" t="s">
        <v>725</v>
      </c>
    </row>
    <row r="75" spans="1:225">
      <c r="A75" s="441"/>
      <c r="B75" s="441"/>
      <c r="C75" s="441"/>
      <c r="D75" s="441"/>
      <c r="E75" s="441"/>
      <c r="F75" s="441"/>
      <c r="G75" s="441"/>
      <c r="H75" s="441"/>
      <c r="I75" s="441"/>
      <c r="J75" s="441"/>
      <c r="K75" s="441"/>
      <c r="L75" s="441"/>
      <c r="M75" s="441"/>
      <c r="N75" s="441"/>
      <c r="O75" s="441"/>
      <c r="P75" s="441"/>
      <c r="Q75" s="441"/>
      <c r="R75" s="441"/>
      <c r="S75" s="441"/>
      <c r="T75" s="441"/>
      <c r="U75" s="441"/>
      <c r="V75" s="441"/>
      <c r="W75" s="441"/>
      <c r="X75" s="441"/>
      <c r="Y75" s="441"/>
      <c r="Z75" s="441"/>
      <c r="AA75" s="441"/>
      <c r="AB75" s="441"/>
      <c r="AC75" s="441"/>
      <c r="AD75" s="441"/>
      <c r="AE75" s="441"/>
      <c r="AF75" s="441"/>
      <c r="AG75" s="441"/>
      <c r="AH75" s="441"/>
      <c r="AI75" s="441"/>
      <c r="AJ75" s="441"/>
      <c r="AK75" s="441"/>
      <c r="AL75" s="441"/>
      <c r="AM75" s="441"/>
      <c r="AN75" s="441"/>
      <c r="AO75" s="441"/>
      <c r="AP75" s="441"/>
      <c r="AQ75" s="441"/>
      <c r="AR75" s="441"/>
      <c r="AS75" s="441"/>
      <c r="AT75" s="441"/>
      <c r="AU75" s="441"/>
      <c r="AV75" s="441"/>
      <c r="AW75" s="441"/>
      <c r="AX75" s="441"/>
      <c r="AY75" s="441"/>
      <c r="AZ75" s="441"/>
      <c r="BA75" s="441"/>
      <c r="BB75" s="441"/>
      <c r="BC75" s="441"/>
      <c r="BD75" s="441"/>
      <c r="BE75" s="441"/>
      <c r="BF75" s="441"/>
      <c r="BG75" s="441"/>
      <c r="BH75" s="441"/>
      <c r="BI75" s="441"/>
      <c r="BJ75" s="441"/>
      <c r="BK75" s="441"/>
      <c r="BL75" s="441"/>
      <c r="BM75" s="441"/>
      <c r="BN75" s="441"/>
      <c r="BO75" s="441"/>
      <c r="BP75" s="441"/>
      <c r="BQ75" s="441"/>
      <c r="BR75" s="441"/>
      <c r="BS75" s="441"/>
      <c r="BT75" s="441"/>
      <c r="BU75" s="441"/>
      <c r="BV75" s="441"/>
      <c r="BW75" s="441"/>
      <c r="BX75" s="441"/>
      <c r="BY75" s="441"/>
      <c r="BZ75" s="441"/>
      <c r="CA75" s="441"/>
      <c r="CB75" s="441"/>
      <c r="CC75" s="441"/>
      <c r="CD75" s="441"/>
      <c r="CE75" s="441"/>
      <c r="CF75" s="441"/>
      <c r="CG75" s="441"/>
      <c r="CH75" s="441"/>
      <c r="CI75" s="441"/>
      <c r="CJ75" s="441"/>
      <c r="CK75" s="441"/>
      <c r="CL75" s="441"/>
      <c r="CM75" s="441"/>
      <c r="CN75" s="441"/>
      <c r="CO75" s="441"/>
      <c r="CP75" s="441"/>
      <c r="CQ75" s="441"/>
      <c r="CR75" s="441"/>
      <c r="CS75" s="441"/>
      <c r="CT75" s="441"/>
      <c r="CU75" s="441"/>
      <c r="CV75" s="441"/>
      <c r="CW75" s="441"/>
      <c r="CX75" s="441"/>
      <c r="CY75" s="441"/>
      <c r="CZ75" s="441"/>
      <c r="DA75" s="441"/>
      <c r="DB75" s="441"/>
      <c r="DC75" s="441"/>
      <c r="DD75" s="441"/>
      <c r="DE75" s="441"/>
      <c r="DF75" s="441"/>
      <c r="DG75" s="441"/>
      <c r="DH75" s="441"/>
      <c r="DI75" s="441"/>
      <c r="DJ75" s="441"/>
      <c r="DK75" s="441"/>
      <c r="DL75" s="441"/>
    </row>
    <row r="76" spans="1:225">
      <c r="A76" s="441"/>
      <c r="B76" s="441"/>
      <c r="C76" s="441"/>
      <c r="D76" s="441"/>
      <c r="E76" s="441"/>
      <c r="F76" s="441"/>
      <c r="G76" s="441"/>
      <c r="H76" s="441"/>
      <c r="I76" s="441"/>
      <c r="J76" s="441"/>
      <c r="K76" s="441"/>
      <c r="L76" s="441"/>
      <c r="M76" s="441"/>
      <c r="N76" s="441"/>
      <c r="O76" s="441"/>
      <c r="P76" s="441"/>
      <c r="Q76" s="441"/>
      <c r="R76" s="441"/>
      <c r="S76" s="441"/>
      <c r="T76" s="441"/>
      <c r="U76" s="441"/>
      <c r="V76" s="441"/>
      <c r="W76" s="441"/>
      <c r="X76" s="441"/>
      <c r="Y76" s="441"/>
      <c r="Z76" s="441"/>
      <c r="AA76" s="441"/>
      <c r="AB76" s="441"/>
      <c r="AC76" s="441"/>
      <c r="AD76" s="441"/>
      <c r="AE76" s="441"/>
      <c r="AF76" s="441"/>
      <c r="AG76" s="441"/>
      <c r="AH76" s="441"/>
      <c r="AI76" s="441"/>
      <c r="AJ76" s="441"/>
      <c r="AK76" s="441"/>
      <c r="AL76" s="441"/>
      <c r="AM76" s="441"/>
      <c r="AN76" s="441"/>
      <c r="AO76" s="441"/>
      <c r="AP76" s="441"/>
      <c r="AQ76" s="441"/>
      <c r="AR76" s="441"/>
      <c r="AS76" s="441"/>
      <c r="AT76" s="441"/>
      <c r="AU76" s="441"/>
      <c r="AV76" s="441"/>
      <c r="AW76" s="441"/>
      <c r="AX76" s="441"/>
      <c r="AY76" s="441"/>
      <c r="AZ76" s="441"/>
      <c r="BA76" s="441"/>
      <c r="BB76" s="441"/>
      <c r="BC76" s="441"/>
      <c r="BD76" s="441"/>
      <c r="BE76" s="441"/>
      <c r="BF76" s="441"/>
      <c r="BG76" s="441"/>
      <c r="BH76" s="441"/>
      <c r="BI76" s="441"/>
      <c r="BJ76" s="441"/>
      <c r="BK76" s="441"/>
      <c r="BL76" s="441"/>
      <c r="BM76" s="441"/>
      <c r="BN76" s="441"/>
      <c r="BO76" s="441"/>
      <c r="BP76" s="441"/>
      <c r="BQ76" s="441"/>
      <c r="BR76" s="441"/>
      <c r="BS76" s="441"/>
      <c r="BT76" s="441"/>
      <c r="BU76" s="441"/>
      <c r="BV76" s="441"/>
      <c r="BW76" s="441"/>
      <c r="BX76" s="441"/>
      <c r="BY76" s="441"/>
      <c r="BZ76" s="441"/>
      <c r="CA76" s="441"/>
      <c r="CB76" s="441"/>
      <c r="CC76" s="441"/>
      <c r="CD76" s="441"/>
      <c r="CE76" s="441"/>
      <c r="CF76" s="441"/>
      <c r="CG76" s="441"/>
      <c r="CH76" s="441"/>
      <c r="CI76" s="441"/>
      <c r="CJ76" s="441"/>
      <c r="CK76" s="441"/>
      <c r="CL76" s="441"/>
      <c r="CM76" s="441"/>
      <c r="CN76" s="441"/>
      <c r="CO76" s="441"/>
      <c r="CP76" s="441"/>
      <c r="CQ76" s="441"/>
      <c r="CR76" s="441"/>
      <c r="CS76" s="441"/>
      <c r="CT76" s="441"/>
      <c r="CU76" s="441"/>
      <c r="CV76" s="441"/>
      <c r="CW76" s="441"/>
      <c r="CX76" s="441"/>
      <c r="CY76" s="441"/>
      <c r="CZ76" s="441"/>
      <c r="DA76" s="441"/>
      <c r="DB76" s="441"/>
      <c r="DC76" s="441"/>
      <c r="DD76" s="441"/>
      <c r="DE76" s="441"/>
      <c r="DF76" s="441"/>
      <c r="DG76" s="441"/>
      <c r="DH76" s="441"/>
      <c r="DI76" s="441"/>
      <c r="DJ76" s="441"/>
      <c r="DK76" s="441"/>
      <c r="DL76" s="441"/>
    </row>
    <row r="77" spans="1:225">
      <c r="A77" s="441"/>
      <c r="B77" s="441"/>
      <c r="C77" s="441"/>
      <c r="D77" s="441"/>
      <c r="E77" s="441"/>
      <c r="F77" s="441"/>
      <c r="G77" s="441"/>
      <c r="H77" s="441"/>
      <c r="I77" s="441"/>
      <c r="J77" s="441"/>
      <c r="K77" s="441"/>
      <c r="L77" s="441"/>
      <c r="M77" s="441"/>
      <c r="N77" s="441"/>
      <c r="O77" s="441"/>
      <c r="P77" s="441"/>
      <c r="Q77" s="441"/>
      <c r="R77" s="441"/>
      <c r="S77" s="441"/>
      <c r="T77" s="441"/>
      <c r="U77" s="441"/>
      <c r="V77" s="441"/>
      <c r="W77" s="441"/>
      <c r="X77" s="441"/>
      <c r="Y77" s="441"/>
      <c r="Z77" s="441"/>
      <c r="AA77" s="441"/>
      <c r="AB77" s="441"/>
      <c r="AC77" s="441"/>
      <c r="AD77" s="441"/>
      <c r="AE77" s="441"/>
      <c r="AF77" s="441"/>
      <c r="AG77" s="441"/>
      <c r="AH77" s="441"/>
      <c r="AI77" s="441"/>
      <c r="AJ77" s="441"/>
      <c r="AK77" s="441"/>
      <c r="AL77" s="441"/>
      <c r="AM77" s="441"/>
      <c r="AN77" s="441"/>
      <c r="AO77" s="441"/>
      <c r="AP77" s="441"/>
      <c r="AQ77" s="441"/>
      <c r="AR77" s="441"/>
      <c r="AS77" s="441"/>
      <c r="AT77" s="441"/>
      <c r="AU77" s="441"/>
      <c r="AV77" s="441"/>
      <c r="AW77" s="441"/>
      <c r="AX77" s="441"/>
      <c r="AY77" s="441"/>
      <c r="AZ77" s="441"/>
      <c r="BA77" s="441"/>
      <c r="BB77" s="441"/>
      <c r="BC77" s="441"/>
      <c r="BD77" s="441"/>
      <c r="BE77" s="441"/>
      <c r="BF77" s="441"/>
      <c r="BG77" s="441"/>
      <c r="BH77" s="441"/>
      <c r="BI77" s="441"/>
      <c r="BJ77" s="441"/>
      <c r="BK77" s="441"/>
      <c r="BL77" s="441"/>
      <c r="BM77" s="441"/>
      <c r="BN77" s="441"/>
      <c r="BO77" s="441"/>
      <c r="BP77" s="441"/>
      <c r="BQ77" s="441"/>
      <c r="BR77" s="441"/>
      <c r="BS77" s="441"/>
      <c r="BT77" s="441"/>
      <c r="BU77" s="441"/>
      <c r="BV77" s="441"/>
      <c r="BW77" s="441"/>
      <c r="BX77" s="441"/>
      <c r="BY77" s="441"/>
      <c r="BZ77" s="441"/>
      <c r="CA77" s="441"/>
      <c r="CB77" s="441"/>
      <c r="CC77" s="441"/>
      <c r="CD77" s="441"/>
      <c r="CE77" s="441"/>
      <c r="CF77" s="441"/>
      <c r="CG77" s="441"/>
      <c r="CH77" s="441"/>
      <c r="CI77" s="441"/>
      <c r="CJ77" s="441"/>
      <c r="CK77" s="441"/>
      <c r="CL77" s="441"/>
      <c r="CM77" s="441"/>
      <c r="CN77" s="441"/>
      <c r="CO77" s="441"/>
      <c r="CP77" s="441"/>
      <c r="CQ77" s="441"/>
      <c r="CR77" s="441"/>
      <c r="CS77" s="441"/>
      <c r="CT77" s="441"/>
      <c r="CU77" s="441"/>
      <c r="CV77" s="441"/>
      <c r="CW77" s="441"/>
      <c r="CX77" s="441"/>
      <c r="CY77" s="441"/>
      <c r="CZ77" s="441"/>
      <c r="DA77" s="441"/>
      <c r="DB77" s="441"/>
      <c r="DC77" s="441"/>
      <c r="DD77" s="441"/>
      <c r="DE77" s="441"/>
      <c r="DF77" s="441"/>
      <c r="DG77" s="441"/>
      <c r="DH77" s="441"/>
      <c r="DI77" s="441"/>
      <c r="DJ77" s="441"/>
      <c r="DK77" s="441"/>
      <c r="DL77" s="441"/>
    </row>
    <row r="78" spans="1:225">
      <c r="A78" s="441"/>
      <c r="B78" s="441"/>
      <c r="C78" s="441"/>
      <c r="D78" s="441"/>
      <c r="E78" s="441"/>
      <c r="F78" s="441"/>
      <c r="G78" s="441"/>
      <c r="H78" s="441"/>
      <c r="I78" s="441"/>
      <c r="J78" s="441"/>
      <c r="K78" s="441"/>
      <c r="L78" s="441"/>
      <c r="M78" s="441"/>
      <c r="N78" s="441"/>
      <c r="O78" s="441"/>
      <c r="P78" s="441"/>
      <c r="Q78" s="441"/>
      <c r="R78" s="441"/>
      <c r="S78" s="441"/>
      <c r="T78" s="441"/>
      <c r="U78" s="441"/>
      <c r="V78" s="441"/>
      <c r="W78" s="441"/>
      <c r="X78" s="441"/>
      <c r="Y78" s="441"/>
      <c r="Z78" s="441"/>
      <c r="AA78" s="441"/>
      <c r="AB78" s="441"/>
      <c r="AC78" s="441"/>
      <c r="AD78" s="441"/>
      <c r="AE78" s="441"/>
      <c r="AF78" s="441"/>
      <c r="AG78" s="441"/>
      <c r="AH78" s="441"/>
      <c r="AI78" s="441"/>
      <c r="AJ78" s="441"/>
      <c r="AK78" s="441"/>
      <c r="AL78" s="441"/>
      <c r="AM78" s="441"/>
      <c r="AN78" s="441"/>
      <c r="AO78" s="441"/>
      <c r="AP78" s="441"/>
      <c r="AQ78" s="441"/>
      <c r="AR78" s="441"/>
      <c r="AS78" s="441"/>
      <c r="AT78" s="441"/>
      <c r="AU78" s="441"/>
      <c r="AV78" s="441"/>
      <c r="AW78" s="441"/>
      <c r="AX78" s="441"/>
      <c r="AY78" s="441"/>
      <c r="AZ78" s="441"/>
      <c r="BA78" s="441"/>
      <c r="BB78" s="441"/>
      <c r="BC78" s="441"/>
      <c r="BD78" s="441"/>
      <c r="BE78" s="441"/>
      <c r="BF78" s="441"/>
      <c r="BG78" s="441"/>
      <c r="BH78" s="441"/>
      <c r="BI78" s="441"/>
      <c r="BJ78" s="441"/>
      <c r="BK78" s="441"/>
      <c r="BL78" s="441"/>
      <c r="BM78" s="441"/>
      <c r="BN78" s="441"/>
      <c r="BO78" s="441"/>
      <c r="BP78" s="441"/>
      <c r="BQ78" s="441"/>
      <c r="BR78" s="441"/>
      <c r="BS78" s="441"/>
      <c r="BT78" s="441"/>
      <c r="BU78" s="441"/>
      <c r="BV78" s="441"/>
      <c r="BW78" s="441"/>
      <c r="BX78" s="441"/>
      <c r="BY78" s="441"/>
      <c r="BZ78" s="441"/>
      <c r="CA78" s="441"/>
      <c r="CB78" s="441"/>
      <c r="CC78" s="441"/>
      <c r="CD78" s="441"/>
      <c r="CE78" s="441"/>
      <c r="CF78" s="441"/>
      <c r="CG78" s="441"/>
      <c r="CH78" s="441"/>
      <c r="CI78" s="441"/>
      <c r="CJ78" s="441"/>
      <c r="CK78" s="441"/>
      <c r="CL78" s="441"/>
      <c r="CM78" s="441"/>
      <c r="CN78" s="441"/>
      <c r="CO78" s="441"/>
      <c r="CP78" s="441"/>
      <c r="CQ78" s="441"/>
      <c r="CR78" s="441"/>
      <c r="CS78" s="441"/>
      <c r="CT78" s="441"/>
      <c r="CU78" s="441"/>
      <c r="CV78" s="441"/>
      <c r="CW78" s="441"/>
      <c r="CX78" s="441"/>
      <c r="CY78" s="441"/>
      <c r="CZ78" s="441"/>
      <c r="DA78" s="441"/>
      <c r="DB78" s="441"/>
      <c r="DC78" s="441"/>
      <c r="DD78" s="441"/>
      <c r="DE78" s="441"/>
      <c r="DF78" s="441"/>
      <c r="DG78" s="441"/>
      <c r="DH78" s="441"/>
      <c r="DI78" s="441"/>
      <c r="DJ78" s="441"/>
      <c r="DK78" s="441"/>
      <c r="DL78" s="441"/>
    </row>
    <row r="79" spans="1:225">
      <c r="A79" s="441"/>
      <c r="B79" s="441"/>
      <c r="C79" s="441"/>
      <c r="D79" s="441"/>
      <c r="E79" s="441"/>
      <c r="F79" s="441"/>
      <c r="G79" s="441"/>
      <c r="H79" s="441"/>
      <c r="I79" s="441"/>
      <c r="J79" s="441"/>
      <c r="K79" s="441"/>
      <c r="L79" s="441"/>
      <c r="M79" s="441"/>
      <c r="N79" s="441"/>
      <c r="O79" s="441"/>
      <c r="P79" s="441"/>
      <c r="Q79" s="441"/>
      <c r="R79" s="441"/>
      <c r="S79" s="441"/>
      <c r="T79" s="441"/>
      <c r="U79" s="441"/>
      <c r="V79" s="441"/>
      <c r="W79" s="441"/>
      <c r="X79" s="441"/>
      <c r="Y79" s="441"/>
      <c r="Z79" s="441"/>
      <c r="AA79" s="441"/>
      <c r="AB79" s="441"/>
      <c r="AC79" s="441"/>
      <c r="AD79" s="441"/>
      <c r="AE79" s="441"/>
      <c r="AF79" s="441"/>
      <c r="AG79" s="441"/>
      <c r="AH79" s="441"/>
      <c r="AI79" s="441"/>
      <c r="AJ79" s="441"/>
      <c r="AK79" s="441"/>
      <c r="AL79" s="441"/>
      <c r="AM79" s="441"/>
      <c r="AN79" s="441"/>
      <c r="AO79" s="441"/>
      <c r="AP79" s="441"/>
      <c r="AQ79" s="441"/>
      <c r="AR79" s="441"/>
      <c r="AS79" s="441"/>
      <c r="AT79" s="441"/>
      <c r="AU79" s="441"/>
      <c r="AV79" s="441"/>
      <c r="AW79" s="441"/>
      <c r="AX79" s="441"/>
      <c r="AY79" s="441"/>
      <c r="AZ79" s="441"/>
      <c r="BA79" s="441"/>
      <c r="BB79" s="441"/>
      <c r="BC79" s="441"/>
      <c r="BD79" s="441"/>
      <c r="BE79" s="441"/>
      <c r="BF79" s="441"/>
      <c r="BG79" s="441"/>
      <c r="BH79" s="441"/>
      <c r="BI79" s="441"/>
      <c r="BJ79" s="441"/>
      <c r="BK79" s="441"/>
      <c r="BL79" s="441"/>
      <c r="BM79" s="441"/>
      <c r="BN79" s="441"/>
      <c r="BO79" s="441"/>
      <c r="BP79" s="441"/>
      <c r="BQ79" s="441"/>
      <c r="BR79" s="441"/>
      <c r="BS79" s="441"/>
      <c r="BT79" s="441"/>
      <c r="BU79" s="441"/>
      <c r="BV79" s="441"/>
      <c r="BW79" s="441"/>
      <c r="BX79" s="441"/>
      <c r="BY79" s="441"/>
      <c r="BZ79" s="441"/>
      <c r="CA79" s="441"/>
      <c r="CB79" s="441"/>
      <c r="CC79" s="441"/>
      <c r="CD79" s="441"/>
      <c r="CE79" s="441"/>
      <c r="CF79" s="441"/>
      <c r="CG79" s="441"/>
      <c r="CH79" s="441"/>
      <c r="CI79" s="441"/>
      <c r="CJ79" s="441"/>
      <c r="CK79" s="441"/>
      <c r="CL79" s="441"/>
      <c r="CM79" s="441"/>
      <c r="CN79" s="441"/>
      <c r="CO79" s="441"/>
      <c r="CP79" s="441"/>
      <c r="CQ79" s="441"/>
      <c r="CR79" s="441"/>
      <c r="CS79" s="441"/>
      <c r="CT79" s="441"/>
      <c r="CU79" s="441"/>
      <c r="CV79" s="441"/>
      <c r="CW79" s="441"/>
      <c r="CX79" s="441"/>
      <c r="CY79" s="441"/>
      <c r="CZ79" s="441"/>
      <c r="DA79" s="441"/>
      <c r="DB79" s="441"/>
      <c r="DC79" s="441"/>
      <c r="DD79" s="441"/>
      <c r="DE79" s="441"/>
      <c r="DF79" s="441"/>
      <c r="DG79" s="441"/>
      <c r="DH79" s="441"/>
      <c r="DI79" s="441"/>
      <c r="DJ79" s="441"/>
      <c r="DK79" s="441"/>
      <c r="DL79" s="441"/>
    </row>
    <row r="80" spans="1:225">
      <c r="A80" s="441"/>
      <c r="B80" s="441"/>
      <c r="C80" s="441"/>
      <c r="D80" s="441"/>
      <c r="E80" s="441"/>
      <c r="F80" s="441"/>
      <c r="G80" s="441"/>
      <c r="H80" s="441"/>
      <c r="I80" s="441"/>
      <c r="J80" s="441"/>
      <c r="K80" s="441"/>
      <c r="L80" s="441"/>
      <c r="M80" s="441"/>
      <c r="N80" s="441"/>
      <c r="O80" s="441"/>
      <c r="P80" s="441"/>
      <c r="Q80" s="441"/>
      <c r="R80" s="441"/>
      <c r="S80" s="441"/>
      <c r="T80" s="441"/>
      <c r="U80" s="441"/>
      <c r="V80" s="441"/>
      <c r="W80" s="441"/>
      <c r="X80" s="441"/>
      <c r="Y80" s="441"/>
      <c r="Z80" s="441"/>
      <c r="AA80" s="441"/>
      <c r="AB80" s="441"/>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1"/>
      <c r="AY80" s="441"/>
      <c r="AZ80" s="441"/>
      <c r="BA80" s="441"/>
      <c r="BB80" s="441"/>
      <c r="BC80" s="441"/>
      <c r="BD80" s="441"/>
      <c r="BE80" s="441"/>
      <c r="BF80" s="441"/>
      <c r="BG80" s="441"/>
      <c r="BH80" s="441"/>
      <c r="BI80" s="441"/>
      <c r="BJ80" s="441"/>
      <c r="BK80" s="441"/>
      <c r="BL80" s="441"/>
      <c r="BM80" s="441"/>
      <c r="BN80" s="441"/>
      <c r="BO80" s="441"/>
      <c r="BP80" s="441"/>
      <c r="BQ80" s="441"/>
      <c r="BR80" s="441"/>
      <c r="BS80" s="441"/>
      <c r="BT80" s="441"/>
      <c r="BU80" s="441"/>
      <c r="BV80" s="441"/>
      <c r="BW80" s="441"/>
      <c r="BX80" s="441"/>
      <c r="BY80" s="441"/>
      <c r="BZ80" s="441"/>
      <c r="CA80" s="441"/>
      <c r="CB80" s="441"/>
      <c r="CC80" s="441"/>
      <c r="CD80" s="441"/>
      <c r="CE80" s="441"/>
      <c r="CF80" s="441"/>
      <c r="CG80" s="441"/>
      <c r="CH80" s="441"/>
      <c r="CI80" s="441"/>
      <c r="CJ80" s="441"/>
      <c r="CK80" s="441"/>
      <c r="CL80" s="441"/>
      <c r="CM80" s="441"/>
      <c r="CN80" s="441"/>
      <c r="CO80" s="441"/>
      <c r="CP80" s="441"/>
      <c r="CQ80" s="441"/>
      <c r="CR80" s="441"/>
      <c r="CS80" s="441"/>
      <c r="CT80" s="441"/>
      <c r="CU80" s="441"/>
      <c r="CV80" s="441"/>
      <c r="CW80" s="441"/>
      <c r="CX80" s="441"/>
      <c r="CY80" s="441"/>
      <c r="CZ80" s="441"/>
      <c r="DA80" s="441"/>
      <c r="DB80" s="441"/>
      <c r="DC80" s="441"/>
      <c r="DD80" s="441"/>
      <c r="DE80" s="441"/>
      <c r="DF80" s="441"/>
      <c r="DG80" s="441"/>
      <c r="DH80" s="441"/>
      <c r="DI80" s="441"/>
      <c r="DJ80" s="441"/>
      <c r="DK80" s="441"/>
      <c r="DL80" s="441"/>
    </row>
    <row r="81" spans="1:116">
      <c r="A81" s="441"/>
      <c r="B81" s="441"/>
      <c r="C81" s="441"/>
      <c r="D81" s="441"/>
      <c r="E81" s="441"/>
      <c r="F81" s="441"/>
      <c r="G81" s="441"/>
      <c r="H81" s="441"/>
      <c r="I81" s="441"/>
      <c r="J81" s="441"/>
      <c r="K81" s="441"/>
      <c r="L81" s="441"/>
      <c r="M81" s="441"/>
      <c r="N81" s="441"/>
      <c r="O81" s="441"/>
      <c r="P81" s="441"/>
      <c r="Q81" s="441"/>
      <c r="R81" s="441"/>
      <c r="S81" s="441"/>
      <c r="T81" s="441"/>
      <c r="U81" s="441"/>
      <c r="V81" s="441"/>
      <c r="W81" s="441"/>
      <c r="X81" s="441"/>
      <c r="Y81" s="441"/>
      <c r="Z81" s="441"/>
      <c r="AA81" s="441"/>
      <c r="AB81" s="441"/>
      <c r="AC81" s="441"/>
      <c r="AD81" s="441"/>
      <c r="AE81" s="441"/>
      <c r="AF81" s="441"/>
      <c r="AG81" s="441"/>
      <c r="AH81" s="441"/>
      <c r="AI81" s="441"/>
      <c r="AJ81" s="441"/>
      <c r="AK81" s="441"/>
      <c r="AL81" s="441"/>
      <c r="AM81" s="441"/>
      <c r="AN81" s="441"/>
      <c r="AO81" s="441"/>
      <c r="AP81" s="441"/>
      <c r="AQ81" s="441"/>
      <c r="AR81" s="441"/>
      <c r="AS81" s="441"/>
      <c r="AT81" s="441"/>
      <c r="AU81" s="441"/>
      <c r="AV81" s="441"/>
      <c r="AW81" s="441"/>
      <c r="AX81" s="441"/>
      <c r="AY81" s="441"/>
      <c r="AZ81" s="441"/>
      <c r="BA81" s="441"/>
      <c r="BB81" s="441"/>
      <c r="BC81" s="441"/>
      <c r="BD81" s="441"/>
      <c r="BE81" s="441"/>
      <c r="BF81" s="441"/>
      <c r="BG81" s="441"/>
      <c r="BH81" s="441"/>
      <c r="BI81" s="441"/>
      <c r="BJ81" s="441"/>
      <c r="BK81" s="441"/>
      <c r="BL81" s="441"/>
      <c r="BM81" s="441"/>
      <c r="BN81" s="441"/>
      <c r="BO81" s="441"/>
      <c r="BP81" s="441"/>
      <c r="BQ81" s="441"/>
      <c r="BR81" s="441"/>
      <c r="BS81" s="441"/>
      <c r="BT81" s="441"/>
      <c r="BU81" s="441"/>
      <c r="BV81" s="441"/>
      <c r="BW81" s="441"/>
      <c r="BX81" s="441"/>
      <c r="BY81" s="441"/>
      <c r="BZ81" s="441"/>
      <c r="CA81" s="441"/>
      <c r="CB81" s="441"/>
      <c r="CC81" s="441"/>
      <c r="CD81" s="441"/>
      <c r="CE81" s="441"/>
      <c r="CF81" s="441"/>
      <c r="CG81" s="441"/>
      <c r="CH81" s="441"/>
      <c r="CI81" s="441"/>
      <c r="CJ81" s="441"/>
      <c r="CK81" s="441"/>
      <c r="CL81" s="441"/>
      <c r="CM81" s="441"/>
      <c r="CN81" s="441"/>
      <c r="CO81" s="441"/>
      <c r="CP81" s="441"/>
      <c r="CQ81" s="441"/>
      <c r="CR81" s="441"/>
      <c r="CS81" s="441"/>
      <c r="CT81" s="441"/>
      <c r="CU81" s="441"/>
      <c r="CV81" s="441"/>
      <c r="CW81" s="441"/>
      <c r="CX81" s="441"/>
      <c r="CY81" s="441"/>
      <c r="CZ81" s="441"/>
      <c r="DA81" s="441"/>
      <c r="DB81" s="441"/>
      <c r="DC81" s="441"/>
      <c r="DD81" s="441"/>
      <c r="DE81" s="441"/>
      <c r="DF81" s="441"/>
      <c r="DG81" s="441"/>
      <c r="DH81" s="441"/>
      <c r="DI81" s="441"/>
      <c r="DJ81" s="441"/>
      <c r="DK81" s="441"/>
      <c r="DL81" s="441"/>
    </row>
    <row r="82" spans="1:116">
      <c r="A82" s="441"/>
      <c r="B82" s="441"/>
      <c r="C82" s="441"/>
      <c r="D82" s="441"/>
      <c r="E82" s="441"/>
      <c r="F82" s="441"/>
      <c r="G82" s="441"/>
      <c r="H82" s="441"/>
      <c r="I82" s="441"/>
      <c r="J82" s="441"/>
      <c r="K82" s="441"/>
      <c r="L82" s="441"/>
      <c r="M82" s="441"/>
      <c r="N82" s="441"/>
      <c r="O82" s="441"/>
      <c r="P82" s="441"/>
      <c r="Q82" s="441"/>
      <c r="R82" s="441"/>
      <c r="S82" s="441"/>
      <c r="T82" s="441"/>
      <c r="U82" s="441"/>
      <c r="V82" s="441"/>
      <c r="W82" s="441"/>
      <c r="X82" s="441"/>
      <c r="Y82" s="441"/>
      <c r="Z82" s="441"/>
      <c r="AA82" s="441"/>
      <c r="AB82" s="441"/>
      <c r="AC82" s="441"/>
      <c r="AD82" s="441"/>
      <c r="AE82" s="441"/>
      <c r="AF82" s="441"/>
      <c r="AG82" s="441"/>
      <c r="AH82" s="441"/>
      <c r="AI82" s="441"/>
      <c r="AJ82" s="441"/>
      <c r="AK82" s="441"/>
      <c r="AL82" s="441"/>
      <c r="AM82" s="441"/>
      <c r="AN82" s="441"/>
      <c r="AO82" s="441"/>
      <c r="AP82" s="441"/>
      <c r="AQ82" s="441"/>
      <c r="AR82" s="441"/>
      <c r="AS82" s="441"/>
      <c r="AT82" s="441"/>
      <c r="AU82" s="441"/>
      <c r="AV82" s="441"/>
      <c r="AW82" s="441"/>
      <c r="AX82" s="441"/>
      <c r="AY82" s="441"/>
      <c r="AZ82" s="441"/>
      <c r="BA82" s="441"/>
      <c r="BB82" s="441"/>
      <c r="BC82" s="441"/>
      <c r="BD82" s="441"/>
      <c r="BE82" s="441"/>
      <c r="BF82" s="441"/>
      <c r="BG82" s="441"/>
      <c r="BH82" s="441"/>
      <c r="BI82" s="441"/>
      <c r="BJ82" s="441"/>
      <c r="BK82" s="441"/>
      <c r="BL82" s="441"/>
      <c r="BM82" s="441"/>
      <c r="BN82" s="441"/>
      <c r="BO82" s="441"/>
      <c r="BP82" s="441"/>
      <c r="BQ82" s="441"/>
      <c r="BR82" s="441"/>
      <c r="BS82" s="441"/>
      <c r="BT82" s="441"/>
      <c r="BU82" s="441"/>
      <c r="BV82" s="441"/>
      <c r="BW82" s="441"/>
      <c r="BX82" s="441"/>
      <c r="BY82" s="441"/>
      <c r="BZ82" s="441"/>
      <c r="CA82" s="441"/>
      <c r="CB82" s="441"/>
      <c r="CC82" s="441"/>
      <c r="CD82" s="441"/>
      <c r="CE82" s="441"/>
      <c r="CF82" s="441"/>
      <c r="CG82" s="441"/>
      <c r="CH82" s="441"/>
      <c r="CI82" s="441"/>
      <c r="CJ82" s="441"/>
      <c r="CK82" s="441"/>
      <c r="CL82" s="441"/>
      <c r="CM82" s="441"/>
      <c r="CN82" s="441"/>
      <c r="CO82" s="441"/>
      <c r="CP82" s="441"/>
      <c r="CQ82" s="441"/>
      <c r="CR82" s="441"/>
      <c r="CS82" s="441"/>
      <c r="CT82" s="441"/>
      <c r="CU82" s="441"/>
      <c r="CV82" s="441"/>
      <c r="CW82" s="441"/>
      <c r="CX82" s="441"/>
      <c r="CY82" s="441"/>
      <c r="CZ82" s="441"/>
      <c r="DA82" s="441"/>
      <c r="DB82" s="441"/>
      <c r="DC82" s="441"/>
      <c r="DD82" s="441"/>
      <c r="DE82" s="441"/>
      <c r="DF82" s="441"/>
      <c r="DG82" s="441"/>
      <c r="DH82" s="441"/>
      <c r="DI82" s="441"/>
      <c r="DJ82" s="441"/>
      <c r="DK82" s="441"/>
      <c r="DL82" s="441"/>
    </row>
    <row r="83" spans="1:116">
      <c r="A83" s="441"/>
      <c r="B83" s="441"/>
      <c r="C83" s="441"/>
      <c r="D83" s="441"/>
      <c r="E83" s="441"/>
      <c r="F83" s="441"/>
      <c r="G83" s="441"/>
      <c r="H83" s="441"/>
      <c r="I83" s="441"/>
      <c r="J83" s="441"/>
      <c r="K83" s="441"/>
      <c r="L83" s="441"/>
      <c r="M83" s="441"/>
      <c r="N83" s="441"/>
      <c r="O83" s="441"/>
      <c r="P83" s="441"/>
      <c r="Q83" s="441"/>
      <c r="R83" s="441"/>
      <c r="S83" s="441"/>
      <c r="T83" s="441"/>
      <c r="U83" s="441"/>
      <c r="V83" s="441"/>
      <c r="W83" s="441"/>
      <c r="X83" s="441"/>
      <c r="Y83" s="441"/>
      <c r="Z83" s="441"/>
      <c r="AA83" s="441"/>
      <c r="AB83" s="441"/>
      <c r="AC83" s="441"/>
      <c r="AD83" s="441"/>
      <c r="AE83" s="441"/>
      <c r="AF83" s="441"/>
      <c r="AG83" s="441"/>
      <c r="AH83" s="441"/>
      <c r="AI83" s="441"/>
      <c r="AJ83" s="441"/>
      <c r="AK83" s="441"/>
      <c r="AL83" s="441"/>
      <c r="AM83" s="441"/>
      <c r="AN83" s="441"/>
      <c r="AO83" s="441"/>
      <c r="AP83" s="441"/>
      <c r="AQ83" s="441"/>
      <c r="AR83" s="441"/>
      <c r="AS83" s="441"/>
      <c r="AT83" s="441"/>
      <c r="AU83" s="441"/>
      <c r="AV83" s="441"/>
      <c r="AW83" s="441"/>
      <c r="AX83" s="441"/>
      <c r="AY83" s="441"/>
      <c r="AZ83" s="441"/>
      <c r="BA83" s="441"/>
      <c r="BB83" s="441"/>
      <c r="BC83" s="441"/>
      <c r="BD83" s="441"/>
      <c r="BE83" s="441"/>
      <c r="BF83" s="441"/>
      <c r="BG83" s="441"/>
      <c r="BH83" s="441"/>
      <c r="BI83" s="441"/>
      <c r="BJ83" s="441"/>
      <c r="BK83" s="441"/>
      <c r="BL83" s="441"/>
      <c r="BM83" s="441"/>
      <c r="BN83" s="441"/>
      <c r="BO83" s="441"/>
      <c r="BP83" s="441"/>
      <c r="BQ83" s="441"/>
      <c r="BR83" s="441"/>
      <c r="BS83" s="441"/>
      <c r="BT83" s="441"/>
      <c r="BU83" s="441"/>
      <c r="BV83" s="441"/>
      <c r="BW83" s="441"/>
      <c r="BX83" s="441"/>
      <c r="BY83" s="441"/>
      <c r="BZ83" s="441"/>
      <c r="CA83" s="441"/>
      <c r="CB83" s="441"/>
      <c r="CC83" s="441"/>
      <c r="CD83" s="441"/>
      <c r="CE83" s="441"/>
      <c r="CF83" s="441"/>
      <c r="CG83" s="441"/>
      <c r="CH83" s="441"/>
      <c r="CI83" s="441"/>
      <c r="CJ83" s="441"/>
      <c r="CK83" s="441"/>
      <c r="CL83" s="441"/>
      <c r="CM83" s="441"/>
      <c r="CN83" s="441"/>
      <c r="CO83" s="441"/>
      <c r="CP83" s="441"/>
      <c r="CQ83" s="441"/>
      <c r="CR83" s="441"/>
      <c r="CS83" s="441"/>
      <c r="CT83" s="441"/>
      <c r="CU83" s="441"/>
      <c r="CV83" s="441"/>
      <c r="CW83" s="441"/>
      <c r="CX83" s="441"/>
      <c r="CY83" s="441"/>
      <c r="CZ83" s="441"/>
      <c r="DA83" s="441"/>
      <c r="DB83" s="441"/>
      <c r="DC83" s="441"/>
      <c r="DD83" s="441"/>
      <c r="DE83" s="441"/>
      <c r="DF83" s="441"/>
      <c r="DG83" s="441"/>
      <c r="DH83" s="441"/>
      <c r="DI83" s="441"/>
      <c r="DJ83" s="441"/>
      <c r="DK83" s="441"/>
      <c r="DL83" s="441"/>
    </row>
    <row r="84" spans="1:116" s="218" customFormat="1" ht="18" customHeight="1">
      <c r="A84" s="441"/>
      <c r="B84" s="441"/>
      <c r="C84" s="441"/>
      <c r="D84" s="441"/>
      <c r="E84" s="441"/>
      <c r="F84" s="441"/>
      <c r="G84" s="441"/>
      <c r="H84" s="441"/>
      <c r="I84" s="441"/>
      <c r="J84" s="441"/>
      <c r="K84" s="441"/>
      <c r="L84" s="441"/>
      <c r="M84" s="441"/>
      <c r="N84" s="441"/>
      <c r="O84" s="441"/>
      <c r="P84" s="441"/>
      <c r="Q84" s="441"/>
      <c r="R84" s="441"/>
      <c r="S84" s="441"/>
      <c r="T84" s="441"/>
      <c r="U84" s="441"/>
      <c r="V84" s="441"/>
      <c r="W84" s="441"/>
      <c r="X84" s="441"/>
      <c r="Y84" s="441"/>
      <c r="Z84" s="441"/>
      <c r="AA84" s="441"/>
      <c r="AB84" s="441"/>
      <c r="AC84" s="441"/>
      <c r="AD84" s="441"/>
      <c r="AE84" s="441"/>
      <c r="AF84" s="441"/>
      <c r="AG84" s="441"/>
      <c r="AH84" s="441"/>
      <c r="AI84" s="441"/>
      <c r="AJ84" s="441"/>
      <c r="AK84" s="441"/>
      <c r="AL84" s="441"/>
      <c r="AM84" s="441"/>
      <c r="AN84" s="441"/>
      <c r="AO84" s="441"/>
      <c r="AP84" s="441"/>
      <c r="AQ84" s="441"/>
      <c r="AR84" s="441"/>
      <c r="AS84" s="441"/>
      <c r="AT84" s="441"/>
      <c r="AU84" s="441"/>
      <c r="AV84" s="441"/>
      <c r="AW84" s="441"/>
      <c r="AX84" s="441"/>
      <c r="AY84" s="441"/>
      <c r="AZ84" s="441"/>
      <c r="BA84" s="441"/>
      <c r="BB84" s="441"/>
      <c r="BC84" s="441"/>
      <c r="BD84" s="441"/>
      <c r="BE84" s="441"/>
      <c r="BF84" s="441"/>
      <c r="BG84" s="441"/>
      <c r="BH84" s="441"/>
      <c r="BI84" s="441"/>
      <c r="BJ84" s="441"/>
      <c r="BK84" s="441"/>
      <c r="BL84" s="441"/>
      <c r="BM84" s="441"/>
      <c r="BN84" s="441"/>
      <c r="BO84" s="441"/>
      <c r="BP84" s="441"/>
      <c r="BQ84" s="441"/>
      <c r="BR84" s="441"/>
      <c r="BS84" s="441"/>
      <c r="BT84" s="441"/>
      <c r="BU84" s="441"/>
      <c r="BV84" s="441"/>
      <c r="BW84" s="441"/>
      <c r="BX84" s="441"/>
      <c r="BY84" s="441"/>
      <c r="BZ84" s="441"/>
      <c r="CA84" s="441"/>
      <c r="CB84" s="441"/>
      <c r="CC84" s="441"/>
      <c r="CD84" s="441"/>
      <c r="CE84" s="441"/>
      <c r="CF84" s="441"/>
      <c r="CG84" s="441"/>
      <c r="CH84" s="441"/>
      <c r="CI84" s="441"/>
      <c r="CJ84" s="441"/>
      <c r="CK84" s="441"/>
      <c r="CL84" s="441"/>
      <c r="CM84" s="441"/>
      <c r="CN84" s="441"/>
      <c r="CO84" s="441"/>
      <c r="CP84" s="441"/>
      <c r="CQ84" s="441"/>
      <c r="CR84" s="441"/>
      <c r="CS84" s="441"/>
      <c r="CT84" s="441"/>
      <c r="CU84" s="441"/>
      <c r="CV84" s="441"/>
      <c r="CW84" s="441"/>
      <c r="CX84" s="441"/>
      <c r="CY84" s="441"/>
      <c r="CZ84" s="441"/>
      <c r="DA84" s="441"/>
      <c r="DB84" s="441"/>
      <c r="DC84" s="441"/>
      <c r="DD84" s="441"/>
      <c r="DE84" s="441"/>
      <c r="DF84" s="441"/>
      <c r="DG84" s="441"/>
      <c r="DH84" s="441"/>
      <c r="DI84" s="441"/>
      <c r="DJ84" s="441"/>
      <c r="DK84" s="441"/>
      <c r="DL84" s="441"/>
    </row>
    <row r="85" spans="1:116" s="218" customFormat="1" ht="18" customHeight="1">
      <c r="A85" s="441"/>
      <c r="B85" s="441"/>
      <c r="C85" s="441"/>
      <c r="D85" s="441"/>
      <c r="E85" s="441"/>
      <c r="F85" s="441"/>
      <c r="G85" s="441"/>
      <c r="H85" s="441"/>
      <c r="I85" s="441"/>
      <c r="J85" s="441"/>
      <c r="K85" s="441"/>
      <c r="L85" s="441"/>
      <c r="M85" s="441"/>
      <c r="N85" s="441"/>
      <c r="O85" s="441"/>
      <c r="P85" s="441"/>
      <c r="Q85" s="441"/>
      <c r="R85" s="441"/>
      <c r="S85" s="441"/>
      <c r="T85" s="441"/>
      <c r="U85" s="441"/>
      <c r="V85" s="441"/>
      <c r="W85" s="441"/>
      <c r="X85" s="441"/>
      <c r="Y85" s="441"/>
      <c r="Z85" s="441"/>
      <c r="AA85" s="441"/>
      <c r="AB85" s="441"/>
      <c r="AC85" s="441"/>
      <c r="AD85" s="441"/>
      <c r="AE85" s="441"/>
      <c r="AF85" s="441"/>
      <c r="AG85" s="441"/>
      <c r="AH85" s="441"/>
      <c r="AI85" s="441"/>
      <c r="AJ85" s="441"/>
      <c r="AK85" s="441"/>
      <c r="AL85" s="441"/>
      <c r="AM85" s="441"/>
      <c r="AN85" s="441"/>
      <c r="AO85" s="441"/>
      <c r="AP85" s="441"/>
      <c r="AQ85" s="441"/>
      <c r="AR85" s="441"/>
      <c r="AS85" s="441"/>
      <c r="AT85" s="441"/>
      <c r="AU85" s="441"/>
      <c r="AV85" s="441"/>
      <c r="AW85" s="441"/>
      <c r="AX85" s="441"/>
      <c r="AY85" s="441"/>
      <c r="AZ85" s="441"/>
      <c r="BA85" s="441"/>
      <c r="BB85" s="441"/>
      <c r="BC85" s="441"/>
      <c r="BD85" s="441"/>
      <c r="BE85" s="441"/>
      <c r="BF85" s="441"/>
      <c r="BG85" s="441"/>
      <c r="BH85" s="441"/>
      <c r="BI85" s="441"/>
      <c r="BJ85" s="441"/>
      <c r="BK85" s="441"/>
      <c r="BL85" s="441"/>
      <c r="BM85" s="441"/>
      <c r="BN85" s="441"/>
      <c r="BO85" s="441"/>
      <c r="BP85" s="441"/>
      <c r="BQ85" s="441"/>
      <c r="BR85" s="441"/>
      <c r="BS85" s="441"/>
      <c r="BT85" s="441"/>
      <c r="BU85" s="441"/>
      <c r="BV85" s="441"/>
      <c r="BW85" s="441"/>
      <c r="BX85" s="441"/>
      <c r="BY85" s="441"/>
      <c r="BZ85" s="441"/>
      <c r="CA85" s="441"/>
      <c r="CB85" s="441"/>
      <c r="CC85" s="441"/>
      <c r="CD85" s="441"/>
      <c r="CE85" s="441"/>
      <c r="CF85" s="441"/>
      <c r="CG85" s="441"/>
      <c r="CH85" s="441"/>
      <c r="CI85" s="441"/>
      <c r="CJ85" s="441"/>
      <c r="CK85" s="441"/>
      <c r="CL85" s="441"/>
      <c r="CM85" s="441"/>
      <c r="CN85" s="441"/>
      <c r="CO85" s="441"/>
      <c r="CP85" s="441"/>
      <c r="CQ85" s="441"/>
      <c r="CR85" s="441"/>
      <c r="CS85" s="441"/>
      <c r="CT85" s="441"/>
      <c r="CU85" s="441"/>
      <c r="CV85" s="441"/>
      <c r="CW85" s="441"/>
      <c r="CX85" s="441"/>
      <c r="CY85" s="441"/>
      <c r="CZ85" s="441"/>
      <c r="DA85" s="441"/>
      <c r="DB85" s="441"/>
      <c r="DC85" s="441"/>
      <c r="DD85" s="441"/>
      <c r="DE85" s="441"/>
      <c r="DF85" s="441"/>
      <c r="DG85" s="441"/>
      <c r="DH85" s="441"/>
      <c r="DI85" s="441"/>
      <c r="DJ85" s="441"/>
      <c r="DK85" s="441"/>
      <c r="DL85" s="441"/>
    </row>
    <row r="86" spans="1:116" s="218" customFormat="1" ht="18" customHeight="1">
      <c r="A86" s="441"/>
      <c r="B86" s="441"/>
      <c r="C86" s="441"/>
      <c r="D86" s="441"/>
      <c r="E86" s="441"/>
      <c r="F86" s="441"/>
      <c r="G86" s="441"/>
      <c r="H86" s="441"/>
      <c r="I86" s="441"/>
      <c r="J86" s="441"/>
      <c r="K86" s="441"/>
      <c r="L86" s="441"/>
      <c r="M86" s="441"/>
      <c r="N86" s="441"/>
      <c r="O86" s="441"/>
      <c r="P86" s="441"/>
      <c r="Q86" s="441"/>
      <c r="R86" s="441"/>
      <c r="S86" s="441"/>
      <c r="T86" s="441"/>
      <c r="U86" s="441"/>
      <c r="V86" s="441"/>
      <c r="W86" s="441"/>
      <c r="X86" s="441"/>
      <c r="Y86" s="441"/>
      <c r="Z86" s="441"/>
      <c r="AA86" s="441"/>
      <c r="AB86" s="441"/>
      <c r="AC86" s="441"/>
      <c r="AD86" s="441"/>
      <c r="AE86" s="441"/>
      <c r="AF86" s="441"/>
      <c r="AG86" s="441"/>
      <c r="AH86" s="441"/>
      <c r="AI86" s="441"/>
      <c r="AJ86" s="441"/>
      <c r="AK86" s="441"/>
      <c r="AL86" s="441"/>
      <c r="AM86" s="441"/>
      <c r="AN86" s="441"/>
      <c r="AO86" s="441"/>
      <c r="AP86" s="441"/>
      <c r="AQ86" s="441"/>
      <c r="AR86" s="441"/>
      <c r="AS86" s="441"/>
      <c r="AT86" s="441"/>
      <c r="AU86" s="441"/>
      <c r="AV86" s="441"/>
      <c r="AW86" s="441"/>
      <c r="AX86" s="441"/>
      <c r="AY86" s="441"/>
      <c r="AZ86" s="441"/>
      <c r="BA86" s="441"/>
      <c r="BB86" s="441"/>
      <c r="BC86" s="441"/>
      <c r="BD86" s="441"/>
      <c r="BE86" s="441"/>
      <c r="BF86" s="441"/>
      <c r="BG86" s="441"/>
      <c r="BH86" s="441"/>
      <c r="BI86" s="441"/>
      <c r="BJ86" s="441"/>
      <c r="BK86" s="441"/>
      <c r="BL86" s="441"/>
      <c r="BM86" s="441"/>
      <c r="BN86" s="441"/>
      <c r="BO86" s="441"/>
      <c r="BP86" s="441"/>
      <c r="BQ86" s="441"/>
      <c r="BR86" s="441"/>
      <c r="BS86" s="441"/>
      <c r="BT86" s="441"/>
      <c r="BU86" s="441"/>
      <c r="BV86" s="441"/>
      <c r="BW86" s="441"/>
      <c r="BX86" s="441"/>
      <c r="BY86" s="441"/>
      <c r="BZ86" s="441"/>
      <c r="CA86" s="441"/>
      <c r="CB86" s="441"/>
      <c r="CC86" s="441"/>
      <c r="CD86" s="441"/>
      <c r="CE86" s="441"/>
      <c r="CF86" s="441"/>
      <c r="CG86" s="441"/>
      <c r="CH86" s="441"/>
      <c r="CI86" s="441"/>
      <c r="CJ86" s="441"/>
      <c r="CK86" s="441"/>
      <c r="CL86" s="441"/>
      <c r="CM86" s="441"/>
      <c r="CN86" s="441"/>
      <c r="CO86" s="441"/>
      <c r="CP86" s="441"/>
      <c r="CQ86" s="441"/>
      <c r="CR86" s="441"/>
      <c r="CS86" s="441"/>
      <c r="CT86" s="441"/>
      <c r="CU86" s="441"/>
      <c r="CV86" s="441"/>
      <c r="CW86" s="441"/>
      <c r="CX86" s="441"/>
      <c r="CY86" s="441"/>
      <c r="CZ86" s="441"/>
      <c r="DA86" s="441"/>
      <c r="DB86" s="441"/>
      <c r="DC86" s="441"/>
      <c r="DD86" s="441"/>
      <c r="DE86" s="441"/>
      <c r="DF86" s="441"/>
      <c r="DG86" s="441"/>
      <c r="DH86" s="441"/>
      <c r="DI86" s="441"/>
      <c r="DJ86" s="441"/>
      <c r="DK86" s="441"/>
      <c r="DL86" s="441"/>
    </row>
    <row r="87" spans="1:116" s="218" customFormat="1" ht="18" customHeight="1">
      <c r="A87" s="441"/>
      <c r="B87" s="441"/>
      <c r="C87" s="441"/>
      <c r="D87" s="441"/>
      <c r="E87" s="441"/>
      <c r="F87" s="441"/>
      <c r="G87" s="441"/>
      <c r="H87" s="441"/>
      <c r="I87" s="441"/>
      <c r="J87" s="441"/>
      <c r="K87" s="441"/>
      <c r="L87" s="441"/>
      <c r="M87" s="441"/>
      <c r="N87" s="441"/>
      <c r="O87" s="441"/>
      <c r="P87" s="441"/>
      <c r="Q87" s="441"/>
      <c r="R87" s="441"/>
      <c r="S87" s="441"/>
      <c r="T87" s="441"/>
      <c r="U87" s="441"/>
      <c r="V87" s="441"/>
      <c r="W87" s="441"/>
      <c r="X87" s="441"/>
      <c r="Y87" s="441"/>
      <c r="Z87" s="441"/>
      <c r="AA87" s="441"/>
      <c r="AB87" s="441"/>
      <c r="AC87" s="441"/>
      <c r="AD87" s="441"/>
      <c r="AE87" s="441"/>
      <c r="AF87" s="441"/>
      <c r="AG87" s="441"/>
      <c r="AH87" s="441"/>
      <c r="AI87" s="441"/>
      <c r="AJ87" s="441"/>
      <c r="AK87" s="441"/>
      <c r="AL87" s="441"/>
      <c r="AM87" s="441"/>
      <c r="AN87" s="441"/>
      <c r="AO87" s="441"/>
      <c r="AP87" s="441"/>
      <c r="AQ87" s="441"/>
      <c r="AR87" s="441"/>
      <c r="AS87" s="441"/>
      <c r="AT87" s="441"/>
      <c r="AU87" s="441"/>
      <c r="AV87" s="441"/>
      <c r="AW87" s="441"/>
      <c r="AX87" s="441"/>
      <c r="AY87" s="441"/>
      <c r="AZ87" s="441"/>
      <c r="BA87" s="441"/>
      <c r="BB87" s="441"/>
      <c r="BC87" s="441"/>
      <c r="BD87" s="441"/>
      <c r="BE87" s="441"/>
      <c r="BF87" s="441"/>
      <c r="BG87" s="441"/>
      <c r="BH87" s="441"/>
      <c r="BI87" s="441"/>
      <c r="BJ87" s="441"/>
      <c r="BK87" s="441"/>
      <c r="BL87" s="441"/>
      <c r="BM87" s="441"/>
      <c r="BN87" s="441"/>
      <c r="BO87" s="441"/>
      <c r="BP87" s="441"/>
      <c r="BQ87" s="441"/>
      <c r="BR87" s="441"/>
      <c r="BS87" s="441"/>
      <c r="BT87" s="441"/>
      <c r="BU87" s="441"/>
      <c r="BV87" s="441"/>
      <c r="BW87" s="441"/>
      <c r="BX87" s="441"/>
      <c r="BY87" s="441"/>
      <c r="BZ87" s="441"/>
      <c r="CA87" s="441"/>
      <c r="CB87" s="441"/>
      <c r="CC87" s="441"/>
      <c r="CD87" s="441"/>
      <c r="CE87" s="441"/>
      <c r="CF87" s="441"/>
      <c r="CG87" s="441"/>
      <c r="CH87" s="441"/>
      <c r="CI87" s="441"/>
      <c r="CJ87" s="441"/>
      <c r="CK87" s="441"/>
      <c r="CL87" s="441"/>
      <c r="CM87" s="441"/>
      <c r="CN87" s="441"/>
      <c r="CO87" s="441"/>
      <c r="CP87" s="441"/>
      <c r="CQ87" s="441"/>
      <c r="CR87" s="441"/>
      <c r="CS87" s="441"/>
      <c r="CT87" s="441"/>
      <c r="CU87" s="441"/>
      <c r="CV87" s="441"/>
      <c r="CW87" s="441"/>
      <c r="CX87" s="441"/>
      <c r="CY87" s="441"/>
      <c r="CZ87" s="441"/>
      <c r="DA87" s="441"/>
      <c r="DB87" s="441"/>
      <c r="DC87" s="441"/>
      <c r="DD87" s="441"/>
      <c r="DE87" s="441"/>
      <c r="DF87" s="441"/>
      <c r="DG87" s="441"/>
      <c r="DH87" s="441"/>
      <c r="DI87" s="441"/>
      <c r="DJ87" s="441"/>
      <c r="DK87" s="441"/>
      <c r="DL87" s="441"/>
    </row>
    <row r="88" spans="1:116" s="218" customFormat="1" ht="18" customHeight="1">
      <c r="A88" s="441"/>
      <c r="B88" s="441"/>
      <c r="C88" s="441"/>
      <c r="D88" s="441"/>
      <c r="E88" s="441"/>
      <c r="F88" s="441"/>
      <c r="G88" s="441"/>
      <c r="H88" s="441"/>
      <c r="I88" s="441"/>
      <c r="J88" s="441"/>
      <c r="K88" s="441"/>
      <c r="L88" s="441"/>
      <c r="M88" s="441"/>
      <c r="N88" s="441"/>
      <c r="O88" s="441"/>
      <c r="P88" s="441"/>
      <c r="Q88" s="441"/>
      <c r="R88" s="441"/>
      <c r="S88" s="441"/>
      <c r="T88" s="441"/>
      <c r="U88" s="441"/>
      <c r="V88" s="441"/>
      <c r="W88" s="441"/>
      <c r="X88" s="441"/>
      <c r="Y88" s="441"/>
      <c r="Z88" s="441"/>
      <c r="AA88" s="441"/>
      <c r="AB88" s="441"/>
      <c r="AC88" s="441"/>
      <c r="AD88" s="441"/>
      <c r="AE88" s="441"/>
      <c r="AF88" s="441"/>
      <c r="AG88" s="441"/>
      <c r="AH88" s="441"/>
      <c r="AI88" s="441"/>
      <c r="AJ88" s="441"/>
      <c r="AK88" s="441"/>
      <c r="AL88" s="441"/>
      <c r="AM88" s="441"/>
      <c r="AN88" s="441"/>
      <c r="AO88" s="441"/>
      <c r="AP88" s="441"/>
      <c r="AQ88" s="441"/>
      <c r="AR88" s="441"/>
      <c r="AS88" s="441"/>
      <c r="AT88" s="441"/>
      <c r="AU88" s="441"/>
      <c r="AV88" s="441"/>
      <c r="AW88" s="441"/>
      <c r="AX88" s="441"/>
      <c r="AY88" s="441"/>
      <c r="AZ88" s="441"/>
      <c r="BA88" s="441"/>
      <c r="BB88" s="441"/>
      <c r="BC88" s="441"/>
      <c r="BD88" s="441"/>
      <c r="BE88" s="441"/>
      <c r="BF88" s="441"/>
      <c r="BG88" s="441"/>
      <c r="BH88" s="441"/>
      <c r="BI88" s="441"/>
      <c r="BJ88" s="441"/>
      <c r="BK88" s="441"/>
      <c r="BL88" s="441"/>
      <c r="BM88" s="441"/>
      <c r="BN88" s="441"/>
      <c r="BO88" s="441"/>
      <c r="BP88" s="441"/>
      <c r="BQ88" s="441"/>
      <c r="BR88" s="441"/>
      <c r="BS88" s="441"/>
      <c r="BT88" s="441"/>
      <c r="BU88" s="441"/>
      <c r="BV88" s="441"/>
      <c r="BW88" s="441"/>
      <c r="BX88" s="441"/>
      <c r="BY88" s="441"/>
      <c r="BZ88" s="441"/>
      <c r="CA88" s="441"/>
      <c r="CB88" s="441"/>
      <c r="CC88" s="441"/>
      <c r="CD88" s="441"/>
      <c r="CE88" s="441"/>
      <c r="CF88" s="441"/>
      <c r="CG88" s="441"/>
      <c r="CH88" s="441"/>
      <c r="CI88" s="441"/>
      <c r="CJ88" s="441"/>
      <c r="CK88" s="441"/>
      <c r="CL88" s="441"/>
      <c r="CM88" s="441"/>
      <c r="CN88" s="441"/>
      <c r="CO88" s="441"/>
      <c r="CP88" s="441"/>
      <c r="CQ88" s="441"/>
      <c r="CR88" s="441"/>
      <c r="CS88" s="441"/>
      <c r="CT88" s="441"/>
      <c r="CU88" s="441"/>
      <c r="CV88" s="441"/>
      <c r="CW88" s="441"/>
      <c r="CX88" s="441"/>
      <c r="CY88" s="441"/>
      <c r="CZ88" s="441"/>
      <c r="DA88" s="441"/>
      <c r="DB88" s="441"/>
      <c r="DC88" s="441"/>
      <c r="DD88" s="441"/>
      <c r="DE88" s="441"/>
      <c r="DF88" s="441"/>
      <c r="DG88" s="441"/>
      <c r="DH88" s="441"/>
      <c r="DI88" s="441"/>
      <c r="DJ88" s="441"/>
      <c r="DK88" s="441"/>
      <c r="DL88" s="441"/>
    </row>
    <row r="89" spans="1:116" s="219" customFormat="1" ht="18" customHeight="1">
      <c r="A89" s="441"/>
      <c r="B89" s="441"/>
      <c r="C89" s="441"/>
      <c r="D89" s="441"/>
      <c r="E89" s="441"/>
      <c r="F89" s="441"/>
      <c r="G89" s="441"/>
      <c r="H89" s="441"/>
      <c r="I89" s="441"/>
      <c r="J89" s="441"/>
      <c r="K89" s="441"/>
      <c r="L89" s="441"/>
      <c r="M89" s="441"/>
      <c r="N89" s="441"/>
      <c r="O89" s="441"/>
      <c r="P89" s="441"/>
      <c r="Q89" s="441"/>
      <c r="R89" s="441"/>
      <c r="S89" s="441"/>
      <c r="T89" s="441"/>
      <c r="U89" s="441"/>
      <c r="V89" s="441"/>
      <c r="W89" s="441"/>
      <c r="X89" s="441"/>
      <c r="Y89" s="441"/>
      <c r="Z89" s="441"/>
      <c r="AA89" s="441"/>
      <c r="AB89" s="441"/>
      <c r="AC89" s="441"/>
      <c r="AD89" s="441"/>
      <c r="AE89" s="441"/>
      <c r="AF89" s="441"/>
      <c r="AG89" s="441"/>
      <c r="AH89" s="441"/>
      <c r="AI89" s="441"/>
      <c r="AJ89" s="441"/>
      <c r="AK89" s="441"/>
      <c r="AL89" s="441"/>
      <c r="AM89" s="441"/>
      <c r="AN89" s="441"/>
      <c r="AO89" s="441"/>
      <c r="AP89" s="441"/>
      <c r="AQ89" s="441"/>
      <c r="AR89" s="441"/>
      <c r="AS89" s="441"/>
      <c r="AT89" s="441"/>
      <c r="AU89" s="441"/>
      <c r="AV89" s="441"/>
      <c r="AW89" s="441"/>
      <c r="AX89" s="441"/>
      <c r="AY89" s="441"/>
      <c r="AZ89" s="441"/>
      <c r="BA89" s="441"/>
      <c r="BB89" s="441"/>
      <c r="BC89" s="441"/>
      <c r="BD89" s="441"/>
      <c r="BE89" s="441"/>
      <c r="BF89" s="441"/>
      <c r="BG89" s="441"/>
      <c r="BH89" s="441"/>
      <c r="BI89" s="441"/>
      <c r="BJ89" s="441"/>
      <c r="BK89" s="441"/>
      <c r="BL89" s="441"/>
      <c r="BM89" s="441"/>
      <c r="BN89" s="441"/>
      <c r="BO89" s="441"/>
      <c r="BP89" s="441"/>
      <c r="BQ89" s="441"/>
      <c r="BR89" s="441"/>
      <c r="BS89" s="441"/>
      <c r="BT89" s="441"/>
      <c r="BU89" s="441"/>
      <c r="BV89" s="441"/>
      <c r="BW89" s="441"/>
      <c r="BX89" s="441"/>
      <c r="BY89" s="441"/>
      <c r="BZ89" s="441"/>
      <c r="CA89" s="441"/>
      <c r="CB89" s="441"/>
      <c r="CC89" s="441"/>
      <c r="CD89" s="441"/>
      <c r="CE89" s="441"/>
      <c r="CF89" s="441"/>
      <c r="CG89" s="441"/>
      <c r="CH89" s="441"/>
      <c r="CI89" s="441"/>
      <c r="CJ89" s="441"/>
      <c r="CK89" s="441"/>
      <c r="CL89" s="441"/>
      <c r="CM89" s="441"/>
      <c r="CN89" s="441"/>
      <c r="CO89" s="441"/>
      <c r="CP89" s="441"/>
      <c r="CQ89" s="441"/>
      <c r="CR89" s="441"/>
      <c r="CS89" s="441"/>
      <c r="CT89" s="441"/>
      <c r="CU89" s="441"/>
      <c r="CV89" s="441"/>
      <c r="CW89" s="441"/>
      <c r="CX89" s="441"/>
      <c r="CY89" s="441"/>
      <c r="CZ89" s="441"/>
      <c r="DA89" s="441"/>
      <c r="DB89" s="441"/>
      <c r="DC89" s="441"/>
      <c r="DD89" s="441"/>
      <c r="DE89" s="441"/>
      <c r="DF89" s="441"/>
      <c r="DG89" s="441"/>
      <c r="DH89" s="441"/>
      <c r="DI89" s="441"/>
      <c r="DJ89" s="441"/>
      <c r="DK89" s="441"/>
      <c r="DL89" s="441"/>
    </row>
    <row r="90" spans="1:116">
      <c r="A90" s="441"/>
      <c r="B90" s="441"/>
      <c r="C90" s="441"/>
      <c r="D90" s="441"/>
      <c r="E90" s="441"/>
      <c r="F90" s="441"/>
      <c r="G90" s="441"/>
      <c r="H90" s="441"/>
      <c r="I90" s="441"/>
      <c r="J90" s="441"/>
      <c r="K90" s="441"/>
      <c r="L90" s="441"/>
      <c r="M90" s="441"/>
      <c r="N90" s="441"/>
      <c r="O90" s="441"/>
      <c r="P90" s="441"/>
      <c r="Q90" s="441"/>
      <c r="R90" s="441"/>
      <c r="S90" s="441"/>
      <c r="T90" s="441"/>
      <c r="U90" s="441"/>
      <c r="V90" s="441"/>
      <c r="W90" s="441"/>
      <c r="X90" s="441"/>
      <c r="Y90" s="441"/>
      <c r="Z90" s="441"/>
      <c r="AA90" s="441"/>
      <c r="AB90" s="441"/>
      <c r="AC90" s="441"/>
      <c r="AD90" s="441"/>
      <c r="AE90" s="441"/>
      <c r="AF90" s="441"/>
      <c r="AG90" s="441"/>
      <c r="AH90" s="441"/>
      <c r="AI90" s="441"/>
      <c r="AJ90" s="441"/>
      <c r="AK90" s="441"/>
      <c r="AL90" s="441"/>
      <c r="AM90" s="441"/>
      <c r="AN90" s="441"/>
      <c r="AO90" s="441"/>
      <c r="AP90" s="441"/>
      <c r="AQ90" s="441"/>
      <c r="AR90" s="441"/>
      <c r="AS90" s="441"/>
      <c r="AT90" s="441"/>
      <c r="AU90" s="441"/>
      <c r="AV90" s="441"/>
      <c r="AW90" s="441"/>
      <c r="AX90" s="441"/>
      <c r="AY90" s="441"/>
      <c r="AZ90" s="441"/>
      <c r="BA90" s="441"/>
      <c r="BB90" s="441"/>
      <c r="BC90" s="441"/>
      <c r="BD90" s="441"/>
      <c r="BE90" s="441"/>
      <c r="BF90" s="441"/>
      <c r="BG90" s="441"/>
      <c r="BH90" s="441"/>
      <c r="BI90" s="441"/>
      <c r="BJ90" s="441"/>
      <c r="BK90" s="441"/>
      <c r="BL90" s="441"/>
      <c r="BM90" s="441"/>
      <c r="BN90" s="441"/>
      <c r="BO90" s="441"/>
      <c r="BP90" s="441"/>
      <c r="BQ90" s="441"/>
      <c r="BR90" s="441"/>
      <c r="BS90" s="441"/>
      <c r="BT90" s="441"/>
      <c r="BU90" s="441"/>
      <c r="BV90" s="441"/>
      <c r="BW90" s="441"/>
      <c r="BX90" s="441"/>
      <c r="BY90" s="441"/>
      <c r="BZ90" s="441"/>
      <c r="CA90" s="441"/>
      <c r="CB90" s="441"/>
      <c r="CC90" s="441"/>
      <c r="CD90" s="441"/>
      <c r="CE90" s="441"/>
      <c r="CF90" s="441"/>
      <c r="CG90" s="441"/>
      <c r="CH90" s="441"/>
      <c r="CI90" s="441"/>
      <c r="CJ90" s="441"/>
      <c r="CK90" s="441"/>
      <c r="CL90" s="441"/>
      <c r="CM90" s="441"/>
      <c r="CN90" s="441"/>
      <c r="CO90" s="441"/>
      <c r="CP90" s="441"/>
      <c r="CQ90" s="441"/>
      <c r="CR90" s="441"/>
      <c r="CS90" s="441"/>
      <c r="CT90" s="441"/>
      <c r="CU90" s="441"/>
      <c r="CV90" s="441"/>
      <c r="CW90" s="441"/>
      <c r="CX90" s="441"/>
      <c r="CY90" s="441"/>
      <c r="CZ90" s="441"/>
      <c r="DA90" s="441"/>
      <c r="DB90" s="441"/>
      <c r="DC90" s="441"/>
      <c r="DD90" s="441"/>
      <c r="DE90" s="441"/>
      <c r="DF90" s="441"/>
      <c r="DG90" s="441"/>
      <c r="DH90" s="441"/>
      <c r="DI90" s="441"/>
      <c r="DJ90" s="441"/>
      <c r="DK90" s="441"/>
      <c r="DL90" s="441"/>
    </row>
    <row r="91" spans="1:116">
      <c r="A91" s="441"/>
      <c r="B91" s="441"/>
      <c r="C91" s="441"/>
      <c r="D91" s="441"/>
      <c r="E91" s="441"/>
      <c r="F91" s="441"/>
      <c r="G91" s="441"/>
      <c r="H91" s="441"/>
      <c r="I91" s="441"/>
      <c r="J91" s="441"/>
      <c r="K91" s="441"/>
      <c r="L91" s="441"/>
      <c r="M91" s="441"/>
      <c r="N91" s="441"/>
      <c r="O91" s="441"/>
      <c r="P91" s="441"/>
      <c r="Q91" s="441"/>
      <c r="R91" s="441"/>
      <c r="S91" s="441"/>
      <c r="T91" s="441"/>
      <c r="U91" s="441"/>
      <c r="V91" s="441"/>
      <c r="W91" s="441"/>
      <c r="X91" s="441"/>
      <c r="Y91" s="441"/>
      <c r="Z91" s="441"/>
      <c r="AA91" s="441"/>
      <c r="AB91" s="441"/>
      <c r="AC91" s="441"/>
      <c r="AD91" s="441"/>
      <c r="AE91" s="441"/>
      <c r="AF91" s="441"/>
      <c r="AG91" s="441"/>
      <c r="AH91" s="441"/>
      <c r="AI91" s="441"/>
      <c r="AJ91" s="441"/>
      <c r="AK91" s="441"/>
      <c r="AL91" s="441"/>
      <c r="AM91" s="441"/>
      <c r="AN91" s="441"/>
      <c r="AO91" s="441"/>
      <c r="AP91" s="441"/>
      <c r="AQ91" s="441"/>
      <c r="AR91" s="441"/>
      <c r="AS91" s="441"/>
      <c r="AT91" s="441"/>
      <c r="AU91" s="441"/>
      <c r="AV91" s="441"/>
      <c r="AW91" s="441"/>
      <c r="AX91" s="441"/>
      <c r="AY91" s="441"/>
      <c r="AZ91" s="441"/>
      <c r="BA91" s="441"/>
      <c r="BB91" s="441"/>
      <c r="BC91" s="441"/>
      <c r="BD91" s="441"/>
      <c r="BE91" s="441"/>
      <c r="BF91" s="441"/>
      <c r="BG91" s="441"/>
      <c r="BH91" s="441"/>
      <c r="BI91" s="441"/>
      <c r="BJ91" s="441"/>
      <c r="BK91" s="441"/>
      <c r="BL91" s="441"/>
      <c r="BM91" s="441"/>
      <c r="BN91" s="441"/>
      <c r="BO91" s="441"/>
      <c r="BP91" s="441"/>
      <c r="BQ91" s="441"/>
      <c r="BR91" s="441"/>
      <c r="BS91" s="441"/>
      <c r="BT91" s="441"/>
      <c r="BU91" s="441"/>
      <c r="BV91" s="441"/>
      <c r="BW91" s="441"/>
      <c r="BX91" s="441"/>
      <c r="BY91" s="441"/>
      <c r="BZ91" s="441"/>
      <c r="CA91" s="441"/>
      <c r="CB91" s="441"/>
      <c r="CC91" s="441"/>
      <c r="CD91" s="441"/>
      <c r="CE91" s="441"/>
      <c r="CF91" s="441"/>
      <c r="CG91" s="441"/>
      <c r="CH91" s="441"/>
      <c r="CI91" s="441"/>
      <c r="CJ91" s="441"/>
      <c r="CK91" s="441"/>
      <c r="CL91" s="441"/>
      <c r="CM91" s="441"/>
      <c r="CN91" s="441"/>
      <c r="CO91" s="441"/>
      <c r="CP91" s="441"/>
      <c r="CQ91" s="441"/>
      <c r="CR91" s="441"/>
      <c r="CS91" s="441"/>
      <c r="CT91" s="441"/>
      <c r="CU91" s="441"/>
      <c r="CV91" s="441"/>
      <c r="CW91" s="441"/>
      <c r="CX91" s="441"/>
      <c r="CY91" s="441"/>
      <c r="CZ91" s="441"/>
      <c r="DA91" s="441"/>
      <c r="DB91" s="441"/>
      <c r="DC91" s="441"/>
      <c r="DD91" s="441"/>
      <c r="DE91" s="441"/>
      <c r="DF91" s="441"/>
      <c r="DG91" s="441"/>
      <c r="DH91" s="441"/>
      <c r="DI91" s="441"/>
      <c r="DJ91" s="441"/>
      <c r="DK91" s="441"/>
      <c r="DL91" s="441"/>
    </row>
    <row r="92" spans="1:116">
      <c r="A92" s="441"/>
      <c r="B92" s="441"/>
      <c r="C92" s="441"/>
      <c r="D92" s="441"/>
      <c r="E92" s="441"/>
      <c r="F92" s="441"/>
      <c r="G92" s="441"/>
      <c r="H92" s="441"/>
      <c r="I92" s="441"/>
      <c r="J92" s="441"/>
      <c r="K92" s="441"/>
      <c r="L92" s="441"/>
      <c r="M92" s="441"/>
      <c r="N92" s="441"/>
      <c r="O92" s="441"/>
      <c r="P92" s="441"/>
      <c r="Q92" s="441"/>
      <c r="R92" s="441"/>
      <c r="S92" s="441"/>
      <c r="T92" s="441"/>
      <c r="U92" s="441"/>
      <c r="V92" s="441"/>
      <c r="W92" s="441"/>
      <c r="X92" s="441"/>
      <c r="Y92" s="441"/>
      <c r="Z92" s="441"/>
      <c r="AA92" s="441"/>
      <c r="AB92" s="441"/>
      <c r="AC92" s="441"/>
      <c r="AD92" s="441"/>
      <c r="AE92" s="441"/>
      <c r="AF92" s="441"/>
      <c r="AG92" s="441"/>
      <c r="AH92" s="441"/>
      <c r="AI92" s="441"/>
      <c r="AJ92" s="441"/>
      <c r="AK92" s="441"/>
      <c r="AL92" s="441"/>
      <c r="AM92" s="441"/>
      <c r="AN92" s="441"/>
      <c r="AO92" s="441"/>
      <c r="AP92" s="441"/>
      <c r="AQ92" s="441"/>
      <c r="AR92" s="441"/>
      <c r="AS92" s="441"/>
      <c r="AT92" s="441"/>
      <c r="AU92" s="441"/>
      <c r="AV92" s="441"/>
      <c r="AW92" s="441"/>
      <c r="AX92" s="441"/>
      <c r="AY92" s="441"/>
      <c r="AZ92" s="441"/>
      <c r="BA92" s="441"/>
      <c r="BB92" s="441"/>
      <c r="BC92" s="441"/>
      <c r="BD92" s="441"/>
      <c r="BE92" s="441"/>
      <c r="BF92" s="441"/>
      <c r="BG92" s="441"/>
      <c r="BH92" s="441"/>
      <c r="BI92" s="441"/>
      <c r="BJ92" s="441"/>
      <c r="BK92" s="441"/>
      <c r="BL92" s="441"/>
      <c r="BM92" s="441"/>
      <c r="BN92" s="441"/>
      <c r="BO92" s="441"/>
      <c r="BP92" s="441"/>
      <c r="BQ92" s="441"/>
      <c r="BR92" s="441"/>
      <c r="BS92" s="441"/>
      <c r="BT92" s="441"/>
      <c r="BU92" s="441"/>
      <c r="BV92" s="441"/>
      <c r="BW92" s="441"/>
      <c r="BX92" s="441"/>
      <c r="BY92" s="441"/>
      <c r="BZ92" s="441"/>
      <c r="CA92" s="441"/>
      <c r="CB92" s="441"/>
      <c r="CC92" s="441"/>
      <c r="CD92" s="441"/>
      <c r="CE92" s="441"/>
      <c r="CF92" s="441"/>
      <c r="CG92" s="441"/>
      <c r="CH92" s="441"/>
      <c r="CI92" s="441"/>
      <c r="CJ92" s="441"/>
      <c r="CK92" s="441"/>
      <c r="CL92" s="441"/>
      <c r="CM92" s="441"/>
      <c r="CN92" s="441"/>
      <c r="CO92" s="441"/>
      <c r="CP92" s="441"/>
      <c r="CQ92" s="441"/>
      <c r="CR92" s="441"/>
      <c r="CS92" s="441"/>
      <c r="CT92" s="441"/>
      <c r="CU92" s="441"/>
      <c r="CV92" s="441"/>
      <c r="CW92" s="441"/>
      <c r="CX92" s="441"/>
      <c r="CY92" s="441"/>
      <c r="CZ92" s="441"/>
      <c r="DA92" s="441"/>
      <c r="DB92" s="441"/>
      <c r="DC92" s="441"/>
      <c r="DD92" s="441"/>
      <c r="DE92" s="441"/>
      <c r="DF92" s="441"/>
      <c r="DG92" s="441"/>
      <c r="DH92" s="441"/>
      <c r="DI92" s="441"/>
      <c r="DJ92" s="441"/>
      <c r="DK92" s="441"/>
      <c r="DL92" s="441"/>
    </row>
    <row r="93" spans="1:116">
      <c r="A93" s="441"/>
      <c r="B93" s="441"/>
      <c r="C93" s="441"/>
      <c r="D93" s="441"/>
      <c r="E93" s="441"/>
      <c r="F93" s="441"/>
      <c r="G93" s="441"/>
      <c r="H93" s="441"/>
      <c r="I93" s="441"/>
      <c r="J93" s="441"/>
      <c r="K93" s="441"/>
      <c r="L93" s="441"/>
      <c r="M93" s="441"/>
      <c r="N93" s="441"/>
      <c r="O93" s="441"/>
      <c r="P93" s="441"/>
      <c r="Q93" s="441"/>
      <c r="R93" s="441"/>
      <c r="S93" s="441"/>
      <c r="T93" s="441"/>
      <c r="U93" s="441"/>
      <c r="V93" s="441"/>
      <c r="W93" s="441"/>
      <c r="X93" s="441"/>
      <c r="Y93" s="441"/>
      <c r="Z93" s="441"/>
      <c r="AA93" s="441"/>
      <c r="AB93" s="441"/>
      <c r="AC93" s="441"/>
      <c r="AD93" s="441"/>
      <c r="AE93" s="441"/>
      <c r="AF93" s="441"/>
      <c r="AG93" s="441"/>
      <c r="AH93" s="441"/>
      <c r="AI93" s="441"/>
      <c r="AJ93" s="441"/>
      <c r="AK93" s="441"/>
      <c r="AL93" s="441"/>
      <c r="AM93" s="441"/>
      <c r="AN93" s="441"/>
      <c r="AO93" s="441"/>
      <c r="AP93" s="441"/>
      <c r="AQ93" s="441"/>
      <c r="AR93" s="441"/>
      <c r="AS93" s="441"/>
      <c r="AT93" s="441"/>
      <c r="AU93" s="441"/>
      <c r="AV93" s="441"/>
      <c r="AW93" s="441"/>
      <c r="AX93" s="441"/>
      <c r="AY93" s="441"/>
      <c r="AZ93" s="441"/>
      <c r="BA93" s="441"/>
      <c r="BB93" s="441"/>
      <c r="BC93" s="441"/>
      <c r="BD93" s="441"/>
      <c r="BE93" s="441"/>
      <c r="BF93" s="441"/>
      <c r="BG93" s="441"/>
      <c r="BH93" s="441"/>
      <c r="BI93" s="441"/>
      <c r="BJ93" s="441"/>
      <c r="BK93" s="441"/>
      <c r="BL93" s="441"/>
      <c r="BM93" s="441"/>
      <c r="BN93" s="441"/>
      <c r="BO93" s="441"/>
      <c r="BP93" s="441"/>
      <c r="BQ93" s="441"/>
      <c r="BR93" s="441"/>
      <c r="BS93" s="441"/>
      <c r="BT93" s="441"/>
      <c r="BU93" s="441"/>
      <c r="BV93" s="441"/>
      <c r="BW93" s="441"/>
      <c r="BX93" s="441"/>
      <c r="BY93" s="441"/>
      <c r="BZ93" s="441"/>
      <c r="CA93" s="441"/>
      <c r="CB93" s="441"/>
      <c r="CC93" s="441"/>
      <c r="CD93" s="441"/>
      <c r="CE93" s="441"/>
      <c r="CF93" s="441"/>
      <c r="CG93" s="441"/>
      <c r="CH93" s="441"/>
      <c r="CI93" s="441"/>
      <c r="CJ93" s="441"/>
      <c r="CK93" s="441"/>
      <c r="CL93" s="441"/>
      <c r="CM93" s="441"/>
      <c r="CN93" s="441"/>
      <c r="CO93" s="441"/>
      <c r="CP93" s="441"/>
      <c r="CQ93" s="441"/>
      <c r="CR93" s="441"/>
      <c r="CS93" s="441"/>
      <c r="CT93" s="441"/>
      <c r="CU93" s="441"/>
      <c r="CV93" s="441"/>
      <c r="CW93" s="441"/>
      <c r="CX93" s="441"/>
      <c r="CY93" s="441"/>
      <c r="CZ93" s="441"/>
      <c r="DA93" s="441"/>
      <c r="DB93" s="441"/>
      <c r="DC93" s="441"/>
      <c r="DD93" s="441"/>
      <c r="DE93" s="441"/>
      <c r="DF93" s="441"/>
      <c r="DG93" s="441"/>
      <c r="DH93" s="441"/>
      <c r="DI93" s="441"/>
      <c r="DJ93" s="441"/>
      <c r="DK93" s="441"/>
      <c r="DL93" s="441"/>
    </row>
    <row r="94" spans="1:116">
      <c r="A94" s="441"/>
      <c r="B94" s="441"/>
      <c r="C94" s="441"/>
      <c r="D94" s="441"/>
      <c r="E94" s="441"/>
      <c r="F94" s="441"/>
      <c r="G94" s="441"/>
      <c r="H94" s="441"/>
      <c r="I94" s="441"/>
      <c r="J94" s="441"/>
      <c r="K94" s="441"/>
      <c r="L94" s="441"/>
      <c r="M94" s="441"/>
      <c r="N94" s="441"/>
      <c r="O94" s="441"/>
      <c r="P94" s="441"/>
      <c r="Q94" s="441"/>
      <c r="R94" s="441"/>
      <c r="S94" s="441"/>
      <c r="T94" s="441"/>
      <c r="U94" s="441"/>
      <c r="V94" s="441"/>
      <c r="W94" s="441"/>
      <c r="X94" s="441"/>
      <c r="Y94" s="441"/>
      <c r="Z94" s="441"/>
      <c r="AA94" s="441"/>
      <c r="AB94" s="441"/>
      <c r="AC94" s="441"/>
      <c r="AD94" s="441"/>
      <c r="AE94" s="441"/>
      <c r="AF94" s="441"/>
      <c r="AG94" s="441"/>
      <c r="AH94" s="441"/>
      <c r="AI94" s="441"/>
      <c r="AJ94" s="441"/>
      <c r="AK94" s="441"/>
      <c r="AL94" s="441"/>
      <c r="AM94" s="441"/>
      <c r="AN94" s="441"/>
      <c r="AO94" s="441"/>
      <c r="AP94" s="441"/>
      <c r="AQ94" s="441"/>
      <c r="AR94" s="441"/>
      <c r="AS94" s="441"/>
      <c r="AT94" s="441"/>
      <c r="AU94" s="441"/>
      <c r="AV94" s="441"/>
      <c r="AW94" s="441"/>
      <c r="AX94" s="441"/>
      <c r="AY94" s="441"/>
      <c r="AZ94" s="441"/>
      <c r="BA94" s="441"/>
      <c r="BB94" s="441"/>
      <c r="BC94" s="441"/>
      <c r="BD94" s="441"/>
      <c r="BE94" s="441"/>
      <c r="BF94" s="441"/>
      <c r="BG94" s="441"/>
      <c r="BH94" s="441"/>
      <c r="BI94" s="441"/>
      <c r="BJ94" s="441"/>
      <c r="BK94" s="441"/>
      <c r="BL94" s="441"/>
      <c r="BM94" s="441"/>
      <c r="BN94" s="441"/>
      <c r="BO94" s="441"/>
      <c r="BP94" s="441"/>
      <c r="BQ94" s="441"/>
      <c r="BR94" s="441"/>
      <c r="BS94" s="441"/>
      <c r="BT94" s="441"/>
      <c r="BU94" s="441"/>
      <c r="BV94" s="441"/>
      <c r="BW94" s="441"/>
      <c r="BX94" s="441"/>
      <c r="BY94" s="441"/>
      <c r="BZ94" s="441"/>
      <c r="CA94" s="441"/>
      <c r="CB94" s="441"/>
      <c r="CC94" s="441"/>
      <c r="CD94" s="441"/>
      <c r="CE94" s="441"/>
      <c r="CF94" s="441"/>
      <c r="CG94" s="441"/>
      <c r="CH94" s="441"/>
      <c r="CI94" s="441"/>
      <c r="CJ94" s="441"/>
      <c r="CK94" s="441"/>
      <c r="CL94" s="441"/>
      <c r="CM94" s="441"/>
      <c r="CN94" s="441"/>
      <c r="CO94" s="441"/>
      <c r="CP94" s="441"/>
      <c r="CQ94" s="441"/>
      <c r="CR94" s="441"/>
      <c r="CS94" s="441"/>
      <c r="CT94" s="441"/>
      <c r="CU94" s="441"/>
      <c r="CV94" s="441"/>
      <c r="CW94" s="441"/>
      <c r="CX94" s="441"/>
      <c r="CY94" s="441"/>
      <c r="CZ94" s="441"/>
      <c r="DA94" s="441"/>
      <c r="DB94" s="441"/>
      <c r="DC94" s="441"/>
      <c r="DD94" s="441"/>
      <c r="DE94" s="441"/>
      <c r="DF94" s="441"/>
      <c r="DG94" s="441"/>
      <c r="DH94" s="441"/>
      <c r="DI94" s="441"/>
      <c r="DJ94" s="441"/>
      <c r="DK94" s="441"/>
      <c r="DL94" s="441"/>
    </row>
    <row r="95" spans="1:116">
      <c r="A95" s="441"/>
      <c r="B95" s="441"/>
      <c r="C95" s="441"/>
      <c r="D95" s="441"/>
      <c r="E95" s="441"/>
      <c r="F95" s="441"/>
      <c r="G95" s="441"/>
      <c r="H95" s="441"/>
      <c r="I95" s="441"/>
      <c r="J95" s="441"/>
      <c r="K95" s="441"/>
      <c r="L95" s="441"/>
      <c r="M95" s="441"/>
      <c r="N95" s="441"/>
      <c r="O95" s="441"/>
      <c r="P95" s="441"/>
      <c r="Q95" s="441"/>
      <c r="R95" s="441"/>
      <c r="S95" s="441"/>
      <c r="T95" s="441"/>
      <c r="U95" s="441"/>
      <c r="V95" s="441"/>
      <c r="W95" s="441"/>
      <c r="X95" s="441"/>
      <c r="Y95" s="441"/>
      <c r="Z95" s="441"/>
      <c r="AA95" s="441"/>
      <c r="AB95" s="441"/>
      <c r="AC95" s="441"/>
      <c r="AD95" s="441"/>
      <c r="AE95" s="441"/>
      <c r="AF95" s="441"/>
      <c r="AG95" s="441"/>
      <c r="AH95" s="441"/>
      <c r="AI95" s="441"/>
      <c r="AJ95" s="441"/>
      <c r="AK95" s="441"/>
      <c r="AL95" s="441"/>
      <c r="AM95" s="441"/>
      <c r="AN95" s="441"/>
      <c r="AO95" s="441"/>
      <c r="AP95" s="441"/>
      <c r="AQ95" s="441"/>
      <c r="AR95" s="441"/>
      <c r="AS95" s="441"/>
      <c r="AT95" s="441"/>
      <c r="AU95" s="441"/>
      <c r="AV95" s="441"/>
      <c r="AW95" s="441"/>
      <c r="AX95" s="441"/>
      <c r="AY95" s="441"/>
      <c r="AZ95" s="441"/>
      <c r="BA95" s="441"/>
      <c r="BB95" s="441"/>
      <c r="BC95" s="441"/>
      <c r="BD95" s="441"/>
      <c r="BE95" s="441"/>
      <c r="BF95" s="441"/>
      <c r="BG95" s="441"/>
      <c r="BH95" s="441"/>
      <c r="BI95" s="441"/>
      <c r="BJ95" s="441"/>
      <c r="BK95" s="441"/>
      <c r="BL95" s="441"/>
      <c r="BM95" s="441"/>
      <c r="BN95" s="441"/>
      <c r="BO95" s="441"/>
      <c r="BP95" s="441"/>
      <c r="BQ95" s="441"/>
      <c r="BR95" s="441"/>
      <c r="BS95" s="441"/>
      <c r="BT95" s="441"/>
      <c r="BU95" s="441"/>
      <c r="BV95" s="441"/>
      <c r="BW95" s="441"/>
      <c r="BX95" s="441"/>
      <c r="BY95" s="441"/>
      <c r="BZ95" s="441"/>
      <c r="CA95" s="441"/>
      <c r="CB95" s="441"/>
      <c r="CC95" s="441"/>
      <c r="CD95" s="441"/>
      <c r="CE95" s="441"/>
      <c r="CF95" s="441"/>
      <c r="CG95" s="441"/>
      <c r="CH95" s="441"/>
      <c r="CI95" s="441"/>
      <c r="CJ95" s="441"/>
      <c r="CK95" s="441"/>
      <c r="CL95" s="441"/>
      <c r="CM95" s="441"/>
      <c r="CN95" s="441"/>
      <c r="CO95" s="441"/>
      <c r="CP95" s="441"/>
      <c r="CQ95" s="441"/>
      <c r="CR95" s="441"/>
      <c r="CS95" s="441"/>
      <c r="CT95" s="441"/>
      <c r="CU95" s="441"/>
      <c r="CV95" s="441"/>
      <c r="CW95" s="441"/>
      <c r="CX95" s="441"/>
      <c r="CY95" s="441"/>
      <c r="CZ95" s="441"/>
      <c r="DA95" s="441"/>
      <c r="DB95" s="441"/>
      <c r="DC95" s="441"/>
      <c r="DD95" s="441"/>
      <c r="DE95" s="441"/>
      <c r="DF95" s="441"/>
      <c r="DG95" s="441"/>
      <c r="DH95" s="441"/>
      <c r="DI95" s="441"/>
      <c r="DJ95" s="441"/>
      <c r="DK95" s="441"/>
      <c r="DL95" s="441"/>
    </row>
    <row r="96" spans="1:116">
      <c r="S96" s="464" t="s">
        <v>897</v>
      </c>
      <c r="T96" s="447" t="s">
        <v>813</v>
      </c>
      <c r="U96" s="448" t="s">
        <v>814</v>
      </c>
      <c r="V96" s="456" t="s">
        <v>815</v>
      </c>
      <c r="W96" s="457" t="s">
        <v>816</v>
      </c>
      <c r="X96" s="457" t="s">
        <v>817</v>
      </c>
      <c r="Y96" s="457" t="s">
        <v>818</v>
      </c>
      <c r="Z96" s="456" t="s">
        <v>819</v>
      </c>
      <c r="AA96" s="447" t="s">
        <v>820</v>
      </c>
      <c r="AB96" s="448" t="s">
        <v>821</v>
      </c>
      <c r="AC96" s="456" t="s">
        <v>822</v>
      </c>
      <c r="AD96" s="457" t="s">
        <v>823</v>
      </c>
      <c r="AE96" s="457" t="s">
        <v>824</v>
      </c>
      <c r="AF96" s="457" t="s">
        <v>825</v>
      </c>
      <c r="AG96" s="456" t="s">
        <v>826</v>
      </c>
      <c r="AH96" s="447" t="s">
        <v>827</v>
      </c>
      <c r="AI96" s="448" t="s">
        <v>828</v>
      </c>
      <c r="AJ96" s="456" t="s">
        <v>829</v>
      </c>
      <c r="AK96" s="457" t="s">
        <v>830</v>
      </c>
      <c r="AL96" s="457" t="s">
        <v>831</v>
      </c>
      <c r="AM96" s="457" t="s">
        <v>832</v>
      </c>
      <c r="AN96" s="456" t="s">
        <v>833</v>
      </c>
      <c r="AO96" s="447" t="s">
        <v>834</v>
      </c>
      <c r="AP96" s="448" t="s">
        <v>835</v>
      </c>
      <c r="AQ96" s="456" t="s">
        <v>836</v>
      </c>
      <c r="AR96" s="457" t="s">
        <v>837</v>
      </c>
      <c r="AS96" s="457" t="s">
        <v>838</v>
      </c>
      <c r="AT96" s="457" t="s">
        <v>839</v>
      </c>
      <c r="AU96" s="456" t="s">
        <v>840</v>
      </c>
      <c r="AV96" s="447" t="s">
        <v>841</v>
      </c>
      <c r="AW96" s="448" t="s">
        <v>842</v>
      </c>
      <c r="AX96" s="456" t="s">
        <v>843</v>
      </c>
      <c r="AY96" s="457" t="s">
        <v>844</v>
      </c>
      <c r="AZ96" s="457" t="s">
        <v>845</v>
      </c>
      <c r="BA96" s="457" t="s">
        <v>846</v>
      </c>
      <c r="BB96" s="456" t="s">
        <v>847</v>
      </c>
      <c r="BC96" s="447" t="s">
        <v>848</v>
      </c>
      <c r="BD96" s="448" t="s">
        <v>849</v>
      </c>
      <c r="BE96" s="456" t="s">
        <v>850</v>
      </c>
      <c r="BF96" s="457" t="s">
        <v>851</v>
      </c>
      <c r="BG96" s="457" t="s">
        <v>852</v>
      </c>
      <c r="BH96" s="457" t="s">
        <v>853</v>
      </c>
      <c r="BI96" s="456" t="s">
        <v>854</v>
      </c>
      <c r="BJ96" s="447" t="s">
        <v>855</v>
      </c>
      <c r="BK96" s="448" t="s">
        <v>856</v>
      </c>
      <c r="BL96" s="456" t="s">
        <v>857</v>
      </c>
      <c r="BM96" s="457" t="s">
        <v>858</v>
      </c>
      <c r="BN96" s="457" t="s">
        <v>859</v>
      </c>
      <c r="BO96" s="457" t="s">
        <v>860</v>
      </c>
      <c r="BP96" s="456" t="s">
        <v>861</v>
      </c>
      <c r="BQ96" s="447" t="s">
        <v>862</v>
      </c>
      <c r="BR96" s="448" t="s">
        <v>863</v>
      </c>
      <c r="BS96" s="456" t="s">
        <v>864</v>
      </c>
      <c r="BT96" s="457" t="s">
        <v>865</v>
      </c>
      <c r="BU96" s="457" t="s">
        <v>866</v>
      </c>
      <c r="BV96" s="457" t="s">
        <v>867</v>
      </c>
      <c r="BW96" s="456" t="s">
        <v>868</v>
      </c>
      <c r="BX96" s="447" t="s">
        <v>869</v>
      </c>
      <c r="BY96" s="448" t="s">
        <v>870</v>
      </c>
      <c r="BZ96" s="456" t="s">
        <v>871</v>
      </c>
      <c r="CA96" s="457" t="s">
        <v>872</v>
      </c>
      <c r="CB96" s="457" t="s">
        <v>873</v>
      </c>
      <c r="CC96" s="457" t="s">
        <v>874</v>
      </c>
      <c r="CD96" s="456" t="s">
        <v>875</v>
      </c>
      <c r="CE96" s="447" t="s">
        <v>876</v>
      </c>
      <c r="CF96" s="448" t="s">
        <v>877</v>
      </c>
      <c r="CG96" s="456" t="s">
        <v>878</v>
      </c>
      <c r="CH96" s="457" t="s">
        <v>879</v>
      </c>
      <c r="CI96" s="457" t="s">
        <v>880</v>
      </c>
      <c r="CJ96" s="457" t="s">
        <v>881</v>
      </c>
      <c r="CK96" s="456" t="s">
        <v>882</v>
      </c>
      <c r="CL96" s="447" t="s">
        <v>883</v>
      </c>
      <c r="CM96" s="448" t="s">
        <v>884</v>
      </c>
      <c r="CN96" s="456" t="s">
        <v>885</v>
      </c>
      <c r="CO96" s="457" t="s">
        <v>886</v>
      </c>
      <c r="CP96" s="457" t="s">
        <v>887</v>
      </c>
      <c r="CQ96" s="457" t="s">
        <v>888</v>
      </c>
      <c r="CR96" s="456" t="s">
        <v>889</v>
      </c>
    </row>
  </sheetData>
  <mergeCells count="9">
    <mergeCell ref="C32:E32"/>
    <mergeCell ref="F32:H32"/>
    <mergeCell ref="Q32:R32"/>
    <mergeCell ref="K32:L32"/>
    <mergeCell ref="DE32:DF32"/>
    <mergeCell ref="I32:J32"/>
    <mergeCell ref="I4:I5"/>
    <mergeCell ref="L4:L5"/>
    <mergeCell ref="AE4:AE5"/>
  </mergeCells>
  <phoneticPr fontId="23" type="noConversion"/>
  <pageMargins left="0.78740157499999996" right="0.78740157499999996" top="0.984251969" bottom="0.984251969" header="0.4921259845" footer="0.492125984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92D050"/>
    <pageSetUpPr fitToPage="1"/>
  </sheetPr>
  <dimension ref="A1:AO556"/>
  <sheetViews>
    <sheetView showGridLines="0" showZeros="0" topLeftCell="A4" zoomScaleNormal="100" zoomScalePageLayoutView="85" workbookViewId="0">
      <selection activeCell="B6" sqref="B6"/>
    </sheetView>
  </sheetViews>
  <sheetFormatPr baseColWidth="10" defaultColWidth="9.109375" defaultRowHeight="14.4"/>
  <cols>
    <col min="1" max="1" width="34.88671875" style="1" customWidth="1"/>
    <col min="2" max="2" width="86.109375" style="1" customWidth="1"/>
    <col min="3" max="3" width="18.88671875" style="1" customWidth="1"/>
    <col min="4" max="4" width="27.88671875" style="1" customWidth="1"/>
    <col min="5" max="5" width="34.109375" style="1" customWidth="1"/>
    <col min="6" max="6" width="82" style="1" customWidth="1"/>
    <col min="7" max="18" width="9.109375" style="1" customWidth="1"/>
    <col min="19" max="19" width="12.44140625" style="1" customWidth="1"/>
    <col min="20" max="27" width="6.33203125" style="1" customWidth="1"/>
    <col min="28" max="28" width="10.88671875" style="1" customWidth="1"/>
    <col min="29" max="36" width="9.109375" style="1" customWidth="1"/>
    <col min="37" max="37" width="9.109375" style="64" customWidth="1"/>
    <col min="38" max="38" width="4.109375" style="64" customWidth="1"/>
    <col min="39" max="39" width="5.6640625" style="64" customWidth="1"/>
    <col min="40" max="40" width="16" style="352" customWidth="1"/>
    <col min="41" max="16384" width="9.109375" style="1"/>
  </cols>
  <sheetData>
    <row r="1" spans="1:40" ht="71.25" hidden="1" customHeight="1">
      <c r="A1" s="23"/>
      <c r="AN1" s="350"/>
    </row>
    <row r="2" spans="1:40" hidden="1">
      <c r="A2" s="23"/>
      <c r="AA2" s="379"/>
      <c r="AN2" s="351"/>
    </row>
    <row r="3" spans="1:40" hidden="1">
      <c r="A3" s="23"/>
      <c r="AL3" s="353"/>
      <c r="AM3" s="353"/>
      <c r="AN3" s="349"/>
    </row>
    <row r="4" spans="1:40" ht="69.75" customHeight="1">
      <c r="A4" s="23"/>
      <c r="B4" s="383" t="s">
        <v>363</v>
      </c>
      <c r="AL4" s="353"/>
      <c r="AM4" s="353"/>
      <c r="AN4" s="349"/>
    </row>
    <row r="5" spans="1:40">
      <c r="A5" s="23"/>
      <c r="B5" s="235" t="s">
        <v>1064</v>
      </c>
      <c r="AL5" s="353"/>
      <c r="AM5" s="353"/>
      <c r="AN5" s="349"/>
    </row>
    <row r="6" spans="1:40" ht="15" thickBot="1">
      <c r="A6" s="23"/>
      <c r="B6" s="533" t="s">
        <v>790</v>
      </c>
      <c r="AL6" s="353"/>
      <c r="AM6" s="353"/>
      <c r="AN6" s="349"/>
    </row>
    <row r="7" spans="1:40" ht="20.25" customHeight="1" thickTop="1" thickBot="1">
      <c r="A7" s="212" t="s">
        <v>436</v>
      </c>
      <c r="B7" s="242" t="s">
        <v>418</v>
      </c>
      <c r="C7" s="240"/>
      <c r="D7" s="240"/>
      <c r="E7" s="240"/>
      <c r="F7" s="241"/>
      <c r="G7" s="130"/>
      <c r="H7" s="130"/>
      <c r="I7" s="130"/>
      <c r="J7" s="130"/>
      <c r="K7" s="130"/>
      <c r="L7" s="130"/>
      <c r="M7" s="130"/>
      <c r="N7" s="130"/>
      <c r="O7" s="130"/>
      <c r="P7" s="130"/>
      <c r="Q7" s="130"/>
      <c r="R7" s="130"/>
      <c r="S7" s="130"/>
      <c r="T7" s="130"/>
      <c r="U7" s="130"/>
      <c r="AL7" s="353"/>
      <c r="AM7" s="353"/>
      <c r="AN7" s="349"/>
    </row>
    <row r="8" spans="1:40" ht="18.600000000000001" thickTop="1">
      <c r="A8" s="23"/>
      <c r="B8" s="131"/>
      <c r="C8" s="130"/>
      <c r="D8" s="130"/>
      <c r="E8" s="130"/>
      <c r="F8" s="130"/>
      <c r="G8" s="130"/>
      <c r="H8" s="130"/>
      <c r="I8" s="130"/>
      <c r="J8" s="130"/>
      <c r="K8" s="130"/>
      <c r="L8" s="130"/>
      <c r="M8" s="130"/>
      <c r="N8" s="130"/>
      <c r="O8" s="130"/>
      <c r="P8" s="130"/>
      <c r="Q8" s="130"/>
      <c r="R8" s="130"/>
      <c r="S8" s="130"/>
      <c r="T8" s="130"/>
      <c r="U8" s="130"/>
      <c r="AL8" s="353"/>
      <c r="AM8" s="353"/>
      <c r="AN8" s="349"/>
    </row>
    <row r="9" spans="1:40" ht="15" thickBot="1">
      <c r="A9" s="23"/>
      <c r="AL9" s="353"/>
      <c r="AM9" s="353"/>
      <c r="AN9" s="349"/>
    </row>
    <row r="10" spans="1:40" ht="17.25" customHeight="1" thickTop="1" thickBot="1">
      <c r="A10" s="22" t="s">
        <v>0</v>
      </c>
      <c r="B10" s="182" t="s">
        <v>438</v>
      </c>
      <c r="C10" s="213" t="s">
        <v>765</v>
      </c>
      <c r="D10" s="379"/>
      <c r="E10" s="185"/>
      <c r="F10" s="186"/>
      <c r="AL10" s="353"/>
      <c r="AM10" s="353"/>
      <c r="AN10" s="349"/>
    </row>
    <row r="11" spans="1:40" ht="17.25" customHeight="1" thickTop="1" thickBot="1">
      <c r="A11" s="22" t="s">
        <v>616</v>
      </c>
      <c r="B11" s="214" t="str">
        <f>IFERROR(VLOOKUP(B10,ListeMO!B3:C1000,2,FALSE),"")</f>
        <v/>
      </c>
      <c r="C11" s="185"/>
      <c r="D11" s="185"/>
      <c r="E11" s="185"/>
      <c r="F11" s="186"/>
      <c r="AI11" s="1">
        <f>COUNTIF(AM3:AM555,"OUI")</f>
        <v>0</v>
      </c>
      <c r="AL11" s="353"/>
      <c r="AM11" s="353"/>
      <c r="AN11" s="349"/>
    </row>
    <row r="12" spans="1:40" ht="17.25" customHeight="1" thickTop="1" thickBot="1">
      <c r="A12" s="22" t="s">
        <v>349</v>
      </c>
      <c r="B12" s="182"/>
      <c r="C12" s="185"/>
      <c r="D12" s="185"/>
      <c r="E12" s="185"/>
      <c r="F12" s="186"/>
      <c r="AL12" s="353"/>
      <c r="AM12" s="353"/>
      <c r="AN12" s="349"/>
    </row>
    <row r="13" spans="1:40" ht="17.25" customHeight="1" thickTop="1" thickBot="1">
      <c r="A13" s="22" t="s">
        <v>364</v>
      </c>
      <c r="B13" s="80"/>
      <c r="C13" s="187"/>
      <c r="D13" s="187"/>
      <c r="E13" s="187"/>
      <c r="F13" s="188"/>
      <c r="AL13" s="353"/>
      <c r="AM13" s="353"/>
      <c r="AN13" s="349"/>
    </row>
    <row r="14" spans="1:40" ht="17.25" customHeight="1" thickTop="1" thickBot="1">
      <c r="A14" s="22" t="s">
        <v>1</v>
      </c>
      <c r="B14" s="182"/>
      <c r="C14" s="189"/>
      <c r="D14" s="189"/>
      <c r="E14" s="189"/>
      <c r="F14" s="190"/>
      <c r="AL14" s="353"/>
      <c r="AM14" s="353"/>
      <c r="AN14" s="349"/>
    </row>
    <row r="15" spans="1:40" ht="17.25" customHeight="1" thickTop="1" thickBot="1">
      <c r="A15" s="22" t="s">
        <v>348</v>
      </c>
      <c r="B15" s="182"/>
      <c r="C15" s="189"/>
      <c r="D15" s="189"/>
      <c r="E15" s="189"/>
      <c r="F15" s="190"/>
      <c r="AL15" s="353"/>
      <c r="AM15" s="353"/>
      <c r="AN15" s="349"/>
    </row>
    <row r="16" spans="1:40" ht="17.25" customHeight="1" thickTop="1" thickBot="1">
      <c r="A16" s="22" t="s">
        <v>2</v>
      </c>
      <c r="B16" s="182"/>
      <c r="C16" s="189"/>
      <c r="D16" s="189"/>
      <c r="E16" s="189"/>
      <c r="F16" s="190"/>
      <c r="AL16" s="353"/>
      <c r="AM16" s="353"/>
      <c r="AN16" s="349"/>
    </row>
    <row r="17" spans="1:41" ht="17.25" customHeight="1" thickTop="1" thickBot="1">
      <c r="A17" s="22" t="s">
        <v>367</v>
      </c>
      <c r="B17" s="183"/>
      <c r="C17" s="191"/>
      <c r="D17" s="191"/>
      <c r="E17" s="191"/>
      <c r="F17" s="192"/>
      <c r="AL17" s="353"/>
      <c r="AM17" s="353"/>
      <c r="AN17" s="349"/>
    </row>
    <row r="18" spans="1:41" ht="17.25" customHeight="1" thickTop="1" thickBot="1">
      <c r="A18" s="22" t="s">
        <v>3</v>
      </c>
      <c r="B18" s="182"/>
      <c r="C18" s="189"/>
      <c r="D18" s="189"/>
      <c r="E18" s="189"/>
      <c r="F18" s="190"/>
      <c r="AL18" s="353"/>
      <c r="AM18" s="353"/>
      <c r="AN18" s="349"/>
    </row>
    <row r="19" spans="1:41" ht="17.25" customHeight="1" thickTop="1" thickBot="1">
      <c r="A19" s="22" t="s">
        <v>4</v>
      </c>
      <c r="B19" s="210"/>
      <c r="C19" s="193"/>
      <c r="D19" s="193"/>
      <c r="E19" s="193"/>
      <c r="F19" s="194"/>
      <c r="AL19" s="353"/>
      <c r="AM19" s="353"/>
      <c r="AN19" s="1"/>
    </row>
    <row r="20" spans="1:41" ht="17.25" customHeight="1" thickTop="1" thickBot="1">
      <c r="A20" s="22" t="s">
        <v>5</v>
      </c>
      <c r="B20" s="215"/>
      <c r="C20" s="185"/>
      <c r="D20" s="185"/>
      <c r="E20" s="185"/>
      <c r="F20" s="186"/>
      <c r="S20" s="2"/>
      <c r="AL20" s="353"/>
      <c r="AM20" s="353"/>
      <c r="AN20" s="1"/>
    </row>
    <row r="21" spans="1:41" ht="17.25" customHeight="1" thickTop="1" thickBot="1">
      <c r="A21" s="22" t="s">
        <v>350</v>
      </c>
      <c r="B21" s="184" t="s">
        <v>1049</v>
      </c>
      <c r="C21" s="380" t="s">
        <v>764</v>
      </c>
      <c r="D21" s="185"/>
      <c r="E21" s="185"/>
      <c r="F21" s="186"/>
      <c r="G21" s="26"/>
      <c r="H21" s="26"/>
      <c r="I21" s="26"/>
      <c r="J21" s="26"/>
      <c r="K21" s="26"/>
      <c r="L21" s="26"/>
      <c r="M21" s="26"/>
      <c r="N21" s="26"/>
      <c r="O21" s="26"/>
      <c r="P21" s="26"/>
      <c r="Q21" s="26"/>
      <c r="R21" s="26"/>
      <c r="AL21" s="353"/>
      <c r="AM21" s="353"/>
      <c r="AN21" s="1"/>
    </row>
    <row r="22" spans="1:41" ht="15.6" hidden="1" thickTop="1" thickBot="1">
      <c r="A22" s="22" t="s">
        <v>359</v>
      </c>
      <c r="B22" s="331"/>
      <c r="C22" s="195"/>
      <c r="D22" s="195"/>
      <c r="E22" s="195"/>
      <c r="F22" s="196"/>
      <c r="AL22" s="353"/>
      <c r="AM22" s="353"/>
      <c r="AN22" s="1"/>
    </row>
    <row r="23" spans="1:41" ht="17.25" customHeight="1" thickTop="1" thickBot="1">
      <c r="A23" s="22" t="s">
        <v>351</v>
      </c>
      <c r="B23" s="175">
        <f>0.35</f>
        <v>0.35</v>
      </c>
      <c r="C23" s="197"/>
      <c r="D23" s="197"/>
      <c r="E23" s="197"/>
      <c r="F23" s="197"/>
      <c r="AL23" s="353"/>
      <c r="AM23" s="353"/>
      <c r="AN23" s="1"/>
    </row>
    <row r="24" spans="1:41" ht="17.25" customHeight="1" thickTop="1" thickBot="1">
      <c r="A24" s="22" t="s">
        <v>767</v>
      </c>
      <c r="B24" s="174">
        <f>IF(B13=0,0,VLOOKUP(B13,A32:B37,2,FALSE))</f>
        <v>0</v>
      </c>
      <c r="C24" s="198"/>
      <c r="D24" s="198"/>
      <c r="E24" s="198"/>
      <c r="F24" s="199"/>
      <c r="AL24" s="353"/>
      <c r="AM24" s="353"/>
      <c r="AN24" s="1"/>
    </row>
    <row r="25" spans="1:41" ht="17.25" customHeight="1" thickTop="1" thickBot="1">
      <c r="A25" s="22" t="s">
        <v>768</v>
      </c>
      <c r="B25" s="174">
        <f>IF(B13=0,0,VLOOKUP(B13,A32:C37,3,FALSE))</f>
        <v>0</v>
      </c>
      <c r="C25" s="198"/>
      <c r="D25" s="198"/>
      <c r="E25" s="198"/>
      <c r="F25" s="199"/>
      <c r="AL25" s="353"/>
      <c r="AM25" s="353"/>
      <c r="AN25" s="1"/>
    </row>
    <row r="26" spans="1:41" ht="15.6" thickTop="1" thickBot="1">
      <c r="AL26" s="353"/>
      <c r="AM26" s="353"/>
      <c r="AN26" s="1"/>
    </row>
    <row r="27" spans="1:41" ht="15.6" thickTop="1" thickBot="1">
      <c r="A27" s="22" t="s">
        <v>623</v>
      </c>
      <c r="B27" s="409">
        <v>2</v>
      </c>
      <c r="C27" s="359"/>
      <c r="AL27" s="353"/>
      <c r="AM27" s="353"/>
      <c r="AN27" s="1"/>
    </row>
    <row r="28" spans="1:41" ht="15" thickTop="1">
      <c r="AL28" s="353"/>
      <c r="AM28" s="353"/>
      <c r="AN28" s="1"/>
    </row>
    <row r="29" spans="1:41" ht="18">
      <c r="A29" s="81" t="s">
        <v>362</v>
      </c>
      <c r="AL29" s="353"/>
      <c r="AM29" s="353"/>
      <c r="AN29" s="1"/>
    </row>
    <row r="30" spans="1:41" ht="18">
      <c r="A30" s="81" t="s">
        <v>434</v>
      </c>
      <c r="B30" s="25"/>
      <c r="C30" s="25"/>
      <c r="D30" s="25"/>
      <c r="E30" s="25"/>
      <c r="F30" s="25"/>
      <c r="G30" s="25"/>
      <c r="H30" s="25"/>
      <c r="I30" s="25"/>
      <c r="J30" s="25"/>
      <c r="K30" s="25"/>
      <c r="L30" s="25"/>
      <c r="M30" s="25"/>
      <c r="N30" s="25"/>
      <c r="O30" s="25"/>
      <c r="P30" s="25"/>
      <c r="Q30" s="25"/>
      <c r="R30" s="25"/>
      <c r="AL30" s="353"/>
      <c r="AM30" s="353"/>
      <c r="AN30" s="1"/>
    </row>
    <row r="31" spans="1:41" s="29" customFormat="1" ht="15.6" hidden="1">
      <c r="A31" s="208"/>
      <c r="B31" s="26" t="s">
        <v>368</v>
      </c>
      <c r="C31" s="26" t="s">
        <v>369</v>
      </c>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K31" s="354"/>
      <c r="AL31" s="353"/>
      <c r="AM31" s="353"/>
      <c r="AN31" s="1"/>
      <c r="AO31" s="1"/>
    </row>
    <row r="32" spans="1:41" s="29" customFormat="1" ht="16.2" hidden="1">
      <c r="A32" s="26"/>
      <c r="B32" s="234">
        <v>0.14000000000000001</v>
      </c>
      <c r="C32" s="234">
        <v>1.42</v>
      </c>
      <c r="D32" s="234"/>
      <c r="E32" s="26" t="s">
        <v>688</v>
      </c>
      <c r="F32" s="26"/>
      <c r="G32" s="26"/>
      <c r="H32" s="26"/>
      <c r="I32" s="26"/>
      <c r="J32" s="26"/>
      <c r="K32" s="26"/>
      <c r="L32" s="26"/>
      <c r="M32" s="26"/>
      <c r="N32" s="26"/>
      <c r="O32" s="26"/>
      <c r="P32" s="26"/>
      <c r="Q32" s="26"/>
      <c r="R32" s="26"/>
      <c r="S32" s="26"/>
      <c r="T32" s="26"/>
      <c r="U32" s="26"/>
      <c r="V32" s="26"/>
      <c r="W32" s="26"/>
      <c r="X32" s="26"/>
      <c r="Y32" s="26"/>
      <c r="Z32" s="26"/>
      <c r="AA32" s="26"/>
      <c r="AB32" s="26"/>
      <c r="AC32" s="26"/>
      <c r="AK32" s="354"/>
      <c r="AL32" s="353"/>
      <c r="AM32" s="353"/>
      <c r="AN32" s="1"/>
      <c r="AO32" s="1"/>
    </row>
    <row r="33" spans="1:41" s="29" customFormat="1" ht="16.2" hidden="1">
      <c r="A33" s="26" t="s">
        <v>433</v>
      </c>
      <c r="B33" s="234">
        <v>0.18</v>
      </c>
      <c r="C33" s="234">
        <v>1.84</v>
      </c>
      <c r="D33" s="234"/>
      <c r="E33" s="26" t="s">
        <v>689</v>
      </c>
      <c r="F33" s="26"/>
      <c r="G33" s="26"/>
      <c r="H33" s="26"/>
      <c r="I33" s="26"/>
      <c r="J33" s="26"/>
      <c r="K33" s="26"/>
      <c r="L33" s="26"/>
      <c r="M33" s="26"/>
      <c r="N33" s="26"/>
      <c r="O33" s="26"/>
      <c r="P33" s="26"/>
      <c r="Q33" s="26"/>
      <c r="R33" s="26"/>
      <c r="S33" s="26"/>
      <c r="T33" s="26"/>
      <c r="U33" s="26"/>
      <c r="V33" s="26"/>
      <c r="W33" s="26"/>
      <c r="X33" s="26"/>
      <c r="Y33" s="26"/>
      <c r="Z33" s="26"/>
      <c r="AA33" s="26"/>
      <c r="AB33" s="26"/>
      <c r="AC33" s="26"/>
      <c r="AK33" s="354"/>
      <c r="AL33" s="353"/>
      <c r="AM33" s="353"/>
      <c r="AN33" s="1"/>
      <c r="AO33" s="1"/>
    </row>
    <row r="34" spans="1:41" s="29" customFormat="1" ht="16.2" hidden="1">
      <c r="A34" s="26" t="s">
        <v>365</v>
      </c>
      <c r="B34" s="234">
        <v>0.31</v>
      </c>
      <c r="C34" s="234">
        <v>3.1</v>
      </c>
      <c r="D34" s="234"/>
      <c r="E34" s="26" t="s">
        <v>690</v>
      </c>
      <c r="F34" s="26"/>
      <c r="G34" s="26"/>
      <c r="H34" s="26"/>
      <c r="I34" s="26"/>
      <c r="J34" s="26"/>
      <c r="K34" s="26"/>
      <c r="L34" s="26"/>
      <c r="M34" s="26"/>
      <c r="N34" s="26"/>
      <c r="O34" s="26"/>
      <c r="P34" s="26"/>
      <c r="Q34" s="26"/>
      <c r="R34" s="26"/>
      <c r="S34" s="26"/>
      <c r="T34" s="26"/>
      <c r="U34" s="26"/>
      <c r="V34" s="26"/>
      <c r="W34" s="26"/>
      <c r="X34" s="26"/>
      <c r="Y34" s="26"/>
      <c r="Z34" s="26"/>
      <c r="AA34" s="26"/>
      <c r="AB34" s="26"/>
      <c r="AC34" s="26"/>
      <c r="AK34" s="354"/>
      <c r="AL34" s="353"/>
      <c r="AM34" s="353"/>
      <c r="AN34" s="1"/>
      <c r="AO34" s="1"/>
    </row>
    <row r="35" spans="1:41" s="29" customFormat="1" ht="16.2" hidden="1">
      <c r="A35" s="26" t="s">
        <v>83</v>
      </c>
      <c r="B35" s="234">
        <v>0.22</v>
      </c>
      <c r="C35" s="234">
        <v>2.21</v>
      </c>
      <c r="D35" s="234"/>
      <c r="E35" s="26" t="s">
        <v>691</v>
      </c>
      <c r="F35" s="26"/>
      <c r="G35" s="26"/>
      <c r="H35" s="26"/>
      <c r="I35" s="26"/>
      <c r="J35" s="26"/>
      <c r="K35" s="26"/>
      <c r="L35" s="26"/>
      <c r="M35" s="26"/>
      <c r="N35" s="26"/>
      <c r="O35" s="26"/>
      <c r="P35" s="26"/>
      <c r="Q35" s="26"/>
      <c r="R35" s="26"/>
      <c r="S35" s="26"/>
      <c r="T35" s="26"/>
      <c r="U35" s="26"/>
      <c r="V35" s="26"/>
      <c r="W35" s="26"/>
      <c r="X35" s="26"/>
      <c r="Y35" s="26"/>
      <c r="Z35" s="26"/>
      <c r="AA35" s="26"/>
      <c r="AB35" s="26"/>
      <c r="AC35" s="26"/>
      <c r="AK35" s="354"/>
      <c r="AL35" s="353"/>
      <c r="AM35" s="353"/>
      <c r="AN35" s="1"/>
      <c r="AO35" s="1"/>
    </row>
    <row r="36" spans="1:41" s="29" customFormat="1" ht="16.2" hidden="1">
      <c r="A36" s="26" t="s">
        <v>366</v>
      </c>
      <c r="B36" s="356">
        <v>0.5</v>
      </c>
      <c r="C36" s="234">
        <v>4.0599999999999996</v>
      </c>
      <c r="D36" s="234"/>
      <c r="E36" s="26" t="s">
        <v>692</v>
      </c>
      <c r="F36" s="26"/>
      <c r="G36" s="26"/>
      <c r="H36" s="26"/>
      <c r="I36" s="26"/>
      <c r="J36" s="26"/>
      <c r="K36" s="26"/>
      <c r="L36" s="26"/>
      <c r="M36" s="26"/>
      <c r="N36" s="26"/>
      <c r="O36" s="26"/>
      <c r="P36" s="26"/>
      <c r="Q36" s="26"/>
      <c r="R36" s="26"/>
      <c r="S36" s="26"/>
      <c r="T36" s="26"/>
      <c r="U36" s="26"/>
      <c r="V36" s="26"/>
      <c r="W36" s="26"/>
      <c r="X36" s="26"/>
      <c r="Y36" s="26"/>
      <c r="Z36" s="26"/>
      <c r="AA36" s="26"/>
      <c r="AB36" s="26"/>
      <c r="AC36" s="26"/>
      <c r="AK36" s="354"/>
      <c r="AL36" s="353"/>
      <c r="AM36" s="353"/>
      <c r="AN36" s="1"/>
      <c r="AO36" s="1"/>
    </row>
    <row r="37" spans="1:41" s="29" customFormat="1" hidden="1">
      <c r="A37" s="26" t="s">
        <v>84</v>
      </c>
      <c r="B37" s="234">
        <v>0.3</v>
      </c>
      <c r="C37" s="234">
        <v>2.97</v>
      </c>
      <c r="D37" s="234"/>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K37" s="354"/>
      <c r="AL37" s="353"/>
      <c r="AM37" s="353"/>
      <c r="AN37" s="1"/>
      <c r="AO37" s="1"/>
    </row>
    <row r="38" spans="1:41" s="29" customFormat="1" hidden="1">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K38" s="354"/>
      <c r="AL38" s="353"/>
      <c r="AM38" s="353"/>
      <c r="AN38" s="1"/>
      <c r="AO38" s="1"/>
    </row>
    <row r="39" spans="1:41" s="29" customFormat="1" hidden="1">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K39" s="354"/>
      <c r="AL39" s="353"/>
      <c r="AM39" s="353"/>
      <c r="AN39" s="1"/>
      <c r="AO39" s="1"/>
    </row>
    <row r="40" spans="1:41" ht="21">
      <c r="A40" s="237" t="s">
        <v>766</v>
      </c>
      <c r="B40" s="26"/>
      <c r="C40" s="26"/>
      <c r="D40" s="26"/>
      <c r="E40" s="26"/>
      <c r="F40" s="26"/>
      <c r="G40" s="26"/>
      <c r="H40" s="26"/>
      <c r="I40" s="26"/>
      <c r="J40" s="26"/>
      <c r="K40" s="26"/>
      <c r="L40" s="26"/>
      <c r="M40" s="26"/>
      <c r="N40" s="26"/>
      <c r="O40" s="26"/>
      <c r="P40" s="26"/>
      <c r="Q40" s="26"/>
      <c r="R40" s="26"/>
      <c r="S40" s="26"/>
      <c r="T40" s="26"/>
      <c r="U40" s="26"/>
      <c r="V40" s="26"/>
      <c r="W40" s="26"/>
      <c r="X40" s="235"/>
      <c r="AL40" s="353"/>
      <c r="AM40" s="353"/>
      <c r="AN40" s="1"/>
    </row>
    <row r="41" spans="1:41" ht="18">
      <c r="A41" s="236" t="s">
        <v>695</v>
      </c>
      <c r="B41" s="26"/>
      <c r="C41" s="26"/>
      <c r="D41" s="26"/>
      <c r="E41" s="26"/>
      <c r="F41" s="26"/>
      <c r="G41" s="26"/>
      <c r="H41" s="26"/>
      <c r="I41" s="26"/>
      <c r="J41" s="26"/>
      <c r="K41" s="26"/>
      <c r="L41" s="26"/>
      <c r="M41" s="26"/>
      <c r="N41" s="26"/>
      <c r="O41" s="26"/>
      <c r="P41" s="26"/>
      <c r="Q41" s="26"/>
      <c r="R41" s="26"/>
      <c r="S41" s="26"/>
      <c r="T41" s="26"/>
      <c r="U41" s="26"/>
      <c r="V41" s="26"/>
      <c r="W41" s="26"/>
      <c r="X41" s="235"/>
      <c r="AL41" s="353"/>
      <c r="AM41" s="353"/>
      <c r="AN41" s="1"/>
    </row>
    <row r="42" spans="1:41" ht="39.75" customHeight="1" thickBot="1">
      <c r="A42" s="238"/>
      <c r="B42" s="26"/>
      <c r="C42" s="26"/>
      <c r="D42" s="26"/>
      <c r="E42" s="26"/>
      <c r="F42" s="26"/>
      <c r="G42" s="26"/>
      <c r="H42" s="26"/>
      <c r="I42" s="26"/>
      <c r="J42" s="26"/>
      <c r="K42" s="26"/>
      <c r="L42" s="26"/>
      <c r="M42" s="26"/>
      <c r="N42" s="26"/>
      <c r="O42" s="26"/>
      <c r="P42" s="26"/>
      <c r="Q42" s="26"/>
      <c r="R42" s="26"/>
      <c r="T42" s="26"/>
      <c r="U42" s="26"/>
      <c r="V42" s="26"/>
      <c r="W42" s="26"/>
      <c r="X42" s="235"/>
      <c r="AL42" s="353"/>
      <c r="AM42" s="353"/>
      <c r="AN42" s="1"/>
    </row>
    <row r="43" spans="1:41" ht="16.2" thickBot="1">
      <c r="A43" s="250" t="s">
        <v>382</v>
      </c>
      <c r="B43" s="293" t="s">
        <v>706</v>
      </c>
      <c r="C43" s="294"/>
      <c r="D43" s="250" t="s">
        <v>708</v>
      </c>
      <c r="E43" s="250" t="s">
        <v>707</v>
      </c>
      <c r="F43" s="250" t="s">
        <v>693</v>
      </c>
      <c r="G43" s="279"/>
      <c r="H43" s="279"/>
      <c r="I43" s="279"/>
      <c r="J43" s="279"/>
      <c r="K43" s="279"/>
      <c r="L43" s="279"/>
      <c r="M43" s="279"/>
      <c r="N43" s="279"/>
      <c r="O43" s="279"/>
      <c r="P43" s="279"/>
      <c r="Q43" s="554" t="s">
        <v>721</v>
      </c>
      <c r="R43" s="555"/>
      <c r="S43" s="298" t="s">
        <v>382</v>
      </c>
      <c r="T43" s="299">
        <v>1</v>
      </c>
      <c r="U43" s="299">
        <v>2</v>
      </c>
      <c r="V43" s="299">
        <v>3</v>
      </c>
      <c r="W43" s="298">
        <v>4</v>
      </c>
      <c r="X43" s="298">
        <v>5</v>
      </c>
      <c r="Y43" s="298">
        <v>6</v>
      </c>
      <c r="Z43" s="298">
        <v>7</v>
      </c>
      <c r="AA43" s="298">
        <v>8</v>
      </c>
      <c r="AB43" s="302">
        <v>9</v>
      </c>
      <c r="AL43" s="353"/>
      <c r="AM43" s="353"/>
      <c r="AN43" s="1"/>
    </row>
    <row r="44" spans="1:41" ht="15" thickBot="1">
      <c r="A44" s="246"/>
      <c r="B44" s="285"/>
      <c r="C44" s="289"/>
      <c r="D44" s="246"/>
      <c r="E44" s="246"/>
      <c r="F44" s="358"/>
      <c r="G44" s="279"/>
      <c r="H44" s="299" t="b">
        <v>0</v>
      </c>
      <c r="I44" s="299" t="b">
        <v>0</v>
      </c>
      <c r="J44" s="299" t="b">
        <v>0</v>
      </c>
      <c r="K44" s="299" t="b">
        <v>0</v>
      </c>
      <c r="L44" s="298" t="b">
        <v>0</v>
      </c>
      <c r="M44" s="298" t="b">
        <v>0</v>
      </c>
      <c r="N44" s="298" t="b">
        <v>0</v>
      </c>
      <c r="O44" s="298" t="b">
        <v>0</v>
      </c>
      <c r="P44" s="279"/>
      <c r="Q44" s="300" t="str">
        <f>$B$11</f>
        <v/>
      </c>
      <c r="R44" s="300" t="str">
        <f>$B$10</f>
        <v>NOM DE L'ENTITÉ</v>
      </c>
      <c r="S44" s="298">
        <f>A44</f>
        <v>0</v>
      </c>
      <c r="T44" s="301" t="str">
        <f>IF(H44=FALSE,"",H44)</f>
        <v/>
      </c>
      <c r="U44" s="301" t="str">
        <f t="shared" ref="U44:AA44" si="0">IF(I44=FALSE,"",I44)</f>
        <v/>
      </c>
      <c r="V44" s="301" t="str">
        <f t="shared" si="0"/>
        <v/>
      </c>
      <c r="W44" s="301" t="str">
        <f t="shared" si="0"/>
        <v/>
      </c>
      <c r="X44" s="301" t="str">
        <f t="shared" si="0"/>
        <v/>
      </c>
      <c r="Y44" s="301" t="str">
        <f t="shared" si="0"/>
        <v/>
      </c>
      <c r="Z44" s="301" t="str">
        <f t="shared" si="0"/>
        <v/>
      </c>
      <c r="AA44" s="301" t="str">
        <f t="shared" si="0"/>
        <v/>
      </c>
      <c r="AB44" s="303">
        <f>F44</f>
        <v>0</v>
      </c>
      <c r="AL44" s="353"/>
      <c r="AM44" s="353"/>
      <c r="AN44" s="1"/>
    </row>
    <row r="45" spans="1:41" ht="15" thickBot="1">
      <c r="A45" s="247"/>
      <c r="B45" s="286"/>
      <c r="C45" s="290"/>
      <c r="D45" s="247"/>
      <c r="E45" s="247"/>
      <c r="F45" s="358"/>
      <c r="G45" s="279"/>
      <c r="H45" s="299" t="b">
        <v>0</v>
      </c>
      <c r="I45" s="299" t="b">
        <v>0</v>
      </c>
      <c r="J45" s="299" t="b">
        <v>0</v>
      </c>
      <c r="K45" s="299" t="b">
        <v>0</v>
      </c>
      <c r="L45" s="298" t="b">
        <v>0</v>
      </c>
      <c r="M45" s="298" t="b">
        <v>0</v>
      </c>
      <c r="N45" s="298" t="b">
        <v>0</v>
      </c>
      <c r="O45" s="298" t="b">
        <v>0</v>
      </c>
      <c r="P45" s="279"/>
      <c r="Q45" s="300" t="str">
        <f t="shared" ref="Q45:Q53" si="1">$B$11</f>
        <v/>
      </c>
      <c r="R45" s="300" t="str">
        <f t="shared" ref="R45:R53" si="2">$B$10</f>
        <v>NOM DE L'ENTITÉ</v>
      </c>
      <c r="S45" s="298">
        <f t="shared" ref="S45:S53" si="3">A45</f>
        <v>0</v>
      </c>
      <c r="T45" s="301" t="str">
        <f t="shared" ref="T45:T53" si="4">IF(H45=FALSE,"",H45)</f>
        <v/>
      </c>
      <c r="U45" s="301" t="str">
        <f t="shared" ref="U45:U53" si="5">IF(I45=FALSE,"",I45)</f>
        <v/>
      </c>
      <c r="V45" s="301" t="str">
        <f t="shared" ref="V45:V53" si="6">IF(J45=FALSE,"",J45)</f>
        <v/>
      </c>
      <c r="W45" s="301" t="str">
        <f t="shared" ref="W45:W53" si="7">IF(K45=FALSE,"",K45)</f>
        <v/>
      </c>
      <c r="X45" s="301" t="str">
        <f t="shared" ref="X45:X53" si="8">IF(L45=FALSE,"",L45)</f>
        <v/>
      </c>
      <c r="Y45" s="301" t="str">
        <f t="shared" ref="Y45:Y53" si="9">IF(M45=FALSE,"",M45)</f>
        <v/>
      </c>
      <c r="Z45" s="301" t="str">
        <f t="shared" ref="Z45:AA53" si="10">IF(N45=FALSE,"",N45)</f>
        <v/>
      </c>
      <c r="AA45" s="301" t="str">
        <f t="shared" si="10"/>
        <v/>
      </c>
      <c r="AB45" s="303">
        <f t="shared" ref="AB45:AB53" si="11">F45</f>
        <v>0</v>
      </c>
      <c r="AL45" s="353"/>
      <c r="AM45" s="353"/>
      <c r="AN45" s="1"/>
    </row>
    <row r="46" spans="1:41" ht="15" thickBot="1">
      <c r="A46" s="247"/>
      <c r="B46" s="286"/>
      <c r="C46" s="290"/>
      <c r="D46" s="247"/>
      <c r="E46" s="247"/>
      <c r="F46" s="358"/>
      <c r="G46" s="279"/>
      <c r="H46" s="299" t="b">
        <v>0</v>
      </c>
      <c r="I46" s="299" t="b">
        <v>0</v>
      </c>
      <c r="J46" s="299" t="b">
        <v>0</v>
      </c>
      <c r="K46" s="299" t="b">
        <v>0</v>
      </c>
      <c r="L46" s="298" t="b">
        <v>0</v>
      </c>
      <c r="M46" s="298" t="b">
        <v>0</v>
      </c>
      <c r="N46" s="298" t="b">
        <v>0</v>
      </c>
      <c r="O46" s="298" t="b">
        <v>0</v>
      </c>
      <c r="P46" s="279"/>
      <c r="Q46" s="300" t="str">
        <f t="shared" si="1"/>
        <v/>
      </c>
      <c r="R46" s="300" t="str">
        <f t="shared" si="2"/>
        <v>NOM DE L'ENTITÉ</v>
      </c>
      <c r="S46" s="298">
        <f t="shared" si="3"/>
        <v>0</v>
      </c>
      <c r="T46" s="301" t="str">
        <f t="shared" si="4"/>
        <v/>
      </c>
      <c r="U46" s="301" t="str">
        <f t="shared" si="5"/>
        <v/>
      </c>
      <c r="V46" s="301" t="str">
        <f t="shared" si="6"/>
        <v/>
      </c>
      <c r="W46" s="301" t="str">
        <f t="shared" si="7"/>
        <v/>
      </c>
      <c r="X46" s="301" t="str">
        <f t="shared" si="8"/>
        <v/>
      </c>
      <c r="Y46" s="301" t="str">
        <f t="shared" si="9"/>
        <v/>
      </c>
      <c r="Z46" s="301" t="str">
        <f t="shared" si="10"/>
        <v/>
      </c>
      <c r="AA46" s="301" t="str">
        <f t="shared" si="10"/>
        <v/>
      </c>
      <c r="AB46" s="303">
        <f t="shared" si="11"/>
        <v>0</v>
      </c>
      <c r="AL46" s="353"/>
      <c r="AM46" s="353"/>
      <c r="AN46" s="1"/>
    </row>
    <row r="47" spans="1:41" ht="15" thickBot="1">
      <c r="A47" s="247"/>
      <c r="B47" s="286"/>
      <c r="C47" s="290"/>
      <c r="D47" s="247"/>
      <c r="E47" s="247"/>
      <c r="F47" s="358"/>
      <c r="G47" s="279"/>
      <c r="H47" s="299" t="b">
        <v>0</v>
      </c>
      <c r="I47" s="299" t="b">
        <v>0</v>
      </c>
      <c r="J47" s="299" t="b">
        <v>0</v>
      </c>
      <c r="K47" s="299" t="b">
        <v>0</v>
      </c>
      <c r="L47" s="298" t="b">
        <v>0</v>
      </c>
      <c r="M47" s="298" t="b">
        <v>0</v>
      </c>
      <c r="N47" s="298" t="b">
        <v>0</v>
      </c>
      <c r="O47" s="298" t="b">
        <v>0</v>
      </c>
      <c r="P47" s="279"/>
      <c r="Q47" s="300" t="str">
        <f t="shared" si="1"/>
        <v/>
      </c>
      <c r="R47" s="300" t="str">
        <f t="shared" si="2"/>
        <v>NOM DE L'ENTITÉ</v>
      </c>
      <c r="S47" s="298">
        <f t="shared" si="3"/>
        <v>0</v>
      </c>
      <c r="T47" s="301" t="str">
        <f t="shared" si="4"/>
        <v/>
      </c>
      <c r="U47" s="301" t="str">
        <f t="shared" si="5"/>
        <v/>
      </c>
      <c r="V47" s="301" t="str">
        <f t="shared" si="6"/>
        <v/>
      </c>
      <c r="W47" s="301" t="str">
        <f t="shared" si="7"/>
        <v/>
      </c>
      <c r="X47" s="301" t="str">
        <f t="shared" si="8"/>
        <v/>
      </c>
      <c r="Y47" s="301" t="str">
        <f t="shared" si="9"/>
        <v/>
      </c>
      <c r="Z47" s="301" t="str">
        <f t="shared" si="10"/>
        <v/>
      </c>
      <c r="AA47" s="301" t="str">
        <f t="shared" si="10"/>
        <v/>
      </c>
      <c r="AB47" s="303">
        <f t="shared" si="11"/>
        <v>0</v>
      </c>
      <c r="AL47" s="353"/>
      <c r="AM47" s="353"/>
      <c r="AN47" s="1"/>
    </row>
    <row r="48" spans="1:41" ht="15" thickBot="1">
      <c r="A48" s="248"/>
      <c r="B48" s="287"/>
      <c r="C48" s="291"/>
      <c r="D48" s="248"/>
      <c r="E48" s="248"/>
      <c r="F48" s="358"/>
      <c r="G48" s="281"/>
      <c r="H48" s="298" t="b">
        <v>0</v>
      </c>
      <c r="I48" s="298" t="b">
        <v>0</v>
      </c>
      <c r="J48" s="298" t="b">
        <v>0</v>
      </c>
      <c r="K48" s="298" t="b">
        <v>0</v>
      </c>
      <c r="L48" s="298" t="b">
        <v>0</v>
      </c>
      <c r="M48" s="298" t="b">
        <v>0</v>
      </c>
      <c r="N48" s="298" t="b">
        <v>0</v>
      </c>
      <c r="O48" s="298" t="b">
        <v>0</v>
      </c>
      <c r="P48" s="281"/>
      <c r="Q48" s="300" t="str">
        <f t="shared" si="1"/>
        <v/>
      </c>
      <c r="R48" s="300" t="str">
        <f t="shared" si="2"/>
        <v>NOM DE L'ENTITÉ</v>
      </c>
      <c r="S48" s="298">
        <f t="shared" si="3"/>
        <v>0</v>
      </c>
      <c r="T48" s="301" t="str">
        <f t="shared" si="4"/>
        <v/>
      </c>
      <c r="U48" s="301" t="str">
        <f t="shared" si="5"/>
        <v/>
      </c>
      <c r="V48" s="301" t="str">
        <f t="shared" si="6"/>
        <v/>
      </c>
      <c r="W48" s="301" t="str">
        <f t="shared" si="7"/>
        <v/>
      </c>
      <c r="X48" s="301" t="str">
        <f t="shared" si="8"/>
        <v/>
      </c>
      <c r="Y48" s="301" t="str">
        <f t="shared" si="9"/>
        <v/>
      </c>
      <c r="Z48" s="301" t="str">
        <f t="shared" si="10"/>
        <v/>
      </c>
      <c r="AA48" s="301" t="str">
        <f t="shared" si="10"/>
        <v/>
      </c>
      <c r="AB48" s="303">
        <f t="shared" si="11"/>
        <v>0</v>
      </c>
      <c r="AL48" s="353"/>
      <c r="AM48" s="353"/>
      <c r="AN48" s="1"/>
    </row>
    <row r="49" spans="1:40" ht="15" thickBot="1">
      <c r="A49" s="248"/>
      <c r="B49" s="287"/>
      <c r="C49" s="291"/>
      <c r="D49" s="248"/>
      <c r="E49" s="248"/>
      <c r="F49" s="358"/>
      <c r="G49" s="281"/>
      <c r="H49" s="298" t="b">
        <v>0</v>
      </c>
      <c r="I49" s="298" t="b">
        <v>0</v>
      </c>
      <c r="J49" s="298" t="b">
        <v>0</v>
      </c>
      <c r="K49" s="298" t="b">
        <v>0</v>
      </c>
      <c r="L49" s="298" t="b">
        <v>0</v>
      </c>
      <c r="M49" s="298" t="b">
        <v>0</v>
      </c>
      <c r="N49" s="298" t="b">
        <v>0</v>
      </c>
      <c r="O49" s="298" t="b">
        <v>0</v>
      </c>
      <c r="P49" s="281"/>
      <c r="Q49" s="300" t="str">
        <f t="shared" si="1"/>
        <v/>
      </c>
      <c r="R49" s="300" t="str">
        <f t="shared" si="2"/>
        <v>NOM DE L'ENTITÉ</v>
      </c>
      <c r="S49" s="298">
        <f t="shared" si="3"/>
        <v>0</v>
      </c>
      <c r="T49" s="301" t="str">
        <f t="shared" si="4"/>
        <v/>
      </c>
      <c r="U49" s="301" t="str">
        <f t="shared" si="5"/>
        <v/>
      </c>
      <c r="V49" s="301" t="str">
        <f t="shared" si="6"/>
        <v/>
      </c>
      <c r="W49" s="301" t="str">
        <f t="shared" si="7"/>
        <v/>
      </c>
      <c r="X49" s="301" t="str">
        <f t="shared" si="8"/>
        <v/>
      </c>
      <c r="Y49" s="301" t="str">
        <f t="shared" si="9"/>
        <v/>
      </c>
      <c r="Z49" s="301" t="str">
        <f t="shared" si="10"/>
        <v/>
      </c>
      <c r="AA49" s="301" t="str">
        <f t="shared" si="10"/>
        <v/>
      </c>
      <c r="AB49" s="303">
        <f t="shared" si="11"/>
        <v>0</v>
      </c>
      <c r="AL49" s="353"/>
      <c r="AM49" s="353"/>
      <c r="AN49" s="1"/>
    </row>
    <row r="50" spans="1:40" ht="15" thickBot="1">
      <c r="A50" s="248"/>
      <c r="B50" s="287"/>
      <c r="C50" s="291"/>
      <c r="D50" s="248"/>
      <c r="E50" s="248"/>
      <c r="F50" s="358"/>
      <c r="G50" s="281"/>
      <c r="H50" s="298" t="b">
        <v>0</v>
      </c>
      <c r="I50" s="298" t="b">
        <v>0</v>
      </c>
      <c r="J50" s="298" t="b">
        <v>0</v>
      </c>
      <c r="K50" s="298" t="b">
        <v>0</v>
      </c>
      <c r="L50" s="298" t="b">
        <v>0</v>
      </c>
      <c r="M50" s="298" t="b">
        <v>0</v>
      </c>
      <c r="N50" s="298" t="b">
        <v>0</v>
      </c>
      <c r="O50" s="298" t="b">
        <v>0</v>
      </c>
      <c r="P50" s="281"/>
      <c r="Q50" s="300" t="str">
        <f t="shared" si="1"/>
        <v/>
      </c>
      <c r="R50" s="300" t="str">
        <f t="shared" si="2"/>
        <v>NOM DE L'ENTITÉ</v>
      </c>
      <c r="S50" s="298">
        <f t="shared" si="3"/>
        <v>0</v>
      </c>
      <c r="T50" s="301" t="str">
        <f t="shared" si="4"/>
        <v/>
      </c>
      <c r="U50" s="301" t="str">
        <f t="shared" si="5"/>
        <v/>
      </c>
      <c r="V50" s="301" t="str">
        <f t="shared" si="6"/>
        <v/>
      </c>
      <c r="W50" s="301" t="str">
        <f t="shared" si="7"/>
        <v/>
      </c>
      <c r="X50" s="301" t="str">
        <f t="shared" si="8"/>
        <v/>
      </c>
      <c r="Y50" s="301" t="str">
        <f t="shared" si="9"/>
        <v/>
      </c>
      <c r="Z50" s="301" t="str">
        <f t="shared" si="10"/>
        <v/>
      </c>
      <c r="AA50" s="301" t="str">
        <f t="shared" si="10"/>
        <v/>
      </c>
      <c r="AB50" s="303">
        <f t="shared" si="11"/>
        <v>0</v>
      </c>
      <c r="AL50" s="353"/>
      <c r="AM50" s="353"/>
      <c r="AN50" s="1"/>
    </row>
    <row r="51" spans="1:40" ht="15" thickBot="1">
      <c r="A51" s="248"/>
      <c r="B51" s="287"/>
      <c r="C51" s="291"/>
      <c r="D51" s="248"/>
      <c r="E51" s="248"/>
      <c r="F51" s="358"/>
      <c r="G51" s="281"/>
      <c r="H51" s="298" t="b">
        <v>0</v>
      </c>
      <c r="I51" s="298" t="b">
        <v>0</v>
      </c>
      <c r="J51" s="298" t="b">
        <v>0</v>
      </c>
      <c r="K51" s="298" t="b">
        <v>0</v>
      </c>
      <c r="L51" s="298" t="b">
        <v>0</v>
      </c>
      <c r="M51" s="298" t="b">
        <v>0</v>
      </c>
      <c r="N51" s="298" t="b">
        <v>0</v>
      </c>
      <c r="O51" s="298" t="b">
        <v>0</v>
      </c>
      <c r="P51" s="281"/>
      <c r="Q51" s="300" t="str">
        <f t="shared" si="1"/>
        <v/>
      </c>
      <c r="R51" s="300" t="str">
        <f t="shared" si="2"/>
        <v>NOM DE L'ENTITÉ</v>
      </c>
      <c r="S51" s="298">
        <f t="shared" si="3"/>
        <v>0</v>
      </c>
      <c r="T51" s="301" t="str">
        <f t="shared" si="4"/>
        <v/>
      </c>
      <c r="U51" s="301" t="str">
        <f t="shared" si="5"/>
        <v/>
      </c>
      <c r="V51" s="301" t="str">
        <f t="shared" si="6"/>
        <v/>
      </c>
      <c r="W51" s="301" t="str">
        <f t="shared" si="7"/>
        <v/>
      </c>
      <c r="X51" s="301" t="str">
        <f t="shared" si="8"/>
        <v/>
      </c>
      <c r="Y51" s="301" t="str">
        <f t="shared" si="9"/>
        <v/>
      </c>
      <c r="Z51" s="301" t="str">
        <f t="shared" si="10"/>
        <v/>
      </c>
      <c r="AA51" s="301" t="str">
        <f t="shared" si="10"/>
        <v/>
      </c>
      <c r="AB51" s="303">
        <f t="shared" si="11"/>
        <v>0</v>
      </c>
      <c r="AL51" s="353"/>
      <c r="AM51" s="353"/>
      <c r="AN51" s="1"/>
    </row>
    <row r="52" spans="1:40" ht="15" thickBot="1">
      <c r="A52" s="248"/>
      <c r="B52" s="287"/>
      <c r="C52" s="291"/>
      <c r="D52" s="248"/>
      <c r="E52" s="248"/>
      <c r="F52" s="358"/>
      <c r="G52" s="281"/>
      <c r="H52" s="298" t="b">
        <v>0</v>
      </c>
      <c r="I52" s="298" t="b">
        <v>0</v>
      </c>
      <c r="J52" s="298" t="b">
        <v>0</v>
      </c>
      <c r="K52" s="298" t="b">
        <v>0</v>
      </c>
      <c r="L52" s="298" t="b">
        <v>0</v>
      </c>
      <c r="M52" s="298" t="b">
        <v>0</v>
      </c>
      <c r="N52" s="298" t="b">
        <v>0</v>
      </c>
      <c r="O52" s="298" t="b">
        <v>0</v>
      </c>
      <c r="P52" s="281"/>
      <c r="Q52" s="300" t="str">
        <f t="shared" si="1"/>
        <v/>
      </c>
      <c r="R52" s="300" t="str">
        <f t="shared" si="2"/>
        <v>NOM DE L'ENTITÉ</v>
      </c>
      <c r="S52" s="298">
        <f t="shared" si="3"/>
        <v>0</v>
      </c>
      <c r="T52" s="301" t="str">
        <f t="shared" si="4"/>
        <v/>
      </c>
      <c r="U52" s="301" t="str">
        <f t="shared" si="5"/>
        <v/>
      </c>
      <c r="V52" s="301" t="str">
        <f t="shared" si="6"/>
        <v/>
      </c>
      <c r="W52" s="301" t="str">
        <f t="shared" si="7"/>
        <v/>
      </c>
      <c r="X52" s="301" t="str">
        <f t="shared" si="8"/>
        <v/>
      </c>
      <c r="Y52" s="301" t="str">
        <f t="shared" si="9"/>
        <v/>
      </c>
      <c r="Z52" s="301" t="str">
        <f t="shared" si="10"/>
        <v/>
      </c>
      <c r="AA52" s="301" t="str">
        <f t="shared" si="10"/>
        <v/>
      </c>
      <c r="AB52" s="303">
        <f t="shared" si="11"/>
        <v>0</v>
      </c>
      <c r="AL52" s="353"/>
      <c r="AM52" s="353"/>
      <c r="AN52" s="1"/>
    </row>
    <row r="53" spans="1:40" ht="15" thickBot="1">
      <c r="A53" s="249"/>
      <c r="B53" s="288"/>
      <c r="C53" s="292"/>
      <c r="D53" s="249"/>
      <c r="E53" s="249"/>
      <c r="F53" s="358"/>
      <c r="G53" s="281"/>
      <c r="H53" s="298" t="b">
        <v>0</v>
      </c>
      <c r="I53" s="298" t="b">
        <v>0</v>
      </c>
      <c r="J53" s="298" t="b">
        <v>0</v>
      </c>
      <c r="K53" s="298" t="b">
        <v>0</v>
      </c>
      <c r="L53" s="298" t="b">
        <v>0</v>
      </c>
      <c r="M53" s="298" t="b">
        <v>0</v>
      </c>
      <c r="N53" s="298" t="b">
        <v>0</v>
      </c>
      <c r="O53" s="298" t="b">
        <v>0</v>
      </c>
      <c r="P53" s="281"/>
      <c r="Q53" s="300" t="str">
        <f t="shared" si="1"/>
        <v/>
      </c>
      <c r="R53" s="300" t="str">
        <f t="shared" si="2"/>
        <v>NOM DE L'ENTITÉ</v>
      </c>
      <c r="S53" s="298">
        <f t="shared" si="3"/>
        <v>0</v>
      </c>
      <c r="T53" s="301" t="str">
        <f t="shared" si="4"/>
        <v/>
      </c>
      <c r="U53" s="301" t="str">
        <f t="shared" si="5"/>
        <v/>
      </c>
      <c r="V53" s="301" t="str">
        <f t="shared" si="6"/>
        <v/>
      </c>
      <c r="W53" s="301" t="str">
        <f t="shared" si="7"/>
        <v/>
      </c>
      <c r="X53" s="301" t="str">
        <f t="shared" si="8"/>
        <v/>
      </c>
      <c r="Y53" s="301" t="str">
        <f t="shared" si="9"/>
        <v/>
      </c>
      <c r="Z53" s="301" t="str">
        <f t="shared" si="10"/>
        <v/>
      </c>
      <c r="AA53" s="301" t="str">
        <f t="shared" si="10"/>
        <v/>
      </c>
      <c r="AB53" s="303">
        <f t="shared" si="11"/>
        <v>0</v>
      </c>
      <c r="AL53" s="353"/>
      <c r="AM53" s="353"/>
      <c r="AN53" s="1"/>
    </row>
    <row r="54" spans="1:40">
      <c r="A54" s="235"/>
      <c r="B54" s="235"/>
      <c r="C54" s="235"/>
      <c r="D54" s="235"/>
      <c r="E54" s="235"/>
      <c r="F54" s="281"/>
      <c r="G54" s="281"/>
      <c r="H54" s="281"/>
      <c r="I54" s="281"/>
      <c r="J54" s="281"/>
      <c r="K54" s="281"/>
      <c r="L54" s="281"/>
      <c r="M54" s="281"/>
      <c r="N54" s="281"/>
      <c r="O54" s="281"/>
      <c r="P54" s="281"/>
      <c r="Q54" s="281"/>
      <c r="R54" s="281"/>
      <c r="T54" s="281"/>
      <c r="U54" s="281"/>
      <c r="V54" s="281"/>
      <c r="W54" s="281"/>
      <c r="X54" s="235"/>
      <c r="AL54" s="353"/>
      <c r="AM54" s="353"/>
      <c r="AN54" s="1"/>
    </row>
    <row r="55" spans="1:40">
      <c r="A55" s="26"/>
      <c r="B55" s="235"/>
      <c r="C55" s="235"/>
      <c r="D55" s="235"/>
      <c r="E55" s="235"/>
      <c r="F55" s="281"/>
      <c r="G55" s="281"/>
      <c r="H55" s="281"/>
      <c r="I55" s="281"/>
      <c r="J55" s="281"/>
      <c r="K55" s="281"/>
      <c r="L55" s="281"/>
      <c r="M55" s="281"/>
      <c r="N55" s="281"/>
      <c r="O55" s="281"/>
      <c r="P55" s="281"/>
      <c r="Q55" s="281"/>
      <c r="R55" s="281"/>
      <c r="T55" s="281"/>
      <c r="U55" s="281"/>
      <c r="V55" s="281"/>
      <c r="W55" s="281"/>
      <c r="X55" s="235"/>
      <c r="AL55" s="353"/>
      <c r="AM55" s="353"/>
      <c r="AN55" s="1"/>
    </row>
    <row r="56" spans="1:40" ht="10.5" hidden="1" customHeight="1">
      <c r="A56" s="280" t="s">
        <v>629</v>
      </c>
      <c r="B56" s="235"/>
      <c r="C56" s="235"/>
      <c r="D56" s="235"/>
      <c r="E56" s="235"/>
      <c r="F56" s="281"/>
      <c r="G56" s="281"/>
      <c r="H56" s="281"/>
      <c r="I56" s="281"/>
      <c r="J56" s="281"/>
      <c r="K56" s="281"/>
      <c r="L56" s="281"/>
      <c r="M56" s="281"/>
      <c r="N56" s="281"/>
      <c r="O56" s="281"/>
      <c r="P56" s="281"/>
      <c r="Q56" s="281"/>
      <c r="R56" s="281"/>
      <c r="T56" s="281"/>
      <c r="U56" s="281"/>
      <c r="V56" s="281"/>
      <c r="W56" s="281"/>
      <c r="X56" s="235"/>
      <c r="AL56" s="353"/>
      <c r="AM56" s="353"/>
      <c r="AN56" s="1"/>
    </row>
    <row r="57" spans="1:40" ht="10.5" hidden="1" customHeight="1">
      <c r="A57" s="280" t="s">
        <v>343</v>
      </c>
      <c r="B57" s="235"/>
      <c r="C57" s="235"/>
      <c r="D57" s="235"/>
      <c r="E57" s="235"/>
      <c r="F57" s="281"/>
      <c r="G57" s="281"/>
      <c r="H57" s="281"/>
      <c r="I57" s="281"/>
      <c r="J57" s="281"/>
      <c r="K57" s="281"/>
      <c r="L57" s="281"/>
      <c r="M57" s="281"/>
      <c r="N57" s="281"/>
      <c r="O57" s="281"/>
      <c r="P57" s="281"/>
      <c r="Q57" s="281"/>
      <c r="R57" s="281"/>
      <c r="T57" s="281"/>
      <c r="U57" s="281"/>
      <c r="V57" s="281"/>
      <c r="W57" s="281"/>
      <c r="X57" s="235"/>
      <c r="AL57" s="353"/>
      <c r="AM57" s="353"/>
      <c r="AN57" s="1"/>
    </row>
    <row r="58" spans="1:40" ht="10.5" hidden="1" customHeight="1">
      <c r="A58" s="280" t="s">
        <v>11</v>
      </c>
      <c r="B58" s="235"/>
      <c r="C58" s="235"/>
      <c r="D58" s="235"/>
      <c r="E58" s="235"/>
      <c r="F58" s="281"/>
      <c r="G58" s="281"/>
      <c r="H58" s="281"/>
      <c r="I58" s="281"/>
      <c r="J58" s="281"/>
      <c r="K58" s="281"/>
      <c r="L58" s="281"/>
      <c r="M58" s="281"/>
      <c r="N58" s="281"/>
      <c r="O58" s="281"/>
      <c r="P58" s="281"/>
      <c r="Q58" s="281"/>
      <c r="R58" s="281"/>
      <c r="T58" s="281"/>
      <c r="U58" s="281"/>
      <c r="V58" s="281"/>
      <c r="W58" s="281"/>
      <c r="X58" s="235"/>
      <c r="AL58" s="353"/>
      <c r="AM58" s="353"/>
      <c r="AN58" s="1"/>
    </row>
    <row r="59" spans="1:40" ht="10.5" hidden="1" customHeight="1">
      <c r="A59" s="280" t="s">
        <v>12</v>
      </c>
      <c r="B59" s="235"/>
      <c r="C59" s="235"/>
      <c r="D59" s="235"/>
      <c r="E59" s="235"/>
      <c r="F59" s="281"/>
      <c r="G59" s="281"/>
      <c r="H59" s="281"/>
      <c r="I59" s="281"/>
      <c r="J59" s="281"/>
      <c r="K59" s="281"/>
      <c r="L59" s="281"/>
      <c r="M59" s="281"/>
      <c r="N59" s="281"/>
      <c r="O59" s="281"/>
      <c r="P59" s="281"/>
      <c r="Q59" s="281"/>
      <c r="R59" s="281"/>
      <c r="T59" s="281"/>
      <c r="U59" s="281"/>
      <c r="V59" s="281"/>
      <c r="W59" s="281"/>
      <c r="X59" s="235"/>
      <c r="AL59" s="353"/>
      <c r="AM59" s="353"/>
      <c r="AN59" s="1"/>
    </row>
    <row r="60" spans="1:40" ht="10.5" hidden="1" customHeight="1">
      <c r="A60" s="280" t="s">
        <v>14</v>
      </c>
      <c r="B60" s="235"/>
      <c r="C60" s="235"/>
      <c r="D60" s="235"/>
      <c r="E60" s="235"/>
      <c r="F60" s="281"/>
      <c r="G60" s="281"/>
      <c r="H60" s="281"/>
      <c r="I60" s="281"/>
      <c r="J60" s="281"/>
      <c r="K60" s="281"/>
      <c r="L60" s="281"/>
      <c r="M60" s="281"/>
      <c r="N60" s="281"/>
      <c r="O60" s="281"/>
      <c r="P60" s="281"/>
      <c r="Q60" s="281"/>
      <c r="R60" s="281"/>
      <c r="T60" s="281"/>
      <c r="U60" s="281"/>
      <c r="V60" s="281"/>
      <c r="W60" s="281"/>
      <c r="X60" s="235"/>
      <c r="AL60" s="353"/>
      <c r="AM60" s="353"/>
      <c r="AN60" s="1"/>
    </row>
    <row r="61" spans="1:40" ht="10.5" hidden="1" customHeight="1">
      <c r="A61" s="282" t="s">
        <v>15</v>
      </c>
      <c r="B61" s="235"/>
      <c r="C61" s="235"/>
      <c r="D61" s="235"/>
      <c r="E61" s="235"/>
      <c r="F61" s="281"/>
      <c r="G61" s="281"/>
      <c r="H61" s="281"/>
      <c r="I61" s="281"/>
      <c r="J61" s="281"/>
      <c r="K61" s="281"/>
      <c r="L61" s="281"/>
      <c r="M61" s="281"/>
      <c r="N61" s="281"/>
      <c r="O61" s="281"/>
      <c r="P61" s="281"/>
      <c r="Q61" s="281"/>
      <c r="R61" s="281"/>
      <c r="T61" s="281"/>
      <c r="U61" s="281"/>
      <c r="V61" s="281"/>
      <c r="W61" s="281"/>
      <c r="X61" s="235"/>
      <c r="AL61" s="353"/>
      <c r="AM61" s="353"/>
      <c r="AN61" s="1"/>
    </row>
    <row r="62" spans="1:40" ht="10.5" hidden="1" customHeight="1">
      <c r="A62" s="282" t="s">
        <v>85</v>
      </c>
      <c r="B62" s="235"/>
      <c r="C62" s="235"/>
      <c r="D62" s="235"/>
      <c r="E62" s="235"/>
      <c r="F62" s="281"/>
      <c r="G62" s="281"/>
      <c r="H62" s="281"/>
      <c r="I62" s="281"/>
      <c r="J62" s="281"/>
      <c r="K62" s="281"/>
      <c r="L62" s="281"/>
      <c r="M62" s="281"/>
      <c r="N62" s="281"/>
      <c r="O62" s="281"/>
      <c r="P62" s="281"/>
      <c r="Q62" s="281"/>
      <c r="R62" s="281"/>
      <c r="T62" s="281"/>
      <c r="U62" s="281"/>
      <c r="V62" s="281"/>
      <c r="W62" s="281"/>
      <c r="X62" s="235"/>
      <c r="AL62" s="353"/>
      <c r="AM62" s="353"/>
      <c r="AN62" s="1"/>
    </row>
    <row r="63" spans="1:40" ht="10.5" hidden="1" customHeight="1">
      <c r="A63" s="282" t="s">
        <v>86</v>
      </c>
      <c r="B63" s="235"/>
      <c r="C63" s="235"/>
      <c r="D63" s="235"/>
      <c r="E63" s="235"/>
      <c r="F63" s="281"/>
      <c r="G63" s="281"/>
      <c r="H63" s="281"/>
      <c r="I63" s="281"/>
      <c r="J63" s="281"/>
      <c r="K63" s="281"/>
      <c r="L63" s="281"/>
      <c r="M63" s="281"/>
      <c r="N63" s="281"/>
      <c r="O63" s="281"/>
      <c r="P63" s="281"/>
      <c r="Q63" s="281"/>
      <c r="R63" s="281"/>
      <c r="T63" s="281"/>
      <c r="U63" s="281"/>
      <c r="V63" s="281"/>
      <c r="W63" s="281"/>
      <c r="X63" s="235"/>
      <c r="AL63" s="353"/>
      <c r="AM63" s="353"/>
      <c r="AN63" s="1"/>
    </row>
    <row r="64" spans="1:40" ht="10.5" hidden="1" customHeight="1">
      <c r="A64" s="282" t="s">
        <v>88</v>
      </c>
      <c r="B64" s="235"/>
      <c r="C64" s="235"/>
      <c r="D64" s="235"/>
      <c r="E64" s="235"/>
      <c r="F64" s="281"/>
      <c r="G64" s="281"/>
      <c r="H64" s="281"/>
      <c r="I64" s="281"/>
      <c r="J64" s="281"/>
      <c r="K64" s="281"/>
      <c r="L64" s="281"/>
      <c r="M64" s="281"/>
      <c r="N64" s="281"/>
      <c r="O64" s="281"/>
      <c r="P64" s="281"/>
      <c r="Q64" s="281"/>
      <c r="R64" s="281"/>
      <c r="T64" s="281"/>
      <c r="U64" s="281"/>
      <c r="V64" s="281"/>
      <c r="W64" s="281"/>
      <c r="X64" s="235"/>
      <c r="AL64" s="353"/>
      <c r="AM64" s="353"/>
      <c r="AN64" s="1"/>
    </row>
    <row r="65" spans="1:40" ht="10.5" hidden="1" customHeight="1">
      <c r="A65" s="282" t="s">
        <v>89</v>
      </c>
      <c r="B65" s="235"/>
      <c r="C65" s="235"/>
      <c r="D65" s="235"/>
      <c r="E65" s="235"/>
      <c r="F65" s="281"/>
      <c r="G65" s="281"/>
      <c r="H65" s="281"/>
      <c r="I65" s="281"/>
      <c r="J65" s="281"/>
      <c r="K65" s="281"/>
      <c r="L65" s="281"/>
      <c r="M65" s="281"/>
      <c r="N65" s="281"/>
      <c r="O65" s="281"/>
      <c r="P65" s="281"/>
      <c r="Q65" s="281"/>
      <c r="R65" s="281"/>
      <c r="T65" s="281"/>
      <c r="U65" s="281"/>
      <c r="V65" s="281"/>
      <c r="W65" s="281"/>
      <c r="X65" s="235"/>
      <c r="AL65" s="353"/>
      <c r="AM65" s="353"/>
      <c r="AN65" s="1"/>
    </row>
    <row r="66" spans="1:40" ht="10.5" hidden="1" customHeight="1">
      <c r="A66" s="282" t="s">
        <v>90</v>
      </c>
      <c r="B66" s="235"/>
      <c r="C66" s="235"/>
      <c r="D66" s="235"/>
      <c r="E66" s="235"/>
      <c r="F66" s="281"/>
      <c r="G66" s="281"/>
      <c r="H66" s="281"/>
      <c r="I66" s="281"/>
      <c r="J66" s="281"/>
      <c r="K66" s="281"/>
      <c r="L66" s="281"/>
      <c r="M66" s="281"/>
      <c r="N66" s="281"/>
      <c r="O66" s="281"/>
      <c r="P66" s="281"/>
      <c r="Q66" s="281"/>
      <c r="R66" s="281"/>
      <c r="S66" s="281"/>
      <c r="T66" s="281"/>
      <c r="U66" s="281"/>
      <c r="V66" s="281"/>
      <c r="W66" s="281"/>
      <c r="X66" s="235"/>
      <c r="AL66" s="353"/>
      <c r="AM66" s="353"/>
      <c r="AN66" s="1"/>
    </row>
    <row r="67" spans="1:40" ht="10.5" hidden="1" customHeight="1">
      <c r="A67" s="282" t="s">
        <v>795</v>
      </c>
      <c r="B67" s="235"/>
      <c r="C67" s="235"/>
      <c r="D67" s="235"/>
      <c r="E67" s="235"/>
      <c r="F67" s="281"/>
      <c r="G67" s="281"/>
      <c r="H67" s="281"/>
      <c r="I67" s="281"/>
      <c r="J67" s="281"/>
      <c r="K67" s="281"/>
      <c r="L67" s="281"/>
      <c r="M67" s="281"/>
      <c r="N67" s="281"/>
      <c r="O67" s="281"/>
      <c r="P67" s="281"/>
      <c r="Q67" s="281"/>
      <c r="R67" s="281"/>
      <c r="S67" s="281"/>
      <c r="T67" s="281"/>
      <c r="U67" s="281"/>
      <c r="V67" s="281"/>
      <c r="W67" s="281"/>
      <c r="X67" s="235"/>
      <c r="AL67" s="353"/>
      <c r="AM67" s="353"/>
      <c r="AN67" s="1"/>
    </row>
    <row r="68" spans="1:40" ht="10.5" hidden="1" customHeight="1">
      <c r="A68" s="282" t="s">
        <v>796</v>
      </c>
      <c r="B68" s="235"/>
      <c r="C68" s="235"/>
      <c r="D68" s="235"/>
      <c r="E68" s="235"/>
      <c r="F68" s="281"/>
      <c r="G68" s="281"/>
      <c r="H68" s="281"/>
      <c r="I68" s="281"/>
      <c r="J68" s="281"/>
      <c r="K68" s="281"/>
      <c r="L68" s="281"/>
      <c r="M68" s="281"/>
      <c r="N68" s="281"/>
      <c r="O68" s="281"/>
      <c r="P68" s="281"/>
      <c r="Q68" s="281"/>
      <c r="R68" s="281"/>
      <c r="S68" s="281"/>
      <c r="T68" s="281"/>
      <c r="U68" s="281"/>
      <c r="V68" s="281"/>
      <c r="W68" s="281"/>
      <c r="X68" s="235"/>
      <c r="AL68" s="353"/>
      <c r="AM68" s="353"/>
      <c r="AN68" s="1"/>
    </row>
    <row r="69" spans="1:40" ht="10.5" hidden="1" customHeight="1">
      <c r="A69" s="282" t="s">
        <v>797</v>
      </c>
      <c r="B69" s="235"/>
      <c r="C69" s="235"/>
      <c r="D69" s="235"/>
      <c r="E69" s="235"/>
      <c r="F69" s="281"/>
      <c r="G69" s="281"/>
      <c r="H69" s="281"/>
      <c r="I69" s="281"/>
      <c r="J69" s="281"/>
      <c r="K69" s="281"/>
      <c r="L69" s="281"/>
      <c r="M69" s="281"/>
      <c r="N69" s="281"/>
      <c r="O69" s="281"/>
      <c r="P69" s="281"/>
      <c r="Q69" s="281"/>
      <c r="R69" s="281"/>
      <c r="S69" s="281"/>
      <c r="T69" s="281"/>
      <c r="U69" s="281"/>
      <c r="V69" s="281"/>
      <c r="W69" s="281"/>
      <c r="X69" s="235"/>
      <c r="AL69" s="353"/>
      <c r="AM69" s="353"/>
      <c r="AN69" s="1"/>
    </row>
    <row r="70" spans="1:40" ht="10.5" hidden="1" customHeight="1">
      <c r="A70" s="282" t="s">
        <v>798</v>
      </c>
      <c r="B70" s="235"/>
      <c r="C70" s="235"/>
      <c r="D70" s="235"/>
      <c r="E70" s="235"/>
      <c r="F70" s="281"/>
      <c r="G70" s="281"/>
      <c r="H70" s="281"/>
      <c r="I70" s="281"/>
      <c r="J70" s="281"/>
      <c r="K70" s="281"/>
      <c r="L70" s="281"/>
      <c r="M70" s="281"/>
      <c r="N70" s="281"/>
      <c r="O70" s="281"/>
      <c r="P70" s="281"/>
      <c r="Q70" s="281"/>
      <c r="R70" s="281"/>
      <c r="S70" s="281"/>
      <c r="T70" s="281"/>
      <c r="U70" s="281"/>
      <c r="V70" s="281"/>
      <c r="W70" s="281"/>
      <c r="X70" s="235"/>
      <c r="AL70" s="353"/>
      <c r="AM70" s="353"/>
      <c r="AN70" s="1"/>
    </row>
    <row r="71" spans="1:40" ht="10.5" hidden="1" customHeight="1">
      <c r="A71" s="282" t="s">
        <v>799</v>
      </c>
      <c r="B71" s="235"/>
      <c r="C71" s="235"/>
      <c r="D71" s="235"/>
      <c r="E71" s="235"/>
      <c r="F71" s="281"/>
      <c r="G71" s="281"/>
      <c r="H71" s="281"/>
      <c r="I71" s="281"/>
      <c r="J71" s="281"/>
      <c r="K71" s="281"/>
      <c r="L71" s="281"/>
      <c r="M71" s="281"/>
      <c r="N71" s="281"/>
      <c r="O71" s="281"/>
      <c r="P71" s="281"/>
      <c r="Q71" s="281"/>
      <c r="R71" s="281"/>
      <c r="S71" s="281"/>
      <c r="T71" s="281"/>
      <c r="U71" s="281"/>
      <c r="V71" s="281"/>
      <c r="W71" s="281"/>
      <c r="X71" s="235"/>
      <c r="AL71" s="353"/>
      <c r="AM71" s="353"/>
      <c r="AN71" s="1"/>
    </row>
    <row r="72" spans="1:40" ht="10.5" hidden="1" customHeight="1">
      <c r="A72" s="282" t="s">
        <v>800</v>
      </c>
      <c r="B72" s="235"/>
      <c r="C72" s="235"/>
      <c r="D72" s="235"/>
      <c r="E72" s="235"/>
      <c r="F72" s="281"/>
      <c r="G72" s="281"/>
      <c r="H72" s="281"/>
      <c r="I72" s="281"/>
      <c r="J72" s="281"/>
      <c r="K72" s="281"/>
      <c r="L72" s="281"/>
      <c r="M72" s="281"/>
      <c r="N72" s="281"/>
      <c r="O72" s="281"/>
      <c r="P72" s="281"/>
      <c r="Q72" s="281"/>
      <c r="R72" s="281"/>
      <c r="S72" s="281"/>
      <c r="T72" s="281"/>
      <c r="U72" s="281"/>
      <c r="V72" s="281"/>
      <c r="W72" s="281"/>
      <c r="X72" s="235"/>
      <c r="AL72" s="353"/>
      <c r="AM72" s="353"/>
      <c r="AN72" s="1"/>
    </row>
    <row r="73" spans="1:40" ht="10.5" hidden="1" customHeight="1">
      <c r="A73" s="282" t="s">
        <v>801</v>
      </c>
      <c r="B73" s="235"/>
      <c r="C73" s="235"/>
      <c r="D73" s="235"/>
      <c r="E73" s="235"/>
      <c r="F73" s="281"/>
      <c r="G73" s="281"/>
      <c r="H73" s="281"/>
      <c r="I73" s="281"/>
      <c r="J73" s="281"/>
      <c r="K73" s="281"/>
      <c r="L73" s="281"/>
      <c r="M73" s="281"/>
      <c r="N73" s="281"/>
      <c r="O73" s="281"/>
      <c r="P73" s="281"/>
      <c r="Q73" s="281"/>
      <c r="R73" s="281"/>
      <c r="S73" s="281"/>
      <c r="T73" s="281"/>
      <c r="U73" s="281"/>
      <c r="V73" s="281"/>
      <c r="W73" s="281"/>
      <c r="X73" s="235"/>
      <c r="AL73" s="353"/>
      <c r="AM73" s="353"/>
      <c r="AN73" s="1"/>
    </row>
    <row r="74" spans="1:40" ht="10.5" hidden="1" customHeight="1">
      <c r="A74" s="282" t="s">
        <v>802</v>
      </c>
      <c r="B74" s="235"/>
      <c r="C74" s="235"/>
      <c r="D74" s="235"/>
      <c r="E74" s="235"/>
      <c r="F74" s="281"/>
      <c r="G74" s="281"/>
      <c r="H74" s="281"/>
      <c r="I74" s="281"/>
      <c r="J74" s="281"/>
      <c r="K74" s="281"/>
      <c r="L74" s="281"/>
      <c r="M74" s="281"/>
      <c r="N74" s="281"/>
      <c r="O74" s="281"/>
      <c r="P74" s="281"/>
      <c r="Q74" s="281"/>
      <c r="R74" s="281"/>
      <c r="S74" s="281"/>
      <c r="T74" s="281"/>
      <c r="U74" s="281"/>
      <c r="V74" s="281"/>
      <c r="W74" s="281"/>
      <c r="X74" s="235"/>
      <c r="AL74" s="353"/>
      <c r="AM74" s="353"/>
      <c r="AN74" s="1"/>
    </row>
    <row r="75" spans="1:40" ht="10.5" hidden="1" customHeight="1">
      <c r="A75" s="282" t="s">
        <v>803</v>
      </c>
      <c r="B75" s="235"/>
      <c r="C75" s="235"/>
      <c r="D75" s="235"/>
      <c r="E75" s="235"/>
      <c r="F75" s="281"/>
      <c r="G75" s="281"/>
      <c r="H75" s="281"/>
      <c r="I75" s="281"/>
      <c r="J75" s="281"/>
      <c r="K75" s="281"/>
      <c r="L75" s="281"/>
      <c r="M75" s="281"/>
      <c r="N75" s="281"/>
      <c r="O75" s="281"/>
      <c r="P75" s="281"/>
      <c r="Q75" s="281"/>
      <c r="R75" s="281"/>
      <c r="S75" s="281"/>
      <c r="T75" s="281"/>
      <c r="U75" s="281"/>
      <c r="V75" s="281"/>
      <c r="W75" s="281"/>
      <c r="X75" s="235"/>
      <c r="AL75" s="353"/>
      <c r="AM75" s="353"/>
      <c r="AN75" s="1"/>
    </row>
    <row r="76" spans="1:40" ht="10.5" hidden="1" customHeight="1">
      <c r="A76" s="282">
        <v>2009</v>
      </c>
      <c r="C76" s="235"/>
      <c r="D76" s="235"/>
      <c r="E76" s="235"/>
      <c r="F76" s="281"/>
      <c r="G76" s="281"/>
      <c r="H76" s="281"/>
      <c r="I76" s="281"/>
      <c r="J76" s="281"/>
      <c r="K76" s="281"/>
      <c r="L76" s="281"/>
      <c r="M76" s="281"/>
      <c r="N76" s="281"/>
      <c r="O76" s="281"/>
      <c r="P76" s="281"/>
      <c r="Q76" s="281"/>
      <c r="R76" s="281"/>
      <c r="S76" s="281"/>
      <c r="T76" s="281"/>
      <c r="U76" s="281"/>
      <c r="V76" s="281"/>
      <c r="W76" s="281"/>
      <c r="X76" s="235"/>
      <c r="AL76" s="353"/>
      <c r="AM76" s="353"/>
      <c r="AN76" s="1"/>
    </row>
    <row r="77" spans="1:40" ht="10.5" hidden="1" customHeight="1">
      <c r="A77" s="282">
        <v>2010</v>
      </c>
      <c r="C77" s="235"/>
      <c r="D77" s="235"/>
      <c r="E77" s="235"/>
      <c r="F77" s="239"/>
      <c r="G77" s="239"/>
      <c r="H77" s="239"/>
      <c r="I77" s="239"/>
      <c r="J77" s="239"/>
      <c r="K77" s="239"/>
      <c r="L77" s="239"/>
      <c r="M77" s="239"/>
      <c r="N77" s="239"/>
      <c r="O77" s="239"/>
      <c r="P77" s="239"/>
      <c r="Q77" s="239"/>
      <c r="R77" s="239"/>
      <c r="S77" s="239"/>
      <c r="T77" s="239"/>
      <c r="U77" s="239"/>
      <c r="V77" s="239"/>
      <c r="W77" s="239"/>
      <c r="X77" s="235"/>
      <c r="AL77" s="353"/>
      <c r="AM77" s="353"/>
      <c r="AN77" s="1"/>
    </row>
    <row r="78" spans="1:40" ht="10.5" hidden="1" customHeight="1">
      <c r="A78" s="282">
        <v>2011</v>
      </c>
      <c r="C78" s="235"/>
      <c r="D78" s="235"/>
      <c r="E78" s="235"/>
      <c r="F78" s="239"/>
      <c r="G78" s="239"/>
      <c r="H78" s="239"/>
      <c r="I78" s="239"/>
      <c r="J78" s="239"/>
      <c r="K78" s="239"/>
      <c r="L78" s="239"/>
      <c r="M78" s="239"/>
      <c r="N78" s="239"/>
      <c r="O78" s="239"/>
      <c r="P78" s="239"/>
      <c r="Q78" s="239"/>
      <c r="R78" s="239"/>
      <c r="S78" s="239"/>
      <c r="T78" s="239"/>
      <c r="U78" s="239"/>
      <c r="V78" s="239"/>
      <c r="W78" s="239"/>
      <c r="X78" s="235"/>
      <c r="AL78" s="353"/>
      <c r="AM78" s="353"/>
      <c r="AN78" s="1"/>
    </row>
    <row r="79" spans="1:40" ht="10.5" hidden="1" customHeight="1">
      <c r="A79" s="282">
        <v>2012</v>
      </c>
      <c r="C79" s="235"/>
      <c r="D79" s="235"/>
      <c r="E79" s="235"/>
      <c r="F79" s="235"/>
      <c r="G79" s="235"/>
      <c r="H79" s="235"/>
      <c r="I79" s="235"/>
      <c r="J79" s="235"/>
      <c r="K79" s="235"/>
      <c r="L79" s="235"/>
      <c r="M79" s="235"/>
      <c r="N79" s="235"/>
      <c r="O79" s="235"/>
      <c r="P79" s="235"/>
      <c r="Q79" s="235"/>
      <c r="R79" s="235"/>
      <c r="S79" s="235"/>
      <c r="T79" s="235"/>
      <c r="U79" s="235"/>
      <c r="V79" s="235"/>
      <c r="W79" s="235"/>
      <c r="X79" s="235"/>
      <c r="AL79" s="353"/>
      <c r="AM79" s="353"/>
      <c r="AN79" s="1"/>
    </row>
    <row r="80" spans="1:40" ht="10.5" hidden="1" customHeight="1">
      <c r="A80" s="282">
        <v>2013</v>
      </c>
      <c r="C80" s="235"/>
      <c r="D80" s="235"/>
      <c r="E80" s="235"/>
      <c r="F80" s="235"/>
      <c r="G80" s="235"/>
      <c r="H80" s="235"/>
      <c r="I80" s="235"/>
      <c r="J80" s="235"/>
      <c r="K80" s="235"/>
      <c r="L80" s="235"/>
      <c r="M80" s="235"/>
      <c r="N80" s="235"/>
      <c r="O80" s="235"/>
      <c r="P80" s="235"/>
      <c r="Q80" s="235"/>
      <c r="R80" s="235"/>
      <c r="S80" s="235"/>
      <c r="T80" s="235"/>
      <c r="U80" s="235"/>
      <c r="V80" s="235"/>
      <c r="W80" s="235"/>
      <c r="X80" s="235"/>
      <c r="AL80" s="353"/>
      <c r="AM80" s="353"/>
      <c r="AN80" s="1"/>
    </row>
    <row r="81" spans="1:40" ht="10.5" hidden="1" customHeight="1">
      <c r="A81" s="282">
        <v>2014</v>
      </c>
      <c r="C81" s="235"/>
      <c r="D81" s="235"/>
      <c r="E81" s="235"/>
      <c r="F81" s="235"/>
      <c r="G81" s="235"/>
      <c r="H81" s="235"/>
      <c r="I81" s="235"/>
      <c r="J81" s="235"/>
      <c r="K81" s="235"/>
      <c r="L81" s="235"/>
      <c r="M81" s="235"/>
      <c r="N81" s="235"/>
      <c r="O81" s="235"/>
      <c r="P81" s="235"/>
      <c r="Q81" s="235"/>
      <c r="R81" s="235"/>
      <c r="S81" s="235"/>
      <c r="T81" s="235"/>
      <c r="U81" s="235"/>
      <c r="V81" s="235"/>
      <c r="W81" s="235"/>
      <c r="X81" s="235"/>
      <c r="AL81" s="353"/>
      <c r="AM81" s="353"/>
      <c r="AN81" s="1"/>
    </row>
    <row r="82" spans="1:40" ht="10.5" hidden="1" customHeight="1">
      <c r="A82" s="282">
        <v>2015</v>
      </c>
      <c r="C82" s="235"/>
      <c r="D82" s="235"/>
      <c r="E82" s="235"/>
      <c r="F82" s="235"/>
      <c r="G82" s="235"/>
      <c r="H82" s="235"/>
      <c r="I82" s="235"/>
      <c r="J82" s="235"/>
      <c r="K82" s="235"/>
      <c r="L82" s="235"/>
      <c r="M82" s="235"/>
      <c r="N82" s="235"/>
      <c r="O82" s="235"/>
      <c r="P82" s="235"/>
      <c r="Q82" s="235"/>
      <c r="R82" s="235"/>
      <c r="S82" s="235"/>
      <c r="T82" s="235"/>
      <c r="U82" s="235"/>
      <c r="V82" s="235"/>
      <c r="W82" s="235"/>
      <c r="X82" s="235"/>
      <c r="AL82" s="353"/>
      <c r="AM82" s="353"/>
      <c r="AN82" s="1"/>
    </row>
    <row r="83" spans="1:40" ht="10.5" hidden="1" customHeight="1">
      <c r="A83" s="282">
        <v>2016</v>
      </c>
      <c r="C83" s="235"/>
      <c r="D83" s="235"/>
      <c r="E83" s="235"/>
      <c r="F83" s="235"/>
      <c r="G83" s="235"/>
      <c r="H83" s="235"/>
      <c r="I83" s="235"/>
      <c r="J83" s="235"/>
      <c r="K83" s="235"/>
      <c r="L83" s="235"/>
      <c r="M83" s="235"/>
      <c r="N83" s="235"/>
      <c r="O83" s="235"/>
      <c r="P83" s="235"/>
      <c r="Q83" s="235"/>
      <c r="R83" s="235"/>
      <c r="S83" s="235"/>
      <c r="T83" s="235"/>
      <c r="U83" s="235"/>
      <c r="V83" s="235"/>
      <c r="W83" s="235"/>
      <c r="X83" s="235"/>
      <c r="AL83" s="353"/>
      <c r="AM83" s="353"/>
      <c r="AN83" s="1"/>
    </row>
    <row r="84" spans="1:40" ht="10.5" hidden="1" customHeight="1">
      <c r="A84" s="282">
        <v>2017</v>
      </c>
      <c r="C84" s="235"/>
      <c r="D84" s="235"/>
      <c r="E84" s="235"/>
      <c r="F84" s="235"/>
      <c r="G84" s="235"/>
      <c r="H84" s="235"/>
      <c r="I84" s="235"/>
      <c r="J84" s="235"/>
      <c r="K84" s="235"/>
      <c r="L84" s="235"/>
      <c r="M84" s="235"/>
      <c r="N84" s="235"/>
      <c r="O84" s="235"/>
      <c r="P84" s="235"/>
      <c r="Q84" s="235"/>
      <c r="R84" s="235"/>
      <c r="S84" s="235"/>
      <c r="T84" s="235"/>
      <c r="U84" s="235"/>
      <c r="V84" s="235"/>
      <c r="W84" s="235"/>
      <c r="X84" s="235"/>
      <c r="AL84" s="353"/>
      <c r="AM84" s="353"/>
      <c r="AN84" s="1"/>
    </row>
    <row r="85" spans="1:40" ht="10.5" hidden="1" customHeight="1">
      <c r="A85" s="282">
        <v>2018</v>
      </c>
      <c r="C85" s="235"/>
      <c r="D85" s="235"/>
      <c r="E85" s="235"/>
      <c r="F85" s="235"/>
      <c r="G85" s="235"/>
      <c r="H85" s="235"/>
      <c r="I85" s="235"/>
      <c r="J85" s="235"/>
      <c r="K85" s="235"/>
      <c r="L85" s="235"/>
      <c r="M85" s="235"/>
      <c r="N85" s="235"/>
      <c r="O85" s="235"/>
      <c r="P85" s="235"/>
      <c r="Q85" s="235"/>
      <c r="R85" s="235"/>
      <c r="S85" s="235"/>
      <c r="T85" s="235"/>
      <c r="U85" s="235"/>
      <c r="V85" s="235"/>
      <c r="W85" s="235"/>
      <c r="X85" s="235"/>
      <c r="AL85" s="353"/>
      <c r="AM85" s="353"/>
      <c r="AN85" s="1"/>
    </row>
    <row r="86" spans="1:40" ht="10.5" hidden="1" customHeight="1">
      <c r="A86" s="282">
        <v>2019</v>
      </c>
      <c r="C86" s="235"/>
      <c r="D86" s="235"/>
      <c r="E86" s="235"/>
      <c r="F86" s="235"/>
      <c r="G86" s="235"/>
      <c r="H86" s="235"/>
      <c r="I86" s="235"/>
      <c r="J86" s="235"/>
      <c r="K86" s="235"/>
      <c r="L86" s="235"/>
      <c r="M86" s="235"/>
      <c r="N86" s="235"/>
      <c r="O86" s="235"/>
      <c r="P86" s="235"/>
      <c r="Q86" s="235"/>
      <c r="R86" s="235"/>
      <c r="S86" s="235"/>
      <c r="T86" s="235"/>
      <c r="U86" s="235"/>
      <c r="V86" s="235"/>
      <c r="W86" s="235"/>
      <c r="X86" s="235"/>
      <c r="AL86" s="353"/>
      <c r="AM86" s="353"/>
      <c r="AN86" s="1"/>
    </row>
    <row r="87" spans="1:40" ht="10.5" hidden="1" customHeight="1">
      <c r="A87" s="282">
        <v>2020</v>
      </c>
      <c r="C87" s="235"/>
      <c r="D87" s="235"/>
      <c r="E87" s="235"/>
      <c r="F87" s="235"/>
      <c r="G87" s="235"/>
      <c r="H87" s="235"/>
      <c r="I87" s="235"/>
      <c r="J87" s="235"/>
      <c r="K87" s="235"/>
      <c r="L87" s="235"/>
      <c r="M87" s="235"/>
      <c r="N87" s="235"/>
      <c r="O87" s="235"/>
      <c r="P87" s="235"/>
      <c r="Q87" s="235"/>
      <c r="R87" s="235"/>
      <c r="S87" s="235"/>
      <c r="T87" s="235"/>
      <c r="U87" s="235"/>
      <c r="V87" s="235"/>
      <c r="W87" s="235"/>
      <c r="X87" s="235"/>
      <c r="AL87" s="353"/>
      <c r="AM87" s="353"/>
      <c r="AN87" s="1"/>
    </row>
    <row r="88" spans="1:40" hidden="1">
      <c r="A88" s="282">
        <v>2021</v>
      </c>
      <c r="C88" s="235"/>
      <c r="D88" s="235"/>
      <c r="E88" s="235"/>
      <c r="F88" s="235"/>
      <c r="G88" s="235"/>
      <c r="H88" s="235"/>
      <c r="I88" s="235"/>
      <c r="J88" s="235"/>
      <c r="K88" s="235"/>
      <c r="L88" s="235"/>
      <c r="M88" s="235"/>
      <c r="N88" s="235"/>
      <c r="O88" s="235"/>
      <c r="P88" s="235"/>
      <c r="Q88" s="235"/>
      <c r="R88" s="235"/>
      <c r="S88" s="235"/>
      <c r="T88" s="235"/>
      <c r="U88" s="235"/>
      <c r="V88" s="235"/>
      <c r="W88" s="235"/>
      <c r="X88" s="235"/>
      <c r="AL88" s="353"/>
      <c r="AM88" s="353"/>
      <c r="AN88" s="1"/>
    </row>
    <row r="89" spans="1:40" hidden="1">
      <c r="A89" s="282">
        <v>2022</v>
      </c>
      <c r="C89" s="235"/>
      <c r="D89" s="235"/>
      <c r="E89" s="235"/>
      <c r="F89" s="235"/>
      <c r="G89" s="235"/>
      <c r="H89" s="235"/>
      <c r="I89" s="235"/>
      <c r="J89" s="235"/>
      <c r="K89" s="235"/>
      <c r="L89" s="235"/>
      <c r="M89" s="235"/>
      <c r="N89" s="235"/>
      <c r="O89" s="235"/>
      <c r="P89" s="235"/>
      <c r="Q89" s="235"/>
      <c r="R89" s="235"/>
      <c r="S89" s="235"/>
      <c r="T89" s="235"/>
      <c r="U89" s="235"/>
      <c r="V89" s="235"/>
      <c r="W89" s="235"/>
      <c r="X89" s="235"/>
      <c r="AL89" s="353"/>
      <c r="AM89" s="353"/>
      <c r="AN89" s="1"/>
    </row>
    <row r="90" spans="1:40" hidden="1">
      <c r="A90" s="282">
        <v>2023</v>
      </c>
      <c r="C90" s="235"/>
      <c r="D90" s="235"/>
      <c r="E90" s="235"/>
      <c r="F90" s="235"/>
      <c r="G90" s="235"/>
      <c r="H90" s="235"/>
      <c r="I90" s="235"/>
      <c r="J90" s="235"/>
      <c r="K90" s="235"/>
      <c r="L90" s="235"/>
      <c r="M90" s="235"/>
      <c r="N90" s="235"/>
      <c r="O90" s="235"/>
      <c r="P90" s="235"/>
      <c r="Q90" s="235"/>
      <c r="R90" s="235"/>
      <c r="S90" s="235"/>
      <c r="T90" s="235"/>
      <c r="U90" s="235"/>
      <c r="V90" s="235"/>
      <c r="W90" s="235"/>
      <c r="X90" s="235"/>
      <c r="AL90" s="353"/>
      <c r="AM90" s="353"/>
      <c r="AN90" s="1"/>
    </row>
    <row r="91" spans="1:40" hidden="1">
      <c r="A91" s="282">
        <v>2024</v>
      </c>
      <c r="C91" s="235"/>
      <c r="D91" s="235"/>
      <c r="E91" s="235"/>
      <c r="F91" s="235"/>
      <c r="G91" s="235"/>
      <c r="H91" s="235"/>
      <c r="I91" s="235"/>
      <c r="J91" s="235"/>
      <c r="K91" s="235"/>
      <c r="L91" s="235"/>
      <c r="M91" s="235"/>
      <c r="N91" s="235"/>
      <c r="O91" s="235"/>
      <c r="P91" s="235"/>
      <c r="Q91" s="235"/>
      <c r="R91" s="235"/>
      <c r="S91" s="235"/>
      <c r="T91" s="235"/>
      <c r="U91" s="235"/>
      <c r="V91" s="235"/>
      <c r="W91" s="235"/>
      <c r="X91" s="235"/>
      <c r="AL91" s="353"/>
      <c r="AM91" s="353"/>
      <c r="AN91" s="1"/>
    </row>
    <row r="92" spans="1:40" hidden="1">
      <c r="A92" s="282">
        <v>2025</v>
      </c>
      <c r="C92" s="235"/>
      <c r="D92" s="235"/>
      <c r="E92" s="235"/>
      <c r="F92" s="235"/>
      <c r="G92" s="235"/>
      <c r="H92" s="235"/>
      <c r="I92" s="235"/>
      <c r="J92" s="235"/>
      <c r="K92" s="235"/>
      <c r="L92" s="235"/>
      <c r="M92" s="235"/>
      <c r="N92" s="235"/>
      <c r="O92" s="235"/>
      <c r="P92" s="235"/>
      <c r="Q92" s="235"/>
      <c r="R92" s="235"/>
      <c r="S92" s="235"/>
      <c r="T92" s="235"/>
      <c r="U92" s="235"/>
      <c r="V92" s="235"/>
      <c r="W92" s="235"/>
      <c r="X92" s="235"/>
      <c r="AL92" s="353"/>
      <c r="AM92" s="353"/>
      <c r="AN92" s="1"/>
    </row>
    <row r="93" spans="1:40" hidden="1">
      <c r="A93" s="282">
        <v>2026</v>
      </c>
      <c r="C93" s="235"/>
      <c r="D93" s="235"/>
      <c r="E93" s="235"/>
      <c r="F93" s="235"/>
      <c r="G93" s="235"/>
      <c r="H93" s="235"/>
      <c r="I93" s="235"/>
      <c r="J93" s="235"/>
      <c r="K93" s="235"/>
      <c r="L93" s="235"/>
      <c r="M93" s="235"/>
      <c r="N93" s="235"/>
      <c r="O93" s="235"/>
      <c r="P93" s="235"/>
      <c r="Q93" s="235"/>
      <c r="R93" s="235"/>
      <c r="S93" s="235"/>
      <c r="T93" s="235"/>
      <c r="U93" s="235"/>
      <c r="V93" s="235"/>
      <c r="W93" s="235"/>
      <c r="X93" s="235"/>
      <c r="AL93" s="353"/>
      <c r="AM93" s="353"/>
      <c r="AN93" s="1"/>
    </row>
    <row r="94" spans="1:40" hidden="1">
      <c r="A94" s="282">
        <v>2027</v>
      </c>
      <c r="C94" s="235"/>
      <c r="D94" s="235"/>
      <c r="E94" s="235"/>
      <c r="F94" s="235"/>
      <c r="G94" s="235"/>
      <c r="H94" s="235"/>
      <c r="I94" s="235"/>
      <c r="J94" s="235"/>
      <c r="K94" s="235"/>
      <c r="L94" s="235"/>
      <c r="M94" s="235"/>
      <c r="N94" s="235"/>
      <c r="O94" s="235"/>
      <c r="P94" s="235"/>
      <c r="Q94" s="235"/>
      <c r="R94" s="235"/>
      <c r="S94" s="235"/>
      <c r="T94" s="235"/>
      <c r="U94" s="235"/>
      <c r="V94" s="235"/>
      <c r="W94" s="235"/>
      <c r="X94" s="235"/>
      <c r="AL94" s="353"/>
      <c r="AM94" s="353"/>
      <c r="AN94" s="1"/>
    </row>
    <row r="95" spans="1:40" hidden="1">
      <c r="A95" s="282">
        <v>2028</v>
      </c>
      <c r="C95" s="235"/>
      <c r="D95" s="235"/>
      <c r="E95" s="235"/>
      <c r="F95" s="235"/>
      <c r="G95" s="235"/>
      <c r="H95" s="235"/>
      <c r="I95" s="235"/>
      <c r="J95" s="235"/>
      <c r="K95" s="235"/>
      <c r="L95" s="235"/>
      <c r="M95" s="235"/>
      <c r="N95" s="235"/>
      <c r="O95" s="235"/>
      <c r="P95" s="235"/>
      <c r="Q95" s="235"/>
      <c r="R95" s="235"/>
      <c r="S95" s="235"/>
      <c r="T95" s="235"/>
      <c r="U95" s="235"/>
      <c r="V95" s="235"/>
      <c r="W95" s="235"/>
      <c r="X95" s="235"/>
      <c r="AL95" s="353"/>
      <c r="AM95" s="353"/>
      <c r="AN95" s="1"/>
    </row>
    <row r="96" spans="1:40" hidden="1">
      <c r="A96" s="282">
        <v>2029</v>
      </c>
      <c r="AL96" s="353"/>
      <c r="AM96" s="353"/>
      <c r="AN96" s="1"/>
    </row>
    <row r="97" spans="1:40" hidden="1">
      <c r="A97" s="282">
        <v>2030</v>
      </c>
      <c r="AL97" s="353"/>
      <c r="AM97" s="353"/>
      <c r="AN97" s="1"/>
    </row>
    <row r="98" spans="1:40">
      <c r="AL98" s="353"/>
      <c r="AM98" s="353"/>
      <c r="AN98" s="1"/>
    </row>
    <row r="99" spans="1:40">
      <c r="AL99" s="353"/>
      <c r="AM99" s="353"/>
      <c r="AN99" s="1"/>
    </row>
    <row r="100" spans="1:40">
      <c r="AL100" s="353"/>
      <c r="AM100" s="353"/>
      <c r="AN100" s="1"/>
    </row>
    <row r="101" spans="1:40">
      <c r="AL101" s="353"/>
      <c r="AM101" s="353"/>
      <c r="AN101" s="1"/>
    </row>
    <row r="102" spans="1:40">
      <c r="AL102" s="353"/>
      <c r="AM102" s="353"/>
      <c r="AN102" s="1"/>
    </row>
    <row r="103" spans="1:40">
      <c r="AL103" s="353"/>
      <c r="AM103" s="353"/>
      <c r="AN103" s="1"/>
    </row>
    <row r="104" spans="1:40">
      <c r="AL104" s="353"/>
      <c r="AM104" s="353"/>
      <c r="AN104" s="1"/>
    </row>
    <row r="105" spans="1:40">
      <c r="AL105" s="353"/>
      <c r="AM105" s="353"/>
      <c r="AN105" s="1"/>
    </row>
    <row r="106" spans="1:40">
      <c r="AL106" s="353"/>
      <c r="AM106" s="353"/>
      <c r="AN106" s="1"/>
    </row>
    <row r="107" spans="1:40">
      <c r="AL107" s="353"/>
      <c r="AM107" s="353"/>
      <c r="AN107" s="1"/>
    </row>
    <row r="108" spans="1:40">
      <c r="AL108" s="353"/>
      <c r="AM108" s="353"/>
      <c r="AN108" s="1"/>
    </row>
    <row r="109" spans="1:40">
      <c r="AL109" s="353"/>
      <c r="AM109" s="353"/>
      <c r="AN109" s="1"/>
    </row>
    <row r="110" spans="1:40">
      <c r="AL110" s="353"/>
      <c r="AM110" s="353"/>
      <c r="AN110" s="1"/>
    </row>
    <row r="111" spans="1:40">
      <c r="AL111" s="353"/>
      <c r="AM111" s="353"/>
      <c r="AN111" s="1"/>
    </row>
    <row r="112" spans="1:40">
      <c r="AL112" s="353"/>
      <c r="AM112" s="353"/>
      <c r="AN112" s="1"/>
    </row>
    <row r="113" spans="38:40">
      <c r="AL113" s="353"/>
      <c r="AM113" s="353"/>
      <c r="AN113" s="1"/>
    </row>
    <row r="114" spans="38:40">
      <c r="AL114" s="353"/>
      <c r="AM114" s="353"/>
      <c r="AN114" s="1"/>
    </row>
    <row r="115" spans="38:40">
      <c r="AL115" s="353"/>
      <c r="AM115" s="353"/>
      <c r="AN115" s="1"/>
    </row>
    <row r="116" spans="38:40">
      <c r="AL116" s="353"/>
      <c r="AM116" s="353"/>
      <c r="AN116" s="1"/>
    </row>
    <row r="117" spans="38:40">
      <c r="AL117" s="353"/>
      <c r="AM117" s="353"/>
      <c r="AN117" s="1"/>
    </row>
    <row r="118" spans="38:40">
      <c r="AL118" s="353"/>
      <c r="AM118" s="353"/>
      <c r="AN118" s="1"/>
    </row>
    <row r="119" spans="38:40">
      <c r="AL119" s="353"/>
      <c r="AM119" s="353"/>
      <c r="AN119" s="1"/>
    </row>
    <row r="120" spans="38:40">
      <c r="AL120" s="353"/>
      <c r="AM120" s="353"/>
      <c r="AN120" s="1"/>
    </row>
    <row r="121" spans="38:40">
      <c r="AL121" s="353"/>
      <c r="AM121" s="353"/>
      <c r="AN121" s="1"/>
    </row>
    <row r="122" spans="38:40">
      <c r="AL122" s="353"/>
      <c r="AM122" s="353"/>
      <c r="AN122" s="1"/>
    </row>
    <row r="123" spans="38:40">
      <c r="AL123" s="353"/>
      <c r="AM123" s="353"/>
      <c r="AN123" s="1"/>
    </row>
    <row r="124" spans="38:40">
      <c r="AL124" s="353"/>
      <c r="AM124" s="353"/>
      <c r="AN124" s="1"/>
    </row>
    <row r="125" spans="38:40">
      <c r="AL125" s="353"/>
      <c r="AM125" s="353"/>
      <c r="AN125" s="1"/>
    </row>
    <row r="126" spans="38:40">
      <c r="AL126" s="353"/>
      <c r="AM126" s="353"/>
      <c r="AN126" s="1"/>
    </row>
    <row r="127" spans="38:40">
      <c r="AL127" s="353"/>
      <c r="AM127" s="353"/>
      <c r="AN127" s="1"/>
    </row>
    <row r="128" spans="38:40">
      <c r="AL128" s="353"/>
      <c r="AM128" s="353"/>
      <c r="AN128" s="1"/>
    </row>
    <row r="129" spans="38:40">
      <c r="AL129" s="353"/>
      <c r="AM129" s="353"/>
      <c r="AN129" s="1"/>
    </row>
    <row r="130" spans="38:40">
      <c r="AL130" s="353"/>
      <c r="AM130" s="353"/>
      <c r="AN130" s="1"/>
    </row>
    <row r="131" spans="38:40">
      <c r="AL131" s="353"/>
      <c r="AM131" s="353"/>
      <c r="AN131" s="1"/>
    </row>
    <row r="132" spans="38:40">
      <c r="AL132" s="353"/>
      <c r="AM132" s="353"/>
      <c r="AN132" s="1"/>
    </row>
    <row r="133" spans="38:40">
      <c r="AL133" s="353"/>
      <c r="AM133" s="353"/>
      <c r="AN133" s="1"/>
    </row>
    <row r="134" spans="38:40">
      <c r="AL134" s="353"/>
      <c r="AM134" s="353"/>
      <c r="AN134" s="1"/>
    </row>
    <row r="135" spans="38:40">
      <c r="AL135" s="353"/>
      <c r="AM135" s="353"/>
      <c r="AN135" s="1"/>
    </row>
    <row r="136" spans="38:40">
      <c r="AL136" s="353"/>
      <c r="AM136" s="353"/>
      <c r="AN136" s="1"/>
    </row>
    <row r="137" spans="38:40">
      <c r="AL137" s="353"/>
      <c r="AM137" s="353"/>
      <c r="AN137" s="1"/>
    </row>
    <row r="138" spans="38:40">
      <c r="AL138" s="353"/>
      <c r="AM138" s="353"/>
      <c r="AN138" s="1"/>
    </row>
    <row r="139" spans="38:40">
      <c r="AL139" s="353"/>
      <c r="AM139" s="353"/>
      <c r="AN139" s="1"/>
    </row>
    <row r="140" spans="38:40">
      <c r="AL140" s="353"/>
      <c r="AM140" s="353"/>
      <c r="AN140" s="1"/>
    </row>
    <row r="141" spans="38:40">
      <c r="AL141" s="353"/>
      <c r="AM141" s="353"/>
      <c r="AN141" s="1"/>
    </row>
    <row r="142" spans="38:40">
      <c r="AL142" s="353"/>
      <c r="AM142" s="353"/>
      <c r="AN142" s="1"/>
    </row>
    <row r="143" spans="38:40">
      <c r="AL143" s="353"/>
      <c r="AM143" s="353"/>
      <c r="AN143" s="1"/>
    </row>
    <row r="144" spans="38:40">
      <c r="AL144" s="353"/>
      <c r="AM144" s="353"/>
      <c r="AN144" s="1"/>
    </row>
    <row r="145" spans="38:40">
      <c r="AL145" s="353"/>
      <c r="AM145" s="353"/>
      <c r="AN145" s="1"/>
    </row>
    <row r="146" spans="38:40">
      <c r="AL146" s="353"/>
      <c r="AM146" s="353"/>
      <c r="AN146" s="1"/>
    </row>
    <row r="147" spans="38:40">
      <c r="AL147" s="353"/>
      <c r="AM147" s="353"/>
      <c r="AN147" s="1"/>
    </row>
    <row r="148" spans="38:40">
      <c r="AL148" s="353"/>
      <c r="AM148" s="353"/>
      <c r="AN148" s="1"/>
    </row>
    <row r="149" spans="38:40">
      <c r="AL149" s="353"/>
      <c r="AM149" s="353"/>
      <c r="AN149" s="1"/>
    </row>
    <row r="150" spans="38:40">
      <c r="AL150" s="353"/>
      <c r="AM150" s="353"/>
      <c r="AN150" s="1"/>
    </row>
    <row r="151" spans="38:40">
      <c r="AL151" s="353"/>
      <c r="AM151" s="353"/>
      <c r="AN151" s="1"/>
    </row>
    <row r="152" spans="38:40">
      <c r="AL152" s="353"/>
      <c r="AM152" s="353"/>
      <c r="AN152" s="1"/>
    </row>
    <row r="153" spans="38:40">
      <c r="AL153" s="353"/>
      <c r="AM153" s="353"/>
      <c r="AN153" s="1"/>
    </row>
    <row r="154" spans="38:40">
      <c r="AL154" s="353"/>
      <c r="AM154" s="353"/>
      <c r="AN154" s="1"/>
    </row>
    <row r="155" spans="38:40">
      <c r="AL155" s="353"/>
      <c r="AM155" s="353"/>
      <c r="AN155" s="1"/>
    </row>
    <row r="156" spans="38:40">
      <c r="AL156" s="353"/>
      <c r="AM156" s="353"/>
      <c r="AN156" s="1"/>
    </row>
    <row r="157" spans="38:40">
      <c r="AL157" s="353"/>
      <c r="AM157" s="353"/>
      <c r="AN157" s="1"/>
    </row>
    <row r="158" spans="38:40">
      <c r="AL158" s="353"/>
      <c r="AM158" s="353"/>
      <c r="AN158" s="1"/>
    </row>
    <row r="159" spans="38:40">
      <c r="AL159" s="353"/>
      <c r="AM159" s="353"/>
      <c r="AN159" s="1"/>
    </row>
    <row r="160" spans="38:40">
      <c r="AL160" s="353"/>
      <c r="AM160" s="353"/>
      <c r="AN160" s="1"/>
    </row>
    <row r="161" spans="38:40">
      <c r="AL161" s="353"/>
      <c r="AM161" s="353"/>
      <c r="AN161" s="1"/>
    </row>
    <row r="162" spans="38:40">
      <c r="AL162" s="353"/>
      <c r="AM162" s="353"/>
      <c r="AN162" s="1"/>
    </row>
    <row r="163" spans="38:40">
      <c r="AL163" s="353"/>
      <c r="AM163" s="353"/>
      <c r="AN163" s="1"/>
    </row>
    <row r="164" spans="38:40">
      <c r="AL164" s="353"/>
      <c r="AM164" s="353"/>
      <c r="AN164" s="1"/>
    </row>
    <row r="165" spans="38:40">
      <c r="AL165" s="353"/>
      <c r="AM165" s="353"/>
      <c r="AN165" s="1"/>
    </row>
    <row r="166" spans="38:40">
      <c r="AL166" s="353"/>
      <c r="AM166" s="353"/>
      <c r="AN166" s="1"/>
    </row>
    <row r="167" spans="38:40">
      <c r="AL167" s="353"/>
      <c r="AM167" s="353"/>
      <c r="AN167" s="1"/>
    </row>
    <row r="168" spans="38:40">
      <c r="AL168" s="353"/>
      <c r="AM168" s="353"/>
      <c r="AN168" s="1"/>
    </row>
    <row r="169" spans="38:40">
      <c r="AL169" s="353"/>
      <c r="AM169" s="353"/>
      <c r="AN169" s="1"/>
    </row>
    <row r="170" spans="38:40">
      <c r="AL170" s="353"/>
      <c r="AM170" s="353"/>
      <c r="AN170" s="1"/>
    </row>
    <row r="171" spans="38:40">
      <c r="AL171" s="353"/>
      <c r="AM171" s="353"/>
      <c r="AN171" s="1"/>
    </row>
    <row r="172" spans="38:40">
      <c r="AL172" s="353"/>
      <c r="AM172" s="353"/>
      <c r="AN172" s="1"/>
    </row>
    <row r="173" spans="38:40">
      <c r="AL173" s="353"/>
      <c r="AM173" s="353"/>
      <c r="AN173" s="1"/>
    </row>
    <row r="174" spans="38:40">
      <c r="AL174" s="353"/>
      <c r="AM174" s="353"/>
      <c r="AN174" s="1"/>
    </row>
    <row r="175" spans="38:40">
      <c r="AL175" s="353"/>
      <c r="AM175" s="353"/>
      <c r="AN175" s="1"/>
    </row>
    <row r="176" spans="38:40">
      <c r="AL176" s="353"/>
      <c r="AM176" s="353"/>
      <c r="AN176" s="1"/>
    </row>
    <row r="177" spans="38:40">
      <c r="AL177" s="353"/>
      <c r="AM177" s="353"/>
      <c r="AN177" s="1"/>
    </row>
    <row r="178" spans="38:40">
      <c r="AL178" s="353"/>
      <c r="AM178" s="353"/>
      <c r="AN178" s="1"/>
    </row>
    <row r="179" spans="38:40">
      <c r="AL179" s="353"/>
      <c r="AM179" s="353"/>
      <c r="AN179" s="1"/>
    </row>
    <row r="180" spans="38:40">
      <c r="AL180" s="353"/>
      <c r="AM180" s="353"/>
      <c r="AN180" s="1"/>
    </row>
    <row r="181" spans="38:40">
      <c r="AL181" s="353"/>
      <c r="AM181" s="353"/>
      <c r="AN181" s="1"/>
    </row>
    <row r="182" spans="38:40">
      <c r="AL182" s="353"/>
      <c r="AM182" s="353"/>
      <c r="AN182" s="1"/>
    </row>
    <row r="183" spans="38:40">
      <c r="AL183" s="353"/>
      <c r="AM183" s="353"/>
      <c r="AN183" s="1"/>
    </row>
    <row r="184" spans="38:40">
      <c r="AL184" s="353"/>
      <c r="AM184" s="353"/>
      <c r="AN184" s="1"/>
    </row>
    <row r="185" spans="38:40">
      <c r="AL185" s="353"/>
      <c r="AM185" s="353"/>
      <c r="AN185" s="1"/>
    </row>
    <row r="186" spans="38:40">
      <c r="AL186" s="353"/>
      <c r="AM186" s="353"/>
      <c r="AN186" s="1"/>
    </row>
    <row r="187" spans="38:40">
      <c r="AL187" s="353"/>
      <c r="AM187" s="353"/>
      <c r="AN187" s="1"/>
    </row>
    <row r="188" spans="38:40">
      <c r="AL188" s="353"/>
      <c r="AM188" s="353"/>
      <c r="AN188" s="1"/>
    </row>
    <row r="189" spans="38:40">
      <c r="AL189" s="353"/>
      <c r="AM189" s="353"/>
      <c r="AN189" s="1"/>
    </row>
    <row r="190" spans="38:40">
      <c r="AL190" s="353"/>
      <c r="AM190" s="353"/>
      <c r="AN190" s="1"/>
    </row>
    <row r="191" spans="38:40">
      <c r="AL191" s="353"/>
      <c r="AM191" s="353"/>
      <c r="AN191" s="1"/>
    </row>
    <row r="192" spans="38:40">
      <c r="AL192" s="353"/>
      <c r="AM192" s="353"/>
      <c r="AN192" s="1"/>
    </row>
    <row r="193" spans="38:40">
      <c r="AL193" s="353"/>
      <c r="AM193" s="353"/>
      <c r="AN193" s="1"/>
    </row>
    <row r="194" spans="38:40">
      <c r="AL194" s="353"/>
      <c r="AM194" s="353"/>
      <c r="AN194" s="1"/>
    </row>
    <row r="195" spans="38:40">
      <c r="AL195" s="353"/>
      <c r="AM195" s="353"/>
      <c r="AN195" s="1"/>
    </row>
    <row r="196" spans="38:40">
      <c r="AL196" s="353"/>
      <c r="AM196" s="353"/>
      <c r="AN196" s="1"/>
    </row>
    <row r="197" spans="38:40">
      <c r="AL197" s="353"/>
      <c r="AM197" s="353"/>
      <c r="AN197" s="1"/>
    </row>
    <row r="198" spans="38:40">
      <c r="AL198" s="353"/>
      <c r="AM198" s="353"/>
      <c r="AN198" s="1"/>
    </row>
    <row r="199" spans="38:40">
      <c r="AL199" s="353"/>
      <c r="AM199" s="353"/>
      <c r="AN199" s="1"/>
    </row>
    <row r="200" spans="38:40">
      <c r="AL200" s="353"/>
      <c r="AM200" s="353"/>
      <c r="AN200" s="1"/>
    </row>
    <row r="201" spans="38:40">
      <c r="AL201" s="353"/>
      <c r="AM201" s="353"/>
      <c r="AN201" s="1"/>
    </row>
    <row r="202" spans="38:40">
      <c r="AL202" s="353"/>
      <c r="AM202" s="353"/>
      <c r="AN202" s="1"/>
    </row>
    <row r="203" spans="38:40">
      <c r="AL203" s="353"/>
      <c r="AM203" s="353"/>
      <c r="AN203" s="1"/>
    </row>
    <row r="204" spans="38:40">
      <c r="AL204" s="353"/>
      <c r="AM204" s="353"/>
      <c r="AN204" s="1"/>
    </row>
    <row r="205" spans="38:40">
      <c r="AL205" s="353"/>
      <c r="AM205" s="353"/>
      <c r="AN205" s="1"/>
    </row>
    <row r="206" spans="38:40">
      <c r="AL206" s="353"/>
      <c r="AM206" s="353"/>
      <c r="AN206" s="1"/>
    </row>
    <row r="207" spans="38:40">
      <c r="AL207" s="353"/>
      <c r="AM207" s="353"/>
      <c r="AN207" s="1"/>
    </row>
    <row r="208" spans="38:40">
      <c r="AL208" s="353"/>
      <c r="AM208" s="353"/>
      <c r="AN208" s="1"/>
    </row>
    <row r="209" spans="38:40">
      <c r="AL209" s="353"/>
      <c r="AM209" s="353"/>
      <c r="AN209" s="1"/>
    </row>
    <row r="210" spans="38:40">
      <c r="AL210" s="353"/>
      <c r="AM210" s="353"/>
      <c r="AN210" s="1"/>
    </row>
    <row r="211" spans="38:40">
      <c r="AL211" s="353"/>
      <c r="AM211" s="353"/>
      <c r="AN211" s="1"/>
    </row>
    <row r="212" spans="38:40">
      <c r="AL212" s="353"/>
      <c r="AM212" s="353"/>
      <c r="AN212" s="1"/>
    </row>
    <row r="213" spans="38:40">
      <c r="AL213" s="353"/>
      <c r="AM213" s="353"/>
      <c r="AN213" s="1"/>
    </row>
    <row r="214" spans="38:40">
      <c r="AL214" s="353"/>
      <c r="AM214" s="353"/>
      <c r="AN214" s="1"/>
    </row>
    <row r="215" spans="38:40">
      <c r="AL215" s="353"/>
      <c r="AM215" s="353"/>
      <c r="AN215" s="1"/>
    </row>
    <row r="216" spans="38:40">
      <c r="AL216" s="353"/>
      <c r="AM216" s="353"/>
      <c r="AN216" s="1"/>
    </row>
    <row r="217" spans="38:40">
      <c r="AL217" s="353"/>
      <c r="AM217" s="353"/>
      <c r="AN217" s="1"/>
    </row>
    <row r="218" spans="38:40">
      <c r="AL218" s="353"/>
      <c r="AM218" s="353"/>
      <c r="AN218" s="1"/>
    </row>
    <row r="219" spans="38:40">
      <c r="AL219" s="353"/>
      <c r="AM219" s="353"/>
      <c r="AN219" s="1"/>
    </row>
    <row r="220" spans="38:40">
      <c r="AL220" s="353"/>
      <c r="AM220" s="353"/>
      <c r="AN220" s="1"/>
    </row>
    <row r="221" spans="38:40">
      <c r="AL221" s="353"/>
      <c r="AM221" s="353"/>
      <c r="AN221" s="1"/>
    </row>
    <row r="222" spans="38:40">
      <c r="AL222" s="353"/>
      <c r="AM222" s="353"/>
      <c r="AN222" s="1"/>
    </row>
    <row r="223" spans="38:40">
      <c r="AL223" s="353"/>
      <c r="AM223" s="353"/>
      <c r="AN223" s="1"/>
    </row>
    <row r="224" spans="38:40">
      <c r="AL224" s="353"/>
      <c r="AM224" s="353"/>
      <c r="AN224" s="1"/>
    </row>
    <row r="225" spans="38:40">
      <c r="AL225" s="353"/>
      <c r="AM225" s="353"/>
      <c r="AN225" s="1"/>
    </row>
    <row r="226" spans="38:40">
      <c r="AL226" s="353"/>
      <c r="AM226" s="353"/>
      <c r="AN226" s="1"/>
    </row>
    <row r="227" spans="38:40">
      <c r="AL227" s="353"/>
      <c r="AM227" s="353"/>
      <c r="AN227" s="1"/>
    </row>
    <row r="228" spans="38:40">
      <c r="AL228" s="353"/>
      <c r="AM228" s="353"/>
      <c r="AN228" s="1"/>
    </row>
    <row r="229" spans="38:40">
      <c r="AL229" s="353"/>
      <c r="AM229" s="353"/>
      <c r="AN229" s="1"/>
    </row>
    <row r="230" spans="38:40">
      <c r="AL230" s="353"/>
      <c r="AM230" s="353"/>
      <c r="AN230" s="1"/>
    </row>
    <row r="231" spans="38:40">
      <c r="AL231" s="353"/>
      <c r="AM231" s="353"/>
      <c r="AN231" s="1"/>
    </row>
    <row r="232" spans="38:40">
      <c r="AL232" s="353"/>
      <c r="AM232" s="353"/>
      <c r="AN232" s="1"/>
    </row>
    <row r="233" spans="38:40">
      <c r="AL233" s="353"/>
      <c r="AM233" s="353"/>
      <c r="AN233" s="1"/>
    </row>
    <row r="234" spans="38:40">
      <c r="AL234" s="353"/>
      <c r="AM234" s="353"/>
      <c r="AN234" s="1"/>
    </row>
    <row r="235" spans="38:40">
      <c r="AL235" s="353"/>
      <c r="AM235" s="353"/>
      <c r="AN235" s="1"/>
    </row>
    <row r="236" spans="38:40">
      <c r="AL236" s="353"/>
      <c r="AM236" s="353"/>
      <c r="AN236" s="1"/>
    </row>
    <row r="237" spans="38:40">
      <c r="AL237" s="353"/>
      <c r="AM237" s="353"/>
      <c r="AN237" s="1"/>
    </row>
    <row r="238" spans="38:40">
      <c r="AL238" s="353"/>
      <c r="AM238" s="353"/>
      <c r="AN238" s="1"/>
    </row>
    <row r="239" spans="38:40">
      <c r="AL239" s="353"/>
      <c r="AM239" s="353"/>
      <c r="AN239" s="1"/>
    </row>
    <row r="240" spans="38:40">
      <c r="AL240" s="353"/>
      <c r="AM240" s="353"/>
      <c r="AN240" s="1"/>
    </row>
    <row r="241" spans="38:40">
      <c r="AL241" s="353"/>
      <c r="AM241" s="353"/>
      <c r="AN241" s="1"/>
    </row>
    <row r="242" spans="38:40">
      <c r="AL242" s="353"/>
      <c r="AM242" s="353"/>
      <c r="AN242" s="1"/>
    </row>
    <row r="243" spans="38:40">
      <c r="AL243" s="353"/>
      <c r="AM243" s="353"/>
      <c r="AN243" s="1"/>
    </row>
    <row r="244" spans="38:40">
      <c r="AL244" s="353"/>
      <c r="AM244" s="353"/>
      <c r="AN244" s="1"/>
    </row>
    <row r="245" spans="38:40">
      <c r="AL245" s="353"/>
      <c r="AM245" s="353"/>
      <c r="AN245" s="1"/>
    </row>
    <row r="246" spans="38:40">
      <c r="AL246" s="353"/>
      <c r="AM246" s="353"/>
      <c r="AN246" s="1"/>
    </row>
    <row r="247" spans="38:40">
      <c r="AL247" s="353"/>
      <c r="AM247" s="353"/>
      <c r="AN247" s="1"/>
    </row>
    <row r="248" spans="38:40">
      <c r="AL248" s="353"/>
      <c r="AM248" s="353"/>
      <c r="AN248" s="1"/>
    </row>
    <row r="249" spans="38:40">
      <c r="AL249" s="353"/>
      <c r="AM249" s="353"/>
      <c r="AN249" s="1"/>
    </row>
    <row r="250" spans="38:40">
      <c r="AL250" s="353"/>
      <c r="AM250" s="353"/>
      <c r="AN250" s="1"/>
    </row>
    <row r="251" spans="38:40">
      <c r="AL251" s="353"/>
      <c r="AM251" s="353"/>
      <c r="AN251" s="1"/>
    </row>
    <row r="252" spans="38:40">
      <c r="AL252" s="353"/>
      <c r="AM252" s="353"/>
      <c r="AN252" s="1"/>
    </row>
    <row r="253" spans="38:40">
      <c r="AL253" s="353"/>
      <c r="AM253" s="353"/>
      <c r="AN253" s="1"/>
    </row>
    <row r="254" spans="38:40">
      <c r="AL254" s="353"/>
      <c r="AM254" s="353"/>
      <c r="AN254" s="1"/>
    </row>
    <row r="255" spans="38:40">
      <c r="AL255" s="353"/>
      <c r="AM255" s="353"/>
      <c r="AN255" s="1"/>
    </row>
    <row r="256" spans="38:40">
      <c r="AL256" s="353"/>
      <c r="AM256" s="353"/>
      <c r="AN256" s="1"/>
    </row>
    <row r="257" spans="38:40">
      <c r="AL257" s="353"/>
      <c r="AM257" s="353"/>
      <c r="AN257" s="1"/>
    </row>
    <row r="258" spans="38:40">
      <c r="AL258" s="353"/>
      <c r="AM258" s="353"/>
      <c r="AN258" s="1"/>
    </row>
    <row r="259" spans="38:40">
      <c r="AL259" s="353"/>
      <c r="AM259" s="353"/>
      <c r="AN259" s="1"/>
    </row>
    <row r="260" spans="38:40">
      <c r="AL260" s="353"/>
      <c r="AM260" s="353"/>
      <c r="AN260" s="1"/>
    </row>
    <row r="261" spans="38:40">
      <c r="AL261" s="353"/>
      <c r="AM261" s="353"/>
      <c r="AN261" s="1"/>
    </row>
    <row r="262" spans="38:40">
      <c r="AL262" s="353"/>
      <c r="AM262" s="353"/>
      <c r="AN262" s="1"/>
    </row>
    <row r="263" spans="38:40">
      <c r="AL263" s="353"/>
      <c r="AM263" s="353"/>
      <c r="AN263" s="1"/>
    </row>
    <row r="264" spans="38:40">
      <c r="AL264" s="353"/>
      <c r="AM264" s="353"/>
      <c r="AN264" s="1"/>
    </row>
    <row r="265" spans="38:40">
      <c r="AL265" s="353"/>
      <c r="AM265" s="353"/>
      <c r="AN265" s="1"/>
    </row>
    <row r="266" spans="38:40">
      <c r="AL266" s="353"/>
      <c r="AM266" s="353"/>
      <c r="AN266" s="1"/>
    </row>
    <row r="267" spans="38:40">
      <c r="AL267" s="353"/>
      <c r="AM267" s="353"/>
      <c r="AN267" s="1"/>
    </row>
    <row r="268" spans="38:40">
      <c r="AL268" s="353"/>
      <c r="AM268" s="353"/>
      <c r="AN268" s="1"/>
    </row>
    <row r="269" spans="38:40">
      <c r="AL269" s="353"/>
      <c r="AM269" s="353"/>
      <c r="AN269" s="1"/>
    </row>
    <row r="270" spans="38:40">
      <c r="AL270" s="353"/>
      <c r="AM270" s="353"/>
      <c r="AN270" s="1"/>
    </row>
    <row r="271" spans="38:40">
      <c r="AL271" s="353"/>
      <c r="AM271" s="353"/>
      <c r="AN271" s="1"/>
    </row>
    <row r="272" spans="38:40">
      <c r="AL272" s="353"/>
      <c r="AM272" s="353"/>
      <c r="AN272" s="1"/>
    </row>
    <row r="273" spans="38:40">
      <c r="AL273" s="353"/>
      <c r="AM273" s="353"/>
      <c r="AN273" s="1"/>
    </row>
    <row r="274" spans="38:40">
      <c r="AL274" s="353"/>
      <c r="AM274" s="353"/>
      <c r="AN274" s="1"/>
    </row>
    <row r="275" spans="38:40">
      <c r="AL275" s="353"/>
      <c r="AM275" s="353"/>
      <c r="AN275" s="1"/>
    </row>
    <row r="276" spans="38:40">
      <c r="AL276" s="353"/>
      <c r="AM276" s="353"/>
      <c r="AN276" s="1"/>
    </row>
    <row r="277" spans="38:40">
      <c r="AL277" s="353"/>
      <c r="AM277" s="353"/>
      <c r="AN277" s="1"/>
    </row>
    <row r="278" spans="38:40">
      <c r="AL278" s="353"/>
      <c r="AM278" s="353"/>
      <c r="AN278" s="1"/>
    </row>
    <row r="279" spans="38:40">
      <c r="AL279" s="353"/>
      <c r="AM279" s="353"/>
      <c r="AN279" s="1"/>
    </row>
    <row r="280" spans="38:40">
      <c r="AL280" s="353"/>
      <c r="AM280" s="353"/>
      <c r="AN280" s="1"/>
    </row>
    <row r="281" spans="38:40">
      <c r="AL281" s="353"/>
      <c r="AM281" s="353"/>
      <c r="AN281" s="1"/>
    </row>
    <row r="282" spans="38:40">
      <c r="AL282" s="353"/>
      <c r="AM282" s="353"/>
      <c r="AN282" s="1"/>
    </row>
    <row r="283" spans="38:40">
      <c r="AL283" s="353"/>
      <c r="AM283" s="353"/>
      <c r="AN283" s="1"/>
    </row>
    <row r="284" spans="38:40">
      <c r="AL284" s="353"/>
      <c r="AM284" s="353"/>
      <c r="AN284" s="1"/>
    </row>
    <row r="285" spans="38:40">
      <c r="AL285" s="353"/>
      <c r="AM285" s="353"/>
      <c r="AN285" s="1"/>
    </row>
    <row r="286" spans="38:40">
      <c r="AL286" s="353"/>
      <c r="AM286" s="353"/>
      <c r="AN286" s="1"/>
    </row>
    <row r="287" spans="38:40">
      <c r="AL287" s="353"/>
      <c r="AM287" s="353"/>
      <c r="AN287" s="1"/>
    </row>
    <row r="288" spans="38:40">
      <c r="AL288" s="353"/>
      <c r="AM288" s="353"/>
      <c r="AN288" s="1"/>
    </row>
    <row r="289" spans="38:40">
      <c r="AL289" s="353"/>
      <c r="AM289" s="353"/>
      <c r="AN289" s="1"/>
    </row>
    <row r="290" spans="38:40">
      <c r="AL290" s="353"/>
      <c r="AM290" s="353"/>
      <c r="AN290" s="1"/>
    </row>
    <row r="291" spans="38:40">
      <c r="AL291" s="353"/>
      <c r="AM291" s="353"/>
      <c r="AN291" s="1"/>
    </row>
    <row r="292" spans="38:40">
      <c r="AL292" s="353"/>
      <c r="AM292" s="353"/>
      <c r="AN292" s="1"/>
    </row>
    <row r="293" spans="38:40">
      <c r="AL293" s="353"/>
      <c r="AM293" s="353"/>
      <c r="AN293" s="1"/>
    </row>
    <row r="294" spans="38:40">
      <c r="AL294" s="353"/>
      <c r="AM294" s="353"/>
      <c r="AN294" s="1"/>
    </row>
    <row r="295" spans="38:40">
      <c r="AL295" s="353"/>
      <c r="AM295" s="353"/>
      <c r="AN295" s="1"/>
    </row>
    <row r="296" spans="38:40">
      <c r="AL296" s="353"/>
      <c r="AM296" s="353"/>
      <c r="AN296" s="1"/>
    </row>
    <row r="297" spans="38:40">
      <c r="AL297" s="353"/>
      <c r="AM297" s="353"/>
      <c r="AN297" s="1"/>
    </row>
    <row r="298" spans="38:40">
      <c r="AL298" s="353"/>
      <c r="AM298" s="353"/>
      <c r="AN298" s="1"/>
    </row>
    <row r="299" spans="38:40">
      <c r="AL299" s="353"/>
      <c r="AM299" s="353"/>
      <c r="AN299" s="1"/>
    </row>
    <row r="300" spans="38:40">
      <c r="AL300" s="353"/>
      <c r="AM300" s="353"/>
      <c r="AN300" s="1"/>
    </row>
    <row r="301" spans="38:40">
      <c r="AL301" s="353"/>
      <c r="AM301" s="353"/>
      <c r="AN301" s="1"/>
    </row>
    <row r="302" spans="38:40">
      <c r="AL302" s="353"/>
      <c r="AM302" s="353"/>
      <c r="AN302" s="1"/>
    </row>
    <row r="303" spans="38:40">
      <c r="AL303" s="353"/>
      <c r="AM303" s="353"/>
      <c r="AN303" s="1"/>
    </row>
    <row r="304" spans="38:40">
      <c r="AL304" s="353"/>
      <c r="AM304" s="353"/>
      <c r="AN304" s="1"/>
    </row>
    <row r="305" spans="38:40">
      <c r="AL305" s="353"/>
      <c r="AM305" s="353"/>
      <c r="AN305" s="1"/>
    </row>
    <row r="306" spans="38:40">
      <c r="AL306" s="353"/>
      <c r="AM306" s="353"/>
      <c r="AN306" s="1"/>
    </row>
    <row r="307" spans="38:40">
      <c r="AL307" s="353"/>
      <c r="AM307" s="353"/>
      <c r="AN307" s="1"/>
    </row>
    <row r="308" spans="38:40">
      <c r="AL308" s="353"/>
      <c r="AM308" s="353"/>
      <c r="AN308" s="1"/>
    </row>
    <row r="309" spans="38:40">
      <c r="AL309" s="353"/>
      <c r="AM309" s="353"/>
      <c r="AN309" s="1"/>
    </row>
    <row r="310" spans="38:40">
      <c r="AL310" s="353"/>
      <c r="AM310" s="353"/>
      <c r="AN310" s="1"/>
    </row>
    <row r="311" spans="38:40">
      <c r="AL311" s="353"/>
      <c r="AM311" s="353"/>
      <c r="AN311" s="1"/>
    </row>
    <row r="312" spans="38:40">
      <c r="AL312" s="353"/>
      <c r="AM312" s="353"/>
      <c r="AN312" s="1"/>
    </row>
    <row r="313" spans="38:40">
      <c r="AL313" s="353"/>
      <c r="AM313" s="353"/>
      <c r="AN313" s="1"/>
    </row>
    <row r="314" spans="38:40">
      <c r="AL314" s="353"/>
      <c r="AM314" s="353"/>
      <c r="AN314" s="1"/>
    </row>
    <row r="315" spans="38:40">
      <c r="AL315" s="353"/>
      <c r="AM315" s="353"/>
      <c r="AN315" s="1"/>
    </row>
    <row r="316" spans="38:40">
      <c r="AL316" s="353"/>
      <c r="AM316" s="353"/>
      <c r="AN316" s="1"/>
    </row>
    <row r="317" spans="38:40">
      <c r="AL317" s="353"/>
      <c r="AM317" s="353"/>
      <c r="AN317" s="1"/>
    </row>
    <row r="318" spans="38:40">
      <c r="AL318" s="353"/>
      <c r="AM318" s="353"/>
      <c r="AN318" s="1"/>
    </row>
    <row r="319" spans="38:40">
      <c r="AL319" s="353"/>
      <c r="AM319" s="353"/>
      <c r="AN319" s="1"/>
    </row>
    <row r="320" spans="38:40">
      <c r="AL320" s="353"/>
      <c r="AM320" s="353"/>
      <c r="AN320" s="1"/>
    </row>
    <row r="321" spans="38:40">
      <c r="AL321" s="353"/>
      <c r="AM321" s="353"/>
      <c r="AN321" s="1"/>
    </row>
    <row r="322" spans="38:40">
      <c r="AL322" s="353"/>
      <c r="AM322" s="353"/>
      <c r="AN322" s="1"/>
    </row>
    <row r="323" spans="38:40">
      <c r="AL323" s="353"/>
      <c r="AM323" s="353"/>
      <c r="AN323" s="1"/>
    </row>
    <row r="324" spans="38:40">
      <c r="AL324" s="353"/>
      <c r="AM324" s="353"/>
      <c r="AN324" s="1"/>
    </row>
    <row r="325" spans="38:40">
      <c r="AL325" s="353"/>
      <c r="AM325" s="353"/>
      <c r="AN325" s="1"/>
    </row>
    <row r="326" spans="38:40">
      <c r="AL326" s="353"/>
      <c r="AM326" s="353"/>
      <c r="AN326" s="1"/>
    </row>
    <row r="327" spans="38:40">
      <c r="AL327" s="353"/>
      <c r="AM327" s="353"/>
      <c r="AN327" s="1"/>
    </row>
    <row r="328" spans="38:40">
      <c r="AL328" s="353"/>
      <c r="AM328" s="353"/>
      <c r="AN328" s="1"/>
    </row>
    <row r="329" spans="38:40">
      <c r="AL329" s="353"/>
      <c r="AM329" s="353"/>
      <c r="AN329" s="1"/>
    </row>
    <row r="330" spans="38:40">
      <c r="AL330" s="353"/>
      <c r="AM330" s="353"/>
      <c r="AN330" s="1"/>
    </row>
    <row r="331" spans="38:40">
      <c r="AL331" s="353"/>
      <c r="AM331" s="353"/>
      <c r="AN331" s="1"/>
    </row>
    <row r="332" spans="38:40">
      <c r="AL332" s="353"/>
      <c r="AM332" s="353"/>
      <c r="AN332" s="1"/>
    </row>
    <row r="333" spans="38:40">
      <c r="AL333" s="353"/>
      <c r="AM333" s="353"/>
      <c r="AN333" s="1"/>
    </row>
    <row r="334" spans="38:40">
      <c r="AL334" s="353"/>
      <c r="AM334" s="353"/>
      <c r="AN334" s="1"/>
    </row>
    <row r="335" spans="38:40">
      <c r="AL335" s="353"/>
      <c r="AM335" s="353"/>
      <c r="AN335" s="1"/>
    </row>
    <row r="336" spans="38:40">
      <c r="AL336" s="353"/>
      <c r="AM336" s="353"/>
      <c r="AN336" s="1"/>
    </row>
    <row r="337" spans="38:40">
      <c r="AL337" s="353"/>
      <c r="AM337" s="353"/>
      <c r="AN337" s="1"/>
    </row>
    <row r="338" spans="38:40">
      <c r="AL338" s="353"/>
      <c r="AM338" s="353"/>
      <c r="AN338" s="1"/>
    </row>
    <row r="339" spans="38:40">
      <c r="AL339" s="353"/>
      <c r="AM339" s="353"/>
      <c r="AN339" s="1"/>
    </row>
    <row r="340" spans="38:40">
      <c r="AL340" s="353"/>
      <c r="AM340" s="353"/>
      <c r="AN340" s="1"/>
    </row>
    <row r="341" spans="38:40">
      <c r="AL341" s="353"/>
      <c r="AM341" s="353"/>
      <c r="AN341" s="1"/>
    </row>
    <row r="342" spans="38:40">
      <c r="AL342" s="353"/>
      <c r="AM342" s="353"/>
      <c r="AN342" s="1"/>
    </row>
    <row r="343" spans="38:40">
      <c r="AL343" s="353"/>
      <c r="AM343" s="353"/>
      <c r="AN343" s="1"/>
    </row>
    <row r="344" spans="38:40">
      <c r="AL344" s="353"/>
      <c r="AM344" s="353"/>
      <c r="AN344" s="1"/>
    </row>
    <row r="345" spans="38:40">
      <c r="AL345" s="353"/>
      <c r="AM345" s="353"/>
      <c r="AN345" s="1"/>
    </row>
    <row r="346" spans="38:40">
      <c r="AL346" s="353"/>
      <c r="AM346" s="353"/>
      <c r="AN346" s="1"/>
    </row>
    <row r="347" spans="38:40">
      <c r="AL347" s="353"/>
      <c r="AM347" s="353"/>
      <c r="AN347" s="1"/>
    </row>
    <row r="348" spans="38:40">
      <c r="AL348" s="353"/>
      <c r="AM348" s="353"/>
      <c r="AN348" s="1"/>
    </row>
    <row r="349" spans="38:40">
      <c r="AL349" s="353"/>
      <c r="AM349" s="353"/>
      <c r="AN349" s="1"/>
    </row>
    <row r="350" spans="38:40">
      <c r="AL350" s="353"/>
      <c r="AM350" s="353"/>
      <c r="AN350" s="1"/>
    </row>
    <row r="351" spans="38:40">
      <c r="AL351" s="353"/>
      <c r="AM351" s="353"/>
      <c r="AN351" s="1"/>
    </row>
    <row r="352" spans="38:40">
      <c r="AL352" s="353"/>
      <c r="AM352" s="353"/>
      <c r="AN352" s="1"/>
    </row>
    <row r="353" spans="38:40">
      <c r="AL353" s="353"/>
      <c r="AM353" s="353"/>
      <c r="AN353" s="1"/>
    </row>
    <row r="354" spans="38:40">
      <c r="AL354" s="353"/>
      <c r="AM354" s="353"/>
      <c r="AN354" s="1"/>
    </row>
    <row r="355" spans="38:40">
      <c r="AL355" s="353"/>
      <c r="AM355" s="353"/>
      <c r="AN355" s="1"/>
    </row>
    <row r="356" spans="38:40">
      <c r="AL356" s="353"/>
      <c r="AM356" s="353"/>
      <c r="AN356" s="1"/>
    </row>
    <row r="357" spans="38:40">
      <c r="AL357" s="353"/>
      <c r="AM357" s="353"/>
      <c r="AN357" s="1"/>
    </row>
    <row r="358" spans="38:40">
      <c r="AL358" s="353"/>
      <c r="AM358" s="353"/>
      <c r="AN358" s="1"/>
    </row>
    <row r="359" spans="38:40">
      <c r="AL359" s="353"/>
      <c r="AM359" s="353"/>
      <c r="AN359" s="1"/>
    </row>
    <row r="360" spans="38:40">
      <c r="AL360" s="353"/>
      <c r="AM360" s="353"/>
      <c r="AN360" s="1"/>
    </row>
    <row r="361" spans="38:40">
      <c r="AL361" s="353"/>
      <c r="AM361" s="353"/>
      <c r="AN361" s="1"/>
    </row>
    <row r="362" spans="38:40">
      <c r="AL362" s="353"/>
      <c r="AM362" s="353"/>
      <c r="AN362" s="1"/>
    </row>
    <row r="363" spans="38:40">
      <c r="AL363" s="353"/>
      <c r="AM363" s="353"/>
      <c r="AN363" s="1"/>
    </row>
    <row r="364" spans="38:40">
      <c r="AL364" s="353"/>
      <c r="AM364" s="353"/>
      <c r="AN364" s="1"/>
    </row>
    <row r="365" spans="38:40">
      <c r="AL365" s="353"/>
      <c r="AM365" s="353"/>
      <c r="AN365" s="1"/>
    </row>
    <row r="366" spans="38:40">
      <c r="AL366" s="353"/>
      <c r="AM366" s="353"/>
      <c r="AN366" s="1"/>
    </row>
    <row r="367" spans="38:40">
      <c r="AL367" s="353"/>
      <c r="AM367" s="353"/>
      <c r="AN367" s="1"/>
    </row>
    <row r="368" spans="38:40">
      <c r="AL368" s="353"/>
      <c r="AM368" s="353"/>
      <c r="AN368" s="1"/>
    </row>
    <row r="369" spans="38:40">
      <c r="AL369" s="353"/>
      <c r="AM369" s="353"/>
      <c r="AN369" s="1"/>
    </row>
    <row r="370" spans="38:40">
      <c r="AL370" s="353"/>
      <c r="AM370" s="353"/>
      <c r="AN370" s="1"/>
    </row>
    <row r="371" spans="38:40">
      <c r="AL371" s="353"/>
      <c r="AM371" s="353"/>
      <c r="AN371" s="1"/>
    </row>
    <row r="372" spans="38:40">
      <c r="AL372" s="353"/>
      <c r="AM372" s="353"/>
      <c r="AN372" s="1"/>
    </row>
    <row r="373" spans="38:40">
      <c r="AL373" s="353"/>
      <c r="AM373" s="353"/>
      <c r="AN373" s="1"/>
    </row>
    <row r="374" spans="38:40">
      <c r="AL374" s="353"/>
      <c r="AM374" s="353"/>
      <c r="AN374" s="1"/>
    </row>
    <row r="375" spans="38:40">
      <c r="AL375" s="353"/>
      <c r="AM375" s="353"/>
      <c r="AN375" s="1"/>
    </row>
    <row r="376" spans="38:40">
      <c r="AL376" s="353"/>
      <c r="AM376" s="353"/>
      <c r="AN376" s="1"/>
    </row>
    <row r="377" spans="38:40">
      <c r="AL377" s="353"/>
      <c r="AM377" s="353"/>
      <c r="AN377" s="1"/>
    </row>
    <row r="378" spans="38:40">
      <c r="AL378" s="353"/>
      <c r="AM378" s="353"/>
      <c r="AN378" s="1"/>
    </row>
    <row r="379" spans="38:40">
      <c r="AL379" s="353"/>
      <c r="AM379" s="353"/>
      <c r="AN379" s="1"/>
    </row>
    <row r="380" spans="38:40">
      <c r="AL380" s="353"/>
      <c r="AM380" s="353"/>
      <c r="AN380" s="1"/>
    </row>
    <row r="381" spans="38:40">
      <c r="AL381" s="353"/>
      <c r="AM381" s="353"/>
      <c r="AN381" s="1"/>
    </row>
    <row r="382" spans="38:40">
      <c r="AL382" s="353"/>
      <c r="AM382" s="353"/>
      <c r="AN382" s="1"/>
    </row>
    <row r="383" spans="38:40">
      <c r="AL383" s="353"/>
      <c r="AM383" s="353"/>
      <c r="AN383" s="1"/>
    </row>
    <row r="384" spans="38:40">
      <c r="AL384" s="353"/>
      <c r="AM384" s="353"/>
      <c r="AN384" s="1"/>
    </row>
    <row r="385" spans="38:40">
      <c r="AL385" s="353"/>
      <c r="AM385" s="353"/>
      <c r="AN385" s="1"/>
    </row>
    <row r="386" spans="38:40">
      <c r="AL386" s="353"/>
      <c r="AM386" s="353"/>
      <c r="AN386" s="1"/>
    </row>
    <row r="387" spans="38:40">
      <c r="AL387" s="353"/>
      <c r="AM387" s="353"/>
      <c r="AN387" s="1"/>
    </row>
    <row r="388" spans="38:40">
      <c r="AL388" s="353"/>
      <c r="AM388" s="353"/>
      <c r="AN388" s="1"/>
    </row>
    <row r="389" spans="38:40">
      <c r="AL389" s="353"/>
      <c r="AM389" s="353"/>
      <c r="AN389" s="1"/>
    </row>
    <row r="390" spans="38:40">
      <c r="AL390" s="353"/>
      <c r="AM390" s="353"/>
      <c r="AN390" s="1"/>
    </row>
    <row r="391" spans="38:40">
      <c r="AL391" s="353"/>
      <c r="AM391" s="353"/>
      <c r="AN391" s="1"/>
    </row>
    <row r="392" spans="38:40">
      <c r="AL392" s="353"/>
      <c r="AM392" s="353"/>
      <c r="AN392" s="1"/>
    </row>
    <row r="393" spans="38:40">
      <c r="AL393" s="353"/>
      <c r="AM393" s="353"/>
      <c r="AN393" s="1"/>
    </row>
    <row r="394" spans="38:40">
      <c r="AL394" s="353"/>
      <c r="AM394" s="353"/>
      <c r="AN394" s="1"/>
    </row>
    <row r="395" spans="38:40">
      <c r="AL395" s="353"/>
      <c r="AM395" s="353"/>
      <c r="AN395" s="1"/>
    </row>
    <row r="396" spans="38:40">
      <c r="AL396" s="353"/>
      <c r="AM396" s="353"/>
      <c r="AN396" s="1"/>
    </row>
    <row r="397" spans="38:40">
      <c r="AL397" s="353"/>
      <c r="AM397" s="353"/>
      <c r="AN397" s="1"/>
    </row>
    <row r="398" spans="38:40">
      <c r="AL398" s="353"/>
      <c r="AM398" s="353"/>
      <c r="AN398" s="1"/>
    </row>
    <row r="399" spans="38:40">
      <c r="AL399" s="353"/>
      <c r="AM399" s="353"/>
      <c r="AN399" s="1"/>
    </row>
    <row r="400" spans="38:40">
      <c r="AL400" s="353"/>
      <c r="AM400" s="353"/>
      <c r="AN400" s="1"/>
    </row>
    <row r="401" spans="38:40">
      <c r="AL401" s="353"/>
      <c r="AM401" s="353"/>
      <c r="AN401" s="1"/>
    </row>
    <row r="402" spans="38:40">
      <c r="AL402" s="353"/>
      <c r="AM402" s="353"/>
      <c r="AN402" s="1"/>
    </row>
    <row r="403" spans="38:40">
      <c r="AL403" s="353"/>
      <c r="AM403" s="353"/>
      <c r="AN403" s="1"/>
    </row>
    <row r="404" spans="38:40">
      <c r="AL404" s="353"/>
      <c r="AM404" s="353"/>
      <c r="AN404" s="1"/>
    </row>
    <row r="405" spans="38:40">
      <c r="AL405" s="353"/>
      <c r="AM405" s="353"/>
      <c r="AN405" s="1"/>
    </row>
    <row r="406" spans="38:40">
      <c r="AL406" s="353"/>
      <c r="AM406" s="353"/>
      <c r="AN406" s="1"/>
    </row>
    <row r="407" spans="38:40">
      <c r="AL407" s="353"/>
      <c r="AM407" s="353"/>
      <c r="AN407" s="1"/>
    </row>
    <row r="408" spans="38:40">
      <c r="AL408" s="353"/>
      <c r="AM408" s="353"/>
      <c r="AN408" s="1"/>
    </row>
    <row r="409" spans="38:40">
      <c r="AL409" s="353"/>
      <c r="AM409" s="353"/>
      <c r="AN409" s="1"/>
    </row>
    <row r="410" spans="38:40">
      <c r="AL410" s="353"/>
      <c r="AM410" s="353"/>
      <c r="AN410" s="1"/>
    </row>
    <row r="411" spans="38:40">
      <c r="AL411" s="353"/>
      <c r="AM411" s="353"/>
      <c r="AN411" s="1"/>
    </row>
    <row r="412" spans="38:40">
      <c r="AL412" s="353"/>
      <c r="AM412" s="353"/>
      <c r="AN412" s="1"/>
    </row>
    <row r="413" spans="38:40">
      <c r="AL413" s="353"/>
      <c r="AM413" s="353"/>
      <c r="AN413" s="1"/>
    </row>
    <row r="414" spans="38:40">
      <c r="AL414" s="353"/>
      <c r="AM414" s="353"/>
      <c r="AN414" s="1"/>
    </row>
    <row r="415" spans="38:40">
      <c r="AL415" s="353"/>
      <c r="AM415" s="353"/>
      <c r="AN415" s="1"/>
    </row>
    <row r="416" spans="38:40">
      <c r="AL416" s="353"/>
      <c r="AM416" s="353"/>
      <c r="AN416" s="1"/>
    </row>
    <row r="417" spans="38:40">
      <c r="AL417" s="353"/>
      <c r="AM417" s="353"/>
      <c r="AN417" s="1"/>
    </row>
    <row r="418" spans="38:40">
      <c r="AL418" s="353"/>
      <c r="AM418" s="353"/>
      <c r="AN418" s="1"/>
    </row>
    <row r="419" spans="38:40">
      <c r="AL419" s="353"/>
      <c r="AM419" s="353"/>
      <c r="AN419" s="1"/>
    </row>
    <row r="420" spans="38:40">
      <c r="AL420" s="353"/>
      <c r="AM420" s="353"/>
      <c r="AN420" s="1"/>
    </row>
    <row r="421" spans="38:40">
      <c r="AL421" s="353"/>
      <c r="AM421" s="353"/>
      <c r="AN421" s="1"/>
    </row>
    <row r="422" spans="38:40">
      <c r="AL422" s="353"/>
      <c r="AM422" s="353"/>
      <c r="AN422" s="1"/>
    </row>
    <row r="423" spans="38:40">
      <c r="AL423" s="353"/>
      <c r="AM423" s="353"/>
      <c r="AN423" s="1"/>
    </row>
    <row r="424" spans="38:40">
      <c r="AL424" s="353"/>
      <c r="AM424" s="353"/>
      <c r="AN424" s="1"/>
    </row>
    <row r="425" spans="38:40">
      <c r="AL425" s="353"/>
      <c r="AM425" s="353"/>
      <c r="AN425" s="1"/>
    </row>
    <row r="426" spans="38:40">
      <c r="AL426" s="353"/>
      <c r="AM426" s="353"/>
      <c r="AN426" s="1"/>
    </row>
    <row r="427" spans="38:40">
      <c r="AL427" s="353"/>
      <c r="AM427" s="353"/>
      <c r="AN427" s="1"/>
    </row>
    <row r="428" spans="38:40">
      <c r="AL428" s="353"/>
      <c r="AM428" s="353"/>
      <c r="AN428" s="1"/>
    </row>
    <row r="429" spans="38:40">
      <c r="AL429" s="353"/>
      <c r="AM429" s="353"/>
      <c r="AN429" s="1"/>
    </row>
    <row r="430" spans="38:40">
      <c r="AL430" s="353"/>
      <c r="AM430" s="353"/>
      <c r="AN430" s="1"/>
    </row>
    <row r="431" spans="38:40">
      <c r="AL431" s="353"/>
      <c r="AM431" s="353"/>
      <c r="AN431" s="1"/>
    </row>
    <row r="432" spans="38:40">
      <c r="AL432" s="353"/>
      <c r="AM432" s="353"/>
      <c r="AN432" s="1"/>
    </row>
    <row r="433" spans="38:40">
      <c r="AL433" s="353"/>
      <c r="AM433" s="353"/>
      <c r="AN433" s="1"/>
    </row>
    <row r="434" spans="38:40">
      <c r="AL434" s="353"/>
      <c r="AM434" s="353"/>
      <c r="AN434" s="1"/>
    </row>
    <row r="435" spans="38:40">
      <c r="AL435" s="353"/>
      <c r="AM435" s="353"/>
      <c r="AN435" s="1"/>
    </row>
    <row r="436" spans="38:40">
      <c r="AL436" s="353"/>
      <c r="AM436" s="353"/>
      <c r="AN436" s="1"/>
    </row>
    <row r="437" spans="38:40">
      <c r="AL437" s="353"/>
      <c r="AM437" s="353"/>
      <c r="AN437" s="1"/>
    </row>
    <row r="438" spans="38:40">
      <c r="AL438" s="353"/>
      <c r="AM438" s="353"/>
      <c r="AN438" s="1"/>
    </row>
    <row r="439" spans="38:40">
      <c r="AL439" s="353"/>
      <c r="AM439" s="353"/>
      <c r="AN439" s="1"/>
    </row>
    <row r="440" spans="38:40">
      <c r="AL440" s="353"/>
      <c r="AM440" s="353"/>
      <c r="AN440" s="1"/>
    </row>
    <row r="441" spans="38:40">
      <c r="AL441" s="353"/>
      <c r="AM441" s="353"/>
      <c r="AN441" s="1"/>
    </row>
    <row r="442" spans="38:40">
      <c r="AL442" s="353"/>
      <c r="AM442" s="353"/>
      <c r="AN442" s="1"/>
    </row>
    <row r="443" spans="38:40">
      <c r="AL443" s="353"/>
      <c r="AM443" s="353"/>
      <c r="AN443" s="1"/>
    </row>
    <row r="444" spans="38:40">
      <c r="AL444" s="353"/>
      <c r="AM444" s="353"/>
      <c r="AN444" s="1"/>
    </row>
    <row r="445" spans="38:40">
      <c r="AL445" s="353"/>
      <c r="AM445" s="353"/>
      <c r="AN445" s="1"/>
    </row>
    <row r="446" spans="38:40">
      <c r="AL446" s="353"/>
      <c r="AM446" s="353"/>
      <c r="AN446" s="1"/>
    </row>
    <row r="447" spans="38:40">
      <c r="AL447" s="353"/>
      <c r="AM447" s="353"/>
      <c r="AN447" s="1"/>
    </row>
    <row r="448" spans="38:40">
      <c r="AL448" s="353"/>
      <c r="AM448" s="353"/>
      <c r="AN448" s="1"/>
    </row>
    <row r="449" spans="38:40">
      <c r="AL449" s="353"/>
      <c r="AM449" s="353"/>
      <c r="AN449" s="1"/>
    </row>
    <row r="450" spans="38:40">
      <c r="AL450" s="353"/>
      <c r="AM450" s="353"/>
      <c r="AN450" s="1"/>
    </row>
    <row r="451" spans="38:40">
      <c r="AL451" s="353"/>
      <c r="AM451" s="353"/>
      <c r="AN451" s="1"/>
    </row>
    <row r="452" spans="38:40">
      <c r="AL452" s="353"/>
      <c r="AM452" s="353"/>
      <c r="AN452" s="1"/>
    </row>
    <row r="453" spans="38:40">
      <c r="AL453" s="353"/>
      <c r="AM453" s="353"/>
      <c r="AN453" s="1"/>
    </row>
    <row r="454" spans="38:40">
      <c r="AL454" s="353"/>
      <c r="AM454" s="353"/>
      <c r="AN454" s="1"/>
    </row>
    <row r="455" spans="38:40">
      <c r="AL455" s="353"/>
      <c r="AM455" s="353"/>
      <c r="AN455" s="1"/>
    </row>
    <row r="456" spans="38:40">
      <c r="AL456" s="353"/>
      <c r="AM456" s="353"/>
      <c r="AN456" s="1"/>
    </row>
    <row r="457" spans="38:40">
      <c r="AL457" s="353"/>
      <c r="AM457" s="353"/>
      <c r="AN457" s="1"/>
    </row>
    <row r="458" spans="38:40">
      <c r="AL458" s="353"/>
      <c r="AM458" s="353"/>
      <c r="AN458" s="1"/>
    </row>
    <row r="459" spans="38:40">
      <c r="AL459" s="353"/>
      <c r="AM459" s="353"/>
      <c r="AN459" s="1"/>
    </row>
    <row r="460" spans="38:40">
      <c r="AL460" s="353"/>
      <c r="AM460" s="353"/>
      <c r="AN460" s="1"/>
    </row>
    <row r="461" spans="38:40">
      <c r="AL461" s="353"/>
      <c r="AM461" s="353"/>
      <c r="AN461" s="1"/>
    </row>
    <row r="462" spans="38:40">
      <c r="AL462" s="353"/>
      <c r="AM462" s="353"/>
      <c r="AN462" s="1"/>
    </row>
    <row r="463" spans="38:40">
      <c r="AL463" s="353"/>
      <c r="AM463" s="353"/>
      <c r="AN463" s="1"/>
    </row>
    <row r="464" spans="38:40">
      <c r="AL464" s="353"/>
      <c r="AM464" s="353"/>
      <c r="AN464" s="1"/>
    </row>
    <row r="465" spans="38:40">
      <c r="AL465" s="353"/>
      <c r="AM465" s="353"/>
      <c r="AN465" s="1"/>
    </row>
    <row r="466" spans="38:40">
      <c r="AL466" s="353"/>
      <c r="AM466" s="353"/>
      <c r="AN466" s="1"/>
    </row>
    <row r="467" spans="38:40">
      <c r="AL467" s="353"/>
      <c r="AM467" s="353"/>
      <c r="AN467" s="1"/>
    </row>
    <row r="468" spans="38:40">
      <c r="AL468" s="353"/>
      <c r="AM468" s="353"/>
      <c r="AN468" s="1"/>
    </row>
    <row r="469" spans="38:40">
      <c r="AL469" s="353"/>
      <c r="AM469" s="353"/>
      <c r="AN469" s="1"/>
    </row>
    <row r="470" spans="38:40">
      <c r="AL470" s="353"/>
      <c r="AM470" s="353"/>
      <c r="AN470" s="1"/>
    </row>
    <row r="471" spans="38:40">
      <c r="AL471" s="353"/>
      <c r="AM471" s="353"/>
      <c r="AN471" s="1"/>
    </row>
    <row r="472" spans="38:40">
      <c r="AL472" s="353"/>
      <c r="AM472" s="353"/>
      <c r="AN472" s="1"/>
    </row>
    <row r="473" spans="38:40">
      <c r="AL473" s="353"/>
      <c r="AM473" s="353"/>
      <c r="AN473" s="1"/>
    </row>
    <row r="474" spans="38:40">
      <c r="AL474" s="353"/>
      <c r="AM474" s="353"/>
      <c r="AN474" s="1"/>
    </row>
    <row r="475" spans="38:40">
      <c r="AL475" s="353"/>
      <c r="AM475" s="353"/>
      <c r="AN475" s="1"/>
    </row>
    <row r="476" spans="38:40">
      <c r="AL476" s="353"/>
      <c r="AM476" s="353"/>
      <c r="AN476" s="1"/>
    </row>
    <row r="477" spans="38:40">
      <c r="AL477" s="353"/>
      <c r="AM477" s="353"/>
      <c r="AN477" s="1"/>
    </row>
    <row r="478" spans="38:40">
      <c r="AL478" s="353"/>
      <c r="AM478" s="353"/>
      <c r="AN478" s="1"/>
    </row>
    <row r="479" spans="38:40">
      <c r="AL479" s="353"/>
      <c r="AM479" s="353"/>
      <c r="AN479" s="1"/>
    </row>
    <row r="480" spans="38:40">
      <c r="AL480" s="353"/>
      <c r="AM480" s="353"/>
      <c r="AN480" s="1"/>
    </row>
    <row r="481" spans="38:40">
      <c r="AL481" s="353"/>
      <c r="AM481" s="353"/>
      <c r="AN481" s="1"/>
    </row>
    <row r="482" spans="38:40">
      <c r="AL482" s="353"/>
      <c r="AM482" s="353"/>
      <c r="AN482" s="1"/>
    </row>
    <row r="483" spans="38:40">
      <c r="AL483" s="353"/>
      <c r="AM483" s="353"/>
      <c r="AN483" s="1"/>
    </row>
    <row r="484" spans="38:40">
      <c r="AL484" s="353"/>
      <c r="AM484" s="353"/>
      <c r="AN484" s="1"/>
    </row>
    <row r="485" spans="38:40">
      <c r="AL485" s="353"/>
      <c r="AM485" s="353"/>
      <c r="AN485" s="1"/>
    </row>
    <row r="486" spans="38:40">
      <c r="AL486" s="353"/>
      <c r="AM486" s="353"/>
      <c r="AN486" s="1"/>
    </row>
    <row r="487" spans="38:40">
      <c r="AL487" s="353"/>
      <c r="AM487" s="353"/>
      <c r="AN487" s="1"/>
    </row>
    <row r="488" spans="38:40">
      <c r="AL488" s="353"/>
      <c r="AM488" s="353"/>
      <c r="AN488" s="1"/>
    </row>
    <row r="489" spans="38:40">
      <c r="AL489" s="353"/>
      <c r="AM489" s="353"/>
      <c r="AN489" s="1"/>
    </row>
    <row r="490" spans="38:40">
      <c r="AL490" s="353"/>
      <c r="AM490" s="353"/>
      <c r="AN490" s="1"/>
    </row>
    <row r="491" spans="38:40">
      <c r="AL491" s="353"/>
      <c r="AM491" s="353"/>
      <c r="AN491" s="1"/>
    </row>
    <row r="492" spans="38:40">
      <c r="AL492" s="353"/>
      <c r="AM492" s="353"/>
      <c r="AN492" s="1"/>
    </row>
    <row r="493" spans="38:40">
      <c r="AL493" s="353"/>
      <c r="AM493" s="353"/>
      <c r="AN493" s="1"/>
    </row>
    <row r="494" spans="38:40">
      <c r="AL494" s="353"/>
      <c r="AM494" s="353"/>
      <c r="AN494" s="1"/>
    </row>
    <row r="495" spans="38:40">
      <c r="AL495" s="353"/>
      <c r="AM495" s="353"/>
      <c r="AN495" s="1"/>
    </row>
    <row r="496" spans="38:40">
      <c r="AL496" s="353"/>
      <c r="AM496" s="353"/>
      <c r="AN496" s="1"/>
    </row>
    <row r="497" spans="38:40">
      <c r="AL497" s="353"/>
      <c r="AM497" s="353"/>
      <c r="AN497" s="1"/>
    </row>
    <row r="498" spans="38:40">
      <c r="AL498" s="353"/>
      <c r="AM498" s="353"/>
      <c r="AN498" s="1"/>
    </row>
    <row r="499" spans="38:40">
      <c r="AL499" s="353"/>
      <c r="AM499" s="353"/>
      <c r="AN499" s="1"/>
    </row>
    <row r="500" spans="38:40">
      <c r="AL500" s="353"/>
      <c r="AM500" s="353"/>
      <c r="AN500" s="1"/>
    </row>
    <row r="501" spans="38:40">
      <c r="AL501" s="353"/>
      <c r="AM501" s="353"/>
      <c r="AN501" s="1"/>
    </row>
    <row r="502" spans="38:40">
      <c r="AL502" s="353"/>
      <c r="AM502" s="353"/>
      <c r="AN502" s="1"/>
    </row>
    <row r="503" spans="38:40">
      <c r="AL503" s="353"/>
      <c r="AM503" s="353"/>
      <c r="AN503" s="1"/>
    </row>
    <row r="504" spans="38:40">
      <c r="AL504" s="353"/>
      <c r="AM504" s="353"/>
      <c r="AN504" s="1"/>
    </row>
    <row r="505" spans="38:40">
      <c r="AL505" s="353"/>
      <c r="AM505" s="353"/>
      <c r="AN505" s="1"/>
    </row>
    <row r="506" spans="38:40">
      <c r="AL506" s="353"/>
      <c r="AM506" s="353"/>
      <c r="AN506" s="1"/>
    </row>
    <row r="507" spans="38:40">
      <c r="AL507" s="353"/>
      <c r="AM507" s="353"/>
      <c r="AN507" s="1"/>
    </row>
    <row r="508" spans="38:40">
      <c r="AL508" s="353"/>
      <c r="AM508" s="353"/>
      <c r="AN508" s="1"/>
    </row>
    <row r="509" spans="38:40">
      <c r="AL509" s="353"/>
      <c r="AM509" s="353"/>
      <c r="AN509" s="1"/>
    </row>
    <row r="510" spans="38:40">
      <c r="AL510" s="353"/>
      <c r="AM510" s="353"/>
      <c r="AN510" s="1"/>
    </row>
    <row r="511" spans="38:40">
      <c r="AL511" s="353"/>
      <c r="AM511" s="353"/>
      <c r="AN511" s="1"/>
    </row>
    <row r="512" spans="38:40">
      <c r="AL512" s="353"/>
      <c r="AM512" s="353"/>
      <c r="AN512" s="1"/>
    </row>
    <row r="513" spans="38:40">
      <c r="AL513" s="353"/>
      <c r="AM513" s="353"/>
      <c r="AN513" s="1"/>
    </row>
    <row r="514" spans="38:40">
      <c r="AL514" s="353"/>
      <c r="AM514" s="353"/>
      <c r="AN514" s="1"/>
    </row>
    <row r="515" spans="38:40">
      <c r="AL515" s="353"/>
      <c r="AM515" s="353"/>
      <c r="AN515" s="1"/>
    </row>
    <row r="516" spans="38:40">
      <c r="AL516" s="353"/>
      <c r="AM516" s="353"/>
      <c r="AN516" s="1"/>
    </row>
    <row r="517" spans="38:40">
      <c r="AL517" s="353"/>
      <c r="AM517" s="353"/>
      <c r="AN517" s="1"/>
    </row>
    <row r="518" spans="38:40">
      <c r="AL518" s="353"/>
      <c r="AM518" s="353"/>
      <c r="AN518" s="1"/>
    </row>
    <row r="519" spans="38:40">
      <c r="AL519" s="353"/>
      <c r="AM519" s="353"/>
      <c r="AN519" s="1"/>
    </row>
    <row r="520" spans="38:40">
      <c r="AL520" s="353"/>
      <c r="AM520" s="353"/>
      <c r="AN520" s="1"/>
    </row>
    <row r="521" spans="38:40">
      <c r="AL521" s="353"/>
      <c r="AM521" s="353"/>
      <c r="AN521" s="1"/>
    </row>
    <row r="522" spans="38:40">
      <c r="AL522" s="353"/>
      <c r="AM522" s="353"/>
      <c r="AN522" s="1"/>
    </row>
    <row r="523" spans="38:40">
      <c r="AL523" s="353"/>
      <c r="AM523" s="353"/>
      <c r="AN523" s="1"/>
    </row>
    <row r="524" spans="38:40">
      <c r="AL524" s="353"/>
      <c r="AM524" s="353"/>
      <c r="AN524" s="1"/>
    </row>
    <row r="525" spans="38:40">
      <c r="AL525" s="353"/>
      <c r="AM525" s="353"/>
      <c r="AN525" s="1"/>
    </row>
    <row r="526" spans="38:40">
      <c r="AL526" s="353"/>
      <c r="AM526" s="353"/>
      <c r="AN526" s="1"/>
    </row>
    <row r="527" spans="38:40">
      <c r="AL527" s="353"/>
      <c r="AM527" s="353"/>
      <c r="AN527" s="1"/>
    </row>
    <row r="528" spans="38:40">
      <c r="AL528" s="353"/>
      <c r="AM528" s="353"/>
      <c r="AN528" s="1"/>
    </row>
    <row r="529" spans="38:40">
      <c r="AL529" s="353"/>
      <c r="AM529" s="353"/>
      <c r="AN529" s="1"/>
    </row>
    <row r="530" spans="38:40">
      <c r="AL530" s="353"/>
      <c r="AM530" s="353"/>
      <c r="AN530" s="1"/>
    </row>
    <row r="531" spans="38:40">
      <c r="AL531" s="353"/>
      <c r="AM531" s="353"/>
      <c r="AN531" s="1"/>
    </row>
    <row r="532" spans="38:40">
      <c r="AL532" s="353"/>
      <c r="AM532" s="353"/>
      <c r="AN532" s="1"/>
    </row>
    <row r="533" spans="38:40">
      <c r="AL533" s="353"/>
      <c r="AM533" s="353"/>
      <c r="AN533" s="1"/>
    </row>
    <row r="534" spans="38:40">
      <c r="AL534" s="353"/>
      <c r="AM534" s="353"/>
      <c r="AN534" s="1"/>
    </row>
    <row r="535" spans="38:40">
      <c r="AL535" s="353"/>
      <c r="AM535" s="353"/>
      <c r="AN535" s="1"/>
    </row>
    <row r="536" spans="38:40">
      <c r="AL536" s="353"/>
      <c r="AM536" s="353"/>
      <c r="AN536" s="1"/>
    </row>
    <row r="537" spans="38:40">
      <c r="AL537" s="353"/>
      <c r="AM537" s="353"/>
      <c r="AN537" s="1"/>
    </row>
    <row r="538" spans="38:40">
      <c r="AL538" s="353"/>
      <c r="AM538" s="353"/>
      <c r="AN538" s="1"/>
    </row>
    <row r="539" spans="38:40">
      <c r="AL539" s="353"/>
      <c r="AM539" s="353"/>
      <c r="AN539" s="1"/>
    </row>
    <row r="540" spans="38:40">
      <c r="AL540" s="353"/>
      <c r="AM540" s="353"/>
      <c r="AN540" s="1"/>
    </row>
    <row r="541" spans="38:40">
      <c r="AL541" s="353"/>
      <c r="AM541" s="353"/>
      <c r="AN541" s="1"/>
    </row>
    <row r="542" spans="38:40">
      <c r="AL542" s="353"/>
      <c r="AM542" s="353"/>
      <c r="AN542" s="1"/>
    </row>
    <row r="543" spans="38:40">
      <c r="AL543" s="353"/>
      <c r="AM543" s="353"/>
      <c r="AN543" s="1"/>
    </row>
    <row r="544" spans="38:40">
      <c r="AL544" s="353"/>
      <c r="AM544" s="353"/>
      <c r="AN544" s="1"/>
    </row>
    <row r="545" spans="38:40">
      <c r="AL545" s="353"/>
      <c r="AM545" s="353"/>
      <c r="AN545" s="1"/>
    </row>
    <row r="546" spans="38:40">
      <c r="AL546" s="353"/>
      <c r="AM546" s="353"/>
      <c r="AN546" s="1"/>
    </row>
    <row r="547" spans="38:40">
      <c r="AL547" s="353"/>
      <c r="AM547" s="353"/>
      <c r="AN547" s="1"/>
    </row>
    <row r="548" spans="38:40">
      <c r="AL548" s="353"/>
      <c r="AM548" s="353"/>
      <c r="AN548" s="1"/>
    </row>
    <row r="549" spans="38:40">
      <c r="AL549" s="353"/>
      <c r="AM549" s="353"/>
      <c r="AN549" s="1"/>
    </row>
    <row r="550" spans="38:40">
      <c r="AL550" s="353"/>
      <c r="AM550" s="353"/>
      <c r="AN550" s="1"/>
    </row>
    <row r="551" spans="38:40">
      <c r="AL551" s="353"/>
      <c r="AM551" s="353"/>
      <c r="AN551" s="1"/>
    </row>
    <row r="552" spans="38:40">
      <c r="AL552" s="353"/>
      <c r="AM552" s="353"/>
      <c r="AN552" s="1"/>
    </row>
    <row r="553" spans="38:40">
      <c r="AL553" s="353"/>
      <c r="AM553" s="353"/>
      <c r="AN553" s="1"/>
    </row>
    <row r="554" spans="38:40">
      <c r="AL554" s="353"/>
      <c r="AM554" s="353"/>
      <c r="AN554" s="1"/>
    </row>
    <row r="555" spans="38:40">
      <c r="AL555" s="353"/>
      <c r="AM555" s="353"/>
      <c r="AN555" s="1"/>
    </row>
    <row r="556" spans="38:40">
      <c r="AL556" s="353"/>
      <c r="AN556" s="1"/>
    </row>
  </sheetData>
  <protectedRanges>
    <protectedRange sqref="B44:F53" name="Systèmes_touchés"/>
    <protectedRange sqref="B11" name="Plage1"/>
  </protectedRanges>
  <mergeCells count="1">
    <mergeCell ref="Q43:R43"/>
  </mergeCells>
  <phoneticPr fontId="23" type="noConversion"/>
  <dataValidations count="3">
    <dataValidation type="list" allowBlank="1" showInputMessage="1" showErrorMessage="1" sqref="B13">
      <formula1>$A$32:$A$37</formula1>
    </dataValidation>
    <dataValidation type="list" allowBlank="1" showInputMessage="1" showErrorMessage="1" sqref="B21">
      <formula1>"janvier-décembre,février-janvier,mars-février,avril-mars,mai-avril,juin-mai,juillet-juin,août-juillet,septembre-août,octobre-septembre,novembre-octobre,décembre-novembre"</formula1>
    </dataValidation>
    <dataValidation type="list" showInputMessage="1" showErrorMessage="1" sqref="A44:A53">
      <formula1>BAT_ANNEE_EE</formula1>
    </dataValidation>
  </dataValidations>
  <pageMargins left="0.70866141732283472" right="0.70866141732283472" top="0.74803149606299213" bottom="0.74803149606299213" header="0.31496062992125984" footer="0.31496062992125984"/>
  <pageSetup scale="43" orientation="landscape" r:id="rId1"/>
  <headerFooter>
    <oddFooter>&amp;L&amp;"Arial,Normal"&amp;10Transition énergétique Québec&amp;R&amp;F
&amp;A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93" r:id="rId4" name="Check Box 569">
              <controlPr defaultSize="0" autoFill="0" autoLine="0" autoPict="0">
                <anchor moveWithCells="1">
                  <from>
                    <xdr:col>1</xdr:col>
                    <xdr:colOff>30480</xdr:colOff>
                    <xdr:row>42</xdr:row>
                    <xdr:rowOff>190500</xdr:rowOff>
                  </from>
                  <to>
                    <xdr:col>1</xdr:col>
                    <xdr:colOff>1165860</xdr:colOff>
                    <xdr:row>43</xdr:row>
                    <xdr:rowOff>190500</xdr:rowOff>
                  </to>
                </anchor>
              </controlPr>
            </control>
          </mc:Choice>
        </mc:AlternateContent>
        <mc:AlternateContent xmlns:mc="http://schemas.openxmlformats.org/markup-compatibility/2006">
          <mc:Choice Requires="x14">
            <control shapeId="1594" r:id="rId5" name="Check Box 570">
              <controlPr defaultSize="0" autoFill="0" autoLine="0" autoPict="0">
                <anchor moveWithCells="1">
                  <from>
                    <xdr:col>1</xdr:col>
                    <xdr:colOff>1188720</xdr:colOff>
                    <xdr:row>42</xdr:row>
                    <xdr:rowOff>190500</xdr:rowOff>
                  </from>
                  <to>
                    <xdr:col>1</xdr:col>
                    <xdr:colOff>2560320</xdr:colOff>
                    <xdr:row>43</xdr:row>
                    <xdr:rowOff>190500</xdr:rowOff>
                  </to>
                </anchor>
              </controlPr>
            </control>
          </mc:Choice>
        </mc:AlternateContent>
        <mc:AlternateContent xmlns:mc="http://schemas.openxmlformats.org/markup-compatibility/2006">
          <mc:Choice Requires="x14">
            <control shapeId="1595" r:id="rId6" name="Check Box 571">
              <controlPr defaultSize="0" autoFill="0" autoLine="0" autoPict="0">
                <anchor moveWithCells="1">
                  <from>
                    <xdr:col>1</xdr:col>
                    <xdr:colOff>2590800</xdr:colOff>
                    <xdr:row>42</xdr:row>
                    <xdr:rowOff>190500</xdr:rowOff>
                  </from>
                  <to>
                    <xdr:col>1</xdr:col>
                    <xdr:colOff>3810000</xdr:colOff>
                    <xdr:row>43</xdr:row>
                    <xdr:rowOff>182880</xdr:rowOff>
                  </to>
                </anchor>
              </controlPr>
            </control>
          </mc:Choice>
        </mc:AlternateContent>
        <mc:AlternateContent xmlns:mc="http://schemas.openxmlformats.org/markup-compatibility/2006">
          <mc:Choice Requires="x14">
            <control shapeId="1596" r:id="rId7" name="Check Box 572">
              <controlPr defaultSize="0" autoFill="0" autoLine="0" autoPict="0">
                <anchor moveWithCells="1">
                  <from>
                    <xdr:col>1</xdr:col>
                    <xdr:colOff>3848100</xdr:colOff>
                    <xdr:row>42</xdr:row>
                    <xdr:rowOff>190500</xdr:rowOff>
                  </from>
                  <to>
                    <xdr:col>1</xdr:col>
                    <xdr:colOff>5676900</xdr:colOff>
                    <xdr:row>43</xdr:row>
                    <xdr:rowOff>190500</xdr:rowOff>
                  </to>
                </anchor>
              </controlPr>
            </control>
          </mc:Choice>
        </mc:AlternateContent>
        <mc:AlternateContent xmlns:mc="http://schemas.openxmlformats.org/markup-compatibility/2006">
          <mc:Choice Requires="x14">
            <control shapeId="1598" r:id="rId8" name="Check Box 574">
              <controlPr defaultSize="0" autoFill="0" autoLine="0" autoPict="0">
                <anchor moveWithCells="1">
                  <from>
                    <xdr:col>1</xdr:col>
                    <xdr:colOff>30480</xdr:colOff>
                    <xdr:row>43</xdr:row>
                    <xdr:rowOff>175260</xdr:rowOff>
                  </from>
                  <to>
                    <xdr:col>1</xdr:col>
                    <xdr:colOff>1165860</xdr:colOff>
                    <xdr:row>44</xdr:row>
                    <xdr:rowOff>182880</xdr:rowOff>
                  </to>
                </anchor>
              </controlPr>
            </control>
          </mc:Choice>
        </mc:AlternateContent>
        <mc:AlternateContent xmlns:mc="http://schemas.openxmlformats.org/markup-compatibility/2006">
          <mc:Choice Requires="x14">
            <control shapeId="1599" r:id="rId9" name="Check Box 575">
              <controlPr defaultSize="0" autoFill="0" autoLine="0" autoPict="0">
                <anchor moveWithCells="1">
                  <from>
                    <xdr:col>1</xdr:col>
                    <xdr:colOff>1188720</xdr:colOff>
                    <xdr:row>43</xdr:row>
                    <xdr:rowOff>175260</xdr:rowOff>
                  </from>
                  <to>
                    <xdr:col>1</xdr:col>
                    <xdr:colOff>2560320</xdr:colOff>
                    <xdr:row>44</xdr:row>
                    <xdr:rowOff>182880</xdr:rowOff>
                  </to>
                </anchor>
              </controlPr>
            </control>
          </mc:Choice>
        </mc:AlternateContent>
        <mc:AlternateContent xmlns:mc="http://schemas.openxmlformats.org/markup-compatibility/2006">
          <mc:Choice Requires="x14">
            <control shapeId="1600" r:id="rId10" name="Check Box 576">
              <controlPr defaultSize="0" autoFill="0" autoLine="0" autoPict="0">
                <anchor moveWithCells="1">
                  <from>
                    <xdr:col>1</xdr:col>
                    <xdr:colOff>2590800</xdr:colOff>
                    <xdr:row>43</xdr:row>
                    <xdr:rowOff>175260</xdr:rowOff>
                  </from>
                  <to>
                    <xdr:col>1</xdr:col>
                    <xdr:colOff>3810000</xdr:colOff>
                    <xdr:row>44</xdr:row>
                    <xdr:rowOff>175260</xdr:rowOff>
                  </to>
                </anchor>
              </controlPr>
            </control>
          </mc:Choice>
        </mc:AlternateContent>
        <mc:AlternateContent xmlns:mc="http://schemas.openxmlformats.org/markup-compatibility/2006">
          <mc:Choice Requires="x14">
            <control shapeId="1601" r:id="rId11" name="Check Box 577">
              <controlPr defaultSize="0" autoFill="0" autoLine="0" autoPict="0">
                <anchor moveWithCells="1">
                  <from>
                    <xdr:col>1</xdr:col>
                    <xdr:colOff>3848100</xdr:colOff>
                    <xdr:row>43</xdr:row>
                    <xdr:rowOff>175260</xdr:rowOff>
                  </from>
                  <to>
                    <xdr:col>1</xdr:col>
                    <xdr:colOff>5676900</xdr:colOff>
                    <xdr:row>44</xdr:row>
                    <xdr:rowOff>182880</xdr:rowOff>
                  </to>
                </anchor>
              </controlPr>
            </control>
          </mc:Choice>
        </mc:AlternateContent>
        <mc:AlternateContent xmlns:mc="http://schemas.openxmlformats.org/markup-compatibility/2006">
          <mc:Choice Requires="x14">
            <control shapeId="1602" r:id="rId12" name="Check Box 578">
              <controlPr defaultSize="0" autoFill="0" autoLine="0" autoPict="0">
                <anchor moveWithCells="1">
                  <from>
                    <xdr:col>1</xdr:col>
                    <xdr:colOff>30480</xdr:colOff>
                    <xdr:row>44</xdr:row>
                    <xdr:rowOff>175260</xdr:rowOff>
                  </from>
                  <to>
                    <xdr:col>1</xdr:col>
                    <xdr:colOff>1165860</xdr:colOff>
                    <xdr:row>45</xdr:row>
                    <xdr:rowOff>182880</xdr:rowOff>
                  </to>
                </anchor>
              </controlPr>
            </control>
          </mc:Choice>
        </mc:AlternateContent>
        <mc:AlternateContent xmlns:mc="http://schemas.openxmlformats.org/markup-compatibility/2006">
          <mc:Choice Requires="x14">
            <control shapeId="1603" r:id="rId13" name="Check Box 579">
              <controlPr defaultSize="0" autoFill="0" autoLine="0" autoPict="0">
                <anchor moveWithCells="1">
                  <from>
                    <xdr:col>1</xdr:col>
                    <xdr:colOff>1188720</xdr:colOff>
                    <xdr:row>44</xdr:row>
                    <xdr:rowOff>175260</xdr:rowOff>
                  </from>
                  <to>
                    <xdr:col>1</xdr:col>
                    <xdr:colOff>2560320</xdr:colOff>
                    <xdr:row>45</xdr:row>
                    <xdr:rowOff>182880</xdr:rowOff>
                  </to>
                </anchor>
              </controlPr>
            </control>
          </mc:Choice>
        </mc:AlternateContent>
        <mc:AlternateContent xmlns:mc="http://schemas.openxmlformats.org/markup-compatibility/2006">
          <mc:Choice Requires="x14">
            <control shapeId="1604" r:id="rId14" name="Check Box 580">
              <controlPr defaultSize="0" autoFill="0" autoLine="0" autoPict="0">
                <anchor moveWithCells="1">
                  <from>
                    <xdr:col>1</xdr:col>
                    <xdr:colOff>2590800</xdr:colOff>
                    <xdr:row>44</xdr:row>
                    <xdr:rowOff>175260</xdr:rowOff>
                  </from>
                  <to>
                    <xdr:col>1</xdr:col>
                    <xdr:colOff>3810000</xdr:colOff>
                    <xdr:row>45</xdr:row>
                    <xdr:rowOff>175260</xdr:rowOff>
                  </to>
                </anchor>
              </controlPr>
            </control>
          </mc:Choice>
        </mc:AlternateContent>
        <mc:AlternateContent xmlns:mc="http://schemas.openxmlformats.org/markup-compatibility/2006">
          <mc:Choice Requires="x14">
            <control shapeId="1605" r:id="rId15" name="Check Box 581">
              <controlPr defaultSize="0" autoFill="0" autoLine="0" autoPict="0">
                <anchor moveWithCells="1">
                  <from>
                    <xdr:col>1</xdr:col>
                    <xdr:colOff>3848100</xdr:colOff>
                    <xdr:row>44</xdr:row>
                    <xdr:rowOff>175260</xdr:rowOff>
                  </from>
                  <to>
                    <xdr:col>1</xdr:col>
                    <xdr:colOff>5676900</xdr:colOff>
                    <xdr:row>45</xdr:row>
                    <xdr:rowOff>182880</xdr:rowOff>
                  </to>
                </anchor>
              </controlPr>
            </control>
          </mc:Choice>
        </mc:AlternateContent>
        <mc:AlternateContent xmlns:mc="http://schemas.openxmlformats.org/markup-compatibility/2006">
          <mc:Choice Requires="x14">
            <control shapeId="1606" r:id="rId16" name="Check Box 582">
              <controlPr defaultSize="0" autoFill="0" autoLine="0" autoPict="0">
                <anchor moveWithCells="1">
                  <from>
                    <xdr:col>1</xdr:col>
                    <xdr:colOff>30480</xdr:colOff>
                    <xdr:row>45</xdr:row>
                    <xdr:rowOff>175260</xdr:rowOff>
                  </from>
                  <to>
                    <xdr:col>1</xdr:col>
                    <xdr:colOff>1165860</xdr:colOff>
                    <xdr:row>46</xdr:row>
                    <xdr:rowOff>182880</xdr:rowOff>
                  </to>
                </anchor>
              </controlPr>
            </control>
          </mc:Choice>
        </mc:AlternateContent>
        <mc:AlternateContent xmlns:mc="http://schemas.openxmlformats.org/markup-compatibility/2006">
          <mc:Choice Requires="x14">
            <control shapeId="1607" r:id="rId17" name="Check Box 583">
              <controlPr defaultSize="0" autoFill="0" autoLine="0" autoPict="0">
                <anchor moveWithCells="1">
                  <from>
                    <xdr:col>1</xdr:col>
                    <xdr:colOff>1188720</xdr:colOff>
                    <xdr:row>45</xdr:row>
                    <xdr:rowOff>175260</xdr:rowOff>
                  </from>
                  <to>
                    <xdr:col>1</xdr:col>
                    <xdr:colOff>2560320</xdr:colOff>
                    <xdr:row>46</xdr:row>
                    <xdr:rowOff>182880</xdr:rowOff>
                  </to>
                </anchor>
              </controlPr>
            </control>
          </mc:Choice>
        </mc:AlternateContent>
        <mc:AlternateContent xmlns:mc="http://schemas.openxmlformats.org/markup-compatibility/2006">
          <mc:Choice Requires="x14">
            <control shapeId="1608" r:id="rId18" name="Check Box 584">
              <controlPr defaultSize="0" autoFill="0" autoLine="0" autoPict="0">
                <anchor moveWithCells="1">
                  <from>
                    <xdr:col>1</xdr:col>
                    <xdr:colOff>2590800</xdr:colOff>
                    <xdr:row>45</xdr:row>
                    <xdr:rowOff>175260</xdr:rowOff>
                  </from>
                  <to>
                    <xdr:col>1</xdr:col>
                    <xdr:colOff>3810000</xdr:colOff>
                    <xdr:row>46</xdr:row>
                    <xdr:rowOff>175260</xdr:rowOff>
                  </to>
                </anchor>
              </controlPr>
            </control>
          </mc:Choice>
        </mc:AlternateContent>
        <mc:AlternateContent xmlns:mc="http://schemas.openxmlformats.org/markup-compatibility/2006">
          <mc:Choice Requires="x14">
            <control shapeId="1609" r:id="rId19" name="Check Box 585">
              <controlPr defaultSize="0" autoFill="0" autoLine="0" autoPict="0">
                <anchor moveWithCells="1">
                  <from>
                    <xdr:col>1</xdr:col>
                    <xdr:colOff>3848100</xdr:colOff>
                    <xdr:row>45</xdr:row>
                    <xdr:rowOff>175260</xdr:rowOff>
                  </from>
                  <to>
                    <xdr:col>1</xdr:col>
                    <xdr:colOff>5676900</xdr:colOff>
                    <xdr:row>46</xdr:row>
                    <xdr:rowOff>182880</xdr:rowOff>
                  </to>
                </anchor>
              </controlPr>
            </control>
          </mc:Choice>
        </mc:AlternateContent>
        <mc:AlternateContent xmlns:mc="http://schemas.openxmlformats.org/markup-compatibility/2006">
          <mc:Choice Requires="x14">
            <control shapeId="1610" r:id="rId20" name="Check Box 586">
              <controlPr defaultSize="0" autoFill="0" autoLine="0" autoPict="0">
                <anchor moveWithCells="1">
                  <from>
                    <xdr:col>1</xdr:col>
                    <xdr:colOff>30480</xdr:colOff>
                    <xdr:row>46</xdr:row>
                    <xdr:rowOff>175260</xdr:rowOff>
                  </from>
                  <to>
                    <xdr:col>1</xdr:col>
                    <xdr:colOff>1165860</xdr:colOff>
                    <xdr:row>47</xdr:row>
                    <xdr:rowOff>182880</xdr:rowOff>
                  </to>
                </anchor>
              </controlPr>
            </control>
          </mc:Choice>
        </mc:AlternateContent>
        <mc:AlternateContent xmlns:mc="http://schemas.openxmlformats.org/markup-compatibility/2006">
          <mc:Choice Requires="x14">
            <control shapeId="1611" r:id="rId21" name="Check Box 587">
              <controlPr defaultSize="0" autoFill="0" autoLine="0" autoPict="0">
                <anchor moveWithCells="1">
                  <from>
                    <xdr:col>1</xdr:col>
                    <xdr:colOff>1188720</xdr:colOff>
                    <xdr:row>46</xdr:row>
                    <xdr:rowOff>175260</xdr:rowOff>
                  </from>
                  <to>
                    <xdr:col>1</xdr:col>
                    <xdr:colOff>2560320</xdr:colOff>
                    <xdr:row>47</xdr:row>
                    <xdr:rowOff>182880</xdr:rowOff>
                  </to>
                </anchor>
              </controlPr>
            </control>
          </mc:Choice>
        </mc:AlternateContent>
        <mc:AlternateContent xmlns:mc="http://schemas.openxmlformats.org/markup-compatibility/2006">
          <mc:Choice Requires="x14">
            <control shapeId="1612" r:id="rId22" name="Check Box 588">
              <controlPr defaultSize="0" autoFill="0" autoLine="0" autoPict="0">
                <anchor moveWithCells="1">
                  <from>
                    <xdr:col>1</xdr:col>
                    <xdr:colOff>2590800</xdr:colOff>
                    <xdr:row>46</xdr:row>
                    <xdr:rowOff>175260</xdr:rowOff>
                  </from>
                  <to>
                    <xdr:col>1</xdr:col>
                    <xdr:colOff>3810000</xdr:colOff>
                    <xdr:row>47</xdr:row>
                    <xdr:rowOff>175260</xdr:rowOff>
                  </to>
                </anchor>
              </controlPr>
            </control>
          </mc:Choice>
        </mc:AlternateContent>
        <mc:AlternateContent xmlns:mc="http://schemas.openxmlformats.org/markup-compatibility/2006">
          <mc:Choice Requires="x14">
            <control shapeId="1613" r:id="rId23" name="Check Box 589">
              <controlPr defaultSize="0" autoFill="0" autoLine="0" autoPict="0">
                <anchor moveWithCells="1">
                  <from>
                    <xdr:col>1</xdr:col>
                    <xdr:colOff>3848100</xdr:colOff>
                    <xdr:row>46</xdr:row>
                    <xdr:rowOff>175260</xdr:rowOff>
                  </from>
                  <to>
                    <xdr:col>1</xdr:col>
                    <xdr:colOff>5676900</xdr:colOff>
                    <xdr:row>47</xdr:row>
                    <xdr:rowOff>182880</xdr:rowOff>
                  </to>
                </anchor>
              </controlPr>
            </control>
          </mc:Choice>
        </mc:AlternateContent>
        <mc:AlternateContent xmlns:mc="http://schemas.openxmlformats.org/markup-compatibility/2006">
          <mc:Choice Requires="x14">
            <control shapeId="1614" r:id="rId24" name="Check Box 590">
              <controlPr defaultSize="0" autoFill="0" autoLine="0" autoPict="0">
                <anchor moveWithCells="1">
                  <from>
                    <xdr:col>1</xdr:col>
                    <xdr:colOff>30480</xdr:colOff>
                    <xdr:row>47</xdr:row>
                    <xdr:rowOff>175260</xdr:rowOff>
                  </from>
                  <to>
                    <xdr:col>1</xdr:col>
                    <xdr:colOff>1165860</xdr:colOff>
                    <xdr:row>48</xdr:row>
                    <xdr:rowOff>182880</xdr:rowOff>
                  </to>
                </anchor>
              </controlPr>
            </control>
          </mc:Choice>
        </mc:AlternateContent>
        <mc:AlternateContent xmlns:mc="http://schemas.openxmlformats.org/markup-compatibility/2006">
          <mc:Choice Requires="x14">
            <control shapeId="1615" r:id="rId25" name="Check Box 591">
              <controlPr defaultSize="0" autoFill="0" autoLine="0" autoPict="0">
                <anchor moveWithCells="1">
                  <from>
                    <xdr:col>1</xdr:col>
                    <xdr:colOff>1188720</xdr:colOff>
                    <xdr:row>47</xdr:row>
                    <xdr:rowOff>175260</xdr:rowOff>
                  </from>
                  <to>
                    <xdr:col>1</xdr:col>
                    <xdr:colOff>2560320</xdr:colOff>
                    <xdr:row>48</xdr:row>
                    <xdr:rowOff>182880</xdr:rowOff>
                  </to>
                </anchor>
              </controlPr>
            </control>
          </mc:Choice>
        </mc:AlternateContent>
        <mc:AlternateContent xmlns:mc="http://schemas.openxmlformats.org/markup-compatibility/2006">
          <mc:Choice Requires="x14">
            <control shapeId="1616" r:id="rId26" name="Check Box 592">
              <controlPr defaultSize="0" autoFill="0" autoLine="0" autoPict="0">
                <anchor moveWithCells="1">
                  <from>
                    <xdr:col>1</xdr:col>
                    <xdr:colOff>2590800</xdr:colOff>
                    <xdr:row>47</xdr:row>
                    <xdr:rowOff>175260</xdr:rowOff>
                  </from>
                  <to>
                    <xdr:col>1</xdr:col>
                    <xdr:colOff>3810000</xdr:colOff>
                    <xdr:row>48</xdr:row>
                    <xdr:rowOff>175260</xdr:rowOff>
                  </to>
                </anchor>
              </controlPr>
            </control>
          </mc:Choice>
        </mc:AlternateContent>
        <mc:AlternateContent xmlns:mc="http://schemas.openxmlformats.org/markup-compatibility/2006">
          <mc:Choice Requires="x14">
            <control shapeId="1617" r:id="rId27" name="Check Box 593">
              <controlPr defaultSize="0" autoFill="0" autoLine="0" autoPict="0">
                <anchor moveWithCells="1">
                  <from>
                    <xdr:col>1</xdr:col>
                    <xdr:colOff>3848100</xdr:colOff>
                    <xdr:row>47</xdr:row>
                    <xdr:rowOff>175260</xdr:rowOff>
                  </from>
                  <to>
                    <xdr:col>1</xdr:col>
                    <xdr:colOff>5676900</xdr:colOff>
                    <xdr:row>48</xdr:row>
                    <xdr:rowOff>182880</xdr:rowOff>
                  </to>
                </anchor>
              </controlPr>
            </control>
          </mc:Choice>
        </mc:AlternateContent>
        <mc:AlternateContent xmlns:mc="http://schemas.openxmlformats.org/markup-compatibility/2006">
          <mc:Choice Requires="x14">
            <control shapeId="1618" r:id="rId28" name="Check Box 594">
              <controlPr defaultSize="0" autoFill="0" autoLine="0" autoPict="0">
                <anchor moveWithCells="1">
                  <from>
                    <xdr:col>1</xdr:col>
                    <xdr:colOff>30480</xdr:colOff>
                    <xdr:row>48</xdr:row>
                    <xdr:rowOff>175260</xdr:rowOff>
                  </from>
                  <to>
                    <xdr:col>1</xdr:col>
                    <xdr:colOff>1165860</xdr:colOff>
                    <xdr:row>49</xdr:row>
                    <xdr:rowOff>182880</xdr:rowOff>
                  </to>
                </anchor>
              </controlPr>
            </control>
          </mc:Choice>
        </mc:AlternateContent>
        <mc:AlternateContent xmlns:mc="http://schemas.openxmlformats.org/markup-compatibility/2006">
          <mc:Choice Requires="x14">
            <control shapeId="1619" r:id="rId29" name="Check Box 595">
              <controlPr defaultSize="0" autoFill="0" autoLine="0" autoPict="0">
                <anchor moveWithCells="1">
                  <from>
                    <xdr:col>1</xdr:col>
                    <xdr:colOff>1188720</xdr:colOff>
                    <xdr:row>48</xdr:row>
                    <xdr:rowOff>175260</xdr:rowOff>
                  </from>
                  <to>
                    <xdr:col>1</xdr:col>
                    <xdr:colOff>2560320</xdr:colOff>
                    <xdr:row>49</xdr:row>
                    <xdr:rowOff>182880</xdr:rowOff>
                  </to>
                </anchor>
              </controlPr>
            </control>
          </mc:Choice>
        </mc:AlternateContent>
        <mc:AlternateContent xmlns:mc="http://schemas.openxmlformats.org/markup-compatibility/2006">
          <mc:Choice Requires="x14">
            <control shapeId="1620" r:id="rId30" name="Check Box 596">
              <controlPr defaultSize="0" autoFill="0" autoLine="0" autoPict="0">
                <anchor moveWithCells="1">
                  <from>
                    <xdr:col>1</xdr:col>
                    <xdr:colOff>2590800</xdr:colOff>
                    <xdr:row>48</xdr:row>
                    <xdr:rowOff>175260</xdr:rowOff>
                  </from>
                  <to>
                    <xdr:col>1</xdr:col>
                    <xdr:colOff>3810000</xdr:colOff>
                    <xdr:row>49</xdr:row>
                    <xdr:rowOff>175260</xdr:rowOff>
                  </to>
                </anchor>
              </controlPr>
            </control>
          </mc:Choice>
        </mc:AlternateContent>
        <mc:AlternateContent xmlns:mc="http://schemas.openxmlformats.org/markup-compatibility/2006">
          <mc:Choice Requires="x14">
            <control shapeId="1621" r:id="rId31" name="Check Box 597">
              <controlPr defaultSize="0" autoFill="0" autoLine="0" autoPict="0">
                <anchor moveWithCells="1">
                  <from>
                    <xdr:col>1</xdr:col>
                    <xdr:colOff>3848100</xdr:colOff>
                    <xdr:row>48</xdr:row>
                    <xdr:rowOff>175260</xdr:rowOff>
                  </from>
                  <to>
                    <xdr:col>1</xdr:col>
                    <xdr:colOff>5676900</xdr:colOff>
                    <xdr:row>49</xdr:row>
                    <xdr:rowOff>182880</xdr:rowOff>
                  </to>
                </anchor>
              </controlPr>
            </control>
          </mc:Choice>
        </mc:AlternateContent>
        <mc:AlternateContent xmlns:mc="http://schemas.openxmlformats.org/markup-compatibility/2006">
          <mc:Choice Requires="x14">
            <control shapeId="1622" r:id="rId32" name="Check Box 598">
              <controlPr defaultSize="0" autoFill="0" autoLine="0" autoPict="0">
                <anchor moveWithCells="1">
                  <from>
                    <xdr:col>1</xdr:col>
                    <xdr:colOff>30480</xdr:colOff>
                    <xdr:row>49</xdr:row>
                    <xdr:rowOff>175260</xdr:rowOff>
                  </from>
                  <to>
                    <xdr:col>1</xdr:col>
                    <xdr:colOff>1165860</xdr:colOff>
                    <xdr:row>50</xdr:row>
                    <xdr:rowOff>182880</xdr:rowOff>
                  </to>
                </anchor>
              </controlPr>
            </control>
          </mc:Choice>
        </mc:AlternateContent>
        <mc:AlternateContent xmlns:mc="http://schemas.openxmlformats.org/markup-compatibility/2006">
          <mc:Choice Requires="x14">
            <control shapeId="1623" r:id="rId33" name="Check Box 599">
              <controlPr defaultSize="0" autoFill="0" autoLine="0" autoPict="0">
                <anchor moveWithCells="1">
                  <from>
                    <xdr:col>1</xdr:col>
                    <xdr:colOff>1188720</xdr:colOff>
                    <xdr:row>49</xdr:row>
                    <xdr:rowOff>175260</xdr:rowOff>
                  </from>
                  <to>
                    <xdr:col>1</xdr:col>
                    <xdr:colOff>2560320</xdr:colOff>
                    <xdr:row>50</xdr:row>
                    <xdr:rowOff>182880</xdr:rowOff>
                  </to>
                </anchor>
              </controlPr>
            </control>
          </mc:Choice>
        </mc:AlternateContent>
        <mc:AlternateContent xmlns:mc="http://schemas.openxmlformats.org/markup-compatibility/2006">
          <mc:Choice Requires="x14">
            <control shapeId="1624" r:id="rId34" name="Check Box 600">
              <controlPr defaultSize="0" autoFill="0" autoLine="0" autoPict="0">
                <anchor moveWithCells="1">
                  <from>
                    <xdr:col>1</xdr:col>
                    <xdr:colOff>2590800</xdr:colOff>
                    <xdr:row>49</xdr:row>
                    <xdr:rowOff>175260</xdr:rowOff>
                  </from>
                  <to>
                    <xdr:col>1</xdr:col>
                    <xdr:colOff>3810000</xdr:colOff>
                    <xdr:row>50</xdr:row>
                    <xdr:rowOff>175260</xdr:rowOff>
                  </to>
                </anchor>
              </controlPr>
            </control>
          </mc:Choice>
        </mc:AlternateContent>
        <mc:AlternateContent xmlns:mc="http://schemas.openxmlformats.org/markup-compatibility/2006">
          <mc:Choice Requires="x14">
            <control shapeId="1625" r:id="rId35" name="Check Box 601">
              <controlPr defaultSize="0" autoFill="0" autoLine="0" autoPict="0">
                <anchor moveWithCells="1">
                  <from>
                    <xdr:col>1</xdr:col>
                    <xdr:colOff>3848100</xdr:colOff>
                    <xdr:row>49</xdr:row>
                    <xdr:rowOff>175260</xdr:rowOff>
                  </from>
                  <to>
                    <xdr:col>1</xdr:col>
                    <xdr:colOff>5676900</xdr:colOff>
                    <xdr:row>50</xdr:row>
                    <xdr:rowOff>182880</xdr:rowOff>
                  </to>
                </anchor>
              </controlPr>
            </control>
          </mc:Choice>
        </mc:AlternateContent>
        <mc:AlternateContent xmlns:mc="http://schemas.openxmlformats.org/markup-compatibility/2006">
          <mc:Choice Requires="x14">
            <control shapeId="1626" r:id="rId36" name="Check Box 602">
              <controlPr defaultSize="0" autoFill="0" autoLine="0" autoPict="0">
                <anchor moveWithCells="1">
                  <from>
                    <xdr:col>1</xdr:col>
                    <xdr:colOff>30480</xdr:colOff>
                    <xdr:row>50</xdr:row>
                    <xdr:rowOff>175260</xdr:rowOff>
                  </from>
                  <to>
                    <xdr:col>1</xdr:col>
                    <xdr:colOff>1165860</xdr:colOff>
                    <xdr:row>51</xdr:row>
                    <xdr:rowOff>182880</xdr:rowOff>
                  </to>
                </anchor>
              </controlPr>
            </control>
          </mc:Choice>
        </mc:AlternateContent>
        <mc:AlternateContent xmlns:mc="http://schemas.openxmlformats.org/markup-compatibility/2006">
          <mc:Choice Requires="x14">
            <control shapeId="1627" r:id="rId37" name="Check Box 603">
              <controlPr defaultSize="0" autoFill="0" autoLine="0" autoPict="0">
                <anchor moveWithCells="1">
                  <from>
                    <xdr:col>1</xdr:col>
                    <xdr:colOff>1188720</xdr:colOff>
                    <xdr:row>50</xdr:row>
                    <xdr:rowOff>175260</xdr:rowOff>
                  </from>
                  <to>
                    <xdr:col>1</xdr:col>
                    <xdr:colOff>2560320</xdr:colOff>
                    <xdr:row>51</xdr:row>
                    <xdr:rowOff>182880</xdr:rowOff>
                  </to>
                </anchor>
              </controlPr>
            </control>
          </mc:Choice>
        </mc:AlternateContent>
        <mc:AlternateContent xmlns:mc="http://schemas.openxmlformats.org/markup-compatibility/2006">
          <mc:Choice Requires="x14">
            <control shapeId="1628" r:id="rId38" name="Check Box 604">
              <controlPr defaultSize="0" autoFill="0" autoLine="0" autoPict="0">
                <anchor moveWithCells="1">
                  <from>
                    <xdr:col>1</xdr:col>
                    <xdr:colOff>2590800</xdr:colOff>
                    <xdr:row>50</xdr:row>
                    <xdr:rowOff>175260</xdr:rowOff>
                  </from>
                  <to>
                    <xdr:col>1</xdr:col>
                    <xdr:colOff>3810000</xdr:colOff>
                    <xdr:row>51</xdr:row>
                    <xdr:rowOff>175260</xdr:rowOff>
                  </to>
                </anchor>
              </controlPr>
            </control>
          </mc:Choice>
        </mc:AlternateContent>
        <mc:AlternateContent xmlns:mc="http://schemas.openxmlformats.org/markup-compatibility/2006">
          <mc:Choice Requires="x14">
            <control shapeId="1629" r:id="rId39" name="Check Box 605">
              <controlPr defaultSize="0" autoFill="0" autoLine="0" autoPict="0">
                <anchor moveWithCells="1">
                  <from>
                    <xdr:col>1</xdr:col>
                    <xdr:colOff>3848100</xdr:colOff>
                    <xdr:row>50</xdr:row>
                    <xdr:rowOff>175260</xdr:rowOff>
                  </from>
                  <to>
                    <xdr:col>1</xdr:col>
                    <xdr:colOff>5676900</xdr:colOff>
                    <xdr:row>51</xdr:row>
                    <xdr:rowOff>182880</xdr:rowOff>
                  </to>
                </anchor>
              </controlPr>
            </control>
          </mc:Choice>
        </mc:AlternateContent>
        <mc:AlternateContent xmlns:mc="http://schemas.openxmlformats.org/markup-compatibility/2006">
          <mc:Choice Requires="x14">
            <control shapeId="1630" r:id="rId40" name="Check Box 606">
              <controlPr defaultSize="0" autoFill="0" autoLine="0" autoPict="0">
                <anchor moveWithCells="1">
                  <from>
                    <xdr:col>1</xdr:col>
                    <xdr:colOff>30480</xdr:colOff>
                    <xdr:row>51</xdr:row>
                    <xdr:rowOff>175260</xdr:rowOff>
                  </from>
                  <to>
                    <xdr:col>1</xdr:col>
                    <xdr:colOff>1165860</xdr:colOff>
                    <xdr:row>52</xdr:row>
                    <xdr:rowOff>182880</xdr:rowOff>
                  </to>
                </anchor>
              </controlPr>
            </control>
          </mc:Choice>
        </mc:AlternateContent>
        <mc:AlternateContent xmlns:mc="http://schemas.openxmlformats.org/markup-compatibility/2006">
          <mc:Choice Requires="x14">
            <control shapeId="1631" r:id="rId41" name="Check Box 607">
              <controlPr defaultSize="0" autoFill="0" autoLine="0" autoPict="0">
                <anchor moveWithCells="1">
                  <from>
                    <xdr:col>1</xdr:col>
                    <xdr:colOff>1188720</xdr:colOff>
                    <xdr:row>51</xdr:row>
                    <xdr:rowOff>175260</xdr:rowOff>
                  </from>
                  <to>
                    <xdr:col>1</xdr:col>
                    <xdr:colOff>2560320</xdr:colOff>
                    <xdr:row>52</xdr:row>
                    <xdr:rowOff>182880</xdr:rowOff>
                  </to>
                </anchor>
              </controlPr>
            </control>
          </mc:Choice>
        </mc:AlternateContent>
        <mc:AlternateContent xmlns:mc="http://schemas.openxmlformats.org/markup-compatibility/2006">
          <mc:Choice Requires="x14">
            <control shapeId="1632" r:id="rId42" name="Check Box 608">
              <controlPr defaultSize="0" autoFill="0" autoLine="0" autoPict="0">
                <anchor moveWithCells="1">
                  <from>
                    <xdr:col>1</xdr:col>
                    <xdr:colOff>2590800</xdr:colOff>
                    <xdr:row>51</xdr:row>
                    <xdr:rowOff>182880</xdr:rowOff>
                  </from>
                  <to>
                    <xdr:col>1</xdr:col>
                    <xdr:colOff>3810000</xdr:colOff>
                    <xdr:row>52</xdr:row>
                    <xdr:rowOff>182880</xdr:rowOff>
                  </to>
                </anchor>
              </controlPr>
            </control>
          </mc:Choice>
        </mc:AlternateContent>
        <mc:AlternateContent xmlns:mc="http://schemas.openxmlformats.org/markup-compatibility/2006">
          <mc:Choice Requires="x14">
            <control shapeId="1633" r:id="rId43" name="Check Box 609">
              <controlPr defaultSize="0" autoFill="0" autoLine="0" autoPict="0">
                <anchor moveWithCells="1">
                  <from>
                    <xdr:col>1</xdr:col>
                    <xdr:colOff>3848100</xdr:colOff>
                    <xdr:row>51</xdr:row>
                    <xdr:rowOff>175260</xdr:rowOff>
                  </from>
                  <to>
                    <xdr:col>1</xdr:col>
                    <xdr:colOff>5676900</xdr:colOff>
                    <xdr:row>52</xdr:row>
                    <xdr:rowOff>182880</xdr:rowOff>
                  </to>
                </anchor>
              </controlPr>
            </control>
          </mc:Choice>
        </mc:AlternateContent>
        <mc:AlternateContent xmlns:mc="http://schemas.openxmlformats.org/markup-compatibility/2006">
          <mc:Choice Requires="x14">
            <control shapeId="1672" r:id="rId44" name="Check Box 648">
              <controlPr defaultSize="0" autoFill="0" autoLine="0" autoPict="0">
                <anchor moveWithCells="1">
                  <from>
                    <xdr:col>4</xdr:col>
                    <xdr:colOff>22860</xdr:colOff>
                    <xdr:row>42</xdr:row>
                    <xdr:rowOff>198120</xdr:rowOff>
                  </from>
                  <to>
                    <xdr:col>4</xdr:col>
                    <xdr:colOff>1584960</xdr:colOff>
                    <xdr:row>44</xdr:row>
                    <xdr:rowOff>0</xdr:rowOff>
                  </to>
                </anchor>
              </controlPr>
            </control>
          </mc:Choice>
        </mc:AlternateContent>
        <mc:AlternateContent xmlns:mc="http://schemas.openxmlformats.org/markup-compatibility/2006">
          <mc:Choice Requires="x14">
            <control shapeId="1674" r:id="rId45" name="Check Box 650">
              <controlPr defaultSize="0" autoFill="0" autoLine="0" autoPict="0">
                <anchor moveWithCells="1">
                  <from>
                    <xdr:col>4</xdr:col>
                    <xdr:colOff>1592580</xdr:colOff>
                    <xdr:row>42</xdr:row>
                    <xdr:rowOff>198120</xdr:rowOff>
                  </from>
                  <to>
                    <xdr:col>4</xdr:col>
                    <xdr:colOff>2179320</xdr:colOff>
                    <xdr:row>44</xdr:row>
                    <xdr:rowOff>7620</xdr:rowOff>
                  </to>
                </anchor>
              </controlPr>
            </control>
          </mc:Choice>
        </mc:AlternateContent>
        <mc:AlternateContent xmlns:mc="http://schemas.openxmlformats.org/markup-compatibility/2006">
          <mc:Choice Requires="x14">
            <control shapeId="1675" r:id="rId46" name="Check Box 651">
              <controlPr defaultSize="0" autoFill="0" autoLine="0" autoPict="0">
                <anchor moveWithCells="1">
                  <from>
                    <xdr:col>4</xdr:col>
                    <xdr:colOff>22860</xdr:colOff>
                    <xdr:row>43</xdr:row>
                    <xdr:rowOff>182880</xdr:rowOff>
                  </from>
                  <to>
                    <xdr:col>4</xdr:col>
                    <xdr:colOff>1584960</xdr:colOff>
                    <xdr:row>44</xdr:row>
                    <xdr:rowOff>190500</xdr:rowOff>
                  </to>
                </anchor>
              </controlPr>
            </control>
          </mc:Choice>
        </mc:AlternateContent>
        <mc:AlternateContent xmlns:mc="http://schemas.openxmlformats.org/markup-compatibility/2006">
          <mc:Choice Requires="x14">
            <control shapeId="1676" r:id="rId47" name="Check Box 652">
              <controlPr defaultSize="0" autoFill="0" autoLine="0" autoPict="0">
                <anchor moveWithCells="1">
                  <from>
                    <xdr:col>4</xdr:col>
                    <xdr:colOff>1592580</xdr:colOff>
                    <xdr:row>43</xdr:row>
                    <xdr:rowOff>182880</xdr:rowOff>
                  </from>
                  <to>
                    <xdr:col>4</xdr:col>
                    <xdr:colOff>2179320</xdr:colOff>
                    <xdr:row>45</xdr:row>
                    <xdr:rowOff>0</xdr:rowOff>
                  </to>
                </anchor>
              </controlPr>
            </control>
          </mc:Choice>
        </mc:AlternateContent>
        <mc:AlternateContent xmlns:mc="http://schemas.openxmlformats.org/markup-compatibility/2006">
          <mc:Choice Requires="x14">
            <control shapeId="1677" r:id="rId48" name="Check Box 653">
              <controlPr defaultSize="0" autoFill="0" autoLine="0" autoPict="0">
                <anchor moveWithCells="1">
                  <from>
                    <xdr:col>4</xdr:col>
                    <xdr:colOff>22860</xdr:colOff>
                    <xdr:row>44</xdr:row>
                    <xdr:rowOff>182880</xdr:rowOff>
                  </from>
                  <to>
                    <xdr:col>4</xdr:col>
                    <xdr:colOff>1584960</xdr:colOff>
                    <xdr:row>45</xdr:row>
                    <xdr:rowOff>190500</xdr:rowOff>
                  </to>
                </anchor>
              </controlPr>
            </control>
          </mc:Choice>
        </mc:AlternateContent>
        <mc:AlternateContent xmlns:mc="http://schemas.openxmlformats.org/markup-compatibility/2006">
          <mc:Choice Requires="x14">
            <control shapeId="1678" r:id="rId49" name="Check Box 654">
              <controlPr defaultSize="0" autoFill="0" autoLine="0" autoPict="0">
                <anchor moveWithCells="1">
                  <from>
                    <xdr:col>4</xdr:col>
                    <xdr:colOff>1592580</xdr:colOff>
                    <xdr:row>44</xdr:row>
                    <xdr:rowOff>182880</xdr:rowOff>
                  </from>
                  <to>
                    <xdr:col>4</xdr:col>
                    <xdr:colOff>2179320</xdr:colOff>
                    <xdr:row>46</xdr:row>
                    <xdr:rowOff>0</xdr:rowOff>
                  </to>
                </anchor>
              </controlPr>
            </control>
          </mc:Choice>
        </mc:AlternateContent>
        <mc:AlternateContent xmlns:mc="http://schemas.openxmlformats.org/markup-compatibility/2006">
          <mc:Choice Requires="x14">
            <control shapeId="1679" r:id="rId50" name="Check Box 655">
              <controlPr defaultSize="0" autoFill="0" autoLine="0" autoPict="0">
                <anchor moveWithCells="1">
                  <from>
                    <xdr:col>4</xdr:col>
                    <xdr:colOff>22860</xdr:colOff>
                    <xdr:row>45</xdr:row>
                    <xdr:rowOff>182880</xdr:rowOff>
                  </from>
                  <to>
                    <xdr:col>4</xdr:col>
                    <xdr:colOff>1584960</xdr:colOff>
                    <xdr:row>46</xdr:row>
                    <xdr:rowOff>190500</xdr:rowOff>
                  </to>
                </anchor>
              </controlPr>
            </control>
          </mc:Choice>
        </mc:AlternateContent>
        <mc:AlternateContent xmlns:mc="http://schemas.openxmlformats.org/markup-compatibility/2006">
          <mc:Choice Requires="x14">
            <control shapeId="1680" r:id="rId51" name="Check Box 656">
              <controlPr defaultSize="0" autoFill="0" autoLine="0" autoPict="0">
                <anchor moveWithCells="1">
                  <from>
                    <xdr:col>4</xdr:col>
                    <xdr:colOff>1592580</xdr:colOff>
                    <xdr:row>45</xdr:row>
                    <xdr:rowOff>182880</xdr:rowOff>
                  </from>
                  <to>
                    <xdr:col>4</xdr:col>
                    <xdr:colOff>2179320</xdr:colOff>
                    <xdr:row>47</xdr:row>
                    <xdr:rowOff>0</xdr:rowOff>
                  </to>
                </anchor>
              </controlPr>
            </control>
          </mc:Choice>
        </mc:AlternateContent>
        <mc:AlternateContent xmlns:mc="http://schemas.openxmlformats.org/markup-compatibility/2006">
          <mc:Choice Requires="x14">
            <control shapeId="1681" r:id="rId52" name="Check Box 657">
              <controlPr defaultSize="0" autoFill="0" autoLine="0" autoPict="0">
                <anchor moveWithCells="1">
                  <from>
                    <xdr:col>4</xdr:col>
                    <xdr:colOff>22860</xdr:colOff>
                    <xdr:row>46</xdr:row>
                    <xdr:rowOff>182880</xdr:rowOff>
                  </from>
                  <to>
                    <xdr:col>4</xdr:col>
                    <xdr:colOff>1584960</xdr:colOff>
                    <xdr:row>47</xdr:row>
                    <xdr:rowOff>190500</xdr:rowOff>
                  </to>
                </anchor>
              </controlPr>
            </control>
          </mc:Choice>
        </mc:AlternateContent>
        <mc:AlternateContent xmlns:mc="http://schemas.openxmlformats.org/markup-compatibility/2006">
          <mc:Choice Requires="x14">
            <control shapeId="1682" r:id="rId53" name="Check Box 658">
              <controlPr defaultSize="0" autoFill="0" autoLine="0" autoPict="0">
                <anchor moveWithCells="1">
                  <from>
                    <xdr:col>4</xdr:col>
                    <xdr:colOff>1592580</xdr:colOff>
                    <xdr:row>46</xdr:row>
                    <xdr:rowOff>182880</xdr:rowOff>
                  </from>
                  <to>
                    <xdr:col>4</xdr:col>
                    <xdr:colOff>2179320</xdr:colOff>
                    <xdr:row>48</xdr:row>
                    <xdr:rowOff>0</xdr:rowOff>
                  </to>
                </anchor>
              </controlPr>
            </control>
          </mc:Choice>
        </mc:AlternateContent>
        <mc:AlternateContent xmlns:mc="http://schemas.openxmlformats.org/markup-compatibility/2006">
          <mc:Choice Requires="x14">
            <control shapeId="1683" r:id="rId54" name="Check Box 659">
              <controlPr defaultSize="0" autoFill="0" autoLine="0" autoPict="0">
                <anchor moveWithCells="1">
                  <from>
                    <xdr:col>4</xdr:col>
                    <xdr:colOff>22860</xdr:colOff>
                    <xdr:row>47</xdr:row>
                    <xdr:rowOff>182880</xdr:rowOff>
                  </from>
                  <to>
                    <xdr:col>4</xdr:col>
                    <xdr:colOff>1584960</xdr:colOff>
                    <xdr:row>48</xdr:row>
                    <xdr:rowOff>190500</xdr:rowOff>
                  </to>
                </anchor>
              </controlPr>
            </control>
          </mc:Choice>
        </mc:AlternateContent>
        <mc:AlternateContent xmlns:mc="http://schemas.openxmlformats.org/markup-compatibility/2006">
          <mc:Choice Requires="x14">
            <control shapeId="1684" r:id="rId55" name="Check Box 660">
              <controlPr defaultSize="0" autoFill="0" autoLine="0" autoPict="0">
                <anchor moveWithCells="1">
                  <from>
                    <xdr:col>4</xdr:col>
                    <xdr:colOff>1592580</xdr:colOff>
                    <xdr:row>47</xdr:row>
                    <xdr:rowOff>182880</xdr:rowOff>
                  </from>
                  <to>
                    <xdr:col>4</xdr:col>
                    <xdr:colOff>2179320</xdr:colOff>
                    <xdr:row>49</xdr:row>
                    <xdr:rowOff>0</xdr:rowOff>
                  </to>
                </anchor>
              </controlPr>
            </control>
          </mc:Choice>
        </mc:AlternateContent>
        <mc:AlternateContent xmlns:mc="http://schemas.openxmlformats.org/markup-compatibility/2006">
          <mc:Choice Requires="x14">
            <control shapeId="1685" r:id="rId56" name="Check Box 661">
              <controlPr defaultSize="0" autoFill="0" autoLine="0" autoPict="0">
                <anchor moveWithCells="1">
                  <from>
                    <xdr:col>4</xdr:col>
                    <xdr:colOff>22860</xdr:colOff>
                    <xdr:row>48</xdr:row>
                    <xdr:rowOff>175260</xdr:rowOff>
                  </from>
                  <to>
                    <xdr:col>4</xdr:col>
                    <xdr:colOff>1584960</xdr:colOff>
                    <xdr:row>49</xdr:row>
                    <xdr:rowOff>182880</xdr:rowOff>
                  </to>
                </anchor>
              </controlPr>
            </control>
          </mc:Choice>
        </mc:AlternateContent>
        <mc:AlternateContent xmlns:mc="http://schemas.openxmlformats.org/markup-compatibility/2006">
          <mc:Choice Requires="x14">
            <control shapeId="1686" r:id="rId57" name="Check Box 662">
              <controlPr defaultSize="0" autoFill="0" autoLine="0" autoPict="0">
                <anchor moveWithCells="1">
                  <from>
                    <xdr:col>4</xdr:col>
                    <xdr:colOff>1592580</xdr:colOff>
                    <xdr:row>48</xdr:row>
                    <xdr:rowOff>175260</xdr:rowOff>
                  </from>
                  <to>
                    <xdr:col>4</xdr:col>
                    <xdr:colOff>2179320</xdr:colOff>
                    <xdr:row>49</xdr:row>
                    <xdr:rowOff>190500</xdr:rowOff>
                  </to>
                </anchor>
              </controlPr>
            </control>
          </mc:Choice>
        </mc:AlternateContent>
        <mc:AlternateContent xmlns:mc="http://schemas.openxmlformats.org/markup-compatibility/2006">
          <mc:Choice Requires="x14">
            <control shapeId="1687" r:id="rId58" name="Check Box 663">
              <controlPr defaultSize="0" autoFill="0" autoLine="0" autoPict="0">
                <anchor moveWithCells="1">
                  <from>
                    <xdr:col>4</xdr:col>
                    <xdr:colOff>22860</xdr:colOff>
                    <xdr:row>49</xdr:row>
                    <xdr:rowOff>175260</xdr:rowOff>
                  </from>
                  <to>
                    <xdr:col>4</xdr:col>
                    <xdr:colOff>1584960</xdr:colOff>
                    <xdr:row>50</xdr:row>
                    <xdr:rowOff>182880</xdr:rowOff>
                  </to>
                </anchor>
              </controlPr>
            </control>
          </mc:Choice>
        </mc:AlternateContent>
        <mc:AlternateContent xmlns:mc="http://schemas.openxmlformats.org/markup-compatibility/2006">
          <mc:Choice Requires="x14">
            <control shapeId="1688" r:id="rId59" name="Check Box 664">
              <controlPr defaultSize="0" autoFill="0" autoLine="0" autoPict="0">
                <anchor moveWithCells="1">
                  <from>
                    <xdr:col>4</xdr:col>
                    <xdr:colOff>1592580</xdr:colOff>
                    <xdr:row>49</xdr:row>
                    <xdr:rowOff>175260</xdr:rowOff>
                  </from>
                  <to>
                    <xdr:col>4</xdr:col>
                    <xdr:colOff>2179320</xdr:colOff>
                    <xdr:row>50</xdr:row>
                    <xdr:rowOff>190500</xdr:rowOff>
                  </to>
                </anchor>
              </controlPr>
            </control>
          </mc:Choice>
        </mc:AlternateContent>
        <mc:AlternateContent xmlns:mc="http://schemas.openxmlformats.org/markup-compatibility/2006">
          <mc:Choice Requires="x14">
            <control shapeId="1689" r:id="rId60" name="Check Box 665">
              <controlPr defaultSize="0" autoFill="0" autoLine="0" autoPict="0">
                <anchor moveWithCells="1">
                  <from>
                    <xdr:col>4</xdr:col>
                    <xdr:colOff>22860</xdr:colOff>
                    <xdr:row>50</xdr:row>
                    <xdr:rowOff>175260</xdr:rowOff>
                  </from>
                  <to>
                    <xdr:col>4</xdr:col>
                    <xdr:colOff>1584960</xdr:colOff>
                    <xdr:row>51</xdr:row>
                    <xdr:rowOff>182880</xdr:rowOff>
                  </to>
                </anchor>
              </controlPr>
            </control>
          </mc:Choice>
        </mc:AlternateContent>
        <mc:AlternateContent xmlns:mc="http://schemas.openxmlformats.org/markup-compatibility/2006">
          <mc:Choice Requires="x14">
            <control shapeId="1690" r:id="rId61" name="Check Box 666">
              <controlPr defaultSize="0" autoFill="0" autoLine="0" autoPict="0">
                <anchor moveWithCells="1">
                  <from>
                    <xdr:col>4</xdr:col>
                    <xdr:colOff>1592580</xdr:colOff>
                    <xdr:row>50</xdr:row>
                    <xdr:rowOff>175260</xdr:rowOff>
                  </from>
                  <to>
                    <xdr:col>4</xdr:col>
                    <xdr:colOff>2179320</xdr:colOff>
                    <xdr:row>51</xdr:row>
                    <xdr:rowOff>190500</xdr:rowOff>
                  </to>
                </anchor>
              </controlPr>
            </control>
          </mc:Choice>
        </mc:AlternateContent>
        <mc:AlternateContent xmlns:mc="http://schemas.openxmlformats.org/markup-compatibility/2006">
          <mc:Choice Requires="x14">
            <control shapeId="1691" r:id="rId62" name="Check Box 667">
              <controlPr defaultSize="0" autoFill="0" autoLine="0" autoPict="0">
                <anchor moveWithCells="1">
                  <from>
                    <xdr:col>4</xdr:col>
                    <xdr:colOff>22860</xdr:colOff>
                    <xdr:row>51</xdr:row>
                    <xdr:rowOff>175260</xdr:rowOff>
                  </from>
                  <to>
                    <xdr:col>4</xdr:col>
                    <xdr:colOff>1584960</xdr:colOff>
                    <xdr:row>52</xdr:row>
                    <xdr:rowOff>182880</xdr:rowOff>
                  </to>
                </anchor>
              </controlPr>
            </control>
          </mc:Choice>
        </mc:AlternateContent>
        <mc:AlternateContent xmlns:mc="http://schemas.openxmlformats.org/markup-compatibility/2006">
          <mc:Choice Requires="x14">
            <control shapeId="1692" r:id="rId63" name="Check Box 668">
              <controlPr defaultSize="0" autoFill="0" autoLine="0" autoPict="0">
                <anchor moveWithCells="1">
                  <from>
                    <xdr:col>4</xdr:col>
                    <xdr:colOff>1592580</xdr:colOff>
                    <xdr:row>51</xdr:row>
                    <xdr:rowOff>175260</xdr:rowOff>
                  </from>
                  <to>
                    <xdr:col>4</xdr:col>
                    <xdr:colOff>2179320</xdr:colOff>
                    <xdr:row>52</xdr:row>
                    <xdr:rowOff>190500</xdr:rowOff>
                  </to>
                </anchor>
              </controlPr>
            </control>
          </mc:Choice>
        </mc:AlternateContent>
        <mc:AlternateContent xmlns:mc="http://schemas.openxmlformats.org/markup-compatibility/2006">
          <mc:Choice Requires="x14">
            <control shapeId="1709" r:id="rId64" name="Check Box 685">
              <controlPr defaultSize="0" autoFill="0" autoLine="0" autoPict="0">
                <anchor moveWithCells="1">
                  <from>
                    <xdr:col>1</xdr:col>
                    <xdr:colOff>5669280</xdr:colOff>
                    <xdr:row>42</xdr:row>
                    <xdr:rowOff>182880</xdr:rowOff>
                  </from>
                  <to>
                    <xdr:col>3</xdr:col>
                    <xdr:colOff>487680</xdr:colOff>
                    <xdr:row>44</xdr:row>
                    <xdr:rowOff>0</xdr:rowOff>
                  </to>
                </anchor>
              </controlPr>
            </control>
          </mc:Choice>
        </mc:AlternateContent>
        <mc:AlternateContent xmlns:mc="http://schemas.openxmlformats.org/markup-compatibility/2006">
          <mc:Choice Requires="x14">
            <control shapeId="1710" r:id="rId65" name="Check Box 686">
              <controlPr defaultSize="0" autoFill="0" autoLine="0" autoPict="0">
                <anchor moveWithCells="1">
                  <from>
                    <xdr:col>1</xdr:col>
                    <xdr:colOff>5669280</xdr:colOff>
                    <xdr:row>43</xdr:row>
                    <xdr:rowOff>160020</xdr:rowOff>
                  </from>
                  <to>
                    <xdr:col>3</xdr:col>
                    <xdr:colOff>495300</xdr:colOff>
                    <xdr:row>44</xdr:row>
                    <xdr:rowOff>190500</xdr:rowOff>
                  </to>
                </anchor>
              </controlPr>
            </control>
          </mc:Choice>
        </mc:AlternateContent>
        <mc:AlternateContent xmlns:mc="http://schemas.openxmlformats.org/markup-compatibility/2006">
          <mc:Choice Requires="x14">
            <control shapeId="1711" r:id="rId66" name="Check Box 687">
              <controlPr defaultSize="0" autoFill="0" autoLine="0" autoPict="0">
                <anchor moveWithCells="1">
                  <from>
                    <xdr:col>1</xdr:col>
                    <xdr:colOff>5669280</xdr:colOff>
                    <xdr:row>44</xdr:row>
                    <xdr:rowOff>160020</xdr:rowOff>
                  </from>
                  <to>
                    <xdr:col>3</xdr:col>
                    <xdr:colOff>495300</xdr:colOff>
                    <xdr:row>45</xdr:row>
                    <xdr:rowOff>190500</xdr:rowOff>
                  </to>
                </anchor>
              </controlPr>
            </control>
          </mc:Choice>
        </mc:AlternateContent>
        <mc:AlternateContent xmlns:mc="http://schemas.openxmlformats.org/markup-compatibility/2006">
          <mc:Choice Requires="x14">
            <control shapeId="1712" r:id="rId67" name="Check Box 688">
              <controlPr defaultSize="0" autoFill="0" autoLine="0" autoPict="0">
                <anchor moveWithCells="1">
                  <from>
                    <xdr:col>1</xdr:col>
                    <xdr:colOff>5669280</xdr:colOff>
                    <xdr:row>45</xdr:row>
                    <xdr:rowOff>160020</xdr:rowOff>
                  </from>
                  <to>
                    <xdr:col>3</xdr:col>
                    <xdr:colOff>495300</xdr:colOff>
                    <xdr:row>46</xdr:row>
                    <xdr:rowOff>190500</xdr:rowOff>
                  </to>
                </anchor>
              </controlPr>
            </control>
          </mc:Choice>
        </mc:AlternateContent>
        <mc:AlternateContent xmlns:mc="http://schemas.openxmlformats.org/markup-compatibility/2006">
          <mc:Choice Requires="x14">
            <control shapeId="1713" r:id="rId68" name="Check Box 689">
              <controlPr defaultSize="0" autoFill="0" autoLine="0" autoPict="0">
                <anchor moveWithCells="1">
                  <from>
                    <xdr:col>1</xdr:col>
                    <xdr:colOff>5669280</xdr:colOff>
                    <xdr:row>46</xdr:row>
                    <xdr:rowOff>160020</xdr:rowOff>
                  </from>
                  <to>
                    <xdr:col>3</xdr:col>
                    <xdr:colOff>495300</xdr:colOff>
                    <xdr:row>47</xdr:row>
                    <xdr:rowOff>190500</xdr:rowOff>
                  </to>
                </anchor>
              </controlPr>
            </control>
          </mc:Choice>
        </mc:AlternateContent>
        <mc:AlternateContent xmlns:mc="http://schemas.openxmlformats.org/markup-compatibility/2006">
          <mc:Choice Requires="x14">
            <control shapeId="1714" r:id="rId69" name="Check Box 690">
              <controlPr defaultSize="0" autoFill="0" autoLine="0" autoPict="0">
                <anchor moveWithCells="1">
                  <from>
                    <xdr:col>1</xdr:col>
                    <xdr:colOff>5669280</xdr:colOff>
                    <xdr:row>47</xdr:row>
                    <xdr:rowOff>152400</xdr:rowOff>
                  </from>
                  <to>
                    <xdr:col>3</xdr:col>
                    <xdr:colOff>495300</xdr:colOff>
                    <xdr:row>48</xdr:row>
                    <xdr:rowOff>182880</xdr:rowOff>
                  </to>
                </anchor>
              </controlPr>
            </control>
          </mc:Choice>
        </mc:AlternateContent>
        <mc:AlternateContent xmlns:mc="http://schemas.openxmlformats.org/markup-compatibility/2006">
          <mc:Choice Requires="x14">
            <control shapeId="1715" r:id="rId70" name="Check Box 691">
              <controlPr defaultSize="0" autoFill="0" autoLine="0" autoPict="0">
                <anchor moveWithCells="1">
                  <from>
                    <xdr:col>1</xdr:col>
                    <xdr:colOff>5669280</xdr:colOff>
                    <xdr:row>48</xdr:row>
                    <xdr:rowOff>152400</xdr:rowOff>
                  </from>
                  <to>
                    <xdr:col>3</xdr:col>
                    <xdr:colOff>495300</xdr:colOff>
                    <xdr:row>49</xdr:row>
                    <xdr:rowOff>182880</xdr:rowOff>
                  </to>
                </anchor>
              </controlPr>
            </control>
          </mc:Choice>
        </mc:AlternateContent>
        <mc:AlternateContent xmlns:mc="http://schemas.openxmlformats.org/markup-compatibility/2006">
          <mc:Choice Requires="x14">
            <control shapeId="1716" r:id="rId71" name="Check Box 692">
              <controlPr defaultSize="0" autoFill="0" autoLine="0" autoPict="0">
                <anchor moveWithCells="1">
                  <from>
                    <xdr:col>1</xdr:col>
                    <xdr:colOff>5669280</xdr:colOff>
                    <xdr:row>49</xdr:row>
                    <xdr:rowOff>152400</xdr:rowOff>
                  </from>
                  <to>
                    <xdr:col>3</xdr:col>
                    <xdr:colOff>495300</xdr:colOff>
                    <xdr:row>50</xdr:row>
                    <xdr:rowOff>182880</xdr:rowOff>
                  </to>
                </anchor>
              </controlPr>
            </control>
          </mc:Choice>
        </mc:AlternateContent>
        <mc:AlternateContent xmlns:mc="http://schemas.openxmlformats.org/markup-compatibility/2006">
          <mc:Choice Requires="x14">
            <control shapeId="1717" r:id="rId72" name="Check Box 693">
              <controlPr defaultSize="0" autoFill="0" autoLine="0" autoPict="0">
                <anchor moveWithCells="1">
                  <from>
                    <xdr:col>1</xdr:col>
                    <xdr:colOff>5669280</xdr:colOff>
                    <xdr:row>50</xdr:row>
                    <xdr:rowOff>152400</xdr:rowOff>
                  </from>
                  <to>
                    <xdr:col>3</xdr:col>
                    <xdr:colOff>495300</xdr:colOff>
                    <xdr:row>51</xdr:row>
                    <xdr:rowOff>182880</xdr:rowOff>
                  </to>
                </anchor>
              </controlPr>
            </control>
          </mc:Choice>
        </mc:AlternateContent>
        <mc:AlternateContent xmlns:mc="http://schemas.openxmlformats.org/markup-compatibility/2006">
          <mc:Choice Requires="x14">
            <control shapeId="1718" r:id="rId73" name="Check Box 694">
              <controlPr defaultSize="0" autoFill="0" autoLine="0" autoPict="0">
                <anchor moveWithCells="1">
                  <from>
                    <xdr:col>1</xdr:col>
                    <xdr:colOff>5669280</xdr:colOff>
                    <xdr:row>51</xdr:row>
                    <xdr:rowOff>152400</xdr:rowOff>
                  </from>
                  <to>
                    <xdr:col>3</xdr:col>
                    <xdr:colOff>495300</xdr:colOff>
                    <xdr:row>52</xdr:row>
                    <xdr:rowOff>182880</xdr:rowOff>
                  </to>
                </anchor>
              </controlPr>
            </control>
          </mc:Choice>
        </mc:AlternateContent>
        <mc:AlternateContent xmlns:mc="http://schemas.openxmlformats.org/markup-compatibility/2006">
          <mc:Choice Requires="x14">
            <control shapeId="1722" r:id="rId74" name="Check Box 698">
              <controlPr defaultSize="0" autoFill="0" autoLine="0" autoPict="0">
                <anchor moveWithCells="1">
                  <from>
                    <xdr:col>2</xdr:col>
                    <xdr:colOff>5669280</xdr:colOff>
                    <xdr:row>42</xdr:row>
                    <xdr:rowOff>182880</xdr:rowOff>
                  </from>
                  <to>
                    <xdr:col>3</xdr:col>
                    <xdr:colOff>1821180</xdr:colOff>
                    <xdr:row>44</xdr:row>
                    <xdr:rowOff>0</xdr:rowOff>
                  </to>
                </anchor>
              </controlPr>
            </control>
          </mc:Choice>
        </mc:AlternateContent>
        <mc:AlternateContent xmlns:mc="http://schemas.openxmlformats.org/markup-compatibility/2006">
          <mc:Choice Requires="x14">
            <control shapeId="1723" r:id="rId75" name="Check Box 699">
              <controlPr defaultSize="0" autoFill="0" autoLine="0" autoPict="0">
                <anchor moveWithCells="1">
                  <from>
                    <xdr:col>2</xdr:col>
                    <xdr:colOff>5669280</xdr:colOff>
                    <xdr:row>43</xdr:row>
                    <xdr:rowOff>160020</xdr:rowOff>
                  </from>
                  <to>
                    <xdr:col>3</xdr:col>
                    <xdr:colOff>1828800</xdr:colOff>
                    <xdr:row>44</xdr:row>
                    <xdr:rowOff>190500</xdr:rowOff>
                  </to>
                </anchor>
              </controlPr>
            </control>
          </mc:Choice>
        </mc:AlternateContent>
        <mc:AlternateContent xmlns:mc="http://schemas.openxmlformats.org/markup-compatibility/2006">
          <mc:Choice Requires="x14">
            <control shapeId="1724" r:id="rId76" name="Check Box 700">
              <controlPr defaultSize="0" autoFill="0" autoLine="0" autoPict="0">
                <anchor moveWithCells="1">
                  <from>
                    <xdr:col>2</xdr:col>
                    <xdr:colOff>5669280</xdr:colOff>
                    <xdr:row>44</xdr:row>
                    <xdr:rowOff>160020</xdr:rowOff>
                  </from>
                  <to>
                    <xdr:col>3</xdr:col>
                    <xdr:colOff>1828800</xdr:colOff>
                    <xdr:row>45</xdr:row>
                    <xdr:rowOff>190500</xdr:rowOff>
                  </to>
                </anchor>
              </controlPr>
            </control>
          </mc:Choice>
        </mc:AlternateContent>
        <mc:AlternateContent xmlns:mc="http://schemas.openxmlformats.org/markup-compatibility/2006">
          <mc:Choice Requires="x14">
            <control shapeId="1725" r:id="rId77" name="Check Box 701">
              <controlPr defaultSize="0" autoFill="0" autoLine="0" autoPict="0">
                <anchor moveWithCells="1">
                  <from>
                    <xdr:col>2</xdr:col>
                    <xdr:colOff>5669280</xdr:colOff>
                    <xdr:row>45</xdr:row>
                    <xdr:rowOff>160020</xdr:rowOff>
                  </from>
                  <to>
                    <xdr:col>3</xdr:col>
                    <xdr:colOff>1828800</xdr:colOff>
                    <xdr:row>46</xdr:row>
                    <xdr:rowOff>190500</xdr:rowOff>
                  </to>
                </anchor>
              </controlPr>
            </control>
          </mc:Choice>
        </mc:AlternateContent>
        <mc:AlternateContent xmlns:mc="http://schemas.openxmlformats.org/markup-compatibility/2006">
          <mc:Choice Requires="x14">
            <control shapeId="1726" r:id="rId78" name="Check Box 702">
              <controlPr defaultSize="0" autoFill="0" autoLine="0" autoPict="0">
                <anchor moveWithCells="1">
                  <from>
                    <xdr:col>2</xdr:col>
                    <xdr:colOff>5669280</xdr:colOff>
                    <xdr:row>46</xdr:row>
                    <xdr:rowOff>160020</xdr:rowOff>
                  </from>
                  <to>
                    <xdr:col>3</xdr:col>
                    <xdr:colOff>1828800</xdr:colOff>
                    <xdr:row>47</xdr:row>
                    <xdr:rowOff>190500</xdr:rowOff>
                  </to>
                </anchor>
              </controlPr>
            </control>
          </mc:Choice>
        </mc:AlternateContent>
        <mc:AlternateContent xmlns:mc="http://schemas.openxmlformats.org/markup-compatibility/2006">
          <mc:Choice Requires="x14">
            <control shapeId="1727" r:id="rId79" name="Check Box 703">
              <controlPr defaultSize="0" autoFill="0" autoLine="0" autoPict="0">
                <anchor moveWithCells="1">
                  <from>
                    <xdr:col>2</xdr:col>
                    <xdr:colOff>5669280</xdr:colOff>
                    <xdr:row>47</xdr:row>
                    <xdr:rowOff>152400</xdr:rowOff>
                  </from>
                  <to>
                    <xdr:col>3</xdr:col>
                    <xdr:colOff>1828800</xdr:colOff>
                    <xdr:row>48</xdr:row>
                    <xdr:rowOff>182880</xdr:rowOff>
                  </to>
                </anchor>
              </controlPr>
            </control>
          </mc:Choice>
        </mc:AlternateContent>
        <mc:AlternateContent xmlns:mc="http://schemas.openxmlformats.org/markup-compatibility/2006">
          <mc:Choice Requires="x14">
            <control shapeId="1728" r:id="rId80" name="Check Box 704">
              <controlPr defaultSize="0" autoFill="0" autoLine="0" autoPict="0">
                <anchor moveWithCells="1">
                  <from>
                    <xdr:col>2</xdr:col>
                    <xdr:colOff>5669280</xdr:colOff>
                    <xdr:row>48</xdr:row>
                    <xdr:rowOff>152400</xdr:rowOff>
                  </from>
                  <to>
                    <xdr:col>3</xdr:col>
                    <xdr:colOff>1828800</xdr:colOff>
                    <xdr:row>49</xdr:row>
                    <xdr:rowOff>182880</xdr:rowOff>
                  </to>
                </anchor>
              </controlPr>
            </control>
          </mc:Choice>
        </mc:AlternateContent>
        <mc:AlternateContent xmlns:mc="http://schemas.openxmlformats.org/markup-compatibility/2006">
          <mc:Choice Requires="x14">
            <control shapeId="1729" r:id="rId81" name="Check Box 705">
              <controlPr defaultSize="0" autoFill="0" autoLine="0" autoPict="0">
                <anchor moveWithCells="1">
                  <from>
                    <xdr:col>2</xdr:col>
                    <xdr:colOff>5669280</xdr:colOff>
                    <xdr:row>49</xdr:row>
                    <xdr:rowOff>152400</xdr:rowOff>
                  </from>
                  <to>
                    <xdr:col>3</xdr:col>
                    <xdr:colOff>1828800</xdr:colOff>
                    <xdr:row>50</xdr:row>
                    <xdr:rowOff>182880</xdr:rowOff>
                  </to>
                </anchor>
              </controlPr>
            </control>
          </mc:Choice>
        </mc:AlternateContent>
        <mc:AlternateContent xmlns:mc="http://schemas.openxmlformats.org/markup-compatibility/2006">
          <mc:Choice Requires="x14">
            <control shapeId="1730" r:id="rId82" name="Check Box 706">
              <controlPr defaultSize="0" autoFill="0" autoLine="0" autoPict="0">
                <anchor moveWithCells="1">
                  <from>
                    <xdr:col>2</xdr:col>
                    <xdr:colOff>5669280</xdr:colOff>
                    <xdr:row>50</xdr:row>
                    <xdr:rowOff>152400</xdr:rowOff>
                  </from>
                  <to>
                    <xdr:col>3</xdr:col>
                    <xdr:colOff>1828800</xdr:colOff>
                    <xdr:row>51</xdr:row>
                    <xdr:rowOff>182880</xdr:rowOff>
                  </to>
                </anchor>
              </controlPr>
            </control>
          </mc:Choice>
        </mc:AlternateContent>
        <mc:AlternateContent xmlns:mc="http://schemas.openxmlformats.org/markup-compatibility/2006">
          <mc:Choice Requires="x14">
            <control shapeId="1731" r:id="rId83" name="Check Box 707">
              <controlPr defaultSize="0" autoFill="0" autoLine="0" autoPict="0">
                <anchor moveWithCells="1">
                  <from>
                    <xdr:col>2</xdr:col>
                    <xdr:colOff>5669280</xdr:colOff>
                    <xdr:row>51</xdr:row>
                    <xdr:rowOff>152400</xdr:rowOff>
                  </from>
                  <to>
                    <xdr:col>3</xdr:col>
                    <xdr:colOff>1828800</xdr:colOff>
                    <xdr:row>52</xdr:row>
                    <xdr:rowOff>182880</xdr:rowOff>
                  </to>
                </anchor>
              </controlPr>
            </control>
          </mc:Choice>
        </mc:AlternateContent>
        <mc:AlternateContent xmlns:mc="http://schemas.openxmlformats.org/markup-compatibility/2006">
          <mc:Choice Requires="x14">
            <control shapeId="32791" r:id="rId84" name="Option Button 1047">
              <controlPr locked="0" defaultSize="0" autoFill="0" autoLine="0" autoPict="0" macro="[0]!affichage_autre">
                <anchor moveWithCells="1">
                  <from>
                    <xdr:col>1</xdr:col>
                    <xdr:colOff>4107180</xdr:colOff>
                    <xdr:row>26</xdr:row>
                    <xdr:rowOff>0</xdr:rowOff>
                  </from>
                  <to>
                    <xdr:col>1</xdr:col>
                    <xdr:colOff>5113020</xdr:colOff>
                    <xdr:row>27</xdr:row>
                    <xdr:rowOff>22860</xdr:rowOff>
                  </to>
                </anchor>
              </controlPr>
            </control>
          </mc:Choice>
        </mc:AlternateContent>
        <mc:AlternateContent xmlns:mc="http://schemas.openxmlformats.org/markup-compatibility/2006">
          <mc:Choice Requires="x14">
            <control shapeId="32792" r:id="rId85" name="Option Button 1048">
              <controlPr locked="0" defaultSize="0" autoFill="0" autoLine="0" autoPict="0" macro="[0]!affichage_autre">
                <anchor moveWithCells="1">
                  <from>
                    <xdr:col>1</xdr:col>
                    <xdr:colOff>22860</xdr:colOff>
                    <xdr:row>26</xdr:row>
                    <xdr:rowOff>0</xdr:rowOff>
                  </from>
                  <to>
                    <xdr:col>1</xdr:col>
                    <xdr:colOff>3947160</xdr:colOff>
                    <xdr:row>27</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14:formula1>
            <xm:f>ListeMO!$B$2:$B$129</xm:f>
          </x14:formula1>
          <xm:sqref>B10</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00B050"/>
  </sheetPr>
  <dimension ref="A1:AT55"/>
  <sheetViews>
    <sheetView zoomScale="70" zoomScaleNormal="70" workbookViewId="0">
      <selection activeCell="F40" sqref="F40"/>
    </sheetView>
  </sheetViews>
  <sheetFormatPr baseColWidth="10" defaultRowHeight="14.4"/>
  <cols>
    <col min="1" max="1" width="38.6640625" customWidth="1"/>
    <col min="2" max="2" width="25" customWidth="1"/>
    <col min="3" max="3" width="15" customWidth="1"/>
    <col min="4" max="4" width="20.109375" customWidth="1"/>
    <col min="6" max="6" width="21.109375" customWidth="1"/>
    <col min="7" max="7" width="11.33203125" customWidth="1"/>
    <col min="9" max="9" width="15.33203125" customWidth="1"/>
    <col min="11" max="11" width="16.109375" customWidth="1"/>
    <col min="14" max="14" width="18.109375" customWidth="1"/>
    <col min="15" max="15" width="14.44140625" customWidth="1"/>
    <col min="16" max="16" width="15" customWidth="1"/>
  </cols>
  <sheetData>
    <row r="1" spans="1:46" s="1" customFormat="1" ht="117.75" customHeight="1" thickTop="1">
      <c r="B1" s="556" t="s">
        <v>16</v>
      </c>
      <c r="C1" s="574"/>
      <c r="D1" s="557"/>
      <c r="E1" s="556" t="s">
        <v>371</v>
      </c>
      <c r="F1" s="574"/>
      <c r="G1" s="557"/>
      <c r="H1" s="556" t="s">
        <v>45</v>
      </c>
      <c r="I1" s="557"/>
      <c r="J1" s="556" t="s">
        <v>432</v>
      </c>
      <c r="K1" s="557"/>
      <c r="L1" s="556" t="s">
        <v>47</v>
      </c>
      <c r="M1" s="557"/>
      <c r="N1" s="4" t="s">
        <v>48</v>
      </c>
      <c r="O1" s="4" t="s">
        <v>13</v>
      </c>
      <c r="P1" s="4" t="s">
        <v>347</v>
      </c>
      <c r="Q1" s="556" t="s">
        <v>22</v>
      </c>
      <c r="R1" s="557"/>
      <c r="S1" s="556" t="s">
        <v>19</v>
      </c>
      <c r="T1" s="557"/>
      <c r="U1" s="556" t="s">
        <v>67</v>
      </c>
      <c r="V1" s="557"/>
      <c r="W1" s="556" t="s">
        <v>25</v>
      </c>
      <c r="X1" s="557"/>
      <c r="Y1" s="556" t="s">
        <v>806</v>
      </c>
      <c r="Z1" s="557"/>
      <c r="AA1" s="556" t="s">
        <v>27</v>
      </c>
      <c r="AB1" s="557"/>
      <c r="AC1" s="556" t="s">
        <v>761</v>
      </c>
      <c r="AD1" s="557"/>
      <c r="AE1" s="556" t="s">
        <v>762</v>
      </c>
      <c r="AF1" s="557"/>
      <c r="AG1" s="556" t="s">
        <v>412</v>
      </c>
      <c r="AH1" s="557"/>
      <c r="AI1" s="572" t="s">
        <v>624</v>
      </c>
      <c r="AJ1" s="573"/>
      <c r="AK1" s="572" t="s">
        <v>625</v>
      </c>
      <c r="AL1" s="573"/>
      <c r="AM1" s="4" t="s">
        <v>40</v>
      </c>
      <c r="AN1"/>
      <c r="AO1"/>
      <c r="AP1"/>
      <c r="AQ1"/>
      <c r="AR1"/>
      <c r="AS1"/>
      <c r="AT1"/>
    </row>
    <row r="2" spans="1:46" s="1" customFormat="1" ht="31.5" customHeight="1" thickBot="1">
      <c r="B2" s="7" t="s">
        <v>61</v>
      </c>
      <c r="C2" s="11" t="s">
        <v>344</v>
      </c>
      <c r="D2" s="6" t="s">
        <v>63</v>
      </c>
      <c r="E2" s="7" t="s">
        <v>58</v>
      </c>
      <c r="F2" s="11" t="s">
        <v>353</v>
      </c>
      <c r="G2" s="6" t="s">
        <v>60</v>
      </c>
      <c r="H2" s="7" t="s">
        <v>431</v>
      </c>
      <c r="I2" s="6" t="s">
        <v>617</v>
      </c>
      <c r="J2" s="7" t="s">
        <v>59</v>
      </c>
      <c r="K2" s="6" t="s">
        <v>62</v>
      </c>
      <c r="L2" s="7" t="s">
        <v>60</v>
      </c>
      <c r="M2" s="6" t="s">
        <v>62</v>
      </c>
      <c r="N2" s="9" t="s">
        <v>431</v>
      </c>
      <c r="O2" s="8" t="s">
        <v>36</v>
      </c>
      <c r="P2" s="8"/>
      <c r="Q2" s="7" t="s">
        <v>21</v>
      </c>
      <c r="R2" s="6" t="s">
        <v>18</v>
      </c>
      <c r="S2" s="7" t="s">
        <v>49</v>
      </c>
      <c r="T2" s="6" t="s">
        <v>18</v>
      </c>
      <c r="U2" s="7" t="s">
        <v>50</v>
      </c>
      <c r="V2" s="6" t="s">
        <v>18</v>
      </c>
      <c r="W2" s="7" t="s">
        <v>50</v>
      </c>
      <c r="X2" s="6" t="s">
        <v>18</v>
      </c>
      <c r="Y2" s="7" t="s">
        <v>50</v>
      </c>
      <c r="Z2" s="6" t="s">
        <v>18</v>
      </c>
      <c r="AA2" s="7" t="s">
        <v>50</v>
      </c>
      <c r="AB2" s="6" t="s">
        <v>18</v>
      </c>
      <c r="AC2" s="7" t="s">
        <v>51</v>
      </c>
      <c r="AD2" s="6" t="s">
        <v>18</v>
      </c>
      <c r="AE2" s="7" t="s">
        <v>51</v>
      </c>
      <c r="AF2" s="6" t="s">
        <v>18</v>
      </c>
      <c r="AG2" s="7" t="s">
        <v>626</v>
      </c>
      <c r="AH2" s="6" t="s">
        <v>18</v>
      </c>
      <c r="AI2" s="7" t="s">
        <v>628</v>
      </c>
      <c r="AJ2" s="6" t="s">
        <v>18</v>
      </c>
      <c r="AK2" s="7" t="s">
        <v>628</v>
      </c>
      <c r="AL2" s="6" t="s">
        <v>18</v>
      </c>
      <c r="AM2" s="9" t="s">
        <v>43</v>
      </c>
      <c r="AN2"/>
      <c r="AO2"/>
      <c r="AP2"/>
      <c r="AQ2"/>
      <c r="AR2"/>
      <c r="AS2"/>
      <c r="AT2"/>
    </row>
    <row r="3" spans="1:46" ht="15" thickTop="1">
      <c r="A3" s="40" t="s">
        <v>629</v>
      </c>
      <c r="B3">
        <f>RÉSUMÉ!B10</f>
        <v>0</v>
      </c>
      <c r="C3">
        <f>RÉSUMÉ!C10</f>
        <v>0</v>
      </c>
      <c r="D3">
        <f>RÉSUMÉ!D10</f>
        <v>0</v>
      </c>
      <c r="E3">
        <f>RÉSUMÉ!E10</f>
        <v>0</v>
      </c>
      <c r="F3">
        <f>RÉSUMÉ!F10</f>
        <v>0</v>
      </c>
      <c r="G3">
        <f>RÉSUMÉ!G10</f>
        <v>0</v>
      </c>
      <c r="H3">
        <f>RÉSUMÉ!H10</f>
        <v>0</v>
      </c>
      <c r="I3">
        <f>RÉSUMÉ!I10</f>
        <v>0</v>
      </c>
      <c r="J3">
        <f>RÉSUMÉ!J10</f>
        <v>0</v>
      </c>
      <c r="K3">
        <f>RÉSUMÉ!K10</f>
        <v>0</v>
      </c>
      <c r="L3">
        <f>RÉSUMÉ!L10</f>
        <v>0</v>
      </c>
      <c r="M3">
        <f>RÉSUMÉ!M10</f>
        <v>0</v>
      </c>
      <c r="N3">
        <f>RÉSUMÉ!N10</f>
        <v>0</v>
      </c>
      <c r="O3">
        <f>RÉSUMÉ!O10</f>
        <v>0</v>
      </c>
      <c r="P3">
        <f>RÉSUMÉ!P10</f>
        <v>0</v>
      </c>
      <c r="Q3">
        <f>RÉSUMÉ!Q10</f>
        <v>0</v>
      </c>
      <c r="R3">
        <f>RÉSUMÉ!R10</f>
        <v>0</v>
      </c>
      <c r="S3">
        <f>RÉSUMÉ!S10</f>
        <v>0</v>
      </c>
      <c r="T3">
        <f>RÉSUMÉ!T10</f>
        <v>0</v>
      </c>
      <c r="U3">
        <f>RÉSUMÉ!U10</f>
        <v>0</v>
      </c>
      <c r="V3">
        <f>RÉSUMÉ!V10</f>
        <v>0</v>
      </c>
      <c r="W3">
        <f>RÉSUMÉ!W10</f>
        <v>0</v>
      </c>
      <c r="X3">
        <f>RÉSUMÉ!X10</f>
        <v>0</v>
      </c>
      <c r="Y3">
        <f>RÉSUMÉ!Y10</f>
        <v>0</v>
      </c>
      <c r="Z3">
        <f>RÉSUMÉ!Z10</f>
        <v>0</v>
      </c>
      <c r="AA3">
        <f>RÉSUMÉ!AA10</f>
        <v>0</v>
      </c>
      <c r="AB3">
        <f>RÉSUMÉ!AB10</f>
        <v>0</v>
      </c>
      <c r="AC3">
        <f>RÉSUMÉ!AC10</f>
        <v>0</v>
      </c>
      <c r="AD3">
        <f>RÉSUMÉ!AD10</f>
        <v>0</v>
      </c>
      <c r="AE3">
        <f>RÉSUMÉ!AE10</f>
        <v>0</v>
      </c>
      <c r="AF3">
        <f>RÉSUMÉ!AF10</f>
        <v>0</v>
      </c>
      <c r="AG3">
        <f>RÉSUMÉ!AG10</f>
        <v>0</v>
      </c>
      <c r="AH3">
        <f>RÉSUMÉ!AH10</f>
        <v>0</v>
      </c>
      <c r="AI3">
        <f>RÉSUMÉ!AI10</f>
        <v>0</v>
      </c>
      <c r="AJ3">
        <f>RÉSUMÉ!AJ10</f>
        <v>0</v>
      </c>
      <c r="AK3">
        <f>RÉSUMÉ!AK10</f>
        <v>0</v>
      </c>
      <c r="AL3">
        <f>RÉSUMÉ!AL10</f>
        <v>0</v>
      </c>
      <c r="AM3">
        <f>RÉSUMÉ!AM10</f>
        <v>3967.8000000000006</v>
      </c>
    </row>
    <row r="4" spans="1:46">
      <c r="A4" s="40" t="s">
        <v>343</v>
      </c>
      <c r="B4">
        <f>RÉSUMÉ!B11</f>
        <v>0</v>
      </c>
      <c r="C4">
        <f>RÉSUMÉ!C11</f>
        <v>0</v>
      </c>
      <c r="D4">
        <f>RÉSUMÉ!D11</f>
        <v>0</v>
      </c>
      <c r="E4">
        <f>RÉSUMÉ!E11</f>
        <v>0</v>
      </c>
      <c r="F4">
        <f>RÉSUMÉ!F11</f>
        <v>0</v>
      </c>
      <c r="G4">
        <f>RÉSUMÉ!G11</f>
        <v>0</v>
      </c>
      <c r="H4">
        <f>RÉSUMÉ!H11</f>
        <v>0</v>
      </c>
      <c r="I4">
        <f>RÉSUMÉ!I11</f>
        <v>0</v>
      </c>
      <c r="J4">
        <f>RÉSUMÉ!J11</f>
        <v>0</v>
      </c>
      <c r="K4">
        <f>RÉSUMÉ!K11</f>
        <v>0</v>
      </c>
      <c r="L4">
        <f>RÉSUMÉ!L11</f>
        <v>0</v>
      </c>
      <c r="M4">
        <f>RÉSUMÉ!M11</f>
        <v>0</v>
      </c>
      <c r="N4">
        <f>RÉSUMÉ!N11</f>
        <v>0</v>
      </c>
      <c r="O4">
        <f>RÉSUMÉ!O11</f>
        <v>0</v>
      </c>
      <c r="P4">
        <f>RÉSUMÉ!P11</f>
        <v>0</v>
      </c>
      <c r="Q4">
        <f>RÉSUMÉ!Q11</f>
        <v>0</v>
      </c>
      <c r="R4">
        <f>RÉSUMÉ!R11</f>
        <v>0</v>
      </c>
      <c r="S4">
        <f>RÉSUMÉ!S11</f>
        <v>0</v>
      </c>
      <c r="T4">
        <f>RÉSUMÉ!T11</f>
        <v>0</v>
      </c>
      <c r="U4">
        <f>RÉSUMÉ!U11</f>
        <v>0</v>
      </c>
      <c r="V4">
        <f>RÉSUMÉ!V11</f>
        <v>0</v>
      </c>
      <c r="W4">
        <f>RÉSUMÉ!W11</f>
        <v>0</v>
      </c>
      <c r="X4">
        <f>RÉSUMÉ!X11</f>
        <v>0</v>
      </c>
      <c r="Y4">
        <f>RÉSUMÉ!Y11</f>
        <v>0</v>
      </c>
      <c r="Z4">
        <f>RÉSUMÉ!Z11</f>
        <v>0</v>
      </c>
      <c r="AA4">
        <f>RÉSUMÉ!AA11</f>
        <v>0</v>
      </c>
      <c r="AB4">
        <f>RÉSUMÉ!AB11</f>
        <v>0</v>
      </c>
      <c r="AC4">
        <f>RÉSUMÉ!AC11</f>
        <v>0</v>
      </c>
      <c r="AD4">
        <f>RÉSUMÉ!AD11</f>
        <v>0</v>
      </c>
      <c r="AE4">
        <f>RÉSUMÉ!AE11</f>
        <v>0</v>
      </c>
      <c r="AF4">
        <f>RÉSUMÉ!AF11</f>
        <v>0</v>
      </c>
      <c r="AG4">
        <f>RÉSUMÉ!AG11</f>
        <v>0</v>
      </c>
      <c r="AH4">
        <f>RÉSUMÉ!AH11</f>
        <v>0</v>
      </c>
      <c r="AI4">
        <f>RÉSUMÉ!AI11</f>
        <v>0</v>
      </c>
      <c r="AJ4">
        <f>RÉSUMÉ!AJ11</f>
        <v>0</v>
      </c>
      <c r="AK4">
        <f>RÉSUMÉ!AK11</f>
        <v>0</v>
      </c>
      <c r="AL4">
        <f>RÉSUMÉ!AL11</f>
        <v>0</v>
      </c>
      <c r="AM4">
        <f>RÉSUMÉ!AM11</f>
        <v>4187.3999999999996</v>
      </c>
    </row>
    <row r="5" spans="1:46">
      <c r="A5" s="40" t="s">
        <v>11</v>
      </c>
      <c r="B5">
        <f>RÉSUMÉ!B12</f>
        <v>0</v>
      </c>
      <c r="C5">
        <f>RÉSUMÉ!C12</f>
        <v>0</v>
      </c>
      <c r="D5">
        <f>RÉSUMÉ!D12</f>
        <v>0</v>
      </c>
      <c r="E5">
        <f>RÉSUMÉ!E12</f>
        <v>0</v>
      </c>
      <c r="F5">
        <f>RÉSUMÉ!F12</f>
        <v>0</v>
      </c>
      <c r="G5">
        <f>RÉSUMÉ!G12</f>
        <v>0</v>
      </c>
      <c r="H5">
        <f>RÉSUMÉ!H12</f>
        <v>0</v>
      </c>
      <c r="I5">
        <f>RÉSUMÉ!I12</f>
        <v>0</v>
      </c>
      <c r="J5">
        <f>RÉSUMÉ!J12</f>
        <v>0</v>
      </c>
      <c r="K5">
        <f>RÉSUMÉ!K12</f>
        <v>0</v>
      </c>
      <c r="L5">
        <f>RÉSUMÉ!L12</f>
        <v>0</v>
      </c>
      <c r="M5">
        <f>RÉSUMÉ!M12</f>
        <v>0</v>
      </c>
      <c r="N5">
        <f>RÉSUMÉ!N12</f>
        <v>0</v>
      </c>
      <c r="O5">
        <f>RÉSUMÉ!O12</f>
        <v>0</v>
      </c>
      <c r="P5">
        <f>RÉSUMÉ!P12</f>
        <v>0</v>
      </c>
      <c r="Q5">
        <f>RÉSUMÉ!Q12</f>
        <v>0</v>
      </c>
      <c r="R5">
        <f>RÉSUMÉ!R12</f>
        <v>0</v>
      </c>
      <c r="S5">
        <f>RÉSUMÉ!S12</f>
        <v>0</v>
      </c>
      <c r="T5">
        <f>RÉSUMÉ!T12</f>
        <v>0</v>
      </c>
      <c r="U5">
        <f>RÉSUMÉ!U12</f>
        <v>0</v>
      </c>
      <c r="V5">
        <f>RÉSUMÉ!V12</f>
        <v>0</v>
      </c>
      <c r="W5">
        <f>RÉSUMÉ!W12</f>
        <v>0</v>
      </c>
      <c r="X5">
        <f>RÉSUMÉ!X12</f>
        <v>0</v>
      </c>
      <c r="Y5">
        <f>RÉSUMÉ!Y12</f>
        <v>0</v>
      </c>
      <c r="Z5">
        <f>RÉSUMÉ!Z12</f>
        <v>0</v>
      </c>
      <c r="AA5">
        <f>RÉSUMÉ!AA12</f>
        <v>0</v>
      </c>
      <c r="AB5">
        <f>RÉSUMÉ!AB12</f>
        <v>0</v>
      </c>
      <c r="AC5">
        <f>RÉSUMÉ!AC12</f>
        <v>0</v>
      </c>
      <c r="AD5">
        <f>RÉSUMÉ!AD12</f>
        <v>0</v>
      </c>
      <c r="AE5">
        <f>RÉSUMÉ!AE12</f>
        <v>0</v>
      </c>
      <c r="AF5">
        <f>RÉSUMÉ!AF12</f>
        <v>0</v>
      </c>
      <c r="AG5">
        <f>RÉSUMÉ!AG12</f>
        <v>0</v>
      </c>
      <c r="AH5">
        <f>RÉSUMÉ!AH12</f>
        <v>0</v>
      </c>
      <c r="AI5">
        <f>RÉSUMÉ!AI12</f>
        <v>0</v>
      </c>
      <c r="AJ5">
        <f>RÉSUMÉ!AJ12</f>
        <v>0</v>
      </c>
      <c r="AK5">
        <f>RÉSUMÉ!AK12</f>
        <v>0</v>
      </c>
      <c r="AL5">
        <f>RÉSUMÉ!AL12</f>
        <v>0</v>
      </c>
      <c r="AM5">
        <f>RÉSUMÉ!AM12</f>
        <v>3730</v>
      </c>
    </row>
    <row r="6" spans="1:46">
      <c r="A6" s="40" t="s">
        <v>12</v>
      </c>
      <c r="B6">
        <f>RÉSUMÉ!B13</f>
        <v>0</v>
      </c>
      <c r="C6">
        <f>RÉSUMÉ!C13</f>
        <v>0</v>
      </c>
      <c r="D6">
        <f>RÉSUMÉ!D13</f>
        <v>0</v>
      </c>
      <c r="E6">
        <f>RÉSUMÉ!E13</f>
        <v>0</v>
      </c>
      <c r="F6">
        <f>RÉSUMÉ!F13</f>
        <v>0</v>
      </c>
      <c r="G6">
        <f>RÉSUMÉ!G13</f>
        <v>0</v>
      </c>
      <c r="H6">
        <f>RÉSUMÉ!H13</f>
        <v>0</v>
      </c>
      <c r="I6">
        <f>RÉSUMÉ!I13</f>
        <v>0</v>
      </c>
      <c r="J6">
        <f>RÉSUMÉ!J13</f>
        <v>0</v>
      </c>
      <c r="K6">
        <f>RÉSUMÉ!K13</f>
        <v>0</v>
      </c>
      <c r="L6">
        <f>RÉSUMÉ!L13</f>
        <v>0</v>
      </c>
      <c r="M6">
        <f>RÉSUMÉ!M13</f>
        <v>0</v>
      </c>
      <c r="N6">
        <f>RÉSUMÉ!N13</f>
        <v>0</v>
      </c>
      <c r="O6">
        <f>RÉSUMÉ!O13</f>
        <v>0</v>
      </c>
      <c r="P6">
        <f>RÉSUMÉ!P13</f>
        <v>0</v>
      </c>
      <c r="Q6">
        <f>RÉSUMÉ!Q13</f>
        <v>0</v>
      </c>
      <c r="R6">
        <f>RÉSUMÉ!R13</f>
        <v>0</v>
      </c>
      <c r="S6">
        <f>RÉSUMÉ!S13</f>
        <v>0</v>
      </c>
      <c r="T6">
        <f>RÉSUMÉ!T13</f>
        <v>0</v>
      </c>
      <c r="U6">
        <f>RÉSUMÉ!U13</f>
        <v>0</v>
      </c>
      <c r="V6">
        <f>RÉSUMÉ!V13</f>
        <v>0</v>
      </c>
      <c r="W6">
        <f>RÉSUMÉ!W13</f>
        <v>0</v>
      </c>
      <c r="X6">
        <f>RÉSUMÉ!X13</f>
        <v>0</v>
      </c>
      <c r="Y6">
        <f>RÉSUMÉ!Y13</f>
        <v>0</v>
      </c>
      <c r="Z6">
        <f>RÉSUMÉ!Z13</f>
        <v>0</v>
      </c>
      <c r="AA6">
        <f>RÉSUMÉ!AA13</f>
        <v>0</v>
      </c>
      <c r="AB6">
        <f>RÉSUMÉ!AB13</f>
        <v>0</v>
      </c>
      <c r="AC6">
        <f>RÉSUMÉ!AC13</f>
        <v>0</v>
      </c>
      <c r="AD6">
        <f>RÉSUMÉ!AD13</f>
        <v>0</v>
      </c>
      <c r="AE6">
        <f>RÉSUMÉ!AE13</f>
        <v>0</v>
      </c>
      <c r="AF6">
        <f>RÉSUMÉ!AF13</f>
        <v>0</v>
      </c>
      <c r="AG6">
        <f>RÉSUMÉ!AG13</f>
        <v>0</v>
      </c>
      <c r="AH6">
        <f>RÉSUMÉ!AH13</f>
        <v>0</v>
      </c>
      <c r="AI6">
        <f>RÉSUMÉ!AI13</f>
        <v>0</v>
      </c>
      <c r="AJ6">
        <f>RÉSUMÉ!AJ13</f>
        <v>0</v>
      </c>
      <c r="AK6">
        <f>RÉSUMÉ!AK13</f>
        <v>0</v>
      </c>
      <c r="AL6">
        <f>RÉSUMÉ!AL13</f>
        <v>0</v>
      </c>
      <c r="AM6">
        <f>RÉSUMÉ!AM13</f>
        <v>4039.4</v>
      </c>
    </row>
    <row r="7" spans="1:46">
      <c r="A7" s="40" t="s">
        <v>14</v>
      </c>
      <c r="B7">
        <f>RÉSUMÉ!B14</f>
        <v>0</v>
      </c>
      <c r="C7">
        <f>RÉSUMÉ!C14</f>
        <v>0</v>
      </c>
      <c r="D7">
        <f>RÉSUMÉ!D14</f>
        <v>0</v>
      </c>
      <c r="E7">
        <f>RÉSUMÉ!E14</f>
        <v>0</v>
      </c>
      <c r="F7">
        <f>RÉSUMÉ!F14</f>
        <v>0</v>
      </c>
      <c r="G7">
        <f>RÉSUMÉ!G14</f>
        <v>0</v>
      </c>
      <c r="H7">
        <f>RÉSUMÉ!H14</f>
        <v>0</v>
      </c>
      <c r="I7">
        <f>RÉSUMÉ!I14</f>
        <v>0</v>
      </c>
      <c r="J7">
        <f>RÉSUMÉ!J14</f>
        <v>0</v>
      </c>
      <c r="K7">
        <f>RÉSUMÉ!K14</f>
        <v>0</v>
      </c>
      <c r="L7">
        <f>RÉSUMÉ!L14</f>
        <v>0</v>
      </c>
      <c r="M7">
        <f>RÉSUMÉ!M14</f>
        <v>0</v>
      </c>
      <c r="N7">
        <f>RÉSUMÉ!N14</f>
        <v>0</v>
      </c>
      <c r="O7">
        <f>RÉSUMÉ!O14</f>
        <v>0</v>
      </c>
      <c r="P7">
        <f>RÉSUMÉ!P14</f>
        <v>0</v>
      </c>
      <c r="Q7">
        <f>RÉSUMÉ!Q14</f>
        <v>0</v>
      </c>
      <c r="R7">
        <f>RÉSUMÉ!R14</f>
        <v>0</v>
      </c>
      <c r="S7">
        <f>RÉSUMÉ!S14</f>
        <v>0</v>
      </c>
      <c r="T7">
        <f>RÉSUMÉ!T14</f>
        <v>0</v>
      </c>
      <c r="U7">
        <f>RÉSUMÉ!U14</f>
        <v>0</v>
      </c>
      <c r="V7">
        <f>RÉSUMÉ!V14</f>
        <v>0</v>
      </c>
      <c r="W7">
        <f>RÉSUMÉ!W14</f>
        <v>0</v>
      </c>
      <c r="X7">
        <f>RÉSUMÉ!X14</f>
        <v>0</v>
      </c>
      <c r="Y7">
        <f>RÉSUMÉ!Y14</f>
        <v>0</v>
      </c>
      <c r="Z7">
        <f>RÉSUMÉ!Z14</f>
        <v>0</v>
      </c>
      <c r="AA7">
        <f>RÉSUMÉ!AA14</f>
        <v>0</v>
      </c>
      <c r="AB7">
        <f>RÉSUMÉ!AB14</f>
        <v>0</v>
      </c>
      <c r="AC7">
        <f>RÉSUMÉ!AC14</f>
        <v>0</v>
      </c>
      <c r="AD7">
        <f>RÉSUMÉ!AD14</f>
        <v>0</v>
      </c>
      <c r="AE7">
        <f>RÉSUMÉ!AE14</f>
        <v>0</v>
      </c>
      <c r="AF7">
        <f>RÉSUMÉ!AF14</f>
        <v>0</v>
      </c>
      <c r="AG7">
        <f>RÉSUMÉ!AG14</f>
        <v>0</v>
      </c>
      <c r="AH7">
        <f>RÉSUMÉ!AH14</f>
        <v>0</v>
      </c>
      <c r="AI7">
        <f>RÉSUMÉ!AI14</f>
        <v>0</v>
      </c>
      <c r="AJ7">
        <f>RÉSUMÉ!AJ14</f>
        <v>0</v>
      </c>
      <c r="AK7">
        <f>RÉSUMÉ!AK14</f>
        <v>0</v>
      </c>
      <c r="AL7">
        <f>RÉSUMÉ!AL14</f>
        <v>0</v>
      </c>
      <c r="AM7">
        <f>RÉSUMÉ!AM14</f>
        <v>4562.5</v>
      </c>
    </row>
    <row r="8" spans="1:46">
      <c r="A8" s="40" t="s">
        <v>15</v>
      </c>
      <c r="B8">
        <f>RÉSUMÉ!B15</f>
        <v>0</v>
      </c>
      <c r="C8">
        <f>RÉSUMÉ!C15</f>
        <v>0</v>
      </c>
      <c r="D8">
        <f>RÉSUMÉ!D15</f>
        <v>0</v>
      </c>
      <c r="E8">
        <f>RÉSUMÉ!E15</f>
        <v>0</v>
      </c>
      <c r="F8">
        <f>RÉSUMÉ!F15</f>
        <v>0</v>
      </c>
      <c r="G8">
        <f>RÉSUMÉ!G15</f>
        <v>0</v>
      </c>
      <c r="H8">
        <f>RÉSUMÉ!H15</f>
        <v>0</v>
      </c>
      <c r="I8">
        <f>RÉSUMÉ!I15</f>
        <v>0</v>
      </c>
      <c r="J8">
        <f>RÉSUMÉ!J15</f>
        <v>0</v>
      </c>
      <c r="K8">
        <f>RÉSUMÉ!K15</f>
        <v>0</v>
      </c>
      <c r="L8">
        <f>RÉSUMÉ!L15</f>
        <v>0</v>
      </c>
      <c r="M8">
        <f>RÉSUMÉ!M15</f>
        <v>0</v>
      </c>
      <c r="N8">
        <f>RÉSUMÉ!N15</f>
        <v>0</v>
      </c>
      <c r="O8">
        <f>RÉSUMÉ!O15</f>
        <v>0</v>
      </c>
      <c r="P8">
        <f>RÉSUMÉ!P15</f>
        <v>0</v>
      </c>
      <c r="Q8">
        <f>RÉSUMÉ!Q15</f>
        <v>0</v>
      </c>
      <c r="R8">
        <f>RÉSUMÉ!R15</f>
        <v>0</v>
      </c>
      <c r="S8">
        <f>RÉSUMÉ!S15</f>
        <v>0</v>
      </c>
      <c r="T8">
        <f>RÉSUMÉ!T15</f>
        <v>0</v>
      </c>
      <c r="U8">
        <f>RÉSUMÉ!U15</f>
        <v>0</v>
      </c>
      <c r="V8">
        <f>RÉSUMÉ!V15</f>
        <v>0</v>
      </c>
      <c r="W8">
        <f>RÉSUMÉ!W15</f>
        <v>0</v>
      </c>
      <c r="X8">
        <f>RÉSUMÉ!X15</f>
        <v>0</v>
      </c>
      <c r="Y8">
        <f>RÉSUMÉ!Y15</f>
        <v>0</v>
      </c>
      <c r="Z8">
        <f>RÉSUMÉ!Z15</f>
        <v>0</v>
      </c>
      <c r="AA8">
        <f>RÉSUMÉ!AA15</f>
        <v>0</v>
      </c>
      <c r="AB8">
        <f>RÉSUMÉ!AB15</f>
        <v>0</v>
      </c>
      <c r="AC8">
        <f>RÉSUMÉ!AC15</f>
        <v>0</v>
      </c>
      <c r="AD8">
        <f>RÉSUMÉ!AD15</f>
        <v>0</v>
      </c>
      <c r="AE8">
        <f>RÉSUMÉ!AE15</f>
        <v>0</v>
      </c>
      <c r="AF8">
        <f>RÉSUMÉ!AF15</f>
        <v>0</v>
      </c>
      <c r="AG8">
        <f>RÉSUMÉ!AG15</f>
        <v>0</v>
      </c>
      <c r="AH8">
        <f>RÉSUMÉ!AH15</f>
        <v>0</v>
      </c>
      <c r="AI8">
        <f>RÉSUMÉ!AI15</f>
        <v>0</v>
      </c>
      <c r="AJ8">
        <f>RÉSUMÉ!AJ15</f>
        <v>0</v>
      </c>
      <c r="AK8">
        <f>RÉSUMÉ!AK15</f>
        <v>0</v>
      </c>
      <c r="AL8">
        <f>RÉSUMÉ!AL15</f>
        <v>0</v>
      </c>
      <c r="AM8">
        <f>RÉSUMÉ!AM15</f>
        <v>4543.1000000000004</v>
      </c>
    </row>
    <row r="9" spans="1:46">
      <c r="A9" s="40" t="s">
        <v>85</v>
      </c>
      <c r="B9">
        <f>RÉSUMÉ!B16</f>
        <v>0</v>
      </c>
      <c r="C9">
        <f>RÉSUMÉ!C16</f>
        <v>0</v>
      </c>
      <c r="D9">
        <f>RÉSUMÉ!D16</f>
        <v>0</v>
      </c>
      <c r="E9">
        <f>RÉSUMÉ!E16</f>
        <v>0</v>
      </c>
      <c r="F9">
        <f>RÉSUMÉ!F16</f>
        <v>0</v>
      </c>
      <c r="G9">
        <f>RÉSUMÉ!G16</f>
        <v>0</v>
      </c>
      <c r="H9">
        <f>RÉSUMÉ!H16</f>
        <v>0</v>
      </c>
      <c r="I9">
        <f>RÉSUMÉ!I16</f>
        <v>0</v>
      </c>
      <c r="J9">
        <f>RÉSUMÉ!J16</f>
        <v>0</v>
      </c>
      <c r="K9">
        <f>RÉSUMÉ!K16</f>
        <v>0</v>
      </c>
      <c r="L9">
        <f>RÉSUMÉ!L16</f>
        <v>0</v>
      </c>
      <c r="M9">
        <f>RÉSUMÉ!M16</f>
        <v>0</v>
      </c>
      <c r="N9">
        <f>RÉSUMÉ!N16</f>
        <v>0</v>
      </c>
      <c r="O9">
        <f>RÉSUMÉ!O16</f>
        <v>0</v>
      </c>
      <c r="P9">
        <f>RÉSUMÉ!P16</f>
        <v>0</v>
      </c>
      <c r="Q9">
        <f>RÉSUMÉ!Q16</f>
        <v>0</v>
      </c>
      <c r="R9">
        <f>RÉSUMÉ!R16</f>
        <v>0</v>
      </c>
      <c r="S9">
        <f>RÉSUMÉ!S16</f>
        <v>0</v>
      </c>
      <c r="T9">
        <f>RÉSUMÉ!T16</f>
        <v>0</v>
      </c>
      <c r="U9">
        <f>RÉSUMÉ!U16</f>
        <v>0</v>
      </c>
      <c r="V9">
        <f>RÉSUMÉ!V16</f>
        <v>0</v>
      </c>
      <c r="W9">
        <f>RÉSUMÉ!W16</f>
        <v>0</v>
      </c>
      <c r="X9">
        <f>RÉSUMÉ!X16</f>
        <v>0</v>
      </c>
      <c r="Y9">
        <f>RÉSUMÉ!Y16</f>
        <v>0</v>
      </c>
      <c r="Z9">
        <f>RÉSUMÉ!Z16</f>
        <v>0</v>
      </c>
      <c r="AA9">
        <f>RÉSUMÉ!AA16</f>
        <v>0</v>
      </c>
      <c r="AB9">
        <f>RÉSUMÉ!AB16</f>
        <v>0</v>
      </c>
      <c r="AC9">
        <f>RÉSUMÉ!AC16</f>
        <v>0</v>
      </c>
      <c r="AD9">
        <f>RÉSUMÉ!AD16</f>
        <v>0</v>
      </c>
      <c r="AE9">
        <f>RÉSUMÉ!AE16</f>
        <v>0</v>
      </c>
      <c r="AF9">
        <f>RÉSUMÉ!AF16</f>
        <v>0</v>
      </c>
      <c r="AG9">
        <f>RÉSUMÉ!AG16</f>
        <v>0</v>
      </c>
      <c r="AH9">
        <f>RÉSUMÉ!AH16</f>
        <v>0</v>
      </c>
      <c r="AI9">
        <f>RÉSUMÉ!AI16</f>
        <v>0</v>
      </c>
      <c r="AJ9">
        <f>RÉSUMÉ!AJ16</f>
        <v>0</v>
      </c>
      <c r="AK9">
        <f>RÉSUMÉ!AK16</f>
        <v>0</v>
      </c>
      <c r="AL9">
        <f>RÉSUMÉ!AL16</f>
        <v>0</v>
      </c>
      <c r="AM9">
        <f>RÉSUMÉ!AM16</f>
        <v>3611.4000000000005</v>
      </c>
    </row>
    <row r="10" spans="1:46">
      <c r="A10" s="40" t="s">
        <v>86</v>
      </c>
      <c r="B10">
        <f>RÉSUMÉ!B17</f>
        <v>0</v>
      </c>
      <c r="C10">
        <f>RÉSUMÉ!C17</f>
        <v>0</v>
      </c>
      <c r="D10">
        <f>RÉSUMÉ!D17</f>
        <v>0</v>
      </c>
      <c r="E10">
        <f>RÉSUMÉ!E17</f>
        <v>0</v>
      </c>
      <c r="F10">
        <f>RÉSUMÉ!F17</f>
        <v>0</v>
      </c>
      <c r="G10">
        <f>RÉSUMÉ!G17</f>
        <v>0</v>
      </c>
      <c r="H10">
        <f>RÉSUMÉ!H17</f>
        <v>0</v>
      </c>
      <c r="I10">
        <f>RÉSUMÉ!I17</f>
        <v>0</v>
      </c>
      <c r="J10">
        <f>RÉSUMÉ!J17</f>
        <v>0</v>
      </c>
      <c r="K10">
        <f>RÉSUMÉ!K17</f>
        <v>0</v>
      </c>
      <c r="L10">
        <f>RÉSUMÉ!L17</f>
        <v>0</v>
      </c>
      <c r="M10">
        <f>RÉSUMÉ!M17</f>
        <v>0</v>
      </c>
      <c r="N10">
        <f>RÉSUMÉ!N17</f>
        <v>0</v>
      </c>
      <c r="O10">
        <f>RÉSUMÉ!O17</f>
        <v>0</v>
      </c>
      <c r="P10">
        <f>RÉSUMÉ!P17</f>
        <v>0</v>
      </c>
      <c r="Q10">
        <f>RÉSUMÉ!Q17</f>
        <v>0</v>
      </c>
      <c r="R10">
        <f>RÉSUMÉ!R17</f>
        <v>0</v>
      </c>
      <c r="S10">
        <f>RÉSUMÉ!S17</f>
        <v>0</v>
      </c>
      <c r="T10">
        <f>RÉSUMÉ!T17</f>
        <v>0</v>
      </c>
      <c r="U10">
        <f>RÉSUMÉ!U17</f>
        <v>0</v>
      </c>
      <c r="V10">
        <f>RÉSUMÉ!V17</f>
        <v>0</v>
      </c>
      <c r="W10">
        <f>RÉSUMÉ!W17</f>
        <v>0</v>
      </c>
      <c r="X10">
        <f>RÉSUMÉ!X17</f>
        <v>0</v>
      </c>
      <c r="Y10">
        <f>RÉSUMÉ!Y17</f>
        <v>0</v>
      </c>
      <c r="Z10">
        <f>RÉSUMÉ!Z17</f>
        <v>0</v>
      </c>
      <c r="AA10">
        <f>RÉSUMÉ!AA17</f>
        <v>0</v>
      </c>
      <c r="AB10">
        <f>RÉSUMÉ!AB17</f>
        <v>0</v>
      </c>
      <c r="AC10">
        <f>RÉSUMÉ!AC17</f>
        <v>0</v>
      </c>
      <c r="AD10">
        <f>RÉSUMÉ!AD17</f>
        <v>0</v>
      </c>
      <c r="AE10">
        <f>RÉSUMÉ!AE17</f>
        <v>0</v>
      </c>
      <c r="AF10">
        <f>RÉSUMÉ!AF17</f>
        <v>0</v>
      </c>
      <c r="AG10">
        <f>RÉSUMÉ!AG17</f>
        <v>0</v>
      </c>
      <c r="AH10">
        <f>RÉSUMÉ!AH17</f>
        <v>0</v>
      </c>
      <c r="AI10">
        <f>RÉSUMÉ!AI17</f>
        <v>0</v>
      </c>
      <c r="AJ10">
        <f>RÉSUMÉ!AJ17</f>
        <v>0</v>
      </c>
      <c r="AK10">
        <f>RÉSUMÉ!AK17</f>
        <v>0</v>
      </c>
      <c r="AL10">
        <f>RÉSUMÉ!AL17</f>
        <v>0</v>
      </c>
      <c r="AM10">
        <f>RÉSUMÉ!AM17</f>
        <v>3951.9</v>
      </c>
    </row>
    <row r="11" spans="1:46">
      <c r="A11" s="40" t="s">
        <v>87</v>
      </c>
      <c r="B11">
        <f>RÉSUMÉ!B18</f>
        <v>0</v>
      </c>
      <c r="C11">
        <f>RÉSUMÉ!C18</f>
        <v>0</v>
      </c>
      <c r="D11">
        <f>RÉSUMÉ!D18</f>
        <v>0</v>
      </c>
      <c r="E11">
        <f>RÉSUMÉ!E18</f>
        <v>0</v>
      </c>
      <c r="F11">
        <f>RÉSUMÉ!F18</f>
        <v>0</v>
      </c>
      <c r="G11">
        <f>RÉSUMÉ!G18</f>
        <v>0</v>
      </c>
      <c r="H11">
        <f>RÉSUMÉ!H18</f>
        <v>0</v>
      </c>
      <c r="I11">
        <f>RÉSUMÉ!I18</f>
        <v>0</v>
      </c>
      <c r="J11">
        <f>RÉSUMÉ!J18</f>
        <v>0</v>
      </c>
      <c r="K11">
        <f>RÉSUMÉ!K18</f>
        <v>0</v>
      </c>
      <c r="L11">
        <f>RÉSUMÉ!L18</f>
        <v>0</v>
      </c>
      <c r="M11">
        <f>RÉSUMÉ!M18</f>
        <v>0</v>
      </c>
      <c r="N11">
        <f>RÉSUMÉ!N18</f>
        <v>0</v>
      </c>
      <c r="O11">
        <f>RÉSUMÉ!O18</f>
        <v>0</v>
      </c>
      <c r="P11">
        <f>RÉSUMÉ!P18</f>
        <v>0</v>
      </c>
      <c r="Q11">
        <f>RÉSUMÉ!Q18</f>
        <v>0</v>
      </c>
      <c r="R11">
        <f>RÉSUMÉ!R18</f>
        <v>0</v>
      </c>
      <c r="S11">
        <f>RÉSUMÉ!S18</f>
        <v>0</v>
      </c>
      <c r="T11">
        <f>RÉSUMÉ!T18</f>
        <v>0</v>
      </c>
      <c r="U11">
        <f>RÉSUMÉ!U18</f>
        <v>0</v>
      </c>
      <c r="V11">
        <f>RÉSUMÉ!V18</f>
        <v>0</v>
      </c>
      <c r="W11">
        <f>RÉSUMÉ!W18</f>
        <v>0</v>
      </c>
      <c r="X11">
        <f>RÉSUMÉ!X18</f>
        <v>0</v>
      </c>
      <c r="Y11">
        <f>RÉSUMÉ!Y18</f>
        <v>0</v>
      </c>
      <c r="Z11">
        <f>RÉSUMÉ!Z18</f>
        <v>0</v>
      </c>
      <c r="AA11">
        <f>RÉSUMÉ!AA18</f>
        <v>0</v>
      </c>
      <c r="AB11">
        <f>RÉSUMÉ!AB18</f>
        <v>0</v>
      </c>
      <c r="AC11">
        <f>RÉSUMÉ!AC18</f>
        <v>0</v>
      </c>
      <c r="AD11">
        <f>RÉSUMÉ!AD18</f>
        <v>0</v>
      </c>
      <c r="AE11">
        <f>RÉSUMÉ!AE18</f>
        <v>0</v>
      </c>
      <c r="AF11">
        <f>RÉSUMÉ!AF18</f>
        <v>0</v>
      </c>
      <c r="AG11">
        <f>RÉSUMÉ!AG18</f>
        <v>0</v>
      </c>
      <c r="AH11">
        <f>RÉSUMÉ!AH18</f>
        <v>0</v>
      </c>
      <c r="AI11">
        <f>RÉSUMÉ!AI18</f>
        <v>0</v>
      </c>
      <c r="AJ11">
        <f>RÉSUMÉ!AJ18</f>
        <v>0</v>
      </c>
      <c r="AK11">
        <f>RÉSUMÉ!AK18</f>
        <v>0</v>
      </c>
      <c r="AL11">
        <f>RÉSUMÉ!AL18</f>
        <v>0</v>
      </c>
      <c r="AM11">
        <f>RÉSUMÉ!AM18</f>
        <v>3949.4000000000005</v>
      </c>
    </row>
    <row r="12" spans="1:46">
      <c r="A12" s="40" t="s">
        <v>88</v>
      </c>
      <c r="B12">
        <f>RÉSUMÉ!B19</f>
        <v>0</v>
      </c>
      <c r="C12">
        <f>RÉSUMÉ!C19</f>
        <v>0</v>
      </c>
      <c r="D12">
        <f>RÉSUMÉ!D19</f>
        <v>0</v>
      </c>
      <c r="E12">
        <f>RÉSUMÉ!E19</f>
        <v>0</v>
      </c>
      <c r="F12">
        <f>RÉSUMÉ!F19</f>
        <v>0</v>
      </c>
      <c r="G12">
        <f>RÉSUMÉ!G19</f>
        <v>0</v>
      </c>
      <c r="H12" t="e">
        <f>RÉSUMÉ!H19</f>
        <v>#NAME?</v>
      </c>
      <c r="I12">
        <f>RÉSUMÉ!I19</f>
        <v>0</v>
      </c>
      <c r="J12">
        <f>RÉSUMÉ!J19</f>
        <v>0</v>
      </c>
      <c r="K12">
        <f>RÉSUMÉ!K19</f>
        <v>0</v>
      </c>
      <c r="L12">
        <f>RÉSUMÉ!L19</f>
        <v>0</v>
      </c>
      <c r="M12">
        <f>RÉSUMÉ!M19</f>
        <v>0</v>
      </c>
      <c r="N12" t="e">
        <f>RÉSUMÉ!N19</f>
        <v>#NAME?</v>
      </c>
      <c r="O12">
        <f>RÉSUMÉ!O19</f>
        <v>0</v>
      </c>
      <c r="P12">
        <f>RÉSUMÉ!P19</f>
        <v>0</v>
      </c>
      <c r="Q12">
        <f>RÉSUMÉ!Q19</f>
        <v>0</v>
      </c>
      <c r="R12">
        <f>RÉSUMÉ!R19</f>
        <v>0</v>
      </c>
      <c r="S12">
        <f>RÉSUMÉ!S19</f>
        <v>0</v>
      </c>
      <c r="T12">
        <f>RÉSUMÉ!T19</f>
        <v>0</v>
      </c>
      <c r="U12">
        <f>RÉSUMÉ!U19</f>
        <v>0</v>
      </c>
      <c r="V12">
        <f>RÉSUMÉ!V19</f>
        <v>0</v>
      </c>
      <c r="W12">
        <f>RÉSUMÉ!W19</f>
        <v>0</v>
      </c>
      <c r="X12">
        <f>RÉSUMÉ!X19</f>
        <v>0</v>
      </c>
      <c r="Y12">
        <f>RÉSUMÉ!Y19</f>
        <v>0</v>
      </c>
      <c r="Z12">
        <f>RÉSUMÉ!Z19</f>
        <v>0</v>
      </c>
      <c r="AA12">
        <f>RÉSUMÉ!AA19</f>
        <v>0</v>
      </c>
      <c r="AB12">
        <f>RÉSUMÉ!AB19</f>
        <v>0</v>
      </c>
      <c r="AC12">
        <f>RÉSUMÉ!AC19</f>
        <v>0</v>
      </c>
      <c r="AD12">
        <f>RÉSUMÉ!AD19</f>
        <v>0</v>
      </c>
      <c r="AE12">
        <f>RÉSUMÉ!AE19</f>
        <v>0</v>
      </c>
      <c r="AF12">
        <f>RÉSUMÉ!AF19</f>
        <v>0</v>
      </c>
      <c r="AG12">
        <f>RÉSUMÉ!AG19</f>
        <v>0</v>
      </c>
      <c r="AH12">
        <f>RÉSUMÉ!AH19</f>
        <v>0</v>
      </c>
      <c r="AI12">
        <f>RÉSUMÉ!AI19</f>
        <v>0</v>
      </c>
      <c r="AJ12">
        <f>RÉSUMÉ!AJ19</f>
        <v>0</v>
      </c>
      <c r="AK12">
        <f>RÉSUMÉ!AK19</f>
        <v>0</v>
      </c>
      <c r="AL12">
        <f>RÉSUMÉ!AL19</f>
        <v>0</v>
      </c>
      <c r="AM12">
        <f>RÉSUMÉ!AM19</f>
        <v>502.7</v>
      </c>
    </row>
    <row r="13" spans="1:46">
      <c r="A13" s="40" t="s">
        <v>89</v>
      </c>
      <c r="B13">
        <f>RÉSUMÉ!B20</f>
        <v>0</v>
      </c>
      <c r="C13">
        <f>RÉSUMÉ!C20</f>
        <v>0</v>
      </c>
      <c r="D13">
        <f>RÉSUMÉ!D20</f>
        <v>0</v>
      </c>
      <c r="E13">
        <f>RÉSUMÉ!E20</f>
        <v>0</v>
      </c>
      <c r="F13">
        <f>RÉSUMÉ!F20</f>
        <v>0</v>
      </c>
      <c r="G13">
        <f>RÉSUMÉ!G20</f>
        <v>0</v>
      </c>
      <c r="H13" t="e">
        <f>RÉSUMÉ!H20</f>
        <v>#NAME?</v>
      </c>
      <c r="I13">
        <f>RÉSUMÉ!I20</f>
        <v>0</v>
      </c>
      <c r="J13">
        <f>RÉSUMÉ!J20</f>
        <v>0</v>
      </c>
      <c r="K13">
        <f>RÉSUMÉ!K20</f>
        <v>0</v>
      </c>
      <c r="L13">
        <f>RÉSUMÉ!L20</f>
        <v>0</v>
      </c>
      <c r="M13">
        <f>RÉSUMÉ!M20</f>
        <v>0</v>
      </c>
      <c r="N13" t="e">
        <f>RÉSUMÉ!N20</f>
        <v>#NAME?</v>
      </c>
      <c r="O13">
        <f>RÉSUMÉ!O20</f>
        <v>0</v>
      </c>
      <c r="P13">
        <f>RÉSUMÉ!P20</f>
        <v>0</v>
      </c>
      <c r="Q13">
        <f>RÉSUMÉ!Q20</f>
        <v>0</v>
      </c>
      <c r="R13">
        <f>RÉSUMÉ!R20</f>
        <v>0</v>
      </c>
      <c r="S13">
        <f>RÉSUMÉ!S20</f>
        <v>0</v>
      </c>
      <c r="T13">
        <f>RÉSUMÉ!T20</f>
        <v>0</v>
      </c>
      <c r="U13">
        <f>RÉSUMÉ!U20</f>
        <v>0</v>
      </c>
      <c r="V13">
        <f>RÉSUMÉ!V20</f>
        <v>0</v>
      </c>
      <c r="W13">
        <f>RÉSUMÉ!W20</f>
        <v>0</v>
      </c>
      <c r="X13">
        <f>RÉSUMÉ!X20</f>
        <v>0</v>
      </c>
      <c r="Y13">
        <f>RÉSUMÉ!Y20</f>
        <v>0</v>
      </c>
      <c r="Z13">
        <f>RÉSUMÉ!Z20</f>
        <v>0</v>
      </c>
      <c r="AA13">
        <f>RÉSUMÉ!AA20</f>
        <v>0</v>
      </c>
      <c r="AB13">
        <f>RÉSUMÉ!AB20</f>
        <v>0</v>
      </c>
      <c r="AC13">
        <f>RÉSUMÉ!AC20</f>
        <v>0</v>
      </c>
      <c r="AD13">
        <f>RÉSUMÉ!AD20</f>
        <v>0</v>
      </c>
      <c r="AE13">
        <f>RÉSUMÉ!AE20</f>
        <v>0</v>
      </c>
      <c r="AF13">
        <f>RÉSUMÉ!AF20</f>
        <v>0</v>
      </c>
      <c r="AG13">
        <f>RÉSUMÉ!AG20</f>
        <v>0</v>
      </c>
      <c r="AH13">
        <f>RÉSUMÉ!AH20</f>
        <v>0</v>
      </c>
      <c r="AI13">
        <f>RÉSUMÉ!AI20</f>
        <v>0</v>
      </c>
      <c r="AJ13">
        <f>RÉSUMÉ!AJ20</f>
        <v>0</v>
      </c>
      <c r="AK13">
        <f>RÉSUMÉ!AK20</f>
        <v>0</v>
      </c>
      <c r="AL13">
        <f>RÉSUMÉ!AL20</f>
        <v>0</v>
      </c>
      <c r="AM13">
        <f>RÉSUMÉ!AM20</f>
        <v>0</v>
      </c>
    </row>
    <row r="14" spans="1:46" ht="20.25" customHeight="1">
      <c r="A14" s="40" t="s">
        <v>90</v>
      </c>
      <c r="B14">
        <f>RÉSUMÉ!B21</f>
        <v>0</v>
      </c>
      <c r="C14">
        <f>RÉSUMÉ!C21</f>
        <v>0</v>
      </c>
      <c r="D14">
        <f>RÉSUMÉ!D21</f>
        <v>0</v>
      </c>
      <c r="E14">
        <f>RÉSUMÉ!E21</f>
        <v>0</v>
      </c>
      <c r="F14">
        <f>RÉSUMÉ!F21</f>
        <v>0</v>
      </c>
      <c r="G14">
        <f>RÉSUMÉ!G21</f>
        <v>0</v>
      </c>
      <c r="H14" t="e">
        <f>RÉSUMÉ!H21</f>
        <v>#NAME?</v>
      </c>
      <c r="I14">
        <f>RÉSUMÉ!I21</f>
        <v>0</v>
      </c>
      <c r="J14">
        <f>RÉSUMÉ!J21</f>
        <v>0</v>
      </c>
      <c r="K14">
        <f>RÉSUMÉ!K21</f>
        <v>0</v>
      </c>
      <c r="L14">
        <f>RÉSUMÉ!L21</f>
        <v>0</v>
      </c>
      <c r="M14">
        <f>RÉSUMÉ!M21</f>
        <v>0</v>
      </c>
      <c r="N14" t="e">
        <f>RÉSUMÉ!N21</f>
        <v>#NAME?</v>
      </c>
      <c r="O14">
        <f>RÉSUMÉ!O21</f>
        <v>0</v>
      </c>
      <c r="P14">
        <f>RÉSUMÉ!P21</f>
        <v>0</v>
      </c>
      <c r="Q14">
        <f>RÉSUMÉ!Q21</f>
        <v>0</v>
      </c>
      <c r="R14">
        <f>RÉSUMÉ!R21</f>
        <v>0</v>
      </c>
      <c r="S14">
        <f>RÉSUMÉ!S21</f>
        <v>0</v>
      </c>
      <c r="T14">
        <f>RÉSUMÉ!T21</f>
        <v>0</v>
      </c>
      <c r="U14">
        <f>RÉSUMÉ!U21</f>
        <v>0</v>
      </c>
      <c r="V14">
        <f>RÉSUMÉ!V21</f>
        <v>0</v>
      </c>
      <c r="W14">
        <f>RÉSUMÉ!W21</f>
        <v>0</v>
      </c>
      <c r="X14">
        <f>RÉSUMÉ!X21</f>
        <v>0</v>
      </c>
      <c r="Y14">
        <f>RÉSUMÉ!Y21</f>
        <v>0</v>
      </c>
      <c r="Z14">
        <f>RÉSUMÉ!Z21</f>
        <v>0</v>
      </c>
      <c r="AA14">
        <f>RÉSUMÉ!AA21</f>
        <v>0</v>
      </c>
      <c r="AB14">
        <f>RÉSUMÉ!AB21</f>
        <v>0</v>
      </c>
      <c r="AC14">
        <f>RÉSUMÉ!AC21</f>
        <v>0</v>
      </c>
      <c r="AD14">
        <f>RÉSUMÉ!AD21</f>
        <v>0</v>
      </c>
      <c r="AE14">
        <f>RÉSUMÉ!AE21</f>
        <v>0</v>
      </c>
      <c r="AF14">
        <f>RÉSUMÉ!AF21</f>
        <v>0</v>
      </c>
      <c r="AG14">
        <f>RÉSUMÉ!AG21</f>
        <v>0</v>
      </c>
      <c r="AH14">
        <f>RÉSUMÉ!AH21</f>
        <v>0</v>
      </c>
      <c r="AI14">
        <f>RÉSUMÉ!AI21</f>
        <v>0</v>
      </c>
      <c r="AJ14">
        <f>RÉSUMÉ!AJ21</f>
        <v>0</v>
      </c>
      <c r="AK14">
        <f>RÉSUMÉ!AK21</f>
        <v>0</v>
      </c>
      <c r="AL14">
        <f>RÉSUMÉ!AL21</f>
        <v>0</v>
      </c>
      <c r="AM14">
        <f>RÉSUMÉ!AM21</f>
        <v>0</v>
      </c>
    </row>
    <row r="15" spans="1:46" ht="20.25" hidden="1" customHeight="1">
      <c r="A15" s="40"/>
    </row>
    <row r="16" spans="1:46" ht="20.25" hidden="1" customHeight="1">
      <c r="A16" s="40"/>
    </row>
    <row r="17" spans="1:39" ht="20.25" hidden="1" customHeight="1">
      <c r="A17" s="40"/>
    </row>
    <row r="18" spans="1:39" ht="20.25" hidden="1" customHeight="1">
      <c r="A18" s="40"/>
    </row>
    <row r="19" spans="1:39" ht="20.25" hidden="1" customHeight="1">
      <c r="A19" s="40"/>
    </row>
    <row r="20" spans="1:39" ht="20.25" hidden="1" customHeight="1">
      <c r="A20" s="40"/>
    </row>
    <row r="21" spans="1:39" ht="20.25" hidden="1" customHeight="1">
      <c r="A21" s="40"/>
    </row>
    <row r="22" spans="1:39" ht="20.25" hidden="1" customHeight="1">
      <c r="A22" s="40"/>
    </row>
    <row r="23" spans="1:39" ht="20.25" hidden="1" customHeight="1">
      <c r="A23" s="40"/>
    </row>
    <row r="24" spans="1:39" ht="20.25" hidden="1" customHeight="1">
      <c r="A24" s="40"/>
    </row>
    <row r="26" spans="1:39">
      <c r="A26" s="497" t="e">
        <f>VLOOKUP($C$30,$A$3:$AM$14,1,FALSE)</f>
        <v>#N/A</v>
      </c>
      <c r="B26" t="e">
        <f>VLOOKUP($C$30,$A$3:$AM$14,2,FALSE)</f>
        <v>#N/A</v>
      </c>
      <c r="C26" t="e">
        <f>VLOOKUP($C$30,$A$3:$AM$14,3,FALSE)</f>
        <v>#N/A</v>
      </c>
      <c r="D26" t="e">
        <f>VLOOKUP($C$30,$A$3:$AM$14,4,FALSE)</f>
        <v>#N/A</v>
      </c>
      <c r="E26" t="e">
        <f>VLOOKUP($C$30,$A$3:$AM$14,5,FALSE)</f>
        <v>#N/A</v>
      </c>
      <c r="F26" t="e">
        <f>VLOOKUP($C$30,$A$3:$AM$14,6,FALSE)</f>
        <v>#N/A</v>
      </c>
      <c r="G26" t="e">
        <f>VLOOKUP($C$30,$A$3:$AM$14,7,FALSE)</f>
        <v>#N/A</v>
      </c>
      <c r="H26" t="e">
        <f>VLOOKUP($C$30,$A$3:$AM$14,8,FALSE)</f>
        <v>#N/A</v>
      </c>
      <c r="I26" t="e">
        <f>VLOOKUP($C$30,$A$3:$AM$14,9,FALSE)</f>
        <v>#N/A</v>
      </c>
      <c r="J26" t="e">
        <f>VLOOKUP($C$30,$A$3:$AM$14,10,FALSE)</f>
        <v>#N/A</v>
      </c>
      <c r="K26" t="e">
        <f>VLOOKUP($C$30,$A$3:$AM$14,11,FALSE)</f>
        <v>#N/A</v>
      </c>
      <c r="L26" t="e">
        <f>VLOOKUP($C$30,$A$3:$AM$14,12,FALSE)</f>
        <v>#N/A</v>
      </c>
      <c r="M26" t="e">
        <f>VLOOKUP($C$30,$A$3:$AM$14,13,FALSE)</f>
        <v>#N/A</v>
      </c>
      <c r="N26" t="e">
        <f>VLOOKUP($C$30,$A$3:$AM$14,14,FALSE)</f>
        <v>#N/A</v>
      </c>
      <c r="O26" t="e">
        <f>VLOOKUP($C$30,$A$3:$AM$14,15,FALSE)</f>
        <v>#N/A</v>
      </c>
      <c r="P26" t="e">
        <f>VLOOKUP($C$30,$A$3:$AM$14,16,FALSE)</f>
        <v>#N/A</v>
      </c>
      <c r="Q26" t="e">
        <f>VLOOKUP($C$30,$A$3:$AM$14,17,FALSE)</f>
        <v>#N/A</v>
      </c>
      <c r="R26" t="e">
        <f>VLOOKUP($C$30,$A$3:$AM$14,18,FALSE)</f>
        <v>#N/A</v>
      </c>
      <c r="S26" t="e">
        <f>VLOOKUP($C$30,$A$3:$AM$14,19,FALSE)</f>
        <v>#N/A</v>
      </c>
      <c r="T26" t="e">
        <f>VLOOKUP($C$30,$A$3:$AM$14,20,FALSE)</f>
        <v>#N/A</v>
      </c>
      <c r="U26" t="e">
        <f>VLOOKUP($C$30,$A$3:$AM$14,21,FALSE)</f>
        <v>#N/A</v>
      </c>
      <c r="V26" t="e">
        <f>VLOOKUP($C$30,$A$3:$AM$14,22,FALSE)</f>
        <v>#N/A</v>
      </c>
      <c r="W26" t="e">
        <f>VLOOKUP($C$30,$A$3:$AM$14,23,FALSE)</f>
        <v>#N/A</v>
      </c>
      <c r="X26" t="e">
        <f>VLOOKUP($C$30,$A$3:$AM$14,24,FALSE)</f>
        <v>#N/A</v>
      </c>
      <c r="Y26" t="e">
        <f>VLOOKUP($C$30,$A$3:$AM$14,25,FALSE)</f>
        <v>#N/A</v>
      </c>
      <c r="Z26" t="e">
        <f>VLOOKUP($C$30,$A$3:$AM$14,26,FALSE)</f>
        <v>#N/A</v>
      </c>
      <c r="AA26" t="e">
        <f>VLOOKUP($C$30,$A$3:$AM$14,27,FALSE)</f>
        <v>#N/A</v>
      </c>
      <c r="AB26" t="e">
        <f>VLOOKUP($C$30,$A$3:$AM$14,28,FALSE)</f>
        <v>#N/A</v>
      </c>
      <c r="AC26" t="e">
        <f>VLOOKUP($C$30,$A$3:$AM$14,29,FALSE)</f>
        <v>#N/A</v>
      </c>
      <c r="AD26" t="e">
        <f>VLOOKUP($C$30,$A$3:$AM$14,30,FALSE)</f>
        <v>#N/A</v>
      </c>
      <c r="AE26" t="e">
        <f>VLOOKUP($C$30,$A$3:$AM$14,31,FALSE)</f>
        <v>#N/A</v>
      </c>
      <c r="AF26" t="e">
        <f>VLOOKUP($C$30,$A$3:$AM$14,32,FALSE)</f>
        <v>#N/A</v>
      </c>
      <c r="AG26" t="e">
        <f>VLOOKUP($C$30,$A$3:$AM$14,33,FALSE)</f>
        <v>#N/A</v>
      </c>
      <c r="AH26" t="e">
        <f>VLOOKUP($C$30,$A$3:$AM$14,34,FALSE)</f>
        <v>#N/A</v>
      </c>
      <c r="AI26" t="e">
        <f>VLOOKUP($C$30,$A$3:$AM$14,35,FALSE)</f>
        <v>#N/A</v>
      </c>
      <c r="AJ26" t="e">
        <f>VLOOKUP($C$30,$A$3:$AM$14,36,FALSE)</f>
        <v>#N/A</v>
      </c>
      <c r="AK26" t="e">
        <f>VLOOKUP($C$30,$A$3:$AM$14,37,FALSE)</f>
        <v>#N/A</v>
      </c>
      <c r="AL26" t="e">
        <f>VLOOKUP($C$30,$A$3:$AM$14,38,FALSE)</f>
        <v>#N/A</v>
      </c>
      <c r="AM26" t="e">
        <f>VLOOKUP($C$30,$A$3:$AM$14,39,FALSE)</f>
        <v>#N/A</v>
      </c>
    </row>
    <row r="27" spans="1:39">
      <c r="A27" s="498" t="e">
        <f>VLOOKUP($C$31,$A$3:$AM$14,1,FALSE)</f>
        <v>#VALUE!</v>
      </c>
      <c r="B27" t="e">
        <f>VLOOKUP($C$31,$A$3:$AM$14,2,FALSE)</f>
        <v>#VALUE!</v>
      </c>
      <c r="C27" t="e">
        <f>VLOOKUP($C$31,$A$3:$AM$14,3,FALSE)</f>
        <v>#VALUE!</v>
      </c>
      <c r="D27" t="e">
        <f>VLOOKUP($C$31,$A$3:$AM$14,4,FALSE)</f>
        <v>#VALUE!</v>
      </c>
      <c r="E27" t="e">
        <f>VLOOKUP($C$31,$A$3:$AM$14,5,FALSE)</f>
        <v>#VALUE!</v>
      </c>
      <c r="F27" t="e">
        <f>VLOOKUP($C$31,$A$3:$AM$14,6,FALSE)</f>
        <v>#VALUE!</v>
      </c>
      <c r="G27" t="e">
        <f>VLOOKUP($C$31,$A$3:$AM$14,7,FALSE)</f>
        <v>#VALUE!</v>
      </c>
      <c r="H27" t="e">
        <f>VLOOKUP($C$31,$A$3:$AM$14,8,FALSE)</f>
        <v>#VALUE!</v>
      </c>
      <c r="I27" t="e">
        <f>VLOOKUP($C$31,$A$3:$AM$14,9,FALSE)</f>
        <v>#VALUE!</v>
      </c>
      <c r="J27" t="e">
        <f>VLOOKUP($C$31,$A$3:$AM$14,10,FALSE)</f>
        <v>#VALUE!</v>
      </c>
      <c r="K27" t="e">
        <f>VLOOKUP($C$31,$A$3:$AM$14,11,FALSE)</f>
        <v>#VALUE!</v>
      </c>
      <c r="L27" t="e">
        <f>VLOOKUP($C$31,$A$3:$AM$14,12,FALSE)</f>
        <v>#VALUE!</v>
      </c>
      <c r="M27" t="e">
        <f>VLOOKUP($C$31,$A$3:$AM$14,13,FALSE)</f>
        <v>#VALUE!</v>
      </c>
      <c r="N27" t="e">
        <f>VLOOKUP($C$31,$A$3:$AM$14,14,FALSE)</f>
        <v>#VALUE!</v>
      </c>
      <c r="O27" t="e">
        <f>VLOOKUP($C$31,$A$3:$AM$14,15,FALSE)</f>
        <v>#VALUE!</v>
      </c>
      <c r="P27" t="e">
        <f>VLOOKUP($C$31,$A$3:$AM$14,16,FALSE)</f>
        <v>#VALUE!</v>
      </c>
      <c r="Q27" t="e">
        <f>VLOOKUP($C$31,$A$3:$AM$14,17,FALSE)</f>
        <v>#VALUE!</v>
      </c>
      <c r="R27" t="e">
        <f>VLOOKUP($C$31,$A$3:$AM$14,18,FALSE)</f>
        <v>#VALUE!</v>
      </c>
      <c r="S27" t="e">
        <f>VLOOKUP($C$31,$A$3:$AM$14,19,FALSE)</f>
        <v>#VALUE!</v>
      </c>
      <c r="T27" t="e">
        <f>VLOOKUP($C$31,$A$3:$AM$14,20,FALSE)</f>
        <v>#VALUE!</v>
      </c>
      <c r="U27" t="e">
        <f>VLOOKUP($C$31,$A$3:$AM$14,21,FALSE)</f>
        <v>#VALUE!</v>
      </c>
      <c r="V27" t="e">
        <f>VLOOKUP($C$31,$A$3:$AM$14,22,FALSE)</f>
        <v>#VALUE!</v>
      </c>
      <c r="W27" t="e">
        <f>VLOOKUP($C$31,$A$3:$AM$14,23,FALSE)</f>
        <v>#VALUE!</v>
      </c>
      <c r="X27" t="e">
        <f>VLOOKUP($C$31,$A$3:$AM$14,24,FALSE)</f>
        <v>#VALUE!</v>
      </c>
      <c r="Y27" t="e">
        <f>VLOOKUP($C$31,$A$3:$AM$14,25,FALSE)</f>
        <v>#VALUE!</v>
      </c>
      <c r="Z27" t="e">
        <f>VLOOKUP($C$31,$A$3:$AM$14,26,FALSE)</f>
        <v>#VALUE!</v>
      </c>
      <c r="AA27" t="e">
        <f>VLOOKUP($C$31,$A$3:$AM$14,27,FALSE)</f>
        <v>#VALUE!</v>
      </c>
      <c r="AB27" t="e">
        <f>VLOOKUP($C$31,$A$3:$AM$14,28,FALSE)</f>
        <v>#VALUE!</v>
      </c>
      <c r="AC27" t="e">
        <f>VLOOKUP($C$31,$A$3:$AM$14,29,FALSE)</f>
        <v>#VALUE!</v>
      </c>
      <c r="AD27" t="e">
        <f>VLOOKUP($C$31,$A$3:$AM$14,30,FALSE)</f>
        <v>#VALUE!</v>
      </c>
      <c r="AE27" t="e">
        <f>VLOOKUP($C$31,$A$3:$AM$14,31,FALSE)</f>
        <v>#VALUE!</v>
      </c>
      <c r="AF27" t="e">
        <f>VLOOKUP($C$31,$A$3:$AM$14,32,FALSE)</f>
        <v>#VALUE!</v>
      </c>
      <c r="AG27" t="e">
        <f>VLOOKUP($C$31,$A$3:$AM$14,33,FALSE)</f>
        <v>#VALUE!</v>
      </c>
      <c r="AH27" t="e">
        <f>VLOOKUP($C$31,$A$3:$AM$14,34,FALSE)</f>
        <v>#VALUE!</v>
      </c>
      <c r="AI27" t="e">
        <f>VLOOKUP($C$31,$A$3:$AM$14,35,FALSE)</f>
        <v>#VALUE!</v>
      </c>
      <c r="AJ27" t="e">
        <f>VLOOKUP($C$31,$A$3:$AM$14,36,FALSE)</f>
        <v>#VALUE!</v>
      </c>
      <c r="AK27" t="e">
        <f>VLOOKUP($C$31,$A$3:$AM$14,37,FALSE)</f>
        <v>#VALUE!</v>
      </c>
      <c r="AL27" t="e">
        <f>VLOOKUP($C$31,$A$3:$AM$14,38,FALSE)</f>
        <v>#VALUE!</v>
      </c>
      <c r="AM27" t="e">
        <f>VLOOKUP($C$31,$A$3:$AM$14,39,FALSE)</f>
        <v>#VALUE!</v>
      </c>
    </row>
    <row r="30" spans="1:39">
      <c r="A30" s="505" t="s">
        <v>1047</v>
      </c>
      <c r="B30" s="497" t="s">
        <v>989</v>
      </c>
      <c r="C30" s="521"/>
      <c r="F30" s="501"/>
      <c r="G30" t="s">
        <v>996</v>
      </c>
      <c r="I30" s="446" t="str">
        <f>IF(C30="2016-2017", "OUI","NON")</f>
        <v>NON</v>
      </c>
      <c r="J30" s="522" t="s">
        <v>1048</v>
      </c>
    </row>
    <row r="31" spans="1:39">
      <c r="B31" s="498" t="s">
        <v>990</v>
      </c>
      <c r="C31" s="505" t="e">
        <f>CONCATENATE((LEFT(C30,4)-1),"-",(RIGHT(C30,4)-1))</f>
        <v>#VALUE!</v>
      </c>
    </row>
    <row r="32" spans="1:39">
      <c r="B32" s="464" t="s">
        <v>988</v>
      </c>
      <c r="C32">
        <v>0.85</v>
      </c>
      <c r="D32">
        <v>1.1499999999999999</v>
      </c>
    </row>
    <row r="35" spans="2:11" ht="21">
      <c r="B35" s="500" t="s">
        <v>991</v>
      </c>
      <c r="G35" s="510" t="str">
        <f>'1. IDENTITÉ'!B11</f>
        <v/>
      </c>
      <c r="H35" s="508" t="str">
        <f>'1. IDENTITÉ'!B10</f>
        <v>NOM DE L'ENTITÉ</v>
      </c>
    </row>
    <row r="36" spans="2:11">
      <c r="B36" s="502" t="s">
        <v>992</v>
      </c>
      <c r="C36" s="509">
        <f ca="1">TODAY()</f>
        <v>43740</v>
      </c>
      <c r="E36" s="508"/>
      <c r="J36" s="502"/>
      <c r="K36" s="503"/>
    </row>
    <row r="37" spans="2:11" ht="21.6" thickBot="1">
      <c r="B37" s="500"/>
      <c r="J37" s="502"/>
      <c r="K37" s="503"/>
    </row>
    <row r="38" spans="2:11" ht="21.6" thickBot="1">
      <c r="B38" s="500"/>
      <c r="D38" s="506" t="e">
        <f>C31</f>
        <v>#VALUE!</v>
      </c>
      <c r="E38" s="505"/>
      <c r="F38" s="507">
        <f>C30</f>
        <v>0</v>
      </c>
      <c r="J38" s="502"/>
      <c r="K38" s="503"/>
    </row>
    <row r="40" spans="2:11" ht="18">
      <c r="B40" s="504" t="s">
        <v>13</v>
      </c>
      <c r="D40" t="e">
        <f>O27</f>
        <v>#VALUE!</v>
      </c>
      <c r="E40" s="505" t="s">
        <v>997</v>
      </c>
      <c r="F40" t="e">
        <f>O26</f>
        <v>#N/A</v>
      </c>
      <c r="G40" s="499"/>
    </row>
    <row r="41" spans="2:11" ht="18">
      <c r="B41" s="504" t="s">
        <v>347</v>
      </c>
      <c r="D41" t="e">
        <f>P27</f>
        <v>#VALUE!</v>
      </c>
      <c r="E41" s="505" t="s">
        <v>997</v>
      </c>
      <c r="F41" t="e">
        <f>P26</f>
        <v>#N/A</v>
      </c>
      <c r="G41" s="499"/>
    </row>
    <row r="42" spans="2:11" ht="18">
      <c r="G42" s="499"/>
    </row>
    <row r="43" spans="2:11" ht="18">
      <c r="B43" s="504" t="s">
        <v>993</v>
      </c>
      <c r="D43" t="e">
        <f>Q27</f>
        <v>#VALUE!</v>
      </c>
      <c r="E43" s="505" t="s">
        <v>997</v>
      </c>
      <c r="F43" t="e">
        <f>Q26</f>
        <v>#N/A</v>
      </c>
      <c r="G43" s="499"/>
      <c r="H43" s="499" t="str">
        <f>IFERROR(IF(OR(COUNTA(Q26:R26)= 0,SUM(Q26:R26)= 0),"X","✓"), "X")</f>
        <v>X</v>
      </c>
    </row>
    <row r="44" spans="2:11" ht="18">
      <c r="B44" s="504"/>
      <c r="G44" s="499"/>
    </row>
    <row r="45" spans="2:11" ht="18">
      <c r="G45" s="499"/>
    </row>
    <row r="46" spans="2:11" ht="18">
      <c r="G46" s="499"/>
    </row>
    <row r="48" spans="2:11" ht="18">
      <c r="G48" s="499"/>
    </row>
    <row r="49" spans="2:8" ht="18">
      <c r="G49" s="499"/>
    </row>
    <row r="50" spans="2:8" ht="18">
      <c r="G50" s="499"/>
    </row>
    <row r="51" spans="2:8" ht="18">
      <c r="B51" s="504" t="s">
        <v>994</v>
      </c>
      <c r="G51" s="499"/>
    </row>
    <row r="52" spans="2:8" ht="18">
      <c r="B52" t="s">
        <v>999</v>
      </c>
      <c r="C52">
        <f>Lim_bas</f>
        <v>0</v>
      </c>
      <c r="G52" s="499"/>
    </row>
    <row r="53" spans="2:8" ht="18">
      <c r="B53" t="s">
        <v>1000</v>
      </c>
      <c r="C53">
        <f>Lim_haut</f>
        <v>0</v>
      </c>
      <c r="G53" s="499"/>
    </row>
    <row r="54" spans="2:8" ht="18">
      <c r="G54" s="499"/>
    </row>
    <row r="55" spans="2:8" ht="18">
      <c r="B55" s="504" t="s">
        <v>995</v>
      </c>
      <c r="H55" s="499" t="s">
        <v>998</v>
      </c>
    </row>
  </sheetData>
  <mergeCells count="16">
    <mergeCell ref="Q1:R1"/>
    <mergeCell ref="B1:D1"/>
    <mergeCell ref="E1:G1"/>
    <mergeCell ref="H1:I1"/>
    <mergeCell ref="J1:K1"/>
    <mergeCell ref="L1:M1"/>
    <mergeCell ref="AE1:AF1"/>
    <mergeCell ref="AG1:AH1"/>
    <mergeCell ref="AI1:AJ1"/>
    <mergeCell ref="AK1:AL1"/>
    <mergeCell ref="S1:T1"/>
    <mergeCell ref="U1:V1"/>
    <mergeCell ref="W1:X1"/>
    <mergeCell ref="Y1:Z1"/>
    <mergeCell ref="AA1:AB1"/>
    <mergeCell ref="AC1:AD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indexed="45"/>
    <pageSetUpPr fitToPage="1"/>
  </sheetPr>
  <dimension ref="A1:AP62"/>
  <sheetViews>
    <sheetView showZeros="0" zoomScaleNormal="100" zoomScaleSheetLayoutView="90" workbookViewId="0">
      <selection activeCell="B21" sqref="B21"/>
    </sheetView>
  </sheetViews>
  <sheetFormatPr baseColWidth="10" defaultColWidth="9.109375" defaultRowHeight="14.4"/>
  <cols>
    <col min="1" max="1" width="16.5546875" style="1" customWidth="1"/>
    <col min="2" max="2" width="19" style="1" customWidth="1"/>
    <col min="3" max="3" width="20.5546875" style="23" bestFit="1" customWidth="1"/>
    <col min="4" max="4" width="18" style="23" customWidth="1"/>
    <col min="5" max="5" width="16" style="76" customWidth="1"/>
    <col min="6" max="6" width="18.88671875" style="76" customWidth="1"/>
    <col min="7" max="7" width="16" style="76" customWidth="1"/>
    <col min="8" max="8" width="18" style="76" customWidth="1"/>
    <col min="9" max="9" width="16" style="76" customWidth="1"/>
    <col min="10" max="10" width="18" style="76" customWidth="1"/>
    <col min="11" max="11" width="16" style="76" customWidth="1"/>
    <col min="12" max="12" width="18.33203125" style="76" customWidth="1"/>
    <col min="13" max="13" width="16" style="76" customWidth="1"/>
    <col min="14" max="14" width="18.33203125" style="76" customWidth="1"/>
    <col min="15" max="15" width="16" style="76" customWidth="1"/>
    <col min="16" max="16" width="18.88671875" style="76" customWidth="1"/>
    <col min="17" max="17" width="16" style="76" customWidth="1"/>
    <col min="18" max="18" width="17.5546875" style="76" customWidth="1"/>
    <col min="19" max="19" width="16" style="76" customWidth="1"/>
    <col min="20" max="20" width="18" style="76" customWidth="1"/>
    <col min="21" max="21" width="16" style="76" customWidth="1"/>
    <col min="22" max="22" width="18.33203125" style="76" customWidth="1"/>
    <col min="23" max="23" width="21" style="76" customWidth="1"/>
    <col min="24" max="24" width="26.109375" style="71" customWidth="1"/>
    <col min="25" max="25" width="21.6640625" style="71" customWidth="1"/>
    <col min="26" max="26" width="21.88671875" style="71" customWidth="1"/>
    <col min="27" max="27" width="24.6640625" style="71" customWidth="1"/>
    <col min="28" max="28" width="20.33203125" style="71" customWidth="1"/>
    <col min="29" max="29" width="19.33203125" style="71" customWidth="1"/>
    <col min="30" max="30" width="14.44140625" style="71" customWidth="1"/>
    <col min="31" max="16384" width="9.109375" style="71"/>
  </cols>
  <sheetData>
    <row r="1" spans="1:33" s="1" customFormat="1" ht="117.75" customHeight="1">
      <c r="C1" s="382" t="s">
        <v>363</v>
      </c>
      <c r="D1" s="26"/>
      <c r="E1" s="26"/>
      <c r="F1" s="26"/>
      <c r="G1" s="26"/>
      <c r="H1" s="26"/>
      <c r="I1" s="26"/>
      <c r="J1" s="26"/>
      <c r="K1" s="26"/>
      <c r="L1" s="26"/>
      <c r="M1" s="26"/>
      <c r="N1" s="26"/>
      <c r="O1" s="26"/>
      <c r="P1" s="26"/>
      <c r="Q1" s="26"/>
      <c r="R1" s="26"/>
      <c r="S1" s="26"/>
      <c r="T1" s="26"/>
      <c r="U1" s="26"/>
      <c r="V1" s="26"/>
      <c r="W1" s="26"/>
      <c r="X1" s="26"/>
      <c r="Y1" s="26"/>
      <c r="Z1" s="26"/>
      <c r="AA1" s="26"/>
      <c r="AB1" s="26"/>
      <c r="AC1" s="26"/>
    </row>
    <row r="2" spans="1:33" s="1" customFormat="1" ht="18">
      <c r="C2" s="26"/>
      <c r="D2" s="203" t="s">
        <v>380</v>
      </c>
      <c r="E2" s="204"/>
      <c r="F2" s="205"/>
      <c r="G2" s="206"/>
      <c r="H2" s="206"/>
      <c r="I2" s="207"/>
      <c r="J2" s="206"/>
      <c r="K2" s="206"/>
      <c r="L2" s="206"/>
      <c r="M2" s="206"/>
      <c r="N2" s="26"/>
      <c r="O2" s="26"/>
      <c r="P2" s="26"/>
      <c r="Q2" s="26"/>
      <c r="R2" s="26"/>
      <c r="S2" s="26"/>
      <c r="T2" s="26"/>
      <c r="U2" s="26"/>
      <c r="V2" s="26"/>
      <c r="W2" s="26"/>
      <c r="X2" s="26"/>
      <c r="Y2" s="26"/>
      <c r="Z2" s="26"/>
      <c r="AA2" s="26"/>
      <c r="AB2" s="26"/>
      <c r="AC2" s="26"/>
    </row>
    <row r="3" spans="1:33" s="1" customFormat="1" ht="15.6">
      <c r="A3" s="463"/>
      <c r="C3" s="26"/>
      <c r="D3" s="208"/>
      <c r="E3" s="13"/>
      <c r="I3" s="209"/>
      <c r="N3" s="26"/>
      <c r="O3" s="26"/>
      <c r="P3" s="26"/>
      <c r="Q3" s="26"/>
      <c r="R3" s="26"/>
      <c r="S3" s="26"/>
      <c r="T3" s="26"/>
      <c r="U3" s="26"/>
      <c r="V3" s="26"/>
      <c r="W3" s="26"/>
      <c r="X3" s="26"/>
      <c r="Y3" s="26"/>
      <c r="Z3" s="26"/>
      <c r="AA3" s="26"/>
      <c r="AB3" s="26"/>
      <c r="AC3" s="26"/>
    </row>
    <row r="4" spans="1:33" s="1" customFormat="1" ht="15.6">
      <c r="C4" s="26"/>
      <c r="D4" s="208" t="s">
        <v>435</v>
      </c>
      <c r="E4" s="13"/>
      <c r="N4" s="26"/>
      <c r="O4" s="26"/>
      <c r="P4" s="26"/>
      <c r="Q4" s="26"/>
      <c r="R4" s="26"/>
      <c r="S4" s="26"/>
      <c r="T4" s="26"/>
      <c r="U4" s="26"/>
      <c r="V4" s="26"/>
      <c r="W4" s="26"/>
      <c r="X4" s="26"/>
      <c r="Y4" s="26"/>
      <c r="Z4" s="26"/>
      <c r="AA4" s="26"/>
      <c r="AB4" s="26"/>
      <c r="AC4" s="26"/>
    </row>
    <row r="5" spans="1:33" s="1" customFormat="1" ht="15.6">
      <c r="C5" s="26"/>
      <c r="D5" s="208" t="s">
        <v>372</v>
      </c>
      <c r="E5" s="13"/>
      <c r="N5" s="26"/>
      <c r="O5" s="26"/>
      <c r="P5" s="26"/>
      <c r="Q5" s="26"/>
      <c r="R5" s="26"/>
      <c r="S5" s="26"/>
      <c r="T5" s="26"/>
      <c r="U5" s="26"/>
      <c r="V5" s="26"/>
      <c r="W5" s="26"/>
      <c r="X5" s="26"/>
      <c r="Y5" s="26"/>
      <c r="Z5" s="26"/>
      <c r="AA5" s="26"/>
      <c r="AB5" s="26"/>
      <c r="AC5" s="26"/>
    </row>
    <row r="6" spans="1:33" s="1" customFormat="1" ht="15" thickBot="1">
      <c r="C6" s="26"/>
      <c r="D6" s="26"/>
      <c r="E6" s="26"/>
      <c r="F6" s="26"/>
      <c r="G6" s="26"/>
      <c r="H6" s="26"/>
      <c r="I6" s="26"/>
      <c r="J6" s="26"/>
      <c r="K6" s="26"/>
      <c r="L6" s="26"/>
      <c r="M6" s="26"/>
      <c r="N6" s="26"/>
      <c r="O6" s="26"/>
      <c r="P6" s="26"/>
      <c r="Q6" s="26"/>
      <c r="R6" s="26"/>
      <c r="S6" s="26"/>
      <c r="T6" s="26"/>
      <c r="U6" s="26"/>
      <c r="V6" s="26"/>
      <c r="W6" s="26"/>
      <c r="X6" s="26"/>
      <c r="Y6" s="26"/>
      <c r="Z6" s="26"/>
      <c r="AA6" s="26"/>
      <c r="AB6" s="26"/>
      <c r="AC6" s="26"/>
    </row>
    <row r="7" spans="1:33" ht="30.75" customHeight="1" thickTop="1">
      <c r="A7" s="563" t="s">
        <v>78</v>
      </c>
      <c r="B7" s="4" t="s">
        <v>13</v>
      </c>
      <c r="C7" s="556" t="s">
        <v>22</v>
      </c>
      <c r="D7" s="557"/>
      <c r="E7" s="556" t="s">
        <v>19</v>
      </c>
      <c r="F7" s="557"/>
      <c r="G7" s="556" t="s">
        <v>24</v>
      </c>
      <c r="H7" s="557"/>
      <c r="I7" s="556" t="s">
        <v>25</v>
      </c>
      <c r="J7" s="557"/>
      <c r="K7" s="556" t="s">
        <v>805</v>
      </c>
      <c r="L7" s="557"/>
      <c r="M7" s="556" t="s">
        <v>27</v>
      </c>
      <c r="N7" s="557"/>
      <c r="O7" s="558" t="s">
        <v>370</v>
      </c>
      <c r="P7" s="559"/>
      <c r="Q7" s="558" t="s">
        <v>373</v>
      </c>
      <c r="R7" s="559"/>
      <c r="S7" s="558" t="s">
        <v>412</v>
      </c>
      <c r="T7" s="559"/>
      <c r="U7" s="558" t="s">
        <v>624</v>
      </c>
      <c r="V7" s="559"/>
      <c r="W7" s="558" t="s">
        <v>625</v>
      </c>
      <c r="X7" s="559"/>
      <c r="Y7" s="556" t="s">
        <v>16</v>
      </c>
      <c r="Z7" s="557"/>
      <c r="AA7" s="556" t="s">
        <v>371</v>
      </c>
      <c r="AB7" s="557"/>
      <c r="AC7" s="556" t="s">
        <v>45</v>
      </c>
      <c r="AD7" s="557"/>
      <c r="AE7" s="4" t="s">
        <v>40</v>
      </c>
      <c r="AF7" s="70"/>
      <c r="AG7" s="70"/>
    </row>
    <row r="8" spans="1:33" ht="18" customHeight="1" thickBot="1">
      <c r="A8" s="563"/>
      <c r="B8" s="8" t="s">
        <v>36</v>
      </c>
      <c r="C8" s="7" t="s">
        <v>376</v>
      </c>
      <c r="D8" s="6" t="s">
        <v>20</v>
      </c>
      <c r="E8" s="7" t="s">
        <v>31</v>
      </c>
      <c r="F8" s="6" t="s">
        <v>20</v>
      </c>
      <c r="G8" s="7" t="s">
        <v>23</v>
      </c>
      <c r="H8" s="6" t="s">
        <v>20</v>
      </c>
      <c r="I8" s="7" t="s">
        <v>23</v>
      </c>
      <c r="J8" s="6" t="s">
        <v>20</v>
      </c>
      <c r="K8" s="7" t="s">
        <v>23</v>
      </c>
      <c r="L8" s="6" t="s">
        <v>20</v>
      </c>
      <c r="M8" s="7" t="s">
        <v>23</v>
      </c>
      <c r="N8" s="6" t="s">
        <v>20</v>
      </c>
      <c r="O8" s="7" t="s">
        <v>28</v>
      </c>
      <c r="P8" s="6" t="s">
        <v>20</v>
      </c>
      <c r="Q8" s="7" t="s">
        <v>28</v>
      </c>
      <c r="R8" s="6" t="s">
        <v>20</v>
      </c>
      <c r="S8" s="216" t="s">
        <v>626</v>
      </c>
      <c r="T8" s="6" t="s">
        <v>20</v>
      </c>
      <c r="U8" s="7" t="s">
        <v>628</v>
      </c>
      <c r="V8" s="6" t="s">
        <v>20</v>
      </c>
      <c r="W8" s="7" t="s">
        <v>628</v>
      </c>
      <c r="X8" s="6" t="s">
        <v>20</v>
      </c>
      <c r="Y8" s="7" t="s">
        <v>375</v>
      </c>
      <c r="Z8" s="6" t="s">
        <v>20</v>
      </c>
      <c r="AA8" s="7" t="s">
        <v>37</v>
      </c>
      <c r="AB8" s="6" t="s">
        <v>35</v>
      </c>
      <c r="AC8" s="7" t="s">
        <v>1060</v>
      </c>
      <c r="AD8" s="6" t="s">
        <v>793</v>
      </c>
      <c r="AE8" s="9" t="s">
        <v>377</v>
      </c>
      <c r="AF8" s="70"/>
      <c r="AG8" s="70"/>
    </row>
    <row r="9" spans="1:33" ht="17.25" customHeight="1" thickTop="1">
      <c r="A9" s="15">
        <f>VALUE(CONCATENATE(LEFT(Annee_financiere,FIND("-",Annee_financiere)-1),"-",A22))</f>
        <v>39904</v>
      </c>
      <c r="B9" s="85"/>
      <c r="C9" s="32"/>
      <c r="D9" s="86"/>
      <c r="E9" s="32"/>
      <c r="F9" s="86"/>
      <c r="G9" s="32"/>
      <c r="H9" s="86"/>
      <c r="I9" s="32"/>
      <c r="J9" s="86"/>
      <c r="K9" s="32"/>
      <c r="L9" s="33"/>
      <c r="M9" s="32"/>
      <c r="N9" s="86"/>
      <c r="O9" s="32"/>
      <c r="P9" s="86"/>
      <c r="Q9" s="32"/>
      <c r="R9" s="86"/>
      <c r="S9" s="32"/>
      <c r="T9" s="86"/>
      <c r="U9" s="32"/>
      <c r="V9" s="86"/>
      <c r="W9" s="32"/>
      <c r="X9" s="86"/>
      <c r="Y9" s="99">
        <f t="shared" ref="Y9:Y21" si="0">C9*kWh_Élect_to_GJ+E9*m3_GazNat_to_GJ+G9*L_Mazout2_to_GJ+I9*L_Mazout6_to_GJ+K9*L_Mazout2_to_GJ+M9*L_Propane_to_GJ+O9*kg_Bois8_to_GJ+Q9*kg_Bois35_to_GJ+S9*lbs_vapeur_to_GJ+U9*MBTU_eaurefroidie_to_GJ+W9*MBTU_eauchaude_to_GJ</f>
        <v>0</v>
      </c>
      <c r="Z9" s="217">
        <f>D9+F9+H9+J9+N9+P9+R9+T9+V9+X9+L9</f>
        <v>0</v>
      </c>
      <c r="AA9" s="100" t="str">
        <f>IF(ISERROR(Y9/B9),"",Y9/B9)</f>
        <v/>
      </c>
      <c r="AB9" s="101" t="str">
        <f>IF(ISERROR(Z9/B9),"",Z9/B9)</f>
        <v/>
      </c>
      <c r="AC9" s="102">
        <f>(C9*kWh_Élect_to_kgGES+E9*IF(U_GNat="[m³]",m3_GazNat_to_kgGES,Conversion!$H$27)+G9*IF(U_Ma2="[l]",L_Mazout2_to_kgGES,Conversion!$H$29)+I9*IF(U_Ma6="[l]",L_Mazout6_to_kgGES,Conversion!$H$31)+K9*L_Mazout2_to_kgGES+M9*IF(U_Prop="[l]",L_Propane_to_kgGES,Conversion!$H$35)+O9*kg_Bois8_to_kgGES+Q9*kg_Bois35_to_kgGES+S9*lbs_vapeur_to_kgGES+U9*MBTU_eaurefroidie_to_kgGES+W9*MBTU_eauchaude_to_kgGES)/1000</f>
        <v>0</v>
      </c>
      <c r="AD9" s="103">
        <f>(IF(ISERROR(AC9/B9),0,(AC9/B9)))*1000</f>
        <v>0</v>
      </c>
      <c r="AE9" s="104">
        <f t="shared" ref="AE9:AE20" si="1">INDEX(plage_DJ,MATCH(A9,plage_date),3)</f>
        <v>313.8</v>
      </c>
      <c r="AF9" s="70">
        <f>SUM(AE9)</f>
        <v>313.8</v>
      </c>
      <c r="AG9" s="70">
        <v>12</v>
      </c>
    </row>
    <row r="10" spans="1:33" ht="17.25" customHeight="1">
      <c r="A10" s="15">
        <f>DATE(YEAR(A9),MONTH(A9)+1,DAY(A9))</f>
        <v>39934</v>
      </c>
      <c r="B10" s="85"/>
      <c r="C10" s="32"/>
      <c r="D10" s="87"/>
      <c r="E10" s="32"/>
      <c r="F10" s="87"/>
      <c r="G10" s="32"/>
      <c r="H10" s="87"/>
      <c r="I10" s="32"/>
      <c r="J10" s="87"/>
      <c r="K10" s="32"/>
      <c r="L10" s="34"/>
      <c r="M10" s="32"/>
      <c r="N10" s="87"/>
      <c r="O10" s="32"/>
      <c r="P10" s="87"/>
      <c r="Q10" s="32"/>
      <c r="R10" s="87"/>
      <c r="S10" s="32"/>
      <c r="T10" s="87"/>
      <c r="U10" s="32"/>
      <c r="V10" s="87"/>
      <c r="W10" s="32"/>
      <c r="X10" s="87"/>
      <c r="Y10" s="99">
        <f t="shared" si="0"/>
        <v>0</v>
      </c>
      <c r="Z10" s="217">
        <f t="shared" ref="Z10:Z20" si="2">D10+F10+H10+J10+N10+P10+R10+T10+V10+X10+L10</f>
        <v>0</v>
      </c>
      <c r="AA10" s="100" t="str">
        <f t="shared" ref="AA10:AA20" si="3">IF(ISERROR(Y10/B10),"",Y10/B10)</f>
        <v/>
      </c>
      <c r="AB10" s="101" t="str">
        <f t="shared" ref="AB10:AB20" si="4">IF(ISERROR(Z10/B10),"",Z10/B10)</f>
        <v/>
      </c>
      <c r="AC10" s="102">
        <f>(C10*kWh_Élect_to_kgGES+E10*IF(U_GNat="[m³]",m3_GazNat_to_kgGES,Conversion!$H$27)+G10*IF(U_Ma2="[l]",L_Mazout2_to_kgGES,Conversion!$H$29)+I10*IF(U_Ma6="[l]",L_Mazout6_to_kgGES,Conversion!$H$31)+K10*L_Mazout2_to_kgGES+M10*IF(U_Prop="[l]",L_Propane_to_kgGES,Conversion!$H$35)+O10*kg_Bois8_to_kgGES+Q10*kg_Bois35_to_kgGES+S10*lbs_vapeur_to_kgGES+U10*MBTU_eaurefroidie_to_kgGES+W10*MBTU_eauchaude_to_kgGES)/1000</f>
        <v>0</v>
      </c>
      <c r="AD10" s="103">
        <f t="shared" ref="AD10:AD20" si="5">(IF(ISERROR(AC10/B10),0,(AC10/B10)))*1000</f>
        <v>0</v>
      </c>
      <c r="AE10" s="104">
        <f t="shared" si="1"/>
        <v>165.8</v>
      </c>
      <c r="AF10" s="70">
        <f>SUM(AE9:AE10)</f>
        <v>479.6</v>
      </c>
      <c r="AG10" s="70">
        <v>11</v>
      </c>
    </row>
    <row r="11" spans="1:33" ht="17.25" customHeight="1">
      <c r="A11" s="15">
        <f>DATE(YEAR(A10),MONTH(A10)+1,DAY(A10))</f>
        <v>39965</v>
      </c>
      <c r="B11" s="85"/>
      <c r="C11" s="32"/>
      <c r="D11" s="87"/>
      <c r="E11" s="32"/>
      <c r="F11" s="87"/>
      <c r="G11" s="32"/>
      <c r="H11" s="87"/>
      <c r="I11" s="32"/>
      <c r="J11" s="87"/>
      <c r="K11" s="32"/>
      <c r="L11" s="34"/>
      <c r="M11" s="32"/>
      <c r="N11" s="87"/>
      <c r="O11" s="32"/>
      <c r="P11" s="87"/>
      <c r="Q11" s="32"/>
      <c r="R11" s="87"/>
      <c r="S11" s="32"/>
      <c r="T11" s="87"/>
      <c r="U11" s="32"/>
      <c r="V11" s="87"/>
      <c r="W11" s="32"/>
      <c r="X11" s="87"/>
      <c r="Y11" s="99">
        <f t="shared" si="0"/>
        <v>0</v>
      </c>
      <c r="Z11" s="217">
        <f t="shared" si="2"/>
        <v>0</v>
      </c>
      <c r="AA11" s="100" t="str">
        <f t="shared" si="3"/>
        <v/>
      </c>
      <c r="AB11" s="101" t="str">
        <f t="shared" si="4"/>
        <v/>
      </c>
      <c r="AC11" s="102">
        <f>(C11*kWh_Élect_to_kgGES+E11*IF(U_GNat="[m³]",m3_GazNat_to_kgGES,Conversion!$H$27)+G11*IF(U_Ma2="[l]",L_Mazout2_to_kgGES,Conversion!$H$29)+I11*IF(U_Ma6="[l]",L_Mazout6_to_kgGES,Conversion!$H$31)+K11*L_Mazout2_to_kgGES+M11*IF(U_Prop="[l]",L_Propane_to_kgGES,Conversion!$H$35)+O11*kg_Bois8_to_kgGES+Q11*kg_Bois35_to_kgGES+S11*lbs_vapeur_to_kgGES+U11*MBTU_eaurefroidie_to_kgGES+W11*MBTU_eauchaude_to_kgGES)/1000</f>
        <v>0</v>
      </c>
      <c r="AD11" s="103">
        <f t="shared" si="5"/>
        <v>0</v>
      </c>
      <c r="AE11" s="104">
        <f t="shared" si="1"/>
        <v>45.6</v>
      </c>
      <c r="AF11" s="70">
        <f>SUM(AE9:AE11)</f>
        <v>525.20000000000005</v>
      </c>
      <c r="AG11" s="70">
        <v>10</v>
      </c>
    </row>
    <row r="12" spans="1:33" ht="17.25" customHeight="1">
      <c r="A12" s="15">
        <f t="shared" ref="A12:A20" si="6">DATE(YEAR(A11),MONTH(A11)+1,DAY(A11))</f>
        <v>39995</v>
      </c>
      <c r="B12" s="85"/>
      <c r="C12" s="32"/>
      <c r="D12" s="87"/>
      <c r="E12" s="32"/>
      <c r="F12" s="87"/>
      <c r="G12" s="32"/>
      <c r="H12" s="87"/>
      <c r="I12" s="32"/>
      <c r="J12" s="87"/>
      <c r="K12" s="32"/>
      <c r="L12" s="34"/>
      <c r="M12" s="32"/>
      <c r="N12" s="87"/>
      <c r="O12" s="32"/>
      <c r="P12" s="87"/>
      <c r="Q12" s="32"/>
      <c r="R12" s="87"/>
      <c r="S12" s="32"/>
      <c r="T12" s="87"/>
      <c r="U12" s="32"/>
      <c r="V12" s="87"/>
      <c r="W12" s="32"/>
      <c r="X12" s="87"/>
      <c r="Y12" s="99">
        <f t="shared" si="0"/>
        <v>0</v>
      </c>
      <c r="Z12" s="217">
        <f t="shared" si="2"/>
        <v>0</v>
      </c>
      <c r="AA12" s="100" t="str">
        <f t="shared" si="3"/>
        <v/>
      </c>
      <c r="AB12" s="101" t="str">
        <f t="shared" si="4"/>
        <v/>
      </c>
      <c r="AC12" s="102">
        <f>(C12*kWh_Élect_to_kgGES+E12*IF(U_GNat="[m³]",m3_GazNat_to_kgGES,Conversion!$H$27)+G12*IF(U_Ma2="[l]",L_Mazout2_to_kgGES,Conversion!$H$29)+I12*IF(U_Ma6="[l]",L_Mazout6_to_kgGES,Conversion!$H$31)+K12*L_Mazout2_to_kgGES+M12*IF(U_Prop="[l]",L_Propane_to_kgGES,Conversion!$H$35)+O12*kg_Bois8_to_kgGES+Q12*kg_Bois35_to_kgGES+S12*lbs_vapeur_to_kgGES+U12*MBTU_eaurefroidie_to_kgGES+W12*MBTU_eauchaude_to_kgGES)/1000</f>
        <v>0</v>
      </c>
      <c r="AD12" s="103">
        <f t="shared" si="5"/>
        <v>0</v>
      </c>
      <c r="AE12" s="104">
        <f t="shared" si="1"/>
        <v>7.8</v>
      </c>
      <c r="AF12" s="70">
        <f>SUM(AE9:AE12)</f>
        <v>533</v>
      </c>
      <c r="AG12" s="70">
        <v>9</v>
      </c>
    </row>
    <row r="13" spans="1:33" ht="17.25" customHeight="1">
      <c r="A13" s="15">
        <f t="shared" si="6"/>
        <v>40026</v>
      </c>
      <c r="B13" s="85"/>
      <c r="C13" s="32"/>
      <c r="D13" s="87"/>
      <c r="E13" s="32"/>
      <c r="F13" s="87"/>
      <c r="G13" s="32"/>
      <c r="H13" s="87"/>
      <c r="I13" s="32"/>
      <c r="J13" s="87"/>
      <c r="K13" s="32"/>
      <c r="L13" s="34"/>
      <c r="M13" s="32"/>
      <c r="N13" s="87"/>
      <c r="O13" s="32"/>
      <c r="P13" s="87"/>
      <c r="Q13" s="32"/>
      <c r="R13" s="87"/>
      <c r="S13" s="32"/>
      <c r="T13" s="87"/>
      <c r="U13" s="32"/>
      <c r="V13" s="87"/>
      <c r="W13" s="32"/>
      <c r="X13" s="87"/>
      <c r="Y13" s="99">
        <f t="shared" si="0"/>
        <v>0</v>
      </c>
      <c r="Z13" s="217">
        <f t="shared" si="2"/>
        <v>0</v>
      </c>
      <c r="AA13" s="100" t="str">
        <f t="shared" si="3"/>
        <v/>
      </c>
      <c r="AB13" s="101" t="str">
        <f t="shared" si="4"/>
        <v/>
      </c>
      <c r="AC13" s="102">
        <f>(C13*kWh_Élect_to_kgGES+E13*IF(U_GNat="[m³]",m3_GazNat_to_kgGES,Conversion!$H$27)+G13*IF(U_Ma2="[l]",L_Mazout2_to_kgGES,Conversion!$H$29)+I13*IF(U_Ma6="[l]",L_Mazout6_to_kgGES,Conversion!$H$31)+K13*L_Mazout2_to_kgGES+M13*IF(U_Prop="[l]",L_Propane_to_kgGES,Conversion!$H$35)+O13*kg_Bois8_to_kgGES+Q13*kg_Bois35_to_kgGES+S13*lbs_vapeur_to_kgGES+U13*MBTU_eaurefroidie_to_kgGES+W13*MBTU_eauchaude_to_kgGES)/1000</f>
        <v>0</v>
      </c>
      <c r="AD13" s="103">
        <f t="shared" si="5"/>
        <v>0</v>
      </c>
      <c r="AE13" s="104">
        <f t="shared" si="1"/>
        <v>20.100000000000001</v>
      </c>
      <c r="AF13" s="70">
        <f>SUM(AE9:AE13)</f>
        <v>553.1</v>
      </c>
      <c r="AG13" s="70">
        <v>8</v>
      </c>
    </row>
    <row r="14" spans="1:33" ht="17.25" customHeight="1">
      <c r="A14" s="15">
        <f t="shared" si="6"/>
        <v>40057</v>
      </c>
      <c r="B14" s="85"/>
      <c r="C14" s="32"/>
      <c r="D14" s="87"/>
      <c r="E14" s="32"/>
      <c r="F14" s="87"/>
      <c r="G14" s="32"/>
      <c r="H14" s="87"/>
      <c r="I14" s="32"/>
      <c r="J14" s="87"/>
      <c r="K14" s="32"/>
      <c r="L14" s="34"/>
      <c r="M14" s="32"/>
      <c r="N14" s="87"/>
      <c r="O14" s="32"/>
      <c r="P14" s="87"/>
      <c r="Q14" s="32"/>
      <c r="R14" s="87"/>
      <c r="S14" s="32"/>
      <c r="T14" s="87"/>
      <c r="U14" s="32"/>
      <c r="V14" s="87"/>
      <c r="W14" s="32"/>
      <c r="X14" s="87"/>
      <c r="Y14" s="99">
        <f t="shared" si="0"/>
        <v>0</v>
      </c>
      <c r="Z14" s="217">
        <f t="shared" si="2"/>
        <v>0</v>
      </c>
      <c r="AA14" s="100" t="str">
        <f t="shared" si="3"/>
        <v/>
      </c>
      <c r="AB14" s="101" t="str">
        <f t="shared" si="4"/>
        <v/>
      </c>
      <c r="AC14" s="102">
        <f>(C14*kWh_Élect_to_kgGES+E14*IF(U_GNat="[m³]",m3_GazNat_to_kgGES,Conversion!$H$27)+G14*IF(U_Ma2="[l]",L_Mazout2_to_kgGES,Conversion!$H$29)+I14*IF(U_Ma6="[l]",L_Mazout6_to_kgGES,Conversion!$H$31)+K14*L_Mazout2_to_kgGES+M14*IF(U_Prop="[l]",L_Propane_to_kgGES,Conversion!$H$35)+O14*kg_Bois8_to_kgGES+Q14*kg_Bois35_to_kgGES+S14*lbs_vapeur_to_kgGES+U14*MBTU_eaurefroidie_to_kgGES+W14*MBTU_eauchaude_to_kgGES)/1000</f>
        <v>0</v>
      </c>
      <c r="AD14" s="103">
        <f t="shared" si="5"/>
        <v>0</v>
      </c>
      <c r="AE14" s="104">
        <f t="shared" si="1"/>
        <v>90.6</v>
      </c>
      <c r="AF14" s="70">
        <f>SUM(AE9:AE14)</f>
        <v>643.70000000000005</v>
      </c>
      <c r="AG14" s="70">
        <v>7</v>
      </c>
    </row>
    <row r="15" spans="1:33" ht="17.25" customHeight="1">
      <c r="A15" s="15">
        <f t="shared" si="6"/>
        <v>40087</v>
      </c>
      <c r="B15" s="85"/>
      <c r="C15" s="32"/>
      <c r="D15" s="87"/>
      <c r="E15" s="32"/>
      <c r="F15" s="87"/>
      <c r="G15" s="32"/>
      <c r="H15" s="87"/>
      <c r="I15" s="32"/>
      <c r="J15" s="87"/>
      <c r="K15" s="32"/>
      <c r="L15" s="34"/>
      <c r="M15" s="32"/>
      <c r="N15" s="87"/>
      <c r="O15" s="32"/>
      <c r="P15" s="87"/>
      <c r="Q15" s="32"/>
      <c r="R15" s="87"/>
      <c r="S15" s="32"/>
      <c r="T15" s="87"/>
      <c r="U15" s="32"/>
      <c r="V15" s="87"/>
      <c r="W15" s="32"/>
      <c r="X15" s="87"/>
      <c r="Y15" s="99">
        <f t="shared" si="0"/>
        <v>0</v>
      </c>
      <c r="Z15" s="217">
        <f t="shared" si="2"/>
        <v>0</v>
      </c>
      <c r="AA15" s="100" t="str">
        <f t="shared" si="3"/>
        <v/>
      </c>
      <c r="AB15" s="101" t="str">
        <f t="shared" si="4"/>
        <v/>
      </c>
      <c r="AC15" s="102">
        <f>(C15*kWh_Élect_to_kgGES+E15*IF(U_GNat="[m³]",m3_GazNat_to_kgGES,Conversion!$H$27)+G15*IF(U_Ma2="[l]",L_Mazout2_to_kgGES,Conversion!$H$29)+I15*IF(U_Ma6="[l]",L_Mazout6_to_kgGES,Conversion!$H$31)+K15*L_Mazout2_to_kgGES+M15*IF(U_Prop="[l]",L_Propane_to_kgGES,Conversion!$H$35)+O15*kg_Bois8_to_kgGES+Q15*kg_Bois35_to_kgGES+S15*lbs_vapeur_to_kgGES+U15*MBTU_eaurefroidie_to_kgGES+W15*MBTU_eauchaude_to_kgGES)/1000</f>
        <v>0</v>
      </c>
      <c r="AD15" s="103">
        <f t="shared" si="5"/>
        <v>0</v>
      </c>
      <c r="AE15" s="104">
        <f t="shared" si="1"/>
        <v>342.7</v>
      </c>
      <c r="AF15" s="70">
        <f>SUM(AE9:AE15)</f>
        <v>986.40000000000009</v>
      </c>
      <c r="AG15" s="70">
        <v>6</v>
      </c>
    </row>
    <row r="16" spans="1:33" ht="17.25" customHeight="1">
      <c r="A16" s="15">
        <f t="shared" si="6"/>
        <v>40118</v>
      </c>
      <c r="B16" s="85"/>
      <c r="C16" s="32"/>
      <c r="D16" s="87"/>
      <c r="E16" s="32"/>
      <c r="F16" s="87"/>
      <c r="G16" s="32"/>
      <c r="H16" s="87"/>
      <c r="I16" s="32"/>
      <c r="J16" s="87"/>
      <c r="K16" s="32"/>
      <c r="L16" s="34"/>
      <c r="M16" s="32"/>
      <c r="N16" s="87"/>
      <c r="O16" s="32"/>
      <c r="P16" s="87"/>
      <c r="Q16" s="32"/>
      <c r="R16" s="87"/>
      <c r="S16" s="32"/>
      <c r="T16" s="87"/>
      <c r="U16" s="32"/>
      <c r="V16" s="87"/>
      <c r="W16" s="32"/>
      <c r="X16" s="87"/>
      <c r="Y16" s="99">
        <f t="shared" si="0"/>
        <v>0</v>
      </c>
      <c r="Z16" s="217">
        <f t="shared" si="2"/>
        <v>0</v>
      </c>
      <c r="AA16" s="100" t="str">
        <f t="shared" si="3"/>
        <v/>
      </c>
      <c r="AB16" s="101" t="str">
        <f t="shared" si="4"/>
        <v/>
      </c>
      <c r="AC16" s="102">
        <f>(C16*kWh_Élect_to_kgGES+E16*IF(U_GNat="[m³]",m3_GazNat_to_kgGES,Conversion!$H$27)+G16*IF(U_Ma2="[l]",L_Mazout2_to_kgGES,Conversion!$H$29)+I16*IF(U_Ma6="[l]",L_Mazout6_to_kgGES,Conversion!$H$31)+K16*L_Mazout2_to_kgGES+M16*IF(U_Prop="[l]",L_Propane_to_kgGES,Conversion!$H$35)+O16*kg_Bois8_to_kgGES+Q16*kg_Bois35_to_kgGES+S16*lbs_vapeur_to_kgGES+U16*MBTU_eaurefroidie_to_kgGES+W16*MBTU_eauchaude_to_kgGES)/1000</f>
        <v>0</v>
      </c>
      <c r="AD16" s="103">
        <f t="shared" si="5"/>
        <v>0</v>
      </c>
      <c r="AE16" s="104">
        <f t="shared" si="1"/>
        <v>407.3</v>
      </c>
      <c r="AF16" s="70">
        <f>SUM(AE9:AE16)</f>
        <v>1393.7</v>
      </c>
      <c r="AG16" s="70">
        <v>5</v>
      </c>
    </row>
    <row r="17" spans="1:42" ht="17.25" customHeight="1">
      <c r="A17" s="15">
        <f t="shared" si="6"/>
        <v>40148</v>
      </c>
      <c r="B17" s="85"/>
      <c r="C17" s="32"/>
      <c r="D17" s="87"/>
      <c r="E17" s="32"/>
      <c r="F17" s="87"/>
      <c r="G17" s="32"/>
      <c r="H17" s="87"/>
      <c r="I17" s="32"/>
      <c r="J17" s="87"/>
      <c r="K17" s="32"/>
      <c r="L17" s="34"/>
      <c r="M17" s="32"/>
      <c r="N17" s="87"/>
      <c r="O17" s="32"/>
      <c r="P17" s="87"/>
      <c r="Q17" s="32"/>
      <c r="R17" s="87"/>
      <c r="S17" s="32"/>
      <c r="T17" s="87"/>
      <c r="U17" s="32"/>
      <c r="V17" s="87"/>
      <c r="W17" s="32"/>
      <c r="X17" s="87"/>
      <c r="Y17" s="99">
        <f t="shared" si="0"/>
        <v>0</v>
      </c>
      <c r="Z17" s="217">
        <f t="shared" si="2"/>
        <v>0</v>
      </c>
      <c r="AA17" s="100" t="str">
        <f t="shared" si="3"/>
        <v/>
      </c>
      <c r="AB17" s="101" t="str">
        <f t="shared" si="4"/>
        <v/>
      </c>
      <c r="AC17" s="102">
        <f>(C17*kWh_Élect_to_kgGES+E17*IF(U_GNat="[m³]",m3_GazNat_to_kgGES,Conversion!$H$27)+G17*IF(U_Ma2="[l]",L_Mazout2_to_kgGES,Conversion!$H$29)+I17*IF(U_Ma6="[l]",L_Mazout6_to_kgGES,Conversion!$H$31)+K17*L_Mazout2_to_kgGES+M17*IF(U_Prop="[l]",L_Propane_to_kgGES,Conversion!$H$35)+O17*kg_Bois8_to_kgGES+Q17*kg_Bois35_to_kgGES+S17*lbs_vapeur_to_kgGES+U17*MBTU_eaurefroidie_to_kgGES+W17*MBTU_eauchaude_to_kgGES)/1000</f>
        <v>0</v>
      </c>
      <c r="AD17" s="103">
        <f t="shared" si="5"/>
        <v>0</v>
      </c>
      <c r="AE17" s="104">
        <f t="shared" si="1"/>
        <v>724.6</v>
      </c>
      <c r="AF17" s="70">
        <f>SUM(AE9:AE17)</f>
        <v>2118.3000000000002</v>
      </c>
      <c r="AG17" s="70">
        <v>4</v>
      </c>
    </row>
    <row r="18" spans="1:42" ht="17.25" customHeight="1">
      <c r="A18" s="15">
        <f t="shared" si="6"/>
        <v>40179</v>
      </c>
      <c r="B18" s="85"/>
      <c r="C18" s="32"/>
      <c r="D18" s="87"/>
      <c r="E18" s="32"/>
      <c r="F18" s="87"/>
      <c r="G18" s="32"/>
      <c r="H18" s="87"/>
      <c r="I18" s="32"/>
      <c r="J18" s="87"/>
      <c r="K18" s="32"/>
      <c r="L18" s="34"/>
      <c r="M18" s="32"/>
      <c r="N18" s="87"/>
      <c r="O18" s="32"/>
      <c r="P18" s="87"/>
      <c r="Q18" s="32"/>
      <c r="R18" s="87"/>
      <c r="S18" s="32"/>
      <c r="T18" s="87"/>
      <c r="U18" s="32"/>
      <c r="V18" s="87"/>
      <c r="W18" s="32"/>
      <c r="X18" s="87"/>
      <c r="Y18" s="99">
        <f t="shared" si="0"/>
        <v>0</v>
      </c>
      <c r="Z18" s="217">
        <f t="shared" si="2"/>
        <v>0</v>
      </c>
      <c r="AA18" s="100" t="str">
        <f t="shared" si="3"/>
        <v/>
      </c>
      <c r="AB18" s="101" t="str">
        <f t="shared" si="4"/>
        <v/>
      </c>
      <c r="AC18" s="102">
        <f>(C18*kWh_Élect_to_kgGES+E18*IF(U_GNat="[m³]",m3_GazNat_to_kgGES,Conversion!$H$27)+G18*IF(U_Ma2="[l]",L_Mazout2_to_kgGES,Conversion!$H$29)+I18*IF(U_Ma6="[l]",L_Mazout6_to_kgGES,Conversion!$H$31)+K18*L_Mazout2_to_kgGES+M18*IF(U_Prop="[l]",L_Propane_to_kgGES,Conversion!$H$35)+O18*kg_Bois8_to_kgGES+Q18*kg_Bois35_to_kgGES+S18*lbs_vapeur_to_kgGES+U18*MBTU_eaurefroidie_to_kgGES+W18*MBTU_eauchaude_to_kgGES)/1000</f>
        <v>0</v>
      </c>
      <c r="AD18" s="103">
        <f t="shared" si="5"/>
        <v>0</v>
      </c>
      <c r="AE18" s="104">
        <f t="shared" si="1"/>
        <v>756.3</v>
      </c>
      <c r="AF18" s="70">
        <f>SUM(AE9:AE18)</f>
        <v>2874.6000000000004</v>
      </c>
      <c r="AG18" s="70">
        <v>3</v>
      </c>
    </row>
    <row r="19" spans="1:42" ht="17.25" customHeight="1">
      <c r="A19" s="15">
        <f t="shared" si="6"/>
        <v>40210</v>
      </c>
      <c r="B19" s="85"/>
      <c r="C19" s="32"/>
      <c r="D19" s="87"/>
      <c r="E19" s="32"/>
      <c r="F19" s="87"/>
      <c r="G19" s="32"/>
      <c r="H19" s="87"/>
      <c r="I19" s="32"/>
      <c r="J19" s="87"/>
      <c r="K19" s="32"/>
      <c r="L19" s="34"/>
      <c r="M19" s="32"/>
      <c r="N19" s="87"/>
      <c r="O19" s="32"/>
      <c r="P19" s="87"/>
      <c r="Q19" s="32"/>
      <c r="R19" s="87"/>
      <c r="S19" s="32"/>
      <c r="T19" s="87"/>
      <c r="U19" s="32"/>
      <c r="V19" s="87"/>
      <c r="W19" s="32"/>
      <c r="X19" s="87"/>
      <c r="Y19" s="99">
        <f t="shared" si="0"/>
        <v>0</v>
      </c>
      <c r="Z19" s="217">
        <f t="shared" si="2"/>
        <v>0</v>
      </c>
      <c r="AA19" s="100" t="str">
        <f t="shared" si="3"/>
        <v/>
      </c>
      <c r="AB19" s="101" t="str">
        <f t="shared" si="4"/>
        <v/>
      </c>
      <c r="AC19" s="102">
        <f>(C19*kWh_Élect_to_kgGES+E19*IF(U_GNat="[m³]",m3_GazNat_to_kgGES,Conversion!$H$27)+G19*IF(U_Ma2="[l]",L_Mazout2_to_kgGES,Conversion!$H$29)+I19*IF(U_Ma6="[l]",L_Mazout6_to_kgGES,Conversion!$H$31)+K19*L_Mazout2_to_kgGES+M19*IF(U_Prop="[l]",L_Propane_to_kgGES,Conversion!$H$35)+O19*kg_Bois8_to_kgGES+Q19*kg_Bois35_to_kgGES+S19*lbs_vapeur_to_kgGES+U19*MBTU_eaurefroidie_to_kgGES+W19*MBTU_eauchaude_to_kgGES)/1000</f>
        <v>0</v>
      </c>
      <c r="AD19" s="103">
        <f t="shared" si="5"/>
        <v>0</v>
      </c>
      <c r="AE19" s="104">
        <f t="shared" si="1"/>
        <v>636.29999999999995</v>
      </c>
      <c r="AF19" s="70">
        <f>SUM(AE9:AE19)</f>
        <v>3510.9000000000005</v>
      </c>
      <c r="AG19" s="70">
        <v>2</v>
      </c>
    </row>
    <row r="20" spans="1:42" ht="17.25" customHeight="1" thickBot="1">
      <c r="A20" s="16">
        <f t="shared" si="6"/>
        <v>40238</v>
      </c>
      <c r="B20" s="85"/>
      <c r="C20" s="32"/>
      <c r="D20" s="87"/>
      <c r="E20" s="32"/>
      <c r="F20" s="87"/>
      <c r="G20" s="32"/>
      <c r="H20" s="87"/>
      <c r="I20" s="32"/>
      <c r="J20" s="87"/>
      <c r="K20" s="32"/>
      <c r="L20" s="34"/>
      <c r="M20" s="32"/>
      <c r="N20" s="87"/>
      <c r="O20" s="32"/>
      <c r="P20" s="87"/>
      <c r="Q20" s="32"/>
      <c r="R20" s="87"/>
      <c r="S20" s="32"/>
      <c r="T20" s="87"/>
      <c r="U20" s="32"/>
      <c r="V20" s="87"/>
      <c r="W20" s="32"/>
      <c r="X20" s="87"/>
      <c r="Y20" s="99">
        <f t="shared" si="0"/>
        <v>0</v>
      </c>
      <c r="Z20" s="217">
        <f t="shared" si="2"/>
        <v>0</v>
      </c>
      <c r="AA20" s="100" t="str">
        <f t="shared" si="3"/>
        <v/>
      </c>
      <c r="AB20" s="101" t="str">
        <f t="shared" si="4"/>
        <v/>
      </c>
      <c r="AC20" s="102">
        <f>(C20*kWh_Élect_to_kgGES+E20*IF(U_GNat="[m³]",m3_GazNat_to_kgGES,Conversion!$H$27)+G20*IF(U_Ma2="[l]",L_Mazout2_to_kgGES,Conversion!$H$29)+I20*IF(U_Ma6="[l]",L_Mazout6_to_kgGES,Conversion!$H$31)+K20*L_Mazout2_to_kgGES+M20*IF(U_Prop="[l]",L_Propane_to_kgGES,Conversion!$H$35)+O20*kg_Bois8_to_kgGES+Q20*kg_Bois35_to_kgGES+S20*lbs_vapeur_to_kgGES+U20*MBTU_eaurefroidie_to_kgGES+W20*MBTU_eauchaude_to_kgGES)/1000</f>
        <v>0</v>
      </c>
      <c r="AD20" s="103">
        <f t="shared" si="5"/>
        <v>0</v>
      </c>
      <c r="AE20" s="104">
        <f t="shared" si="1"/>
        <v>456.9</v>
      </c>
      <c r="AF20" s="70">
        <f>SUM(AE9:AE20)</f>
        <v>3967.8000000000006</v>
      </c>
      <c r="AG20" s="70">
        <v>1</v>
      </c>
    </row>
    <row r="21" spans="1:42" ht="20.25" customHeight="1" thickTop="1">
      <c r="A21" s="3" t="s">
        <v>53</v>
      </c>
      <c r="B21" s="35">
        <f>IFERROR(AVERAGE(B9:B20),0)</f>
        <v>0</v>
      </c>
      <c r="C21" s="35">
        <f t="shared" ref="C21:X21" si="7">SUM(C9:C20)</f>
        <v>0</v>
      </c>
      <c r="D21" s="536">
        <f t="shared" si="7"/>
        <v>0</v>
      </c>
      <c r="E21" s="35">
        <f>SUM(E9:E20)</f>
        <v>0</v>
      </c>
      <c r="F21" s="536">
        <f t="shared" si="7"/>
        <v>0</v>
      </c>
      <c r="G21" s="35">
        <f t="shared" si="7"/>
        <v>0</v>
      </c>
      <c r="H21" s="536">
        <f t="shared" si="7"/>
        <v>0</v>
      </c>
      <c r="I21" s="35">
        <f t="shared" si="7"/>
        <v>0</v>
      </c>
      <c r="J21" s="536">
        <f t="shared" si="7"/>
        <v>0</v>
      </c>
      <c r="K21" s="35">
        <f t="shared" si="7"/>
        <v>0</v>
      </c>
      <c r="L21" s="536">
        <f t="shared" si="7"/>
        <v>0</v>
      </c>
      <c r="M21" s="35">
        <f t="shared" si="7"/>
        <v>0</v>
      </c>
      <c r="N21" s="536">
        <f t="shared" si="7"/>
        <v>0</v>
      </c>
      <c r="O21" s="35">
        <f t="shared" si="7"/>
        <v>0</v>
      </c>
      <c r="P21" s="536">
        <f t="shared" si="7"/>
        <v>0</v>
      </c>
      <c r="Q21" s="35">
        <f t="shared" si="7"/>
        <v>0</v>
      </c>
      <c r="R21" s="536">
        <f t="shared" si="7"/>
        <v>0</v>
      </c>
      <c r="S21" s="35">
        <f t="shared" si="7"/>
        <v>0</v>
      </c>
      <c r="T21" s="536">
        <f t="shared" si="7"/>
        <v>0</v>
      </c>
      <c r="U21" s="35">
        <f t="shared" si="7"/>
        <v>0</v>
      </c>
      <c r="V21" s="536">
        <f t="shared" si="7"/>
        <v>0</v>
      </c>
      <c r="W21" s="35">
        <f t="shared" si="7"/>
        <v>0</v>
      </c>
      <c r="X21" s="536">
        <f t="shared" si="7"/>
        <v>0</v>
      </c>
      <c r="Y21" s="263">
        <f t="shared" si="0"/>
        <v>0</v>
      </c>
      <c r="Z21" s="537">
        <f>D21+F21+H21+J21+L21+N21+P21+R21+T21+V21+X21+L21</f>
        <v>0</v>
      </c>
      <c r="AA21" s="265" t="str">
        <f>IF(ISERROR(Y21/B21),"",Y21/B21)</f>
        <v/>
      </c>
      <c r="AB21" s="266" t="str">
        <f>IF(ISERROR(Z21/B21),"",Z21/B21)</f>
        <v/>
      </c>
      <c r="AC21" s="263">
        <f>(C21*kWh_Élect_to_kgGES+E21*IF(U_GNat="[m³]",m3_GazNat_to_kgGES,Conversion!$H$27)+G21*IF(U_Ma2="[l]",L_Mazout2_to_kgGES,Conversion!$H$29)+I21*IF(U_Ma6="[l]",L_Mazout6_to_kgGES,Conversion!$H$31)+K21*L_Mazout2_to_kgGES+M21*IF(U_Prop="[l]",L_Propane_to_kgGES,Conversion!$H$35)+O21*kg_Bois8_to_kgGES+Q21*kg_Bois35_to_kgGES+S21*lbs_vapeur_to_kgGES+U21*MBTU_eaurefroidie_to_kgGES+W21*MBTU_eauchaude_to_kgGES)/1000</f>
        <v>0</v>
      </c>
      <c r="AD21" s="267">
        <f>(IF(ISERROR(AC21/B21),0,(AC21/B21)))*1000</f>
        <v>0</v>
      </c>
      <c r="AE21" s="268">
        <f>SUM(AE9:AE20)</f>
        <v>3967.8000000000006</v>
      </c>
      <c r="AF21" s="70"/>
      <c r="AG21" s="70"/>
    </row>
    <row r="22" spans="1:42" s="70" customFormat="1" ht="16.5" customHeight="1">
      <c r="A22" s="49">
        <v>2009</v>
      </c>
      <c r="B22" s="49" t="s">
        <v>92</v>
      </c>
      <c r="C22" s="47" t="s">
        <v>93</v>
      </c>
      <c r="D22" s="47" t="s">
        <v>94</v>
      </c>
      <c r="E22" s="47" t="s">
        <v>95</v>
      </c>
      <c r="F22" s="47" t="s">
        <v>96</v>
      </c>
      <c r="G22" s="47" t="s">
        <v>97</v>
      </c>
      <c r="H22" s="47" t="s">
        <v>98</v>
      </c>
      <c r="I22" s="47" t="s">
        <v>99</v>
      </c>
      <c r="J22" s="47" t="s">
        <v>100</v>
      </c>
      <c r="K22" s="523"/>
      <c r="L22" s="523"/>
      <c r="M22" s="47" t="s">
        <v>101</v>
      </c>
      <c r="N22" s="47" t="s">
        <v>102</v>
      </c>
      <c r="O22" s="47" t="s">
        <v>103</v>
      </c>
      <c r="P22" s="47" t="s">
        <v>104</v>
      </c>
      <c r="Q22" s="47" t="s">
        <v>105</v>
      </c>
      <c r="R22" s="47" t="s">
        <v>106</v>
      </c>
      <c r="S22" s="47"/>
      <c r="T22" s="47"/>
      <c r="U22" s="47"/>
      <c r="V22" s="47"/>
      <c r="W22" s="47"/>
      <c r="X22" s="47"/>
      <c r="Y22" s="47" t="s">
        <v>107</v>
      </c>
      <c r="Z22" s="47" t="s">
        <v>108</v>
      </c>
      <c r="AA22" s="47" t="s">
        <v>109</v>
      </c>
      <c r="AB22" s="47" t="s">
        <v>110</v>
      </c>
      <c r="AC22" s="47" t="s">
        <v>111</v>
      </c>
      <c r="AD22" s="48" t="s">
        <v>112</v>
      </c>
      <c r="AE22" s="47" t="s">
        <v>113</v>
      </c>
    </row>
    <row r="23" spans="1:42" s="84" customFormat="1" ht="16.8">
      <c r="A23" s="123" t="s">
        <v>378</v>
      </c>
      <c r="B23" s="26"/>
      <c r="C23" s="46"/>
      <c r="D23" s="46"/>
      <c r="E23" s="46"/>
      <c r="F23" s="46"/>
      <c r="G23" s="51"/>
      <c r="H23" s="50"/>
      <c r="I23" s="46"/>
      <c r="J23" s="46"/>
      <c r="K23" s="46"/>
      <c r="L23" s="46"/>
      <c r="M23" s="46"/>
      <c r="N23" s="46"/>
      <c r="O23" s="46"/>
      <c r="P23" s="46"/>
      <c r="Q23" s="46"/>
      <c r="R23" s="46"/>
      <c r="S23" s="46"/>
      <c r="T23" s="46"/>
      <c r="U23" s="46"/>
      <c r="V23" s="46"/>
      <c r="W23" s="46"/>
      <c r="X23" s="46"/>
      <c r="Y23" s="47"/>
      <c r="Z23" s="47"/>
      <c r="AA23" s="47"/>
      <c r="AB23" s="83"/>
      <c r="AC23" s="46"/>
    </row>
    <row r="24" spans="1:42" s="84" customFormat="1" ht="15" thickBot="1">
      <c r="A24" s="26"/>
      <c r="B24" s="26"/>
      <c r="C24" s="46"/>
      <c r="D24" s="46"/>
      <c r="E24" s="46"/>
      <c r="F24" s="46"/>
      <c r="G24" s="46"/>
      <c r="H24" s="46"/>
      <c r="I24" s="46"/>
      <c r="J24" s="46"/>
      <c r="K24" s="46"/>
      <c r="L24" s="46"/>
      <c r="M24" s="46"/>
      <c r="N24" s="46"/>
      <c r="O24" s="46"/>
      <c r="P24" s="46"/>
      <c r="Q24" s="46"/>
      <c r="R24" s="46"/>
      <c r="S24" s="46"/>
      <c r="T24" s="46"/>
      <c r="U24" s="46"/>
      <c r="V24" s="46"/>
      <c r="W24" s="46"/>
      <c r="X24" s="46"/>
      <c r="Y24" s="47"/>
      <c r="Z24" s="47"/>
      <c r="AA24" s="47"/>
      <c r="AB24" s="83"/>
      <c r="AC24" s="46"/>
    </row>
    <row r="25" spans="1:42" s="84" customFormat="1" ht="18.600000000000001" thickTop="1">
      <c r="A25" s="560" t="s">
        <v>804</v>
      </c>
      <c r="B25" s="561"/>
      <c r="C25" s="561"/>
      <c r="D25" s="561"/>
      <c r="E25" s="561"/>
      <c r="F25" s="561"/>
      <c r="G25" s="561"/>
      <c r="H25" s="562"/>
      <c r="I25" s="46"/>
      <c r="J25" s="46"/>
      <c r="K25" s="46"/>
      <c r="L25" s="46"/>
      <c r="M25" s="46"/>
      <c r="N25" s="46"/>
      <c r="O25" s="46"/>
      <c r="P25" s="46"/>
      <c r="Q25" s="46"/>
      <c r="R25" s="46"/>
      <c r="S25" s="46"/>
      <c r="T25" s="46"/>
      <c r="U25" s="46"/>
      <c r="V25" s="46"/>
      <c r="W25" s="46"/>
      <c r="X25" s="46"/>
      <c r="AA25" s="47">
        <f>Lim_bas</f>
        <v>0</v>
      </c>
      <c r="AB25" s="47">
        <f>Lim_haut</f>
        <v>0</v>
      </c>
      <c r="AC25" s="46"/>
    </row>
    <row r="26" spans="1:42" ht="30" customHeight="1">
      <c r="A26" s="23"/>
      <c r="B26" s="23"/>
      <c r="E26" s="23"/>
      <c r="F26" s="23"/>
      <c r="G26" s="23"/>
      <c r="H26" s="23"/>
      <c r="I26" s="23"/>
      <c r="J26" s="23"/>
      <c r="K26" s="23"/>
      <c r="L26" s="23"/>
      <c r="M26" s="23"/>
      <c r="N26" s="23"/>
      <c r="O26" s="23"/>
      <c r="P26" s="23"/>
      <c r="Q26" s="23"/>
      <c r="R26" s="23"/>
      <c r="S26" s="23"/>
      <c r="T26" s="23"/>
      <c r="U26" s="23"/>
      <c r="V26" s="23"/>
      <c r="W26" s="23"/>
      <c r="X26" s="1"/>
      <c r="Y26" s="49"/>
      <c r="Z26" s="49"/>
      <c r="AA26" s="49"/>
      <c r="AB26" s="1"/>
      <c r="AC26" s="1"/>
    </row>
    <row r="27" spans="1:42" ht="44.4" hidden="1" thickTop="1" thickBot="1">
      <c r="A27" s="62"/>
      <c r="B27" s="65" t="s">
        <v>79</v>
      </c>
      <c r="C27" s="65" t="s">
        <v>339</v>
      </c>
      <c r="D27" s="65" t="s">
        <v>341</v>
      </c>
      <c r="E27" s="72"/>
      <c r="F27" s="73"/>
      <c r="G27" s="74"/>
      <c r="H27" s="72"/>
      <c r="I27" s="72"/>
      <c r="J27" s="75"/>
      <c r="Y27" s="70"/>
      <c r="Z27" s="70"/>
      <c r="AA27" s="70"/>
      <c r="AG27" s="71">
        <v>2</v>
      </c>
      <c r="AH27" s="71">
        <v>5</v>
      </c>
      <c r="AI27" s="71">
        <v>7</v>
      </c>
      <c r="AJ27" s="71">
        <v>12</v>
      </c>
      <c r="AK27" s="71">
        <v>17</v>
      </c>
    </row>
    <row r="28" spans="1:42" ht="15" hidden="1" thickTop="1">
      <c r="A28" s="62"/>
      <c r="B28" s="66" t="s">
        <v>343</v>
      </c>
      <c r="C28" s="67">
        <f>GJ_Ajust_NP_Cour_10_11</f>
        <v>0</v>
      </c>
      <c r="D28" s="68">
        <f>GJ_Ajust_NP_annuel_10_11</f>
        <v>0</v>
      </c>
      <c r="E28" s="72"/>
      <c r="F28" s="73"/>
      <c r="G28" s="74"/>
      <c r="H28" s="72"/>
      <c r="I28" s="72"/>
      <c r="J28" s="75"/>
      <c r="Y28" s="70"/>
      <c r="Z28" s="70"/>
      <c r="AA28" s="70"/>
      <c r="AC28" s="71" t="s">
        <v>630</v>
      </c>
      <c r="AG28" s="71" t="s">
        <v>631</v>
      </c>
      <c r="AH28" s="71" t="s">
        <v>665</v>
      </c>
      <c r="AI28" s="71" t="s">
        <v>632</v>
      </c>
      <c r="AJ28" s="71" t="s">
        <v>633</v>
      </c>
      <c r="AK28" s="71" t="s">
        <v>634</v>
      </c>
    </row>
    <row r="29" spans="1:42" hidden="1">
      <c r="A29" s="62"/>
      <c r="B29" s="66" t="s">
        <v>11</v>
      </c>
      <c r="C29" s="67">
        <f>GJ_Ajust_NP_Cour_11_12</f>
        <v>0</v>
      </c>
      <c r="D29" s="68">
        <f>GJ_Ajust_NP_annuel_11_12</f>
        <v>0</v>
      </c>
      <c r="E29" s="72"/>
      <c r="F29" s="73"/>
      <c r="G29" s="74"/>
      <c r="H29" s="72"/>
      <c r="I29" s="72"/>
      <c r="J29" s="75"/>
      <c r="Y29" s="70"/>
      <c r="Z29" s="70"/>
      <c r="AA29" s="70"/>
      <c r="AC29" s="71" t="s">
        <v>666</v>
      </c>
      <c r="AG29" s="71" t="s">
        <v>667</v>
      </c>
      <c r="AH29" s="71">
        <v>3.6</v>
      </c>
      <c r="AI29" s="71">
        <v>3.5999999999999999E-3</v>
      </c>
      <c r="AJ29" s="71">
        <v>2.0400000000000001E-3</v>
      </c>
      <c r="AK29" s="71">
        <v>0.56666666666666665</v>
      </c>
      <c r="AM29" s="71" t="s">
        <v>635</v>
      </c>
    </row>
    <row r="30" spans="1:42" hidden="1">
      <c r="A30" s="62"/>
      <c r="B30" s="66" t="s">
        <v>12</v>
      </c>
      <c r="C30" s="67">
        <f>GJ_Ajust_NP_Cour_12_13</f>
        <v>0</v>
      </c>
      <c r="D30" s="68">
        <f>GJ_Ajust_NP_annuel_12_13</f>
        <v>0</v>
      </c>
      <c r="E30" s="72"/>
      <c r="F30" s="73"/>
      <c r="G30" s="74"/>
      <c r="H30" s="72"/>
      <c r="I30" s="72"/>
      <c r="J30" s="75"/>
      <c r="Y30" s="70"/>
      <c r="Z30" s="70"/>
      <c r="AA30" s="70"/>
      <c r="AC30" s="71" t="s">
        <v>19</v>
      </c>
      <c r="AD30" s="71" t="s">
        <v>668</v>
      </c>
      <c r="AG30" s="71" t="s">
        <v>636</v>
      </c>
      <c r="AH30" s="71">
        <v>37.89</v>
      </c>
      <c r="AI30" s="71">
        <v>3.789E-2</v>
      </c>
      <c r="AJ30" s="71">
        <v>1.8893169999999999</v>
      </c>
      <c r="AK30" s="71">
        <v>49.863209290050143</v>
      </c>
      <c r="AM30" s="71" t="s">
        <v>636</v>
      </c>
      <c r="AN30" s="71" t="s">
        <v>637</v>
      </c>
      <c r="AO30" s="71" t="s">
        <v>638</v>
      </c>
      <c r="AP30" s="71">
        <v>3.5314669999999999E-2</v>
      </c>
    </row>
    <row r="31" spans="1:42" hidden="1">
      <c r="A31" s="62"/>
      <c r="B31" s="66" t="s">
        <v>14</v>
      </c>
      <c r="C31" s="67">
        <f>GJ_Ajust_NP_Cour_13_14</f>
        <v>0</v>
      </c>
      <c r="D31" s="68">
        <f>GJ_Ajust_NP_annuel_13_14</f>
        <v>0</v>
      </c>
      <c r="E31" s="72"/>
      <c r="F31" s="73"/>
      <c r="G31" s="74"/>
      <c r="H31" s="72"/>
      <c r="I31" s="72"/>
      <c r="J31" s="75"/>
      <c r="Y31" s="70"/>
      <c r="Z31" s="70"/>
      <c r="AA31" s="70"/>
      <c r="AC31" s="71" t="s">
        <v>19</v>
      </c>
      <c r="AD31" s="71" t="s">
        <v>669</v>
      </c>
      <c r="AG31" s="71" t="s">
        <v>638</v>
      </c>
      <c r="AH31" s="71">
        <v>1072.9252177636092</v>
      </c>
      <c r="AI31" s="71">
        <v>1.0729252177636093</v>
      </c>
      <c r="AJ31" s="71">
        <v>53.499494685919473</v>
      </c>
      <c r="AK31" s="71">
        <v>1411.9687169680517</v>
      </c>
      <c r="AM31" s="71" t="s">
        <v>639</v>
      </c>
      <c r="AN31" s="71" t="s">
        <v>637</v>
      </c>
      <c r="AO31" s="71" t="s">
        <v>640</v>
      </c>
      <c r="AP31" s="71">
        <v>0.2199692</v>
      </c>
    </row>
    <row r="32" spans="1:42" hidden="1">
      <c r="A32" s="62"/>
      <c r="B32" s="66" t="s">
        <v>15</v>
      </c>
      <c r="C32" s="67">
        <f>GJ_Ajust_NP_Cour_14_15</f>
        <v>0</v>
      </c>
      <c r="D32" s="68" t="e">
        <f>GJ_Ajust_NP_annuel_14_15</f>
        <v>#REF!</v>
      </c>
      <c r="E32" s="72"/>
      <c r="F32" s="73"/>
      <c r="G32" s="74"/>
      <c r="H32" s="72"/>
      <c r="I32" s="72"/>
      <c r="J32" s="75"/>
      <c r="Y32" s="70"/>
      <c r="Z32" s="70"/>
      <c r="AA32" s="70"/>
      <c r="AC32" s="71" t="s">
        <v>670</v>
      </c>
      <c r="AD32" s="71" t="s">
        <v>671</v>
      </c>
      <c r="AG32" s="71" t="s">
        <v>672</v>
      </c>
      <c r="AH32" s="71">
        <v>38.5</v>
      </c>
      <c r="AI32" s="71">
        <v>3.85E-2</v>
      </c>
      <c r="AJ32" s="71">
        <v>2.7347360000000003</v>
      </c>
      <c r="AK32" s="71">
        <v>71.032103896103905</v>
      </c>
      <c r="AM32" s="71" t="s">
        <v>641</v>
      </c>
      <c r="AN32" s="71" t="s">
        <v>637</v>
      </c>
      <c r="AO32" s="71" t="s">
        <v>642</v>
      </c>
      <c r="AP32" s="71">
        <v>2.2046199999999998</v>
      </c>
    </row>
    <row r="33" spans="1:37" hidden="1">
      <c r="A33" s="62"/>
      <c r="B33" s="66" t="s">
        <v>85</v>
      </c>
      <c r="C33" s="67">
        <f>GJ_Ajust_NP_Cour_15_16</f>
        <v>0</v>
      </c>
      <c r="D33" s="68" t="e">
        <f>GJ_Ajust_NP_annuel_15_16</f>
        <v>#REF!</v>
      </c>
      <c r="E33" s="72"/>
      <c r="F33" s="73"/>
      <c r="G33" s="74"/>
      <c r="H33" s="72"/>
      <c r="I33" s="72"/>
      <c r="J33" s="75"/>
      <c r="Y33" s="70"/>
      <c r="Z33" s="70"/>
      <c r="AA33" s="70"/>
      <c r="AC33" s="71" t="s">
        <v>670</v>
      </c>
      <c r="AD33" s="71" t="s">
        <v>673</v>
      </c>
      <c r="AG33" s="71" t="s">
        <v>640</v>
      </c>
      <c r="AH33" s="71">
        <v>175.02450343048025</v>
      </c>
      <c r="AI33" s="71">
        <v>3.85E-2</v>
      </c>
      <c r="AJ33" s="71">
        <v>2.7347360000000003</v>
      </c>
      <c r="AK33" s="71">
        <v>71.032103896103905</v>
      </c>
    </row>
    <row r="34" spans="1:37" hidden="1">
      <c r="A34" s="62"/>
      <c r="B34" s="66" t="s">
        <v>86</v>
      </c>
      <c r="C34" s="67">
        <f>GJ_Ajust_NP_Cour_16_17</f>
        <v>0</v>
      </c>
      <c r="D34" s="68">
        <f>GJ_Ajust_NP_annuel_16_17</f>
        <v>0</v>
      </c>
      <c r="E34" s="72"/>
      <c r="F34" s="73"/>
      <c r="G34" s="74"/>
      <c r="H34" s="72"/>
      <c r="I34" s="72"/>
      <c r="J34" s="75"/>
      <c r="Y34" s="70"/>
      <c r="Z34" s="70"/>
      <c r="AA34" s="70"/>
      <c r="AC34" s="71" t="s">
        <v>674</v>
      </c>
      <c r="AD34" s="71" t="s">
        <v>675</v>
      </c>
      <c r="AG34" s="71" t="s">
        <v>672</v>
      </c>
      <c r="AH34" s="71">
        <v>42.5</v>
      </c>
      <c r="AI34" s="71">
        <v>4.2500000000000003E-2</v>
      </c>
      <c r="AJ34" s="71">
        <v>3.14636</v>
      </c>
      <c r="AK34" s="71">
        <v>74.031999999999996</v>
      </c>
    </row>
    <row r="35" spans="1:37" hidden="1">
      <c r="A35" s="62"/>
      <c r="B35" s="66" t="s">
        <v>87</v>
      </c>
      <c r="C35" s="67">
        <f>GJ_Ajust_NP_Cour_17_18</f>
        <v>0</v>
      </c>
      <c r="D35" s="68">
        <f>GJ_Ajust_NP_annuel_17_18</f>
        <v>0</v>
      </c>
      <c r="E35" s="72"/>
      <c r="F35" s="73"/>
      <c r="G35" s="74"/>
      <c r="H35" s="72"/>
      <c r="I35" s="72"/>
      <c r="J35" s="75"/>
      <c r="Y35" s="70"/>
      <c r="Z35" s="70"/>
      <c r="AA35" s="70"/>
      <c r="AC35" s="71" t="s">
        <v>674</v>
      </c>
      <c r="AD35" s="71" t="s">
        <v>676</v>
      </c>
      <c r="AG35" s="71" t="s">
        <v>640</v>
      </c>
      <c r="AH35" s="71">
        <v>193.20886742325743</v>
      </c>
      <c r="AI35" s="71">
        <v>4.2500000000000003E-2</v>
      </c>
      <c r="AJ35" s="71">
        <v>3.14636</v>
      </c>
      <c r="AK35" s="71">
        <v>74.031999999999996</v>
      </c>
    </row>
    <row r="36" spans="1:37" hidden="1">
      <c r="A36" s="62"/>
      <c r="B36" s="66" t="s">
        <v>88</v>
      </c>
      <c r="C36" s="67">
        <f>GJ_Ajust_NP_Cour_18_19</f>
        <v>0</v>
      </c>
      <c r="D36" s="68">
        <f>GJ_Ajust_NP_annuel_18_19</f>
        <v>0</v>
      </c>
      <c r="E36" s="72"/>
      <c r="F36" s="73"/>
      <c r="G36" s="74"/>
      <c r="H36" s="72"/>
      <c r="I36" s="72"/>
      <c r="J36" s="75"/>
      <c r="Y36" s="70"/>
      <c r="Z36" s="70"/>
      <c r="AA36" s="70"/>
      <c r="AC36" s="71" t="s">
        <v>27</v>
      </c>
      <c r="AD36" s="71" t="s">
        <v>643</v>
      </c>
      <c r="AG36" s="71" t="s">
        <v>672</v>
      </c>
      <c r="AH36" s="71">
        <v>25.31</v>
      </c>
      <c r="AI36" s="71">
        <v>2.5309999999999999E-2</v>
      </c>
      <c r="AJ36" s="71">
        <v>1.543984</v>
      </c>
      <c r="AK36" s="71">
        <v>61.002923745555115</v>
      </c>
    </row>
    <row r="37" spans="1:37" hidden="1">
      <c r="A37" s="62"/>
      <c r="B37" s="66" t="s">
        <v>89</v>
      </c>
      <c r="C37" s="67">
        <f>GJ_Ajust_NP_Cour_19_20</f>
        <v>0</v>
      </c>
      <c r="D37" s="68">
        <f>GJ_Ajust_NP_annuel_19_20</f>
        <v>0</v>
      </c>
      <c r="E37" s="72"/>
      <c r="F37" s="73"/>
      <c r="G37" s="74"/>
      <c r="H37" s="72"/>
      <c r="I37" s="72"/>
      <c r="J37" s="75"/>
      <c r="Y37" s="70"/>
      <c r="Z37" s="70"/>
      <c r="AA37" s="70"/>
      <c r="AC37" s="71" t="s">
        <v>27</v>
      </c>
      <c r="AD37" s="71" t="s">
        <v>644</v>
      </c>
      <c r="AG37" s="71" t="s">
        <v>640</v>
      </c>
      <c r="AH37" s="71">
        <v>115.06156316429754</v>
      </c>
      <c r="AI37" s="71">
        <v>2.5309999999999999E-2</v>
      </c>
      <c r="AJ37" s="71">
        <v>1.543984</v>
      </c>
      <c r="AK37" s="71">
        <v>61.002923745555115</v>
      </c>
    </row>
    <row r="38" spans="1:37" ht="15" hidden="1" thickBot="1">
      <c r="A38" s="62"/>
      <c r="B38" s="66" t="s">
        <v>90</v>
      </c>
      <c r="C38" s="69">
        <f>GJ_Ajust_NP_Cour_20_21</f>
        <v>0</v>
      </c>
      <c r="D38" s="68">
        <f>GJ_Ajust_NP_annuel_20_21</f>
        <v>0</v>
      </c>
      <c r="E38" s="72"/>
      <c r="F38" s="73"/>
      <c r="G38" s="74"/>
      <c r="H38" s="72"/>
      <c r="I38" s="72"/>
      <c r="J38" s="75"/>
      <c r="Y38" s="70"/>
      <c r="Z38" s="70"/>
      <c r="AA38" s="70"/>
      <c r="AC38" s="71" t="s">
        <v>26</v>
      </c>
      <c r="AD38" s="71" t="s">
        <v>645</v>
      </c>
      <c r="AG38" s="71" t="s">
        <v>677</v>
      </c>
      <c r="AH38" s="71">
        <v>15.1</v>
      </c>
      <c r="AI38" s="71">
        <v>1.5099999999999999E-2</v>
      </c>
      <c r="AJ38" s="71">
        <v>2.7619132653061221E-2</v>
      </c>
      <c r="AK38" s="71">
        <v>1.829081632653061</v>
      </c>
    </row>
    <row r="39" spans="1:37" ht="15" hidden="1" thickTop="1">
      <c r="A39" s="64"/>
      <c r="B39" s="64"/>
      <c r="C39" s="63"/>
      <c r="D39" s="63"/>
      <c r="E39" s="74"/>
      <c r="F39" s="74"/>
      <c r="G39" s="74"/>
      <c r="H39" s="74"/>
      <c r="I39" s="74"/>
      <c r="J39" s="75"/>
      <c r="Y39" s="70"/>
      <c r="Z39" s="70"/>
      <c r="AA39" s="70"/>
      <c r="AC39" s="315" t="s">
        <v>26</v>
      </c>
      <c r="AD39" s="315" t="s">
        <v>646</v>
      </c>
      <c r="AE39" s="315"/>
      <c r="AF39" s="315"/>
      <c r="AG39" s="315" t="s">
        <v>642</v>
      </c>
      <c r="AH39" s="315">
        <v>6.8492529324781604</v>
      </c>
      <c r="AI39" s="315">
        <v>6.8492529324781599E-3</v>
      </c>
      <c r="AJ39" s="315">
        <v>1.2527842736190918E-2</v>
      </c>
      <c r="AK39" s="315">
        <v>0.82965845935039195</v>
      </c>
    </row>
    <row r="40" spans="1:37" hidden="1">
      <c r="Y40" s="70"/>
      <c r="Z40" s="70"/>
      <c r="AA40" s="70"/>
      <c r="AC40" s="315" t="s">
        <v>678</v>
      </c>
      <c r="AD40" s="315" t="s">
        <v>647</v>
      </c>
      <c r="AE40" s="315"/>
      <c r="AF40" s="315"/>
      <c r="AG40" s="315" t="s">
        <v>677</v>
      </c>
      <c r="AH40" s="315">
        <v>9.75</v>
      </c>
      <c r="AI40" s="315">
        <v>9.75E-3</v>
      </c>
      <c r="AJ40" s="315">
        <v>1.7833545918367347E-2</v>
      </c>
      <c r="AK40" s="315">
        <v>1.8290816326530612</v>
      </c>
    </row>
    <row r="41" spans="1:37" hidden="1">
      <c r="AC41" s="315" t="s">
        <v>678</v>
      </c>
      <c r="AD41" s="315" t="s">
        <v>648</v>
      </c>
      <c r="AE41" s="315"/>
      <c r="AF41" s="315"/>
      <c r="AG41" s="315" t="s">
        <v>642</v>
      </c>
      <c r="AH41" s="315">
        <v>4.4225308669974872</v>
      </c>
      <c r="AI41" s="315">
        <v>4.4225308669974877E-3</v>
      </c>
      <c r="AJ41" s="315">
        <v>8.0891699786663218E-3</v>
      </c>
      <c r="AK41" s="315">
        <v>0.82965845935039206</v>
      </c>
    </row>
    <row r="42" spans="1:37" hidden="1">
      <c r="AC42" s="315" t="s">
        <v>624</v>
      </c>
      <c r="AD42" s="315" t="s">
        <v>649</v>
      </c>
      <c r="AE42" s="315"/>
      <c r="AF42" s="315"/>
      <c r="AG42" s="315" t="s">
        <v>680</v>
      </c>
      <c r="AH42" s="315">
        <v>292.99736302373282</v>
      </c>
      <c r="AI42" s="315">
        <v>0.2929973630237328</v>
      </c>
      <c r="AJ42" s="315">
        <v>0</v>
      </c>
      <c r="AK42" s="315">
        <v>0</v>
      </c>
    </row>
    <row r="43" spans="1:37" hidden="1">
      <c r="B43" s="26"/>
      <c r="C43" s="46"/>
      <c r="D43" s="46"/>
      <c r="AC43" s="315" t="s">
        <v>625</v>
      </c>
      <c r="AD43" s="315" t="s">
        <v>650</v>
      </c>
      <c r="AE43" s="315"/>
      <c r="AF43" s="315"/>
      <c r="AG43" s="315" t="s">
        <v>680</v>
      </c>
      <c r="AH43" s="315">
        <v>292.99736302373282</v>
      </c>
      <c r="AI43" s="315">
        <v>0.2929973630237328</v>
      </c>
      <c r="AJ43" s="315">
        <v>0</v>
      </c>
      <c r="AK43" s="315">
        <v>0</v>
      </c>
    </row>
    <row r="44" spans="1:37" hidden="1">
      <c r="B44" s="26"/>
      <c r="C44" s="46"/>
      <c r="D44" s="46"/>
      <c r="AC44" s="315" t="s">
        <v>412</v>
      </c>
      <c r="AD44" s="315" t="s">
        <v>659</v>
      </c>
      <c r="AE44" s="315"/>
      <c r="AF44" s="315"/>
      <c r="AG44" s="315" t="s">
        <v>679</v>
      </c>
      <c r="AH44" s="315">
        <v>1.0543</v>
      </c>
      <c r="AI44" s="315">
        <v>1.0543E-3</v>
      </c>
      <c r="AJ44" s="315">
        <v>6.5713476943124821E-2</v>
      </c>
      <c r="AK44" s="315">
        <v>62.329011612562674</v>
      </c>
    </row>
    <row r="45" spans="1:37" hidden="1">
      <c r="B45" s="26"/>
      <c r="C45" s="46"/>
      <c r="D45" s="46"/>
      <c r="AC45" s="315"/>
      <c r="AD45" s="315"/>
      <c r="AE45" s="315"/>
      <c r="AF45" s="315"/>
      <c r="AG45" s="315"/>
      <c r="AH45" s="315"/>
      <c r="AI45" s="315"/>
      <c r="AJ45" s="315"/>
      <c r="AK45" s="315"/>
    </row>
    <row r="46" spans="1:37" hidden="1">
      <c r="B46" s="26"/>
      <c r="C46" s="46"/>
      <c r="D46" s="46"/>
      <c r="AC46" s="315"/>
      <c r="AD46" s="315"/>
      <c r="AE46" s="315"/>
      <c r="AF46" s="315"/>
      <c r="AG46" s="315"/>
      <c r="AH46" s="315"/>
      <c r="AI46" s="315"/>
      <c r="AJ46" s="315"/>
      <c r="AK46" s="315"/>
    </row>
    <row r="47" spans="1:37" hidden="1">
      <c r="B47" s="26"/>
      <c r="C47" s="46"/>
      <c r="D47" s="46"/>
      <c r="AC47" s="315" t="s">
        <v>651</v>
      </c>
      <c r="AD47" s="315"/>
      <c r="AE47" s="315"/>
      <c r="AF47" s="315"/>
      <c r="AG47" s="315"/>
      <c r="AH47" s="315"/>
      <c r="AI47" s="315"/>
      <c r="AJ47" s="315"/>
      <c r="AK47" s="315"/>
    </row>
    <row r="48" spans="1:37" hidden="1">
      <c r="B48" s="26"/>
      <c r="C48" s="46"/>
      <c r="D48" s="46"/>
      <c r="AC48" s="315">
        <v>1</v>
      </c>
      <c r="AD48" s="315" t="s">
        <v>652</v>
      </c>
      <c r="AE48" s="315"/>
      <c r="AF48" s="315"/>
      <c r="AG48" s="315"/>
      <c r="AH48" s="315"/>
      <c r="AI48" s="315"/>
      <c r="AJ48" s="315"/>
      <c r="AK48" s="315"/>
    </row>
    <row r="49" spans="2:37" hidden="1">
      <c r="AC49" s="315">
        <v>2</v>
      </c>
      <c r="AD49" s="315" t="s">
        <v>653</v>
      </c>
      <c r="AE49" s="315"/>
      <c r="AF49" s="315"/>
      <c r="AG49" s="315"/>
      <c r="AH49" s="315"/>
      <c r="AI49" s="315"/>
      <c r="AJ49" s="315"/>
      <c r="AK49" s="315"/>
    </row>
    <row r="50" spans="2:37" hidden="1">
      <c r="AC50" s="315"/>
      <c r="AD50" s="315" t="s">
        <v>654</v>
      </c>
      <c r="AE50" s="315"/>
      <c r="AF50" s="315"/>
      <c r="AG50" s="315"/>
      <c r="AH50" s="315"/>
      <c r="AI50" s="315"/>
      <c r="AJ50" s="315"/>
      <c r="AK50" s="315"/>
    </row>
    <row r="51" spans="2:37" hidden="1">
      <c r="AC51" s="315"/>
      <c r="AD51" s="315"/>
      <c r="AE51" s="315"/>
      <c r="AF51" s="315"/>
      <c r="AG51" s="315"/>
      <c r="AH51" s="315"/>
      <c r="AI51" s="315"/>
      <c r="AJ51" s="315"/>
      <c r="AK51" s="315"/>
    </row>
    <row r="52" spans="2:37" hidden="1">
      <c r="AC52" s="315"/>
      <c r="AD52" s="315">
        <v>41617</v>
      </c>
      <c r="AE52" s="315"/>
      <c r="AF52" s="315"/>
      <c r="AG52" s="315"/>
      <c r="AH52" s="315"/>
      <c r="AI52" s="315"/>
      <c r="AJ52" s="315"/>
      <c r="AK52" s="315"/>
    </row>
    <row r="53" spans="2:37" hidden="1">
      <c r="AC53" s="315"/>
      <c r="AD53" s="315" t="s">
        <v>655</v>
      </c>
      <c r="AE53" s="315"/>
      <c r="AF53" s="315"/>
      <c r="AG53" s="315"/>
      <c r="AH53" s="315"/>
      <c r="AI53" s="315"/>
      <c r="AJ53" s="315"/>
      <c r="AK53" s="315"/>
    </row>
    <row r="54" spans="2:37" hidden="1">
      <c r="AC54" s="315"/>
      <c r="AD54" s="315" t="s">
        <v>656</v>
      </c>
      <c r="AE54" s="315"/>
      <c r="AF54" s="315"/>
      <c r="AG54" s="315"/>
      <c r="AH54" s="315"/>
      <c r="AI54" s="315"/>
      <c r="AJ54" s="315"/>
      <c r="AK54" s="315"/>
    </row>
    <row r="55" spans="2:37" hidden="1">
      <c r="AC55" s="315">
        <v>3</v>
      </c>
      <c r="AD55" s="315" t="s">
        <v>657</v>
      </c>
      <c r="AE55" s="315"/>
      <c r="AF55" s="315"/>
      <c r="AG55" s="315"/>
      <c r="AH55" s="315"/>
      <c r="AI55" s="315"/>
      <c r="AJ55" s="315"/>
      <c r="AK55" s="315"/>
    </row>
    <row r="56" spans="2:37" hidden="1">
      <c r="AC56" s="315">
        <v>4</v>
      </c>
      <c r="AD56" s="315" t="s">
        <v>658</v>
      </c>
      <c r="AE56" s="315"/>
      <c r="AF56" s="315"/>
      <c r="AG56" s="315"/>
      <c r="AH56" s="315"/>
      <c r="AI56" s="315"/>
      <c r="AJ56" s="315"/>
      <c r="AK56" s="315"/>
    </row>
    <row r="60" spans="2:37">
      <c r="B60" s="26"/>
      <c r="C60" s="46"/>
      <c r="D60" s="46"/>
    </row>
    <row r="61" spans="2:37">
      <c r="B61" s="26"/>
      <c r="C61" s="46"/>
      <c r="D61" s="46"/>
    </row>
    <row r="62" spans="2:37">
      <c r="B62" s="26"/>
      <c r="C62" s="46"/>
      <c r="D62" s="46"/>
    </row>
  </sheetData>
  <mergeCells count="16">
    <mergeCell ref="A25:H25"/>
    <mergeCell ref="AA7:AB7"/>
    <mergeCell ref="S7:T7"/>
    <mergeCell ref="U7:V7"/>
    <mergeCell ref="W7:X7"/>
    <mergeCell ref="I7:J7"/>
    <mergeCell ref="A7:A8"/>
    <mergeCell ref="C7:D7"/>
    <mergeCell ref="E7:F7"/>
    <mergeCell ref="G7:H7"/>
    <mergeCell ref="K7:L7"/>
    <mergeCell ref="AC7:AD7"/>
    <mergeCell ref="M7:N7"/>
    <mergeCell ref="O7:P7"/>
    <mergeCell ref="Q7:R7"/>
    <mergeCell ref="Y7:Z7"/>
  </mergeCells>
  <phoneticPr fontId="23" type="noConversion"/>
  <conditionalFormatting sqref="AA25">
    <cfRule type="cellIs" dxfId="61" priority="9" stopIfTrue="1" operator="lessThan">
      <formula>$AA$25</formula>
    </cfRule>
  </conditionalFormatting>
  <conditionalFormatting sqref="A25">
    <cfRule type="cellIs" dxfId="60" priority="17" stopIfTrue="1" operator="greaterThan">
      <formula>$AB$25</formula>
    </cfRule>
    <cfRule type="cellIs" dxfId="59" priority="18" stopIfTrue="1" operator="lessThan">
      <formula>$AA$25</formula>
    </cfRule>
  </conditionalFormatting>
  <conditionalFormatting sqref="AA21">
    <cfRule type="cellIs" dxfId="58" priority="19" stopIfTrue="1" operator="greaterThan">
      <formula>Lim_haut</formula>
    </cfRule>
    <cfRule type="cellIs" dxfId="57" priority="20" stopIfTrue="1" operator="lessThan">
      <formula>Lim_bas</formula>
    </cfRule>
  </conditionalFormatting>
  <dataValidations count="1">
    <dataValidation type="whole" errorStyle="warning" allowBlank="1" showInputMessage="1" showErrorMessage="1" errorTitle="TEST" error="la valeur entrée semble suspecte" sqref="AA9:AA20">
      <formula1>0.15/12</formula1>
      <formula2>4.06/12</formula2>
    </dataValidation>
  </dataValidations>
  <hyperlinks>
    <hyperlink ref="A7" location="Résumé!A1" display="Résumé!A1"/>
    <hyperlink ref="B29" location="'2011-2012'!A1" display="2011-2012"/>
    <hyperlink ref="B30" location="'2012-2013'!A1" display="2012-2013"/>
    <hyperlink ref="B31" location="'2013-2014'!A1" display="2013-2014"/>
    <hyperlink ref="B32" location="'2014-2015'!A1" display="2014-2015"/>
    <hyperlink ref="B33" location="'2015-2016'!A1" display="2015-2016"/>
    <hyperlink ref="B34" location="'2016-2017'!A1" display="2016-2017"/>
    <hyperlink ref="B35" location="'2017-2018'!A1" display="2017-2018"/>
    <hyperlink ref="B36" location="'2018-2019'!A1" display="2018-2019"/>
    <hyperlink ref="B37" location="'2019-2020'!A1" display="2019-2020"/>
    <hyperlink ref="B38" location="'2020-2021'!A1" display="2020-2021"/>
    <hyperlink ref="B28" location="'2011-2012'!A1" display="2011-2012"/>
  </hyperlinks>
  <pageMargins left="0.70866141732283472" right="0.70866141732283472" top="0.74803149606299213" bottom="0.74803149606299213" header="0.31496062992125984" footer="0.31496062992125984"/>
  <pageSetup scale="50" orientation="landscape" r:id="rId1"/>
  <headerFooter>
    <oddFooter>&amp;L&amp;"Arial,Normal"&amp;10Transition énergétique Québec&amp;R&amp;F
&amp;A</oddFooter>
  </headerFooter>
  <colBreaks count="2" manualBreakCount="2">
    <brk id="14" max="20" man="1"/>
    <brk id="29"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indexed="50"/>
    <pageSetUpPr fitToPage="1"/>
  </sheetPr>
  <dimension ref="A1:AN64"/>
  <sheetViews>
    <sheetView showZeros="0" zoomScaleNormal="100" zoomScaleSheetLayoutView="40" workbookViewId="0">
      <selection activeCell="B21" sqref="B21"/>
    </sheetView>
  </sheetViews>
  <sheetFormatPr baseColWidth="10" defaultColWidth="9.109375" defaultRowHeight="14.4"/>
  <cols>
    <col min="1" max="1" width="20" style="1" customWidth="1"/>
    <col min="2" max="2" width="19" style="1" customWidth="1"/>
    <col min="3" max="3" width="16.6640625" style="23" bestFit="1" customWidth="1"/>
    <col min="4" max="4" width="18.6640625" style="23" customWidth="1"/>
    <col min="5" max="5" width="16" style="23" customWidth="1"/>
    <col min="6" max="6" width="18.44140625" style="23" customWidth="1"/>
    <col min="7" max="7" width="16" style="23" customWidth="1"/>
    <col min="8" max="8" width="19.88671875" style="23" customWidth="1"/>
    <col min="9" max="9" width="16" style="23" customWidth="1"/>
    <col min="10" max="10" width="19" style="23" customWidth="1"/>
    <col min="11" max="11" width="16" style="23" customWidth="1"/>
    <col min="12" max="12" width="19.44140625" style="23" customWidth="1"/>
    <col min="13" max="13" width="16" style="23" customWidth="1"/>
    <col min="14" max="14" width="22" style="23" customWidth="1"/>
    <col min="15" max="15" width="16" style="23" customWidth="1"/>
    <col min="16" max="16" width="19" style="23" customWidth="1"/>
    <col min="17" max="17" width="16" style="23" customWidth="1"/>
    <col min="18" max="18" width="19.6640625" style="23" customWidth="1"/>
    <col min="19" max="19" width="16" style="23" customWidth="1"/>
    <col min="20" max="20" width="21.33203125" style="23" customWidth="1"/>
    <col min="21" max="21" width="16" style="23" customWidth="1"/>
    <col min="22" max="22" width="20.88671875" style="23" customWidth="1"/>
    <col min="23" max="23" width="25" style="47" customWidth="1"/>
    <col min="24" max="24" width="29" style="49" customWidth="1"/>
    <col min="25" max="25" width="24.109375" style="49" customWidth="1"/>
    <col min="26" max="26" width="23.5546875" style="49" customWidth="1"/>
    <col min="27" max="27" width="23" style="49" customWidth="1"/>
    <col min="28" max="28" width="21.6640625" style="49" customWidth="1"/>
    <col min="29" max="29" width="20.5546875" style="49" customWidth="1"/>
    <col min="30" max="30" width="13.88671875" style="49" customWidth="1"/>
    <col min="31" max="16384" width="9.109375" style="49"/>
  </cols>
  <sheetData>
    <row r="1" spans="1:33" s="1" customFormat="1" ht="117.75" customHeight="1">
      <c r="C1" s="382" t="s">
        <v>363</v>
      </c>
      <c r="D1" s="26"/>
      <c r="E1" s="26"/>
      <c r="F1" s="26"/>
      <c r="G1" s="26"/>
      <c r="H1" s="26"/>
      <c r="I1" s="26"/>
      <c r="J1" s="26"/>
      <c r="K1" s="26"/>
      <c r="L1" s="26"/>
      <c r="M1" s="26"/>
      <c r="N1" s="26"/>
      <c r="O1" s="26"/>
      <c r="P1" s="26"/>
      <c r="Q1" s="26"/>
      <c r="R1" s="26"/>
      <c r="S1" s="26"/>
      <c r="T1" s="26"/>
      <c r="U1" s="26"/>
      <c r="V1" s="26"/>
      <c r="W1" s="26"/>
      <c r="X1" s="26"/>
      <c r="Y1" s="26"/>
      <c r="Z1" s="26"/>
      <c r="AA1" s="26"/>
      <c r="AB1" s="26"/>
      <c r="AC1" s="26"/>
    </row>
    <row r="2" spans="1:33" s="1" customFormat="1" ht="18">
      <c r="C2" s="26"/>
      <c r="D2" s="203" t="s">
        <v>380</v>
      </c>
      <c r="E2" s="204"/>
      <c r="F2" s="205"/>
      <c r="G2" s="206"/>
      <c r="H2" s="206"/>
      <c r="I2" s="207"/>
      <c r="J2" s="206"/>
      <c r="K2" s="206"/>
      <c r="L2" s="206"/>
      <c r="M2" s="206"/>
      <c r="N2" s="26"/>
      <c r="O2" s="26"/>
      <c r="P2" s="26"/>
      <c r="Q2" s="26"/>
      <c r="R2" s="26"/>
      <c r="S2" s="26"/>
      <c r="T2" s="26"/>
      <c r="U2" s="26"/>
      <c r="V2" s="26"/>
      <c r="W2" s="26"/>
      <c r="X2" s="26"/>
      <c r="Y2" s="26"/>
      <c r="Z2" s="26"/>
      <c r="AA2" s="26"/>
      <c r="AB2" s="26"/>
      <c r="AC2" s="26"/>
    </row>
    <row r="3" spans="1:33" s="1" customFormat="1" ht="15.6">
      <c r="C3" s="26"/>
      <c r="D3" s="208"/>
      <c r="E3" s="13"/>
      <c r="I3" s="209"/>
      <c r="N3" s="26"/>
      <c r="O3" s="26"/>
      <c r="P3" s="26"/>
      <c r="Q3" s="26"/>
      <c r="R3" s="26"/>
      <c r="S3" s="26"/>
      <c r="T3" s="26"/>
      <c r="U3" s="26"/>
      <c r="V3" s="26"/>
      <c r="W3" s="26"/>
      <c r="X3" s="26"/>
      <c r="Y3" s="26"/>
      <c r="Z3" s="26"/>
      <c r="AA3" s="26"/>
      <c r="AB3" s="26"/>
      <c r="AC3" s="26"/>
    </row>
    <row r="4" spans="1:33" s="1" customFormat="1" ht="15.6">
      <c r="C4" s="26"/>
      <c r="D4" s="208" t="s">
        <v>435</v>
      </c>
      <c r="E4" s="13"/>
      <c r="N4" s="26"/>
      <c r="O4" s="26"/>
      <c r="P4" s="26"/>
      <c r="Q4" s="26"/>
      <c r="R4" s="26"/>
      <c r="S4" s="26"/>
      <c r="T4" s="26"/>
      <c r="U4" s="26"/>
      <c r="V4" s="26"/>
      <c r="W4" s="26"/>
      <c r="X4" s="26"/>
      <c r="Y4" s="26"/>
      <c r="Z4" s="26"/>
      <c r="AA4" s="26"/>
      <c r="AB4" s="26"/>
      <c r="AC4" s="26"/>
    </row>
    <row r="5" spans="1:33" s="1" customFormat="1" ht="15.6">
      <c r="C5" s="26"/>
      <c r="D5" s="208" t="s">
        <v>372</v>
      </c>
      <c r="E5" s="13"/>
      <c r="N5" s="26"/>
      <c r="O5" s="26"/>
      <c r="P5" s="26"/>
      <c r="Q5" s="26"/>
      <c r="R5" s="26"/>
      <c r="S5" s="26"/>
      <c r="T5" s="26"/>
      <c r="U5" s="26"/>
      <c r="V5" s="26"/>
      <c r="W5" s="26"/>
      <c r="X5" s="26"/>
      <c r="Y5" s="26"/>
      <c r="Z5" s="26"/>
      <c r="AA5" s="26"/>
      <c r="AB5" s="26"/>
      <c r="AC5" s="26"/>
    </row>
    <row r="6" spans="1:33" s="1" customFormat="1" ht="15" thickBot="1">
      <c r="C6" s="26"/>
      <c r="D6" s="26"/>
      <c r="E6" s="26"/>
      <c r="F6" s="26"/>
      <c r="G6" s="26"/>
      <c r="H6" s="26"/>
      <c r="I6" s="26"/>
      <c r="J6" s="26"/>
      <c r="K6" s="26"/>
      <c r="L6" s="26"/>
      <c r="M6" s="26"/>
      <c r="N6" s="26"/>
      <c r="O6" s="26"/>
      <c r="P6" s="26"/>
      <c r="Q6" s="26"/>
      <c r="R6" s="26"/>
      <c r="S6" s="26"/>
      <c r="T6" s="26"/>
      <c r="U6" s="26"/>
      <c r="V6" s="26"/>
      <c r="W6" s="26"/>
      <c r="X6" s="26"/>
      <c r="Y6" s="26"/>
      <c r="Z6" s="26"/>
      <c r="AA6" s="26"/>
      <c r="AB6" s="26"/>
      <c r="AC6" s="26"/>
    </row>
    <row r="7" spans="1:33" ht="30.75" customHeight="1" thickTop="1">
      <c r="A7" s="563" t="s">
        <v>78</v>
      </c>
      <c r="B7" s="4" t="s">
        <v>13</v>
      </c>
      <c r="C7" s="556" t="s">
        <v>22</v>
      </c>
      <c r="D7" s="557"/>
      <c r="E7" s="556" t="s">
        <v>19</v>
      </c>
      <c r="F7" s="557"/>
      <c r="G7" s="556" t="s">
        <v>24</v>
      </c>
      <c r="H7" s="557"/>
      <c r="I7" s="556" t="s">
        <v>25</v>
      </c>
      <c r="J7" s="557"/>
      <c r="K7" s="556" t="s">
        <v>805</v>
      </c>
      <c r="L7" s="557"/>
      <c r="M7" s="556" t="s">
        <v>27</v>
      </c>
      <c r="N7" s="557"/>
      <c r="O7" s="558" t="s">
        <v>370</v>
      </c>
      <c r="P7" s="559"/>
      <c r="Q7" s="558" t="s">
        <v>373</v>
      </c>
      <c r="R7" s="559"/>
      <c r="S7" s="558" t="s">
        <v>412</v>
      </c>
      <c r="T7" s="559"/>
      <c r="U7" s="558" t="s">
        <v>624</v>
      </c>
      <c r="V7" s="559"/>
      <c r="W7" s="558" t="s">
        <v>625</v>
      </c>
      <c r="X7" s="559"/>
      <c r="Y7" s="556" t="s">
        <v>16</v>
      </c>
      <c r="Z7" s="557"/>
      <c r="AA7" s="556" t="s">
        <v>371</v>
      </c>
      <c r="AB7" s="557"/>
      <c r="AC7" s="556" t="s">
        <v>45</v>
      </c>
      <c r="AD7" s="557"/>
      <c r="AE7" s="4" t="s">
        <v>40</v>
      </c>
    </row>
    <row r="8" spans="1:33" ht="18" customHeight="1" thickBot="1">
      <c r="A8" s="563"/>
      <c r="B8" s="8" t="s">
        <v>36</v>
      </c>
      <c r="C8" s="7" t="s">
        <v>376</v>
      </c>
      <c r="D8" s="6" t="s">
        <v>20</v>
      </c>
      <c r="E8" s="7" t="s">
        <v>31</v>
      </c>
      <c r="F8" s="6" t="s">
        <v>20</v>
      </c>
      <c r="G8" s="7" t="s">
        <v>23</v>
      </c>
      <c r="H8" s="6" t="s">
        <v>20</v>
      </c>
      <c r="I8" s="7" t="s">
        <v>23</v>
      </c>
      <c r="J8" s="6" t="s">
        <v>20</v>
      </c>
      <c r="K8" s="7" t="s">
        <v>23</v>
      </c>
      <c r="L8" s="6" t="s">
        <v>20</v>
      </c>
      <c r="M8" s="7" t="s">
        <v>23</v>
      </c>
      <c r="N8" s="6" t="s">
        <v>20</v>
      </c>
      <c r="O8" s="7" t="s">
        <v>28</v>
      </c>
      <c r="P8" s="6" t="s">
        <v>20</v>
      </c>
      <c r="Q8" s="7" t="s">
        <v>28</v>
      </c>
      <c r="R8" s="6" t="s">
        <v>20</v>
      </c>
      <c r="S8" s="216" t="s">
        <v>626</v>
      </c>
      <c r="T8" s="6" t="s">
        <v>20</v>
      </c>
      <c r="U8" s="7" t="s">
        <v>628</v>
      </c>
      <c r="V8" s="6" t="s">
        <v>20</v>
      </c>
      <c r="W8" s="7" t="s">
        <v>628</v>
      </c>
      <c r="X8" s="6" t="s">
        <v>20</v>
      </c>
      <c r="Y8" s="7" t="s">
        <v>375</v>
      </c>
      <c r="Z8" s="6" t="s">
        <v>20</v>
      </c>
      <c r="AA8" s="7" t="s">
        <v>37</v>
      </c>
      <c r="AB8" s="6" t="s">
        <v>35</v>
      </c>
      <c r="AC8" s="7" t="s">
        <v>1060</v>
      </c>
      <c r="AD8" s="6" t="s">
        <v>793</v>
      </c>
      <c r="AE8" s="9" t="s">
        <v>377</v>
      </c>
    </row>
    <row r="9" spans="1:33" ht="17.25" customHeight="1" thickTop="1">
      <c r="A9" s="14">
        <f>VALUE(CONCATENATE(LEFT(Annee_financiere,FIND("-",Annee_financiere)-1),"-",A22))</f>
        <v>40269</v>
      </c>
      <c r="B9" s="85"/>
      <c r="C9" s="32"/>
      <c r="D9" s="86"/>
      <c r="E9" s="32"/>
      <c r="F9" s="86"/>
      <c r="G9" s="32"/>
      <c r="H9" s="86"/>
      <c r="I9" s="32"/>
      <c r="J9" s="86"/>
      <c r="K9" s="32"/>
      <c r="L9" s="33"/>
      <c r="M9" s="32"/>
      <c r="N9" s="86"/>
      <c r="O9" s="32"/>
      <c r="P9" s="86"/>
      <c r="Q9" s="32"/>
      <c r="R9" s="86"/>
      <c r="S9" s="32"/>
      <c r="T9" s="86"/>
      <c r="U9" s="32"/>
      <c r="V9" s="86"/>
      <c r="W9" s="32"/>
      <c r="X9" s="86"/>
      <c r="Y9" s="99">
        <f t="shared" ref="Y9:Y21" si="0">C9*kWh_Élect_to_GJ+E9*m3_GazNat_to_GJ+G9*L_Mazout2_to_GJ+I9*L_Mazout6_to_GJ+K9*L_Mazout2_to_GJ+M9*L_Propane_to_GJ+O9*kg_Bois8_to_GJ+Q9*kg_Bois35_to_GJ+S9*lbs_vapeur_to_GJ+U9*MBTU_eaurefroidie_to_GJ+W9*MBTU_eauchaude_to_GJ</f>
        <v>0</v>
      </c>
      <c r="Z9" s="217">
        <f>D9+F9+H9+J9+N9+P9+R9+T9+V9+X9+L9</f>
        <v>0</v>
      </c>
      <c r="AA9" s="100" t="str">
        <f>IF(ISERROR(Y9/B9),"",Y9/B9)</f>
        <v/>
      </c>
      <c r="AB9" s="101" t="str">
        <f>IF(ISERROR(Z9/B9),"",Z9/B9)</f>
        <v/>
      </c>
      <c r="AC9" s="102">
        <f>(C9*kWh_Élect_to_kgGES+E9*IF(U_GNat="[m³]",m3_GazNat_to_kgGES,Conversion!$H$27)+G9*IF(U_Ma2="[l]",L_Mazout2_to_kgGES,Conversion!$H$29)+I9*IF(U_Ma6="[l]",L_Mazout6_to_kgGES,Conversion!$H$31)+K9*L_Mazout2_to_kgGES+M9*IF(U_Prop="[l]",L_Propane_to_kgGES,Conversion!$H$35)+O9*kg_Bois8_to_kgGES+Q9*kg_Bois35_to_kgGES+S9*lbs_vapeur_to_kgGES+U9*MBTU_eaurefroidie_to_kgGES+W9*MBTU_eauchaude_to_kgGES)/1000</f>
        <v>0</v>
      </c>
      <c r="AD9" s="103">
        <f>(IF(ISERROR(AC9/B9),0,(AC9/B9)))*1000</f>
        <v>0</v>
      </c>
      <c r="AE9" s="104">
        <f t="shared" ref="AE9:AE20" si="1">INDEX(plage_DJ,MATCH(A9,plage_date),3)</f>
        <v>256.3</v>
      </c>
      <c r="AG9" s="49">
        <v>12</v>
      </c>
    </row>
    <row r="10" spans="1:33" ht="17.25" customHeight="1">
      <c r="A10" s="15">
        <f>DATE(YEAR(A9),MONTH(A9)+1,DAY(A9))</f>
        <v>40299</v>
      </c>
      <c r="B10" s="85"/>
      <c r="C10" s="32"/>
      <c r="D10" s="87"/>
      <c r="E10" s="32"/>
      <c r="F10" s="87"/>
      <c r="G10" s="32"/>
      <c r="H10" s="87"/>
      <c r="I10" s="32"/>
      <c r="J10" s="87"/>
      <c r="K10" s="32"/>
      <c r="L10" s="34"/>
      <c r="M10" s="32"/>
      <c r="N10" s="87"/>
      <c r="O10" s="32"/>
      <c r="P10" s="87"/>
      <c r="Q10" s="32"/>
      <c r="R10" s="87"/>
      <c r="S10" s="32"/>
      <c r="T10" s="87"/>
      <c r="U10" s="32"/>
      <c r="V10" s="87"/>
      <c r="W10" s="32"/>
      <c r="X10" s="87"/>
      <c r="Y10" s="99">
        <f t="shared" si="0"/>
        <v>0</v>
      </c>
      <c r="Z10" s="217">
        <f t="shared" ref="Z10:Z20" si="2">D10+F10+H10+J10+N10+P10+R10+T10+V10+X10+L10</f>
        <v>0</v>
      </c>
      <c r="AA10" s="100" t="str">
        <f t="shared" ref="AA10:AA20" si="3">IF(ISERROR(Y10/B10),"",Y10/B10)</f>
        <v/>
      </c>
      <c r="AB10" s="101" t="str">
        <f t="shared" ref="AB10:AB20" si="4">IF(ISERROR(Z10/B10),"",Z10/B10)</f>
        <v/>
      </c>
      <c r="AC10" s="102">
        <f>(C10*kWh_Élect_to_kgGES+E10*IF(U_GNat="[m³]",m3_GazNat_to_kgGES,Conversion!$H$27)+G10*IF(U_Ma2="[l]",L_Mazout2_to_kgGES,Conversion!$H$29)+I10*IF(U_Ma6="[l]",L_Mazout6_to_kgGES,Conversion!$H$31)+K10*L_Mazout2_to_kgGES+M10*IF(U_Prop="[l]",L_Propane_to_kgGES,Conversion!$H$35)+O10*kg_Bois8_to_kgGES+Q10*kg_Bois35_to_kgGES+S10*lbs_vapeur_to_kgGES+U10*MBTU_eaurefroidie_to_kgGES+W10*MBTU_eauchaude_to_kgGES)/1000</f>
        <v>0</v>
      </c>
      <c r="AD10" s="103">
        <f t="shared" ref="AD10:AD20" si="5">(IF(ISERROR(AC10/B10),0,(AC10/B10)))*1000</f>
        <v>0</v>
      </c>
      <c r="AE10" s="104">
        <f t="shared" si="1"/>
        <v>107.9</v>
      </c>
      <c r="AF10" s="49">
        <f>SUM(AE9)</f>
        <v>256.3</v>
      </c>
      <c r="AG10" s="49">
        <v>11</v>
      </c>
    </row>
    <row r="11" spans="1:33" ht="17.25" customHeight="1">
      <c r="A11" s="15">
        <f t="shared" ref="A11:A20" si="6">DATE(YEAR(A10),MONTH(A10)+1,DAY(A10))</f>
        <v>40330</v>
      </c>
      <c r="B11" s="85"/>
      <c r="C11" s="32"/>
      <c r="D11" s="87"/>
      <c r="E11" s="32"/>
      <c r="F11" s="87"/>
      <c r="G11" s="32"/>
      <c r="H11" s="87"/>
      <c r="I11" s="32"/>
      <c r="J11" s="87"/>
      <c r="K11" s="32"/>
      <c r="L11" s="34"/>
      <c r="M11" s="32"/>
      <c r="N11" s="87"/>
      <c r="O11" s="32"/>
      <c r="P11" s="87"/>
      <c r="Q11" s="32"/>
      <c r="R11" s="87"/>
      <c r="S11" s="32"/>
      <c r="T11" s="87"/>
      <c r="U11" s="32"/>
      <c r="V11" s="87"/>
      <c r="W11" s="32"/>
      <c r="X11" s="87"/>
      <c r="Y11" s="99">
        <f t="shared" si="0"/>
        <v>0</v>
      </c>
      <c r="Z11" s="217">
        <f t="shared" si="2"/>
        <v>0</v>
      </c>
      <c r="AA11" s="100" t="str">
        <f t="shared" si="3"/>
        <v/>
      </c>
      <c r="AB11" s="101" t="str">
        <f t="shared" si="4"/>
        <v/>
      </c>
      <c r="AC11" s="102">
        <f>(C11*kWh_Élect_to_kgGES+E11*IF(U_GNat="[m³]",m3_GazNat_to_kgGES,Conversion!$H$27)+G11*IF(U_Ma2="[l]",L_Mazout2_to_kgGES,Conversion!$H$29)+I11*IF(U_Ma6="[l]",L_Mazout6_to_kgGES,Conversion!$H$31)+K11*L_Mazout2_to_kgGES+M11*IF(U_Prop="[l]",L_Propane_to_kgGES,Conversion!$H$35)+O11*kg_Bois8_to_kgGES+Q11*kg_Bois35_to_kgGES+S11*lbs_vapeur_to_kgGES+U11*MBTU_eaurefroidie_to_kgGES+W11*MBTU_eauchaude_to_kgGES)/1000</f>
        <v>0</v>
      </c>
      <c r="AD11" s="103">
        <f t="shared" si="5"/>
        <v>0</v>
      </c>
      <c r="AE11" s="104">
        <f t="shared" si="1"/>
        <v>32.4</v>
      </c>
      <c r="AF11" s="49">
        <f>SUM(AE9:AE10)</f>
        <v>364.20000000000005</v>
      </c>
      <c r="AG11" s="49">
        <v>10</v>
      </c>
    </row>
    <row r="12" spans="1:33" ht="17.25" customHeight="1">
      <c r="A12" s="15">
        <f t="shared" si="6"/>
        <v>40360</v>
      </c>
      <c r="B12" s="85"/>
      <c r="C12" s="32"/>
      <c r="D12" s="87"/>
      <c r="E12" s="32"/>
      <c r="F12" s="87"/>
      <c r="G12" s="32"/>
      <c r="H12" s="87"/>
      <c r="I12" s="32"/>
      <c r="J12" s="87"/>
      <c r="K12" s="32"/>
      <c r="L12" s="34"/>
      <c r="M12" s="32"/>
      <c r="N12" s="87"/>
      <c r="O12" s="32"/>
      <c r="P12" s="87"/>
      <c r="Q12" s="32"/>
      <c r="R12" s="87"/>
      <c r="S12" s="32"/>
      <c r="T12" s="87"/>
      <c r="U12" s="32"/>
      <c r="V12" s="87"/>
      <c r="W12" s="32"/>
      <c r="X12" s="87"/>
      <c r="Y12" s="99">
        <f t="shared" si="0"/>
        <v>0</v>
      </c>
      <c r="Z12" s="217">
        <f t="shared" si="2"/>
        <v>0</v>
      </c>
      <c r="AA12" s="100" t="str">
        <f t="shared" si="3"/>
        <v/>
      </c>
      <c r="AB12" s="101" t="str">
        <f t="shared" si="4"/>
        <v/>
      </c>
      <c r="AC12" s="102">
        <f>(C12*kWh_Élect_to_kgGES+E12*IF(U_GNat="[m³]",m3_GazNat_to_kgGES,Conversion!$H$27)+G12*IF(U_Ma2="[l]",L_Mazout2_to_kgGES,Conversion!$H$29)+I12*IF(U_Ma6="[l]",L_Mazout6_to_kgGES,Conversion!$H$31)+K12*L_Mazout2_to_kgGES+M12*IF(U_Prop="[l]",L_Propane_to_kgGES,Conversion!$H$35)+O12*kg_Bois8_to_kgGES+Q12*kg_Bois35_to_kgGES+S12*lbs_vapeur_to_kgGES+U12*MBTU_eaurefroidie_to_kgGES+W12*MBTU_eauchaude_to_kgGES)/1000</f>
        <v>0</v>
      </c>
      <c r="AD12" s="103">
        <f t="shared" si="5"/>
        <v>0</v>
      </c>
      <c r="AE12" s="104">
        <f t="shared" si="1"/>
        <v>4.9000000000000004</v>
      </c>
      <c r="AF12" s="49">
        <f>SUM(AE9:AE11)</f>
        <v>396.6</v>
      </c>
      <c r="AG12" s="49">
        <v>9</v>
      </c>
    </row>
    <row r="13" spans="1:33" ht="17.25" customHeight="1">
      <c r="A13" s="15">
        <f t="shared" si="6"/>
        <v>40391</v>
      </c>
      <c r="B13" s="85"/>
      <c r="C13" s="32"/>
      <c r="D13" s="87"/>
      <c r="E13" s="32"/>
      <c r="F13" s="87"/>
      <c r="G13" s="32"/>
      <c r="H13" s="87"/>
      <c r="I13" s="32"/>
      <c r="J13" s="87"/>
      <c r="K13" s="32"/>
      <c r="L13" s="34"/>
      <c r="M13" s="32"/>
      <c r="N13" s="87"/>
      <c r="O13" s="32"/>
      <c r="P13" s="87"/>
      <c r="Q13" s="32"/>
      <c r="R13" s="87"/>
      <c r="S13" s="32"/>
      <c r="T13" s="87"/>
      <c r="U13" s="32"/>
      <c r="V13" s="87"/>
      <c r="W13" s="32"/>
      <c r="X13" s="87"/>
      <c r="Y13" s="99">
        <f t="shared" si="0"/>
        <v>0</v>
      </c>
      <c r="Z13" s="217">
        <f t="shared" si="2"/>
        <v>0</v>
      </c>
      <c r="AA13" s="100" t="str">
        <f t="shared" si="3"/>
        <v/>
      </c>
      <c r="AB13" s="101" t="str">
        <f t="shared" si="4"/>
        <v/>
      </c>
      <c r="AC13" s="102">
        <f>(C13*kWh_Élect_to_kgGES+E13*IF(U_GNat="[m³]",m3_GazNat_to_kgGES,Conversion!$H$27)+G13*IF(U_Ma2="[l]",L_Mazout2_to_kgGES,Conversion!$H$29)+I13*IF(U_Ma6="[l]",L_Mazout6_to_kgGES,Conversion!$H$31)+K13*L_Mazout2_to_kgGES+M13*IF(U_Prop="[l]",L_Propane_to_kgGES,Conversion!$H$35)+O13*kg_Bois8_to_kgGES+Q13*kg_Bois35_to_kgGES+S13*lbs_vapeur_to_kgGES+U13*MBTU_eaurefroidie_to_kgGES+W13*MBTU_eauchaude_to_kgGES)/1000</f>
        <v>0</v>
      </c>
      <c r="AD13" s="103">
        <f t="shared" si="5"/>
        <v>0</v>
      </c>
      <c r="AE13" s="104">
        <f t="shared" si="1"/>
        <v>9.4</v>
      </c>
      <c r="AF13" s="49">
        <f>SUM(AE9:AE12)</f>
        <v>401.5</v>
      </c>
      <c r="AG13" s="49">
        <v>8</v>
      </c>
    </row>
    <row r="14" spans="1:33" ht="17.25" customHeight="1">
      <c r="A14" s="15">
        <f t="shared" si="6"/>
        <v>40422</v>
      </c>
      <c r="B14" s="85"/>
      <c r="C14" s="32"/>
      <c r="D14" s="87"/>
      <c r="E14" s="32"/>
      <c r="F14" s="87"/>
      <c r="G14" s="32"/>
      <c r="H14" s="87"/>
      <c r="I14" s="32"/>
      <c r="J14" s="87"/>
      <c r="K14" s="32"/>
      <c r="L14" s="34"/>
      <c r="M14" s="32"/>
      <c r="N14" s="87"/>
      <c r="O14" s="32"/>
      <c r="P14" s="87"/>
      <c r="Q14" s="32"/>
      <c r="R14" s="87"/>
      <c r="S14" s="32"/>
      <c r="T14" s="87"/>
      <c r="U14" s="32"/>
      <c r="V14" s="87"/>
      <c r="W14" s="32"/>
      <c r="X14" s="87"/>
      <c r="Y14" s="99">
        <f t="shared" si="0"/>
        <v>0</v>
      </c>
      <c r="Z14" s="217">
        <f t="shared" si="2"/>
        <v>0</v>
      </c>
      <c r="AA14" s="100" t="str">
        <f t="shared" si="3"/>
        <v/>
      </c>
      <c r="AB14" s="101" t="str">
        <f t="shared" si="4"/>
        <v/>
      </c>
      <c r="AC14" s="102">
        <f>(C14*kWh_Élect_to_kgGES+E14*IF(U_GNat="[m³]",m3_GazNat_to_kgGES,Conversion!$H$27)+G14*IF(U_Ma2="[l]",L_Mazout2_to_kgGES,Conversion!$H$29)+I14*IF(U_Ma6="[l]",L_Mazout6_to_kgGES,Conversion!$H$31)+K14*L_Mazout2_to_kgGES+M14*IF(U_Prop="[l]",L_Propane_to_kgGES,Conversion!$H$35)+O14*kg_Bois8_to_kgGES+Q14*kg_Bois35_to_kgGES+S14*lbs_vapeur_to_kgGES+U14*MBTU_eaurefroidie_to_kgGES+W14*MBTU_eauchaude_to_kgGES)/1000</f>
        <v>0</v>
      </c>
      <c r="AD14" s="103">
        <f t="shared" si="5"/>
        <v>0</v>
      </c>
      <c r="AE14" s="104">
        <f t="shared" si="1"/>
        <v>84.4</v>
      </c>
      <c r="AF14" s="49">
        <f>SUM(AE9:AE13)</f>
        <v>410.9</v>
      </c>
      <c r="AG14" s="49">
        <v>7</v>
      </c>
    </row>
    <row r="15" spans="1:33" ht="17.25" customHeight="1">
      <c r="A15" s="15">
        <f t="shared" si="6"/>
        <v>40452</v>
      </c>
      <c r="B15" s="85"/>
      <c r="C15" s="32"/>
      <c r="D15" s="87"/>
      <c r="E15" s="32"/>
      <c r="F15" s="87"/>
      <c r="G15" s="32"/>
      <c r="H15" s="87"/>
      <c r="I15" s="32"/>
      <c r="J15" s="87"/>
      <c r="K15" s="32"/>
      <c r="L15" s="34"/>
      <c r="M15" s="32"/>
      <c r="N15" s="87"/>
      <c r="O15" s="32"/>
      <c r="P15" s="87"/>
      <c r="Q15" s="32"/>
      <c r="R15" s="87"/>
      <c r="S15" s="32"/>
      <c r="T15" s="87"/>
      <c r="U15" s="32"/>
      <c r="V15" s="87"/>
      <c r="W15" s="32"/>
      <c r="X15" s="87"/>
      <c r="Y15" s="99">
        <f t="shared" si="0"/>
        <v>0</v>
      </c>
      <c r="Z15" s="217">
        <f t="shared" si="2"/>
        <v>0</v>
      </c>
      <c r="AA15" s="100" t="str">
        <f t="shared" si="3"/>
        <v/>
      </c>
      <c r="AB15" s="101" t="str">
        <f t="shared" si="4"/>
        <v/>
      </c>
      <c r="AC15" s="102">
        <f>(C15*kWh_Élect_to_kgGES+E15*IF(U_GNat="[m³]",m3_GazNat_to_kgGES,Conversion!$H$27)+G15*IF(U_Ma2="[l]",L_Mazout2_to_kgGES,Conversion!$H$29)+I15*IF(U_Ma6="[l]",L_Mazout6_to_kgGES,Conversion!$H$31)+K15*L_Mazout2_to_kgGES+M15*IF(U_Prop="[l]",L_Propane_to_kgGES,Conversion!$H$35)+O15*kg_Bois8_to_kgGES+Q15*kg_Bois35_to_kgGES+S15*lbs_vapeur_to_kgGES+U15*MBTU_eaurefroidie_to_kgGES+W15*MBTU_eauchaude_to_kgGES)/1000</f>
        <v>0</v>
      </c>
      <c r="AD15" s="103">
        <f t="shared" si="5"/>
        <v>0</v>
      </c>
      <c r="AE15" s="104">
        <f t="shared" si="1"/>
        <v>300.5</v>
      </c>
      <c r="AF15" s="49">
        <f>SUM(AE9:AE14)</f>
        <v>495.29999999999995</v>
      </c>
      <c r="AG15" s="49">
        <v>6</v>
      </c>
    </row>
    <row r="16" spans="1:33" ht="17.25" customHeight="1">
      <c r="A16" s="15">
        <f t="shared" si="6"/>
        <v>40483</v>
      </c>
      <c r="B16" s="85"/>
      <c r="C16" s="32"/>
      <c r="D16" s="87"/>
      <c r="E16" s="32"/>
      <c r="F16" s="87"/>
      <c r="G16" s="32"/>
      <c r="H16" s="87"/>
      <c r="I16" s="32"/>
      <c r="J16" s="87"/>
      <c r="K16" s="32"/>
      <c r="L16" s="34"/>
      <c r="M16" s="32"/>
      <c r="N16" s="87"/>
      <c r="O16" s="32"/>
      <c r="P16" s="87"/>
      <c r="Q16" s="32"/>
      <c r="R16" s="87"/>
      <c r="S16" s="32"/>
      <c r="T16" s="87"/>
      <c r="U16" s="32"/>
      <c r="V16" s="87"/>
      <c r="W16" s="32"/>
      <c r="X16" s="87"/>
      <c r="Y16" s="99">
        <f t="shared" si="0"/>
        <v>0</v>
      </c>
      <c r="Z16" s="217">
        <f t="shared" si="2"/>
        <v>0</v>
      </c>
      <c r="AA16" s="100" t="str">
        <f t="shared" si="3"/>
        <v/>
      </c>
      <c r="AB16" s="101" t="str">
        <f t="shared" si="4"/>
        <v/>
      </c>
      <c r="AC16" s="102">
        <f>(C16*kWh_Élect_to_kgGES+E16*IF(U_GNat="[m³]",m3_GazNat_to_kgGES,Conversion!$H$27)+G16*IF(U_Ma2="[l]",L_Mazout2_to_kgGES,Conversion!$H$29)+I16*IF(U_Ma6="[l]",L_Mazout6_to_kgGES,Conversion!$H$31)+K16*L_Mazout2_to_kgGES+M16*IF(U_Prop="[l]",L_Propane_to_kgGES,Conversion!$H$35)+O16*kg_Bois8_to_kgGES+Q16*kg_Bois35_to_kgGES+S16*lbs_vapeur_to_kgGES+U16*MBTU_eaurefroidie_to_kgGES+W16*MBTU_eauchaude_to_kgGES)/1000</f>
        <v>0</v>
      </c>
      <c r="AD16" s="103">
        <f t="shared" si="5"/>
        <v>0</v>
      </c>
      <c r="AE16" s="104">
        <f t="shared" si="1"/>
        <v>466.6</v>
      </c>
      <c r="AF16" s="49">
        <f>SUM(AE9:AE15)</f>
        <v>795.8</v>
      </c>
      <c r="AG16" s="49">
        <v>5</v>
      </c>
    </row>
    <row r="17" spans="1:40" ht="17.25" customHeight="1">
      <c r="A17" s="15">
        <f t="shared" si="6"/>
        <v>40513</v>
      </c>
      <c r="B17" s="85"/>
      <c r="C17" s="32"/>
      <c r="D17" s="87"/>
      <c r="E17" s="32"/>
      <c r="F17" s="87"/>
      <c r="G17" s="32"/>
      <c r="H17" s="87"/>
      <c r="I17" s="32"/>
      <c r="J17" s="87"/>
      <c r="K17" s="32"/>
      <c r="L17" s="34"/>
      <c r="M17" s="32"/>
      <c r="N17" s="87"/>
      <c r="O17" s="32"/>
      <c r="P17" s="87"/>
      <c r="Q17" s="32"/>
      <c r="R17" s="87"/>
      <c r="S17" s="32"/>
      <c r="T17" s="87"/>
      <c r="U17" s="32"/>
      <c r="V17" s="87"/>
      <c r="W17" s="32"/>
      <c r="X17" s="87"/>
      <c r="Y17" s="99">
        <f t="shared" si="0"/>
        <v>0</v>
      </c>
      <c r="Z17" s="217">
        <f t="shared" si="2"/>
        <v>0</v>
      </c>
      <c r="AA17" s="100" t="str">
        <f t="shared" si="3"/>
        <v/>
      </c>
      <c r="AB17" s="101" t="str">
        <f t="shared" si="4"/>
        <v/>
      </c>
      <c r="AC17" s="102">
        <f>(C17*kWh_Élect_to_kgGES+E17*IF(U_GNat="[m³]",m3_GazNat_to_kgGES,Conversion!$H$27)+G17*IF(U_Ma2="[l]",L_Mazout2_to_kgGES,Conversion!$H$29)+I17*IF(U_Ma6="[l]",L_Mazout6_to_kgGES,Conversion!$H$31)+K17*L_Mazout2_to_kgGES+M17*IF(U_Prop="[l]",L_Propane_to_kgGES,Conversion!$H$35)+O17*kg_Bois8_to_kgGES+Q17*kg_Bois35_to_kgGES+S17*lbs_vapeur_to_kgGES+U17*MBTU_eaurefroidie_to_kgGES+W17*MBTU_eauchaude_to_kgGES)/1000</f>
        <v>0</v>
      </c>
      <c r="AD17" s="103">
        <f t="shared" si="5"/>
        <v>0</v>
      </c>
      <c r="AE17" s="104">
        <f t="shared" si="1"/>
        <v>739</v>
      </c>
      <c r="AF17" s="49">
        <f>SUM(AE9:AE16)</f>
        <v>1262.4000000000001</v>
      </c>
      <c r="AG17" s="49">
        <v>4</v>
      </c>
    </row>
    <row r="18" spans="1:40" ht="17.25" customHeight="1">
      <c r="A18" s="15">
        <f t="shared" si="6"/>
        <v>40544</v>
      </c>
      <c r="B18" s="85"/>
      <c r="C18" s="32"/>
      <c r="D18" s="87"/>
      <c r="E18" s="32"/>
      <c r="F18" s="87"/>
      <c r="G18" s="32"/>
      <c r="H18" s="87"/>
      <c r="I18" s="32"/>
      <c r="J18" s="87"/>
      <c r="K18" s="32"/>
      <c r="L18" s="34"/>
      <c r="M18" s="32"/>
      <c r="N18" s="87"/>
      <c r="O18" s="32"/>
      <c r="P18" s="87"/>
      <c r="Q18" s="32"/>
      <c r="R18" s="87"/>
      <c r="S18" s="32"/>
      <c r="T18" s="87"/>
      <c r="U18" s="32"/>
      <c r="V18" s="87"/>
      <c r="W18" s="32"/>
      <c r="X18" s="87"/>
      <c r="Y18" s="99">
        <f t="shared" si="0"/>
        <v>0</v>
      </c>
      <c r="Z18" s="217">
        <f t="shared" si="2"/>
        <v>0</v>
      </c>
      <c r="AA18" s="100" t="str">
        <f t="shared" si="3"/>
        <v/>
      </c>
      <c r="AB18" s="101" t="str">
        <f t="shared" si="4"/>
        <v/>
      </c>
      <c r="AC18" s="102">
        <f>(C18*kWh_Élect_to_kgGES+E18*IF(U_GNat="[m³]",m3_GazNat_to_kgGES,Conversion!$H$27)+G18*IF(U_Ma2="[l]",L_Mazout2_to_kgGES,Conversion!$H$29)+I18*IF(U_Ma6="[l]",L_Mazout6_to_kgGES,Conversion!$H$31)+K18*L_Mazout2_to_kgGES+M18*IF(U_Prop="[l]",L_Propane_to_kgGES,Conversion!$H$35)+O18*kg_Bois8_to_kgGES+Q18*kg_Bois35_to_kgGES+S18*lbs_vapeur_to_kgGES+U18*MBTU_eaurefroidie_to_kgGES+W18*MBTU_eauchaude_to_kgGES)/1000</f>
        <v>0</v>
      </c>
      <c r="AD18" s="103">
        <f t="shared" si="5"/>
        <v>0</v>
      </c>
      <c r="AE18" s="104">
        <f t="shared" si="1"/>
        <v>851.5</v>
      </c>
      <c r="AF18" s="49">
        <f>SUM(AE9:AE17)</f>
        <v>2001.4</v>
      </c>
      <c r="AG18" s="49">
        <v>3</v>
      </c>
    </row>
    <row r="19" spans="1:40" ht="17.25" customHeight="1">
      <c r="A19" s="15">
        <f t="shared" si="6"/>
        <v>40575</v>
      </c>
      <c r="B19" s="85"/>
      <c r="C19" s="32"/>
      <c r="D19" s="87"/>
      <c r="E19" s="32"/>
      <c r="F19" s="87"/>
      <c r="G19" s="32"/>
      <c r="H19" s="87"/>
      <c r="I19" s="32"/>
      <c r="J19" s="87"/>
      <c r="K19" s="32"/>
      <c r="L19" s="34"/>
      <c r="M19" s="32"/>
      <c r="N19" s="87"/>
      <c r="O19" s="32"/>
      <c r="P19" s="87"/>
      <c r="Q19" s="32"/>
      <c r="R19" s="87"/>
      <c r="S19" s="32"/>
      <c r="T19" s="87"/>
      <c r="U19" s="32"/>
      <c r="V19" s="87"/>
      <c r="W19" s="32"/>
      <c r="X19" s="87"/>
      <c r="Y19" s="99">
        <f t="shared" si="0"/>
        <v>0</v>
      </c>
      <c r="Z19" s="217">
        <f t="shared" si="2"/>
        <v>0</v>
      </c>
      <c r="AA19" s="100" t="str">
        <f t="shared" si="3"/>
        <v/>
      </c>
      <c r="AB19" s="101" t="str">
        <f t="shared" si="4"/>
        <v/>
      </c>
      <c r="AC19" s="102">
        <f>(C19*kWh_Élect_to_kgGES+E19*IF(U_GNat="[m³]",m3_GazNat_to_kgGES,Conversion!$H$27)+G19*IF(U_Ma2="[l]",L_Mazout2_to_kgGES,Conversion!$H$29)+I19*IF(U_Ma6="[l]",L_Mazout6_to_kgGES,Conversion!$H$31)+K19*L_Mazout2_to_kgGES+M19*IF(U_Prop="[l]",L_Propane_to_kgGES,Conversion!$H$35)+O19*kg_Bois8_to_kgGES+Q19*kg_Bois35_to_kgGES+S19*lbs_vapeur_to_kgGES+U19*MBTU_eaurefroidie_to_kgGES+W19*MBTU_eauchaude_to_kgGES)/1000</f>
        <v>0</v>
      </c>
      <c r="AD19" s="103">
        <f t="shared" si="5"/>
        <v>0</v>
      </c>
      <c r="AE19" s="104">
        <f t="shared" si="1"/>
        <v>716.1</v>
      </c>
      <c r="AF19" s="49">
        <f>SUM(AE9:AE18)</f>
        <v>2852.9</v>
      </c>
      <c r="AG19" s="49">
        <v>2</v>
      </c>
    </row>
    <row r="20" spans="1:40" ht="17.25" customHeight="1" thickBot="1">
      <c r="A20" s="16">
        <f t="shared" si="6"/>
        <v>40603</v>
      </c>
      <c r="B20" s="85"/>
      <c r="C20" s="32"/>
      <c r="D20" s="87"/>
      <c r="E20" s="32"/>
      <c r="F20" s="87"/>
      <c r="G20" s="32"/>
      <c r="H20" s="87"/>
      <c r="I20" s="32"/>
      <c r="J20" s="87"/>
      <c r="K20" s="32"/>
      <c r="L20" s="34"/>
      <c r="M20" s="32"/>
      <c r="N20" s="87"/>
      <c r="O20" s="32"/>
      <c r="P20" s="87"/>
      <c r="Q20" s="32"/>
      <c r="R20" s="87"/>
      <c r="S20" s="32"/>
      <c r="T20" s="87"/>
      <c r="U20" s="32"/>
      <c r="V20" s="87"/>
      <c r="W20" s="32"/>
      <c r="X20" s="87"/>
      <c r="Y20" s="99">
        <f t="shared" si="0"/>
        <v>0</v>
      </c>
      <c r="Z20" s="217">
        <f t="shared" si="2"/>
        <v>0</v>
      </c>
      <c r="AA20" s="100" t="str">
        <f t="shared" si="3"/>
        <v/>
      </c>
      <c r="AB20" s="101" t="str">
        <f t="shared" si="4"/>
        <v/>
      </c>
      <c r="AC20" s="102">
        <f>(C20*kWh_Élect_to_kgGES+E20*IF(U_GNat="[m³]",m3_GazNat_to_kgGES,Conversion!$H$27)+G20*IF(U_Ma2="[l]",L_Mazout2_to_kgGES,Conversion!$H$29)+I20*IF(U_Ma6="[l]",L_Mazout6_to_kgGES,Conversion!$H$31)+K20*L_Mazout2_to_kgGES+M20*IF(U_Prop="[l]",L_Propane_to_kgGES,Conversion!$H$35)+O20*kg_Bois8_to_kgGES+Q20*kg_Bois35_to_kgGES+S20*lbs_vapeur_to_kgGES+U20*MBTU_eaurefroidie_to_kgGES+W20*MBTU_eauchaude_to_kgGES)/1000</f>
        <v>0</v>
      </c>
      <c r="AD20" s="103">
        <f t="shared" si="5"/>
        <v>0</v>
      </c>
      <c r="AE20" s="104">
        <f t="shared" si="1"/>
        <v>618.4</v>
      </c>
      <c r="AF20" s="49">
        <f>SUM(AE9:AE19)</f>
        <v>3569</v>
      </c>
      <c r="AG20" s="49">
        <v>1</v>
      </c>
    </row>
    <row r="21" spans="1:40" ht="20.25" customHeight="1" thickTop="1">
      <c r="A21" s="3" t="s">
        <v>53</v>
      </c>
      <c r="B21" s="35">
        <f>IFERROR(AVERAGE(B9:B20),0)</f>
        <v>0</v>
      </c>
      <c r="C21" s="35">
        <f t="shared" ref="C21:X21" si="7">SUM(C9:C20)</f>
        <v>0</v>
      </c>
      <c r="D21" s="536">
        <f t="shared" si="7"/>
        <v>0</v>
      </c>
      <c r="E21" s="35">
        <f t="shared" si="7"/>
        <v>0</v>
      </c>
      <c r="F21" s="536">
        <f t="shared" si="7"/>
        <v>0</v>
      </c>
      <c r="G21" s="35">
        <f t="shared" si="7"/>
        <v>0</v>
      </c>
      <c r="H21" s="536">
        <f t="shared" si="7"/>
        <v>0</v>
      </c>
      <c r="I21" s="35">
        <f t="shared" si="7"/>
        <v>0</v>
      </c>
      <c r="J21" s="536">
        <f t="shared" si="7"/>
        <v>0</v>
      </c>
      <c r="K21" s="35">
        <f t="shared" si="7"/>
        <v>0</v>
      </c>
      <c r="L21" s="536">
        <f t="shared" si="7"/>
        <v>0</v>
      </c>
      <c r="M21" s="35">
        <f t="shared" si="7"/>
        <v>0</v>
      </c>
      <c r="N21" s="536">
        <f t="shared" si="7"/>
        <v>0</v>
      </c>
      <c r="O21" s="35">
        <f t="shared" si="7"/>
        <v>0</v>
      </c>
      <c r="P21" s="536">
        <f t="shared" si="7"/>
        <v>0</v>
      </c>
      <c r="Q21" s="35">
        <f t="shared" si="7"/>
        <v>0</v>
      </c>
      <c r="R21" s="536">
        <f t="shared" si="7"/>
        <v>0</v>
      </c>
      <c r="S21" s="35">
        <f t="shared" si="7"/>
        <v>0</v>
      </c>
      <c r="T21" s="536">
        <f t="shared" si="7"/>
        <v>0</v>
      </c>
      <c r="U21" s="35">
        <f t="shared" si="7"/>
        <v>0</v>
      </c>
      <c r="V21" s="536">
        <f t="shared" si="7"/>
        <v>0</v>
      </c>
      <c r="W21" s="35">
        <f t="shared" si="7"/>
        <v>0</v>
      </c>
      <c r="X21" s="536">
        <f t="shared" si="7"/>
        <v>0</v>
      </c>
      <c r="Y21" s="263">
        <f t="shared" si="0"/>
        <v>0</v>
      </c>
      <c r="Z21" s="537">
        <f>D21+F21+H21+J21+L21+N21+P21+R21+T21+V21+X21+L21</f>
        <v>0</v>
      </c>
      <c r="AA21" s="265" t="str">
        <f>IF(ISERROR(Y21/B21),"",Y21/B21)</f>
        <v/>
      </c>
      <c r="AB21" s="266" t="str">
        <f>IF(ISERROR(Z21/B21),"",Z21/B21)</f>
        <v/>
      </c>
      <c r="AC21" s="263">
        <f>(C21*kWh_Élect_to_kgGES+E21*IF(U_GNat="[m³]",m3_GazNat_to_kgGES,Conversion!$H$27)+G21*IF(U_Ma2="[l]",L_Mazout2_to_kgGES,Conversion!$H$29)+I21*IF(U_Ma6="[l]",L_Mazout6_to_kgGES,Conversion!$H$31)+K21*L_Mazout2_to_kgGES+M21*IF(U_Prop="[l]",L_Propane_to_kgGES,Conversion!$H$35)+O21*kg_Bois8_to_kgGES+Q21*kg_Bois35_to_kgGES+S21*lbs_vapeur_to_kgGES+U21*MBTU_eaurefroidie_to_kgGES+W21*MBTU_eauchaude_to_kgGES)/1000</f>
        <v>0</v>
      </c>
      <c r="AD21" s="267">
        <f>(IF(ISERROR(AC21/B21),0,(AC21/B21)))*1000</f>
        <v>0</v>
      </c>
      <c r="AE21" s="268">
        <f>SUM(AE9:AE20)</f>
        <v>4187.3999999999996</v>
      </c>
      <c r="AF21" s="49">
        <f>AF9/AF20</f>
        <v>0</v>
      </c>
    </row>
    <row r="22" spans="1:40">
      <c r="A22" s="27">
        <v>2010</v>
      </c>
      <c r="B22" s="27" t="s">
        <v>114</v>
      </c>
      <c r="C22" s="28" t="s">
        <v>115</v>
      </c>
      <c r="D22" s="28" t="s">
        <v>116</v>
      </c>
      <c r="E22" s="28" t="s">
        <v>117</v>
      </c>
      <c r="F22" s="28" t="s">
        <v>118</v>
      </c>
      <c r="G22" s="28" t="s">
        <v>119</v>
      </c>
      <c r="H22" s="28" t="s">
        <v>120</v>
      </c>
      <c r="I22" s="28" t="s">
        <v>121</v>
      </c>
      <c r="J22" s="28" t="s">
        <v>122</v>
      </c>
      <c r="K22" s="524"/>
      <c r="L22" s="524"/>
      <c r="M22" s="28" t="s">
        <v>123</v>
      </c>
      <c r="N22" s="28" t="s">
        <v>124</v>
      </c>
      <c r="O22" s="28" t="s">
        <v>125</v>
      </c>
      <c r="P22" s="28" t="s">
        <v>126</v>
      </c>
      <c r="Q22" s="28" t="s">
        <v>127</v>
      </c>
      <c r="R22" s="28" t="s">
        <v>128</v>
      </c>
      <c r="S22" s="28"/>
      <c r="T22" s="28"/>
      <c r="U22" s="28"/>
      <c r="V22" s="28"/>
      <c r="W22" s="28"/>
      <c r="X22" s="28"/>
      <c r="Y22" s="47" t="s">
        <v>129</v>
      </c>
      <c r="Z22" s="47" t="s">
        <v>130</v>
      </c>
      <c r="AA22" s="47" t="s">
        <v>131</v>
      </c>
      <c r="AB22" s="47" t="s">
        <v>132</v>
      </c>
      <c r="AC22" s="47" t="s">
        <v>133</v>
      </c>
      <c r="AD22" s="48" t="s">
        <v>134</v>
      </c>
      <c r="AE22" s="47" t="s">
        <v>135</v>
      </c>
    </row>
    <row r="23" spans="1:40" ht="16.8">
      <c r="A23" s="123" t="s">
        <v>378</v>
      </c>
      <c r="B23" s="26"/>
      <c r="C23" s="46"/>
      <c r="D23" s="46"/>
      <c r="E23" s="46"/>
      <c r="F23" s="46"/>
      <c r="G23" s="46"/>
      <c r="H23" s="50"/>
      <c r="I23" s="46"/>
      <c r="J23" s="46"/>
      <c r="K23" s="46"/>
      <c r="L23" s="46"/>
      <c r="M23" s="46"/>
      <c r="N23" s="47"/>
      <c r="O23" s="47"/>
      <c r="P23" s="47"/>
      <c r="Q23" s="47"/>
      <c r="R23" s="47"/>
      <c r="S23" s="47"/>
      <c r="T23" s="47"/>
      <c r="U23" s="47"/>
      <c r="V23" s="47"/>
      <c r="X23" s="47"/>
      <c r="Y23" s="47"/>
      <c r="Z23" s="47"/>
      <c r="AA23" s="47"/>
      <c r="AB23" s="48"/>
      <c r="AC23" s="47"/>
    </row>
    <row r="24" spans="1:40" ht="15" thickBot="1">
      <c r="A24" s="26"/>
      <c r="B24" s="26"/>
      <c r="C24" s="46"/>
      <c r="D24" s="46"/>
      <c r="E24" s="46"/>
      <c r="F24" s="46"/>
      <c r="G24" s="46"/>
      <c r="H24" s="46"/>
      <c r="I24" s="46"/>
      <c r="J24" s="46"/>
      <c r="K24" s="46"/>
      <c r="L24" s="46"/>
      <c r="M24" s="46"/>
      <c r="N24" s="168">
        <v>167744.38471070101</v>
      </c>
      <c r="O24" s="47"/>
      <c r="P24" s="47"/>
      <c r="Q24" s="47"/>
      <c r="R24" s="47"/>
      <c r="S24" s="47"/>
      <c r="T24" s="47"/>
      <c r="U24" s="47"/>
      <c r="V24" s="47"/>
      <c r="X24" s="47"/>
      <c r="Y24" s="47"/>
      <c r="Z24" s="47"/>
      <c r="AA24" s="47"/>
      <c r="AB24" s="48"/>
      <c r="AC24" s="47"/>
    </row>
    <row r="25" spans="1:40" ht="18.600000000000001" thickTop="1">
      <c r="A25" s="560" t="s">
        <v>804</v>
      </c>
      <c r="B25" s="561"/>
      <c r="C25" s="561"/>
      <c r="D25" s="561"/>
      <c r="E25" s="561"/>
      <c r="F25" s="561"/>
      <c r="G25" s="561"/>
      <c r="H25" s="562"/>
      <c r="I25" s="26"/>
      <c r="J25" s="46"/>
      <c r="K25" s="46"/>
      <c r="L25" s="46"/>
      <c r="M25" s="46"/>
      <c r="N25" s="47"/>
      <c r="O25" s="47"/>
      <c r="P25" s="47"/>
      <c r="Q25" s="47"/>
      <c r="R25" s="47"/>
      <c r="S25" s="47"/>
      <c r="T25" s="47"/>
      <c r="U25" s="47"/>
      <c r="V25" s="47"/>
      <c r="X25" s="47" t="s">
        <v>337</v>
      </c>
      <c r="AA25" s="47">
        <f>Lim_bas</f>
        <v>0</v>
      </c>
      <c r="AB25" s="47">
        <f>Lim_haut</f>
        <v>0</v>
      </c>
      <c r="AC25" s="89"/>
      <c r="AD25" s="25"/>
      <c r="AE25" s="25"/>
      <c r="AF25" s="25"/>
      <c r="AG25" s="25"/>
      <c r="AH25" s="25"/>
      <c r="AI25" s="25"/>
      <c r="AJ25" s="25"/>
      <c r="AK25" s="25"/>
      <c r="AL25" s="25"/>
      <c r="AM25" s="25"/>
      <c r="AN25" s="25"/>
    </row>
    <row r="26" spans="1:40" ht="30" customHeight="1" thickBot="1">
      <c r="A26" s="26"/>
      <c r="B26" s="26"/>
      <c r="C26" s="46"/>
      <c r="D26" s="46"/>
      <c r="E26" s="46"/>
      <c r="F26" s="46"/>
      <c r="G26" s="46"/>
      <c r="H26" s="46"/>
      <c r="I26" s="46"/>
      <c r="J26" s="46"/>
      <c r="K26" s="46"/>
      <c r="L26" s="46"/>
      <c r="M26" s="46"/>
      <c r="N26" s="47"/>
      <c r="O26" s="47"/>
      <c r="P26" s="47"/>
      <c r="Q26" s="47"/>
      <c r="R26" s="47"/>
      <c r="S26" s="47"/>
      <c r="T26" s="47"/>
      <c r="U26" s="47"/>
      <c r="V26" s="47"/>
      <c r="AC26" s="25"/>
      <c r="AD26" s="25"/>
      <c r="AE26" s="25"/>
      <c r="AF26" s="25"/>
      <c r="AG26" s="25"/>
      <c r="AH26" s="25"/>
      <c r="AI26" s="25"/>
      <c r="AJ26" s="25"/>
      <c r="AK26" s="25"/>
      <c r="AL26" s="25"/>
      <c r="AM26" s="25"/>
      <c r="AN26" s="25"/>
    </row>
    <row r="27" spans="1:40" ht="160.5" customHeight="1" thickTop="1">
      <c r="A27" s="556" t="s">
        <v>374</v>
      </c>
      <c r="B27" s="557"/>
      <c r="C27" s="564" t="s">
        <v>788</v>
      </c>
      <c r="D27" s="564"/>
      <c r="E27" s="564"/>
      <c r="F27" s="564"/>
      <c r="G27" s="564"/>
      <c r="H27" s="564"/>
      <c r="I27" s="564"/>
      <c r="J27" s="564"/>
      <c r="K27" s="564"/>
      <c r="L27" s="564"/>
      <c r="N27" s="47"/>
      <c r="O27" s="47"/>
      <c r="P27" s="47"/>
      <c r="Q27" s="47"/>
      <c r="R27" s="47"/>
      <c r="S27" s="47"/>
      <c r="T27" s="47"/>
      <c r="U27" s="47"/>
      <c r="V27" s="47"/>
      <c r="Y27" s="47"/>
      <c r="Z27" s="47"/>
      <c r="AA27" s="47"/>
      <c r="AB27" s="47"/>
      <c r="AC27" s="89"/>
      <c r="AD27" s="25"/>
      <c r="AE27" s="25"/>
      <c r="AF27" s="25"/>
      <c r="AG27" s="25"/>
      <c r="AH27" s="25"/>
      <c r="AI27" s="25"/>
      <c r="AJ27" s="25"/>
      <c r="AK27" s="25"/>
      <c r="AL27" s="25"/>
      <c r="AM27" s="25"/>
      <c r="AN27" s="25"/>
    </row>
    <row r="28" spans="1:40" ht="15" thickBot="1">
      <c r="A28" s="23"/>
      <c r="B28" s="23"/>
      <c r="N28" s="47"/>
      <c r="O28" s="47"/>
      <c r="P28" s="47"/>
      <c r="Q28" s="47"/>
      <c r="R28" s="47"/>
      <c r="S28" s="47"/>
      <c r="T28" s="47"/>
      <c r="U28" s="47"/>
      <c r="V28" s="47"/>
      <c r="X28" s="47"/>
      <c r="Z28" s="47"/>
      <c r="AA28" s="169"/>
      <c r="AB28" s="47"/>
      <c r="AC28" s="89"/>
      <c r="AD28" s="25"/>
      <c r="AE28" s="25"/>
      <c r="AF28" s="25"/>
      <c r="AG28" s="25"/>
      <c r="AH28" s="25"/>
      <c r="AI28" s="25"/>
      <c r="AJ28" s="25"/>
      <c r="AK28" s="25"/>
      <c r="AL28" s="25"/>
      <c r="AM28" s="25"/>
      <c r="AN28" s="25"/>
    </row>
    <row r="29" spans="1:40" ht="44.4" thickTop="1" thickBot="1">
      <c r="B29" s="12" t="s">
        <v>64</v>
      </c>
      <c r="C29" s="12" t="s">
        <v>426</v>
      </c>
      <c r="D29" s="12" t="s">
        <v>338</v>
      </c>
      <c r="E29" s="12" t="s">
        <v>427</v>
      </c>
      <c r="F29" s="12"/>
      <c r="G29" s="12" t="s">
        <v>72</v>
      </c>
      <c r="H29" s="12" t="s">
        <v>71</v>
      </c>
      <c r="I29" s="12" t="s">
        <v>360</v>
      </c>
      <c r="J29" s="12" t="s">
        <v>361</v>
      </c>
      <c r="K29" s="46"/>
      <c r="L29" s="46"/>
      <c r="M29" s="46"/>
      <c r="N29" s="47"/>
      <c r="O29" s="47"/>
      <c r="P29" s="47"/>
      <c r="Q29" s="47"/>
      <c r="R29" s="47"/>
      <c r="S29" s="47"/>
      <c r="T29" s="47"/>
      <c r="U29" s="47"/>
      <c r="V29" s="47"/>
      <c r="X29" s="57" t="s">
        <v>54</v>
      </c>
      <c r="Y29" s="61">
        <f>((1-Facteur_variable)+Facteur_variable*DJC_tot_10_11/DJC_tot_09_10)*GJ_Tot_09_10+GJ_Ajust_NP_Cour_10_11</f>
        <v>0</v>
      </c>
      <c r="Z29" s="49" t="s">
        <v>345</v>
      </c>
      <c r="AA29" s="47"/>
      <c r="AB29" s="169" t="s">
        <v>346</v>
      </c>
      <c r="AC29" s="89"/>
      <c r="AD29" s="25"/>
      <c r="AE29" s="25"/>
      <c r="AF29" s="25"/>
      <c r="AG29" s="25"/>
      <c r="AH29" s="25"/>
      <c r="AI29" s="25"/>
      <c r="AJ29" s="25"/>
      <c r="AK29" s="25"/>
      <c r="AL29" s="25"/>
      <c r="AM29" s="25"/>
      <c r="AN29" s="25"/>
    </row>
    <row r="30" spans="1:40" ht="35.25" customHeight="1" thickTop="1">
      <c r="B30" s="90" t="s">
        <v>419</v>
      </c>
      <c r="C30" s="90"/>
      <c r="D30" s="90"/>
      <c r="E30" s="91"/>
      <c r="F30" s="92" t="str">
        <f>IF(D30="électrique","kWh",IF(D30="Gaz naturel","m³",IF(LEFT(D30,1)="R","1000 kg","l")))</f>
        <v>l</v>
      </c>
      <c r="G30" s="90"/>
      <c r="H30" s="93"/>
      <c r="I30" s="94">
        <f>IF(COUNTA(G30)=1,IF(C30="Réduction",-1,IF(C30="Augmentation",1,0))*E30*INDEX(Conversion!$A$24:$J$40,MATCH(D30,Conversion!$J$24:$J$40,0),9),0)</f>
        <v>0</v>
      </c>
      <c r="J30" s="94">
        <f t="shared" ref="J30:J36" si="8">IF(G30="Non",I30*L30,IF(G30="Oui",I30*K30,0))</f>
        <v>0</v>
      </c>
      <c r="K30" s="56" t="e">
        <f t="shared" ref="K30:K36" si="9">(DJC_tot_10_11-INDEX($A$9:$AF$20,MATCH(H30,$A$9:$A$20,0),24))/DJC_tot_10_11</f>
        <v>#N/A</v>
      </c>
      <c r="L30" s="56" t="e">
        <f t="shared" ref="L30:L36" si="10">INDEX($A$9:$AG$20,MATCH(H30,$A$9:$A$20,0),25)/12</f>
        <v>#N/A</v>
      </c>
      <c r="M30" s="46"/>
      <c r="N30" s="47"/>
      <c r="O30" s="47"/>
      <c r="P30" s="47"/>
      <c r="Q30" s="47"/>
      <c r="R30" s="47"/>
      <c r="S30" s="47"/>
      <c r="T30" s="47"/>
      <c r="U30" s="47"/>
      <c r="V30" s="47"/>
      <c r="W30" s="49"/>
      <c r="X30" s="58" t="s">
        <v>55</v>
      </c>
      <c r="Y30" s="49">
        <f>GJ_Tot_10_11</f>
        <v>0</v>
      </c>
      <c r="AA30" s="47"/>
      <c r="AB30" s="170" t="s">
        <v>354</v>
      </c>
      <c r="AC30" s="89"/>
      <c r="AD30" s="25"/>
      <c r="AE30" s="25"/>
      <c r="AF30" s="25"/>
      <c r="AG30" s="25"/>
      <c r="AH30" s="25"/>
      <c r="AI30" s="25"/>
      <c r="AJ30" s="25"/>
      <c r="AK30" s="25"/>
      <c r="AL30" s="25"/>
      <c r="AM30" s="25"/>
      <c r="AN30" s="25"/>
    </row>
    <row r="31" spans="1:40" ht="35.25" customHeight="1">
      <c r="B31" s="90" t="s">
        <v>420</v>
      </c>
      <c r="C31" s="90"/>
      <c r="D31" s="90"/>
      <c r="E31" s="91"/>
      <c r="F31" s="92" t="str">
        <f t="shared" ref="F31:F36" si="11">IF(D31="électrique","kWh",IF(D31="Gaz naturel","m³",IF(LEFT(D31,1)="R","1000 kg","l")))</f>
        <v>l</v>
      </c>
      <c r="G31" s="90"/>
      <c r="H31" s="93"/>
      <c r="I31" s="94">
        <f>IF(COUNTA(G31)=1,IF(C31="Réduction",-1,IF(C31="Augmentation",1,0))*E31*INDEX(Conversion!$A$24:$J$40,MATCH(D31,Conversion!$J$24:$J$40,0),9),0)</f>
        <v>0</v>
      </c>
      <c r="J31" s="94">
        <f t="shared" si="8"/>
        <v>0</v>
      </c>
      <c r="K31" s="56" t="e">
        <f t="shared" si="9"/>
        <v>#N/A</v>
      </c>
      <c r="L31" s="56" t="e">
        <f t="shared" si="10"/>
        <v>#N/A</v>
      </c>
      <c r="M31" s="46"/>
      <c r="N31" s="47"/>
      <c r="O31" s="47"/>
      <c r="P31" s="47"/>
      <c r="Q31" s="47"/>
      <c r="R31" s="47"/>
      <c r="S31" s="47"/>
      <c r="T31" s="47"/>
      <c r="U31" s="47"/>
      <c r="V31" s="47"/>
      <c r="W31" s="49"/>
      <c r="X31" s="58" t="s">
        <v>56</v>
      </c>
      <c r="Y31" s="49">
        <f>Sup_09_10</f>
        <v>0</v>
      </c>
      <c r="AA31" s="47"/>
      <c r="AB31" s="47"/>
      <c r="AC31" s="89"/>
      <c r="AD31" s="25"/>
      <c r="AE31" s="25"/>
      <c r="AF31" s="25"/>
      <c r="AG31" s="25"/>
      <c r="AH31" s="25"/>
      <c r="AI31" s="25"/>
      <c r="AJ31" s="25"/>
      <c r="AK31" s="25"/>
      <c r="AL31" s="25"/>
      <c r="AM31" s="25"/>
      <c r="AN31" s="25"/>
    </row>
    <row r="32" spans="1:40" ht="35.25" customHeight="1">
      <c r="B32" s="90" t="s">
        <v>421</v>
      </c>
      <c r="C32" s="90"/>
      <c r="D32" s="90"/>
      <c r="E32" s="91"/>
      <c r="F32" s="92" t="str">
        <f t="shared" si="11"/>
        <v>l</v>
      </c>
      <c r="G32" s="90"/>
      <c r="H32" s="93"/>
      <c r="I32" s="94">
        <f>IF(COUNTA(G32)=1,IF(C32="Réduction",-1,IF(C32="Augmentation",1,0))*E32*INDEX(Conversion!$A$24:$J$40,MATCH(D32,Conversion!$J$24:$J$40,0),9),0)</f>
        <v>0</v>
      </c>
      <c r="J32" s="94">
        <f t="shared" si="8"/>
        <v>0</v>
      </c>
      <c r="K32" s="56" t="e">
        <f t="shared" si="9"/>
        <v>#N/A</v>
      </c>
      <c r="L32" s="56" t="e">
        <f t="shared" si="10"/>
        <v>#N/A</v>
      </c>
      <c r="M32" s="46"/>
      <c r="N32" s="47"/>
      <c r="O32" s="47"/>
      <c r="P32" s="47"/>
      <c r="Q32" s="47"/>
      <c r="R32" s="47"/>
      <c r="S32" s="47"/>
      <c r="T32" s="47"/>
      <c r="U32" s="47"/>
      <c r="V32" s="47"/>
      <c r="X32" s="58" t="s">
        <v>57</v>
      </c>
      <c r="Y32" s="171">
        <f>Sup_10_11</f>
        <v>0</v>
      </c>
      <c r="AA32" s="47"/>
      <c r="AB32" s="47"/>
      <c r="AC32" s="89"/>
      <c r="AD32" s="25"/>
      <c r="AE32" s="25"/>
      <c r="AF32" s="25"/>
      <c r="AG32" s="25"/>
      <c r="AH32" s="25"/>
      <c r="AI32" s="25"/>
      <c r="AJ32" s="25"/>
      <c r="AK32" s="25"/>
      <c r="AL32" s="25"/>
      <c r="AM32" s="25"/>
      <c r="AN32" s="25"/>
    </row>
    <row r="33" spans="1:40" ht="35.25" customHeight="1">
      <c r="B33" s="90" t="s">
        <v>422</v>
      </c>
      <c r="C33" s="90"/>
      <c r="D33" s="90"/>
      <c r="E33" s="91"/>
      <c r="F33" s="92" t="str">
        <f t="shared" si="11"/>
        <v>l</v>
      </c>
      <c r="G33" s="90"/>
      <c r="H33" s="93"/>
      <c r="I33" s="94">
        <f>IF(COUNTA(G33)=1,IF(C33="Réduction",-1,IF(C33="Augmentation",1,0))*E33*INDEX(Conversion!$A$24:$J$40,MATCH(D33,Conversion!$J$24:$J$40,0),9),0)</f>
        <v>0</v>
      </c>
      <c r="J33" s="94">
        <f t="shared" si="8"/>
        <v>0</v>
      </c>
      <c r="K33" s="56" t="e">
        <f t="shared" si="9"/>
        <v>#N/A</v>
      </c>
      <c r="L33" s="56" t="e">
        <f t="shared" si="10"/>
        <v>#N/A</v>
      </c>
      <c r="M33" s="46"/>
      <c r="N33" s="47"/>
      <c r="O33" s="47"/>
      <c r="P33" s="47"/>
      <c r="Q33" s="47"/>
      <c r="R33" s="47"/>
      <c r="S33" s="47"/>
      <c r="T33" s="47"/>
      <c r="U33" s="47"/>
      <c r="V33" s="47"/>
      <c r="X33" s="47"/>
      <c r="Y33" s="59" t="e">
        <f>GJTotRef_Ajust_10_11/Sup_09_10</f>
        <v>#DIV/0!</v>
      </c>
      <c r="Z33" s="49" t="s">
        <v>355</v>
      </c>
      <c r="AA33" s="47"/>
      <c r="AB33" s="47"/>
      <c r="AC33" s="89"/>
      <c r="AD33" s="25"/>
      <c r="AE33" s="25"/>
      <c r="AF33" s="25"/>
      <c r="AG33" s="25"/>
      <c r="AH33" s="25"/>
      <c r="AI33" s="25"/>
      <c r="AJ33" s="25"/>
      <c r="AK33" s="25"/>
      <c r="AL33" s="25"/>
      <c r="AM33" s="25"/>
      <c r="AN33" s="25"/>
    </row>
    <row r="34" spans="1:40" ht="35.25" customHeight="1">
      <c r="B34" s="90" t="s">
        <v>423</v>
      </c>
      <c r="C34" s="90"/>
      <c r="D34" s="90"/>
      <c r="E34" s="91"/>
      <c r="F34" s="92" t="str">
        <f t="shared" si="11"/>
        <v>l</v>
      </c>
      <c r="G34" s="90"/>
      <c r="H34" s="93"/>
      <c r="I34" s="94">
        <f>IF(COUNTA(G34)=1,IF(C34="Réduction",-1,IF(C34="Augmentation",1,0))*E34*INDEX(Conversion!$A$24:$J$40,MATCH(D34,Conversion!$J$24:$J$40,0),9),0)</f>
        <v>0</v>
      </c>
      <c r="J34" s="94">
        <f t="shared" si="8"/>
        <v>0</v>
      </c>
      <c r="K34" s="56" t="e">
        <f t="shared" si="9"/>
        <v>#N/A</v>
      </c>
      <c r="L34" s="56" t="e">
        <f t="shared" si="10"/>
        <v>#N/A</v>
      </c>
      <c r="M34" s="46"/>
      <c r="N34" s="47"/>
      <c r="O34" s="47"/>
      <c r="P34" s="47"/>
      <c r="Q34" s="47"/>
      <c r="R34" s="47"/>
      <c r="S34" s="47"/>
      <c r="T34" s="47"/>
      <c r="U34" s="47"/>
      <c r="V34" s="47"/>
      <c r="W34" s="49"/>
      <c r="Y34" s="60">
        <f>J37</f>
        <v>0</v>
      </c>
      <c r="Z34" s="49" t="s">
        <v>356</v>
      </c>
      <c r="AC34" s="25"/>
      <c r="AD34" s="25"/>
      <c r="AE34" s="25"/>
      <c r="AF34" s="25"/>
      <c r="AG34" s="25"/>
      <c r="AH34" s="25"/>
      <c r="AI34" s="25"/>
      <c r="AJ34" s="25"/>
      <c r="AK34" s="25"/>
      <c r="AL34" s="25"/>
      <c r="AM34" s="25"/>
      <c r="AN34" s="25"/>
    </row>
    <row r="35" spans="1:40" ht="35.25" customHeight="1">
      <c r="B35" s="90" t="s">
        <v>424</v>
      </c>
      <c r="C35" s="90"/>
      <c r="D35" s="90"/>
      <c r="E35" s="91"/>
      <c r="F35" s="92" t="str">
        <f t="shared" si="11"/>
        <v>l</v>
      </c>
      <c r="G35" s="90"/>
      <c r="H35" s="93"/>
      <c r="I35" s="94">
        <f>IF(COUNTA(G35)=1,IF(C35="Réduction",-1,IF(C35="Augmentation",1,0))*E35*INDEX(Conversion!$A$24:$J$40,MATCH(D35,Conversion!$J$24:$J$40,0),9),0)</f>
        <v>0</v>
      </c>
      <c r="J35" s="94">
        <f t="shared" si="8"/>
        <v>0</v>
      </c>
      <c r="K35" s="56" t="e">
        <f t="shared" si="9"/>
        <v>#N/A</v>
      </c>
      <c r="L35" s="56" t="e">
        <f t="shared" si="10"/>
        <v>#N/A</v>
      </c>
      <c r="M35" s="46"/>
      <c r="N35" s="47"/>
      <c r="O35" s="47"/>
      <c r="P35" s="47"/>
      <c r="Q35" s="47"/>
      <c r="R35" s="47"/>
      <c r="S35" s="47"/>
      <c r="T35" s="47"/>
      <c r="U35" s="47"/>
      <c r="V35" s="47"/>
      <c r="W35" s="49"/>
      <c r="Y35" s="60">
        <f>I37</f>
        <v>0</v>
      </c>
      <c r="Z35" s="49" t="s">
        <v>357</v>
      </c>
      <c r="AC35" s="25"/>
      <c r="AD35" s="25"/>
      <c r="AE35" s="25"/>
      <c r="AF35" s="25"/>
      <c r="AG35" s="25"/>
      <c r="AH35" s="25"/>
      <c r="AI35" s="25"/>
      <c r="AJ35" s="25"/>
      <c r="AK35" s="25"/>
      <c r="AL35" s="25"/>
      <c r="AM35" s="25"/>
      <c r="AN35" s="25"/>
    </row>
    <row r="36" spans="1:40" ht="35.25" customHeight="1" thickBot="1">
      <c r="B36" s="90" t="s">
        <v>425</v>
      </c>
      <c r="C36" s="90"/>
      <c r="D36" s="90"/>
      <c r="E36" s="91"/>
      <c r="F36" s="92" t="str">
        <f t="shared" si="11"/>
        <v>l</v>
      </c>
      <c r="G36" s="90"/>
      <c r="H36" s="93"/>
      <c r="I36" s="94">
        <f>IF(COUNTA(G36)=1,IF(C36="Réduction",-1,IF(C36="Augmentation",1,0))*E36*INDEX(Conversion!$A$24:$J$40,MATCH(D36,Conversion!$J$24:$J$40,0),9),0)</f>
        <v>0</v>
      </c>
      <c r="J36" s="94">
        <f t="shared" si="8"/>
        <v>0</v>
      </c>
      <c r="K36" s="56" t="e">
        <f t="shared" si="9"/>
        <v>#N/A</v>
      </c>
      <c r="L36" s="56" t="e">
        <f t="shared" si="10"/>
        <v>#N/A</v>
      </c>
      <c r="M36" s="46"/>
      <c r="W36" s="25"/>
      <c r="X36" s="25"/>
      <c r="Y36" s="25"/>
      <c r="Z36" s="25"/>
      <c r="AA36" s="25"/>
      <c r="AB36" s="25"/>
      <c r="AC36" s="25"/>
      <c r="AD36" s="25"/>
      <c r="AE36" s="25"/>
      <c r="AF36" s="25"/>
      <c r="AG36" s="25"/>
      <c r="AH36" s="25"/>
      <c r="AI36" s="25"/>
      <c r="AJ36" s="25"/>
      <c r="AK36" s="25"/>
      <c r="AL36" s="25"/>
      <c r="AM36" s="25"/>
      <c r="AN36" s="25"/>
    </row>
    <row r="37" spans="1:40" ht="25.5" customHeight="1" thickTop="1" thickBot="1">
      <c r="B37" s="95" t="s">
        <v>16</v>
      </c>
      <c r="C37" s="96"/>
      <c r="D37" s="96"/>
      <c r="E37" s="96"/>
      <c r="F37" s="96"/>
      <c r="G37" s="96"/>
      <c r="H37" s="96"/>
      <c r="I37" s="98">
        <f>SUM(I30:I36)</f>
        <v>0</v>
      </c>
      <c r="J37" s="98">
        <f>SUM(J30:J36)</f>
        <v>0</v>
      </c>
      <c r="K37" s="46"/>
      <c r="L37" s="46"/>
      <c r="M37" s="46"/>
      <c r="W37" s="25"/>
      <c r="X37" s="25"/>
      <c r="Y37" s="25"/>
      <c r="Z37" s="25"/>
      <c r="AA37" s="25"/>
      <c r="AB37" s="25"/>
      <c r="AC37" s="25"/>
      <c r="AD37" s="25"/>
      <c r="AE37" s="25"/>
      <c r="AF37" s="25"/>
      <c r="AG37" s="25"/>
      <c r="AH37" s="25"/>
      <c r="AI37" s="25"/>
      <c r="AJ37" s="25"/>
      <c r="AK37" s="25"/>
      <c r="AL37" s="25"/>
      <c r="AM37" s="25"/>
      <c r="AN37" s="25"/>
    </row>
    <row r="38" spans="1:40" ht="15" thickTop="1">
      <c r="I38" s="1"/>
      <c r="J38" s="24"/>
      <c r="K38" s="46"/>
      <c r="L38" s="46"/>
      <c r="M38" s="46"/>
      <c r="W38" s="49"/>
    </row>
    <row r="39" spans="1:40">
      <c r="W39" s="49"/>
    </row>
    <row r="40" spans="1:40">
      <c r="W40" s="49"/>
    </row>
    <row r="41" spans="1:40" ht="16.5" customHeight="1">
      <c r="W41" s="49"/>
    </row>
    <row r="42" spans="1:40">
      <c r="W42" s="49"/>
    </row>
    <row r="43" spans="1:40" ht="16.5" customHeight="1">
      <c r="W43" s="49"/>
    </row>
    <row r="44" spans="1:40">
      <c r="A44" s="29"/>
      <c r="B44" s="29"/>
      <c r="C44" s="30"/>
      <c r="D44" s="30"/>
      <c r="E44" s="30"/>
      <c r="F44" s="30"/>
      <c r="G44" s="30"/>
      <c r="H44" s="30"/>
      <c r="W44" s="49"/>
    </row>
    <row r="45" spans="1:40">
      <c r="A45" s="29"/>
      <c r="B45" s="29"/>
      <c r="C45" s="30"/>
      <c r="D45" s="30"/>
      <c r="E45" s="30"/>
      <c r="F45" s="30"/>
      <c r="G45" s="30"/>
      <c r="H45" s="30"/>
      <c r="W45" s="49"/>
    </row>
    <row r="46" spans="1:40">
      <c r="A46" s="29"/>
      <c r="B46" s="27"/>
      <c r="C46" s="28" t="s">
        <v>65</v>
      </c>
      <c r="D46" s="28" t="s">
        <v>70</v>
      </c>
      <c r="E46" s="28"/>
      <c r="F46" s="28"/>
      <c r="G46" s="28" t="s">
        <v>73</v>
      </c>
      <c r="H46" s="30"/>
    </row>
    <row r="47" spans="1:40">
      <c r="A47" s="29"/>
      <c r="B47" s="27"/>
      <c r="C47" s="28" t="s">
        <v>66</v>
      </c>
      <c r="D47" s="28" t="s">
        <v>19</v>
      </c>
      <c r="E47" s="28"/>
      <c r="F47" s="28"/>
      <c r="G47" s="28" t="s">
        <v>74</v>
      </c>
      <c r="H47" s="30"/>
    </row>
    <row r="48" spans="1:40">
      <c r="A48" s="29"/>
      <c r="B48" s="27"/>
      <c r="C48" s="28"/>
      <c r="D48" s="28" t="s">
        <v>67</v>
      </c>
      <c r="E48" s="28"/>
      <c r="F48" s="28"/>
      <c r="G48" s="28"/>
      <c r="H48" s="30"/>
    </row>
    <row r="49" spans="1:23">
      <c r="A49" s="29"/>
      <c r="B49" s="27"/>
      <c r="C49" s="28"/>
      <c r="D49" s="28" t="s">
        <v>25</v>
      </c>
      <c r="E49" s="28"/>
      <c r="F49" s="28"/>
      <c r="G49" s="28"/>
      <c r="H49" s="30"/>
    </row>
    <row r="50" spans="1:23">
      <c r="A50" s="29"/>
      <c r="B50" s="27"/>
      <c r="C50" s="28"/>
      <c r="D50" s="28" t="s">
        <v>27</v>
      </c>
      <c r="E50" s="28"/>
      <c r="F50" s="28"/>
      <c r="G50" s="28"/>
      <c r="H50" s="30"/>
    </row>
    <row r="51" spans="1:23">
      <c r="A51" s="29"/>
      <c r="B51" s="27"/>
      <c r="C51" s="28"/>
      <c r="D51" s="28" t="s">
        <v>428</v>
      </c>
      <c r="E51" s="28"/>
      <c r="F51" s="28"/>
      <c r="G51" s="28"/>
      <c r="H51" s="30"/>
    </row>
    <row r="52" spans="1:23">
      <c r="A52" s="29"/>
      <c r="B52" s="27"/>
      <c r="C52" s="28"/>
      <c r="D52" s="28" t="s">
        <v>429</v>
      </c>
      <c r="E52" s="28"/>
      <c r="F52" s="28"/>
      <c r="G52" s="28"/>
      <c r="H52" s="30"/>
    </row>
    <row r="53" spans="1:23">
      <c r="A53" s="29"/>
      <c r="B53" s="27"/>
      <c r="C53" s="28"/>
      <c r="D53" s="28" t="s">
        <v>77</v>
      </c>
      <c r="E53" s="28"/>
      <c r="F53" s="28"/>
      <c r="G53" s="28"/>
      <c r="H53" s="30"/>
    </row>
    <row r="54" spans="1:23">
      <c r="A54" s="29"/>
      <c r="B54" s="27"/>
      <c r="C54" s="28"/>
      <c r="D54" s="28"/>
      <c r="E54" s="28"/>
      <c r="F54" s="28"/>
      <c r="G54" s="28"/>
      <c r="H54" s="30"/>
    </row>
    <row r="55" spans="1:23">
      <c r="A55" s="29"/>
      <c r="B55" s="27" t="s">
        <v>430</v>
      </c>
      <c r="C55" s="27"/>
      <c r="D55" s="28"/>
      <c r="E55" s="28"/>
      <c r="F55" s="28"/>
      <c r="G55" s="28"/>
      <c r="H55" s="30"/>
    </row>
    <row r="56" spans="1:23">
      <c r="A56" s="29"/>
      <c r="B56" s="28" t="s">
        <v>19</v>
      </c>
      <c r="C56" s="28"/>
      <c r="D56" s="28" t="s">
        <v>24</v>
      </c>
      <c r="E56" s="28"/>
      <c r="F56" s="39" t="s">
        <v>428</v>
      </c>
      <c r="G56" s="39"/>
      <c r="H56" s="30"/>
      <c r="K56" s="565"/>
      <c r="L56" s="565"/>
      <c r="N56" s="1"/>
    </row>
    <row r="57" spans="1:23">
      <c r="A57" s="29"/>
      <c r="B57" s="28" t="s">
        <v>31</v>
      </c>
      <c r="C57" s="28" t="s">
        <v>34</v>
      </c>
      <c r="D57" s="28" t="s">
        <v>23</v>
      </c>
      <c r="E57" s="28" t="s">
        <v>30</v>
      </c>
      <c r="F57" s="28" t="s">
        <v>28</v>
      </c>
      <c r="G57" s="28" t="s">
        <v>29</v>
      </c>
      <c r="H57" s="30"/>
      <c r="N57" s="1"/>
    </row>
    <row r="58" spans="1:23">
      <c r="A58" s="29"/>
      <c r="B58" s="29"/>
      <c r="C58" s="30"/>
      <c r="D58" s="30"/>
      <c r="E58" s="30"/>
      <c r="F58" s="30"/>
      <c r="G58" s="30"/>
      <c r="H58" s="30"/>
    </row>
    <row r="59" spans="1:23">
      <c r="A59" s="29"/>
      <c r="B59" s="29"/>
      <c r="C59" s="30"/>
      <c r="D59" s="30"/>
      <c r="E59" s="30"/>
      <c r="F59" s="30"/>
      <c r="G59" s="30"/>
      <c r="H59" s="30"/>
    </row>
    <row r="60" spans="1:23">
      <c r="A60" s="29"/>
      <c r="B60" s="29"/>
      <c r="C60" s="30"/>
      <c r="D60" s="30"/>
      <c r="E60" s="30"/>
      <c r="F60" s="30"/>
      <c r="G60" s="30"/>
      <c r="H60" s="30"/>
    </row>
    <row r="61" spans="1:23">
      <c r="A61" s="29"/>
      <c r="B61" s="29"/>
      <c r="C61" s="30"/>
      <c r="D61" s="30"/>
      <c r="E61" s="30"/>
      <c r="F61" s="30"/>
      <c r="G61" s="30"/>
      <c r="H61" s="30"/>
    </row>
    <row r="63" spans="1:23">
      <c r="E63" s="1"/>
      <c r="F63" s="1"/>
      <c r="G63" s="1"/>
      <c r="H63" s="1"/>
      <c r="I63" s="1"/>
      <c r="J63" s="1"/>
      <c r="K63" s="1"/>
      <c r="L63" s="1"/>
      <c r="M63" s="1"/>
      <c r="N63" s="1"/>
      <c r="O63" s="1"/>
      <c r="P63" s="1"/>
      <c r="Q63" s="1"/>
      <c r="R63" s="1"/>
      <c r="S63" s="1"/>
      <c r="T63" s="1"/>
      <c r="U63" s="1"/>
      <c r="V63" s="1"/>
      <c r="W63" s="49"/>
    </row>
    <row r="64" spans="1:23">
      <c r="E64" s="1"/>
      <c r="F64" s="1"/>
      <c r="G64" s="1"/>
      <c r="H64" s="1"/>
      <c r="I64" s="1"/>
      <c r="J64" s="1"/>
      <c r="K64" s="1"/>
      <c r="L64" s="1"/>
      <c r="M64" s="1"/>
      <c r="N64" s="1"/>
      <c r="O64" s="1"/>
      <c r="P64" s="1"/>
      <c r="Q64" s="1"/>
      <c r="R64" s="1"/>
      <c r="S64" s="1"/>
      <c r="T64" s="1"/>
      <c r="U64" s="1"/>
      <c r="V64" s="1"/>
      <c r="W64" s="49"/>
    </row>
  </sheetData>
  <mergeCells count="19">
    <mergeCell ref="A27:B27"/>
    <mergeCell ref="C27:L27"/>
    <mergeCell ref="I7:J7"/>
    <mergeCell ref="K56:L56"/>
    <mergeCell ref="A7:A8"/>
    <mergeCell ref="C7:D7"/>
    <mergeCell ref="E7:F7"/>
    <mergeCell ref="G7:H7"/>
    <mergeCell ref="A25:H25"/>
    <mergeCell ref="K7:L7"/>
    <mergeCell ref="AC7:AD7"/>
    <mergeCell ref="M7:N7"/>
    <mergeCell ref="O7:P7"/>
    <mergeCell ref="Q7:R7"/>
    <mergeCell ref="Y7:Z7"/>
    <mergeCell ref="AA7:AB7"/>
    <mergeCell ref="S7:T7"/>
    <mergeCell ref="U7:V7"/>
    <mergeCell ref="W7:X7"/>
  </mergeCells>
  <phoneticPr fontId="23" type="noConversion"/>
  <conditionalFormatting sqref="AA25">
    <cfRule type="cellIs" dxfId="56" priority="11" stopIfTrue="1" operator="lessThan">
      <formula>$AA$25</formula>
    </cfRule>
  </conditionalFormatting>
  <conditionalFormatting sqref="A25">
    <cfRule type="cellIs" dxfId="55" priority="22" stopIfTrue="1" operator="greaterThan">
      <formula>$AB$25</formula>
    </cfRule>
    <cfRule type="cellIs" dxfId="54" priority="23" stopIfTrue="1" operator="lessThan">
      <formula>$AA$25</formula>
    </cfRule>
  </conditionalFormatting>
  <conditionalFormatting sqref="AA21">
    <cfRule type="cellIs" dxfId="53" priority="24" stopIfTrue="1" operator="greaterThan">
      <formula>Lim_haut</formula>
    </cfRule>
    <cfRule type="cellIs" dxfId="52" priority="25" stopIfTrue="1" operator="lessThan">
      <formula>Lim_bas</formula>
    </cfRule>
  </conditionalFormatting>
  <dataValidations count="6">
    <dataValidation type="whole" errorStyle="warning" allowBlank="1" showInputMessage="1" showErrorMessage="1" errorTitle="TEST" error="la valeur entrée semble suspecte" sqref="AA9:AA20">
      <formula1>0.15/12</formula1>
      <formula2>4.06/12</formula2>
    </dataValidation>
    <dataValidation type="list" allowBlank="1" showInputMessage="1" showErrorMessage="1" sqref="D30:D36">
      <formula1>$D$46:$D$53</formula1>
    </dataValidation>
    <dataValidation type="list" allowBlank="1" showInputMessage="1" showErrorMessage="1" sqref="G30:G36">
      <formula1>$G$46:$G$47</formula1>
    </dataValidation>
    <dataValidation type="list" allowBlank="1" showInputMessage="1" showErrorMessage="1" sqref="H30:H36">
      <formula1>$A$9:$A$20</formula1>
    </dataValidation>
    <dataValidation type="list" allowBlank="1" showInputMessage="1" showErrorMessage="1" sqref="C30:C36">
      <formula1>$C$46:$C$47</formula1>
    </dataValidation>
    <dataValidation type="list" allowBlank="1" showInputMessage="1" showErrorMessage="1" sqref="D37">
      <formula1>$D$46:$D$52</formula1>
    </dataValidation>
  </dataValidations>
  <hyperlinks>
    <hyperlink ref="A7" location="Résumé!A1" display="Résumé!A1"/>
  </hyperlinks>
  <pageMargins left="0.70866141732283472" right="0.70866141732283472" top="0.74803149606299213" bottom="0.74803149606299213" header="0.31496062992125984" footer="0.31496062992125984"/>
  <pageSetup scale="22" orientation="landscape" r:id="rId1"/>
  <headerFooter>
    <oddFooter>&amp;L&amp;"Arial,Normal"&amp;10Transition énergétique Québec&amp;R&amp;F
&amp;A</oddFooter>
  </headerFooter>
  <colBreaks count="1" manualBreakCount="1">
    <brk id="29" min="6" max="21"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tabColor indexed="50"/>
    <pageSetUpPr fitToPage="1"/>
  </sheetPr>
  <dimension ref="A1:AI99"/>
  <sheetViews>
    <sheetView showZeros="0" zoomScaleNormal="100" zoomScaleSheetLayoutView="30" workbookViewId="0">
      <selection activeCell="B21" sqref="B21"/>
    </sheetView>
  </sheetViews>
  <sheetFormatPr baseColWidth="10" defaultColWidth="9.109375" defaultRowHeight="14.4"/>
  <cols>
    <col min="1" max="1" width="16.5546875" style="1" customWidth="1"/>
    <col min="2" max="2" width="19" style="1" customWidth="1"/>
    <col min="3" max="3" width="17.109375" style="23" bestFit="1" customWidth="1"/>
    <col min="4" max="4" width="18.33203125" style="23" customWidth="1"/>
    <col min="5" max="5" width="16" style="23" customWidth="1"/>
    <col min="6" max="6" width="18.6640625" style="23" customWidth="1"/>
    <col min="7" max="7" width="16" style="23" customWidth="1"/>
    <col min="8" max="8" width="18.88671875" style="23" customWidth="1"/>
    <col min="9" max="9" width="16" style="23" customWidth="1"/>
    <col min="10" max="10" width="20.33203125" style="23" customWidth="1"/>
    <col min="11" max="11" width="16" style="23" customWidth="1"/>
    <col min="12" max="12" width="21.6640625" style="23" customWidth="1"/>
    <col min="13" max="13" width="16" style="23" customWidth="1"/>
    <col min="14" max="14" width="18.88671875" style="23" customWidth="1"/>
    <col min="15" max="15" width="16" style="23" customWidth="1"/>
    <col min="16" max="16" width="20.33203125" style="23" customWidth="1"/>
    <col min="17" max="17" width="16" style="23" customWidth="1"/>
    <col min="18" max="18" width="20.33203125" style="23" customWidth="1"/>
    <col min="19" max="19" width="16" style="23" customWidth="1"/>
    <col min="20" max="20" width="19" style="23" customWidth="1"/>
    <col min="21" max="21" width="16" style="23" customWidth="1"/>
    <col min="22" max="22" width="19.88671875" style="23" customWidth="1"/>
    <col min="23" max="23" width="21.5546875" style="47" customWidth="1"/>
    <col min="24" max="24" width="26" style="49" customWidth="1"/>
    <col min="25" max="25" width="19.6640625" style="49" customWidth="1"/>
    <col min="26" max="27" width="20.33203125" style="49" customWidth="1"/>
    <col min="28" max="28" width="19" style="49" customWidth="1"/>
    <col min="29" max="29" width="16.33203125" style="49" customWidth="1"/>
    <col min="30" max="30" width="16" style="49" customWidth="1"/>
    <col min="31" max="16384" width="9.109375" style="49"/>
  </cols>
  <sheetData>
    <row r="1" spans="1:33" s="1" customFormat="1" ht="117.75" customHeight="1">
      <c r="C1" s="382" t="s">
        <v>363</v>
      </c>
      <c r="D1" s="26"/>
      <c r="E1" s="26"/>
      <c r="F1" s="26"/>
      <c r="G1" s="26"/>
      <c r="H1" s="26"/>
      <c r="I1" s="26"/>
      <c r="J1" s="26"/>
      <c r="K1" s="26"/>
      <c r="L1" s="26"/>
      <c r="M1" s="26"/>
      <c r="N1" s="26"/>
      <c r="O1" s="26"/>
      <c r="P1" s="26"/>
      <c r="Q1" s="26"/>
      <c r="R1" s="26"/>
      <c r="S1" s="26"/>
      <c r="T1" s="26"/>
      <c r="U1" s="26"/>
      <c r="V1" s="26"/>
      <c r="W1" s="26"/>
      <c r="X1" s="26"/>
      <c r="Y1" s="26"/>
      <c r="Z1" s="26"/>
      <c r="AA1" s="26"/>
      <c r="AB1" s="26"/>
      <c r="AC1" s="26"/>
    </row>
    <row r="2" spans="1:33" s="1" customFormat="1" ht="18">
      <c r="C2" s="26"/>
      <c r="D2" s="203" t="s">
        <v>380</v>
      </c>
      <c r="E2" s="204"/>
      <c r="F2" s="205"/>
      <c r="G2" s="206"/>
      <c r="H2" s="206"/>
      <c r="I2" s="207"/>
      <c r="J2" s="206"/>
      <c r="K2" s="206"/>
      <c r="L2" s="206"/>
      <c r="M2" s="206"/>
      <c r="N2" s="26"/>
      <c r="O2" s="26"/>
      <c r="P2" s="26"/>
      <c r="Q2" s="26"/>
      <c r="R2" s="26"/>
      <c r="S2" s="26"/>
      <c r="T2" s="26"/>
      <c r="U2" s="26"/>
      <c r="V2" s="26"/>
      <c r="W2" s="26"/>
      <c r="X2" s="26"/>
      <c r="Y2" s="26"/>
      <c r="Z2" s="26"/>
      <c r="AA2" s="26"/>
      <c r="AB2" s="26"/>
      <c r="AC2" s="26"/>
    </row>
    <row r="3" spans="1:33" s="1" customFormat="1" ht="15.6">
      <c r="C3" s="26"/>
      <c r="D3" s="208"/>
      <c r="E3" s="13"/>
      <c r="I3" s="209"/>
      <c r="N3" s="26"/>
      <c r="O3" s="26"/>
      <c r="P3" s="26"/>
      <c r="Q3" s="26"/>
      <c r="R3" s="26"/>
      <c r="S3" s="26"/>
      <c r="T3" s="26"/>
      <c r="U3" s="26"/>
      <c r="V3" s="26"/>
      <c r="W3" s="26"/>
      <c r="X3" s="26"/>
      <c r="Y3" s="26"/>
      <c r="Z3" s="26"/>
      <c r="AA3" s="26"/>
      <c r="AB3" s="26"/>
      <c r="AC3" s="26"/>
    </row>
    <row r="4" spans="1:33" s="1" customFormat="1" ht="15.6">
      <c r="C4" s="26"/>
      <c r="D4" s="208" t="s">
        <v>435</v>
      </c>
      <c r="E4" s="13"/>
      <c r="N4" s="26"/>
      <c r="O4" s="26"/>
      <c r="P4" s="26"/>
      <c r="Q4" s="26"/>
      <c r="R4" s="26"/>
      <c r="S4" s="26"/>
      <c r="T4" s="26"/>
      <c r="U4" s="26"/>
      <c r="V4" s="26"/>
      <c r="W4" s="26"/>
      <c r="X4" s="26"/>
      <c r="Y4" s="26"/>
      <c r="Z4" s="26"/>
      <c r="AA4" s="26"/>
      <c r="AB4" s="26"/>
      <c r="AC4" s="26"/>
    </row>
    <row r="5" spans="1:33" s="1" customFormat="1" ht="15.6">
      <c r="C5" s="26"/>
      <c r="D5" s="208" t="s">
        <v>372</v>
      </c>
      <c r="E5" s="13"/>
      <c r="N5" s="26"/>
      <c r="O5" s="26"/>
      <c r="P5" s="26"/>
      <c r="Q5" s="26"/>
      <c r="R5" s="26"/>
      <c r="S5" s="26"/>
      <c r="T5" s="26"/>
      <c r="U5" s="26"/>
      <c r="V5" s="26"/>
      <c r="W5" s="26"/>
      <c r="X5" s="26"/>
      <c r="Y5" s="26"/>
      <c r="Z5" s="26"/>
      <c r="AA5" s="26"/>
      <c r="AB5" s="26"/>
      <c r="AC5" s="26"/>
    </row>
    <row r="6" spans="1:33" s="1" customFormat="1" ht="15" thickBot="1">
      <c r="C6" s="26"/>
      <c r="D6" s="26"/>
      <c r="E6" s="26"/>
      <c r="F6" s="26"/>
      <c r="G6" s="26"/>
      <c r="H6" s="26"/>
      <c r="I6" s="26"/>
      <c r="J6" s="26"/>
      <c r="K6" s="26"/>
      <c r="L6" s="26"/>
      <c r="M6" s="26"/>
      <c r="N6" s="26"/>
      <c r="O6" s="26"/>
      <c r="P6" s="26"/>
      <c r="Q6" s="26"/>
      <c r="R6" s="26"/>
      <c r="S6" s="26"/>
      <c r="T6" s="26"/>
      <c r="U6" s="26"/>
      <c r="V6" s="26"/>
      <c r="W6" s="26"/>
      <c r="X6" s="26"/>
      <c r="Y6" s="26"/>
      <c r="Z6" s="26"/>
      <c r="AA6" s="26"/>
      <c r="AB6" s="26"/>
      <c r="AC6" s="26"/>
    </row>
    <row r="7" spans="1:33" ht="30.75" customHeight="1" thickTop="1">
      <c r="A7" s="563" t="s">
        <v>78</v>
      </c>
      <c r="B7" s="4" t="s">
        <v>13</v>
      </c>
      <c r="C7" s="556" t="s">
        <v>22</v>
      </c>
      <c r="D7" s="557"/>
      <c r="E7" s="556" t="s">
        <v>19</v>
      </c>
      <c r="F7" s="557"/>
      <c r="G7" s="556" t="s">
        <v>24</v>
      </c>
      <c r="H7" s="557"/>
      <c r="I7" s="556" t="s">
        <v>25</v>
      </c>
      <c r="J7" s="557"/>
      <c r="K7" s="556" t="s">
        <v>805</v>
      </c>
      <c r="L7" s="557"/>
      <c r="M7" s="556" t="s">
        <v>27</v>
      </c>
      <c r="N7" s="557"/>
      <c r="O7" s="558" t="s">
        <v>370</v>
      </c>
      <c r="P7" s="559"/>
      <c r="Q7" s="558" t="s">
        <v>373</v>
      </c>
      <c r="R7" s="559"/>
      <c r="S7" s="558" t="s">
        <v>412</v>
      </c>
      <c r="T7" s="559"/>
      <c r="U7" s="558" t="s">
        <v>624</v>
      </c>
      <c r="V7" s="559"/>
      <c r="W7" s="558" t="s">
        <v>625</v>
      </c>
      <c r="X7" s="559"/>
      <c r="Y7" s="556" t="s">
        <v>16</v>
      </c>
      <c r="Z7" s="557"/>
      <c r="AA7" s="556" t="s">
        <v>371</v>
      </c>
      <c r="AB7" s="557"/>
      <c r="AC7" s="556" t="s">
        <v>45</v>
      </c>
      <c r="AD7" s="557"/>
      <c r="AE7" s="4" t="s">
        <v>40</v>
      </c>
    </row>
    <row r="8" spans="1:33" ht="18" customHeight="1" thickBot="1">
      <c r="A8" s="563"/>
      <c r="B8" s="8" t="s">
        <v>36</v>
      </c>
      <c r="C8" s="7" t="s">
        <v>376</v>
      </c>
      <c r="D8" s="6" t="s">
        <v>20</v>
      </c>
      <c r="E8" s="7" t="s">
        <v>31</v>
      </c>
      <c r="F8" s="6" t="s">
        <v>20</v>
      </c>
      <c r="G8" s="7" t="s">
        <v>23</v>
      </c>
      <c r="H8" s="6" t="s">
        <v>20</v>
      </c>
      <c r="I8" s="7" t="s">
        <v>23</v>
      </c>
      <c r="J8" s="6" t="s">
        <v>20</v>
      </c>
      <c r="K8" s="7" t="s">
        <v>23</v>
      </c>
      <c r="L8" s="6" t="s">
        <v>20</v>
      </c>
      <c r="M8" s="7" t="s">
        <v>23</v>
      </c>
      <c r="N8" s="6" t="s">
        <v>20</v>
      </c>
      <c r="O8" s="7" t="s">
        <v>28</v>
      </c>
      <c r="P8" s="6" t="s">
        <v>20</v>
      </c>
      <c r="Q8" s="7" t="s">
        <v>28</v>
      </c>
      <c r="R8" s="6" t="s">
        <v>20</v>
      </c>
      <c r="S8" s="216" t="s">
        <v>626</v>
      </c>
      <c r="T8" s="6" t="s">
        <v>20</v>
      </c>
      <c r="U8" s="7" t="s">
        <v>628</v>
      </c>
      <c r="V8" s="6" t="s">
        <v>20</v>
      </c>
      <c r="W8" s="7" t="s">
        <v>628</v>
      </c>
      <c r="X8" s="6" t="s">
        <v>20</v>
      </c>
      <c r="Y8" s="7" t="s">
        <v>375</v>
      </c>
      <c r="Z8" s="6" t="s">
        <v>20</v>
      </c>
      <c r="AA8" s="7" t="s">
        <v>37</v>
      </c>
      <c r="AB8" s="6" t="s">
        <v>35</v>
      </c>
      <c r="AC8" s="7" t="s">
        <v>1060</v>
      </c>
      <c r="AD8" s="6" t="s">
        <v>793</v>
      </c>
      <c r="AE8" s="9" t="s">
        <v>377</v>
      </c>
    </row>
    <row r="9" spans="1:33" ht="17.25" customHeight="1" thickTop="1">
      <c r="A9" s="14">
        <f>VALUE(CONCATENATE(LEFT(Annee_financiere,FIND("-",Annee_financiere)-1),"-",A22))</f>
        <v>40634</v>
      </c>
      <c r="B9" s="85"/>
      <c r="C9" s="32"/>
      <c r="D9" s="86"/>
      <c r="E9" s="32"/>
      <c r="F9" s="86"/>
      <c r="G9" s="32"/>
      <c r="H9" s="86"/>
      <c r="I9" s="32"/>
      <c r="J9" s="86"/>
      <c r="K9" s="32"/>
      <c r="L9" s="33"/>
      <c r="M9" s="32"/>
      <c r="N9" s="86"/>
      <c r="O9" s="32"/>
      <c r="P9" s="86"/>
      <c r="Q9" s="32"/>
      <c r="R9" s="86"/>
      <c r="S9" s="32"/>
      <c r="T9" s="86"/>
      <c r="U9" s="32"/>
      <c r="V9" s="86"/>
      <c r="W9" s="32"/>
      <c r="X9" s="86"/>
      <c r="Y9" s="99">
        <f t="shared" ref="Y9:Y21" si="0">C9*kWh_Élect_to_GJ+E9*m3_GazNat_to_GJ+G9*L_Mazout2_to_GJ+I9*L_Mazout6_to_GJ+K9*L_Mazout2_to_GJ+M9*L_Propane_to_GJ+O9*kg_Bois8_to_GJ+Q9*kg_Bois35_to_GJ+S9*lbs_vapeur_to_GJ+U9*MBTU_eaurefroidie_to_GJ+W9*MBTU_eauchaude_to_GJ</f>
        <v>0</v>
      </c>
      <c r="Z9" s="217">
        <f>D9+F9+H9+J9+N9+P9+R9+T9+V9+X9+L9</f>
        <v>0</v>
      </c>
      <c r="AA9" s="100" t="str">
        <f>IF(ISERROR(Y9/B9),"",Y9/B9)</f>
        <v/>
      </c>
      <c r="AB9" s="101" t="str">
        <f>IF(ISERROR(Z9/B9),"",Z9/B9)</f>
        <v/>
      </c>
      <c r="AC9" s="102">
        <f>(C9*kWh_Élect_to_kgGES+E9*IF(U_GNat="[m³]",m3_GazNat_to_kgGES,Conversion!$H$27)+G9*IF(U_Ma2="[l]",L_Mazout2_to_kgGES,Conversion!$H$29)+I9*IF(U_Ma6="[l]",L_Mazout6_to_kgGES,Conversion!$H$31)+K9*L_Mazout2_to_kgGES+M9*IF(U_Prop="[l]",L_Propane_to_kgGES,Conversion!$H$35)+O9*kg_Bois8_to_kgGES+Q9*kg_Bois35_to_kgGES+S9*lbs_vapeur_to_kgGES+U9*MBTU_eaurefroidie_to_kgGES+W9*MBTU_eauchaude_to_kgGES)/1000</f>
        <v>0</v>
      </c>
      <c r="AD9" s="103">
        <f>(IF(ISERROR(AC9/B9),0,(AC9/B9)))*1000</f>
        <v>0</v>
      </c>
      <c r="AE9" s="104">
        <f t="shared" ref="AE9:AE20" si="1">INDEX(plage_DJ,MATCH(A9,plage_date),3)</f>
        <v>341.6</v>
      </c>
      <c r="AG9" s="49">
        <v>12</v>
      </c>
    </row>
    <row r="10" spans="1:33" ht="17.25" customHeight="1">
      <c r="A10" s="15">
        <f>DATE(YEAR(A9),MONTH(A9)+1,DAY(A9))</f>
        <v>40664</v>
      </c>
      <c r="B10" s="85"/>
      <c r="C10" s="32"/>
      <c r="D10" s="87"/>
      <c r="E10" s="32"/>
      <c r="F10" s="87"/>
      <c r="G10" s="32"/>
      <c r="H10" s="87"/>
      <c r="I10" s="32"/>
      <c r="J10" s="87"/>
      <c r="K10" s="32"/>
      <c r="L10" s="34"/>
      <c r="M10" s="32"/>
      <c r="N10" s="87"/>
      <c r="O10" s="32"/>
      <c r="P10" s="87"/>
      <c r="Q10" s="32"/>
      <c r="R10" s="87"/>
      <c r="S10" s="32"/>
      <c r="T10" s="87"/>
      <c r="U10" s="32"/>
      <c r="V10" s="87"/>
      <c r="W10" s="32"/>
      <c r="X10" s="87"/>
      <c r="Y10" s="99">
        <f t="shared" si="0"/>
        <v>0</v>
      </c>
      <c r="Z10" s="217">
        <f t="shared" ref="Z10:Z20" si="2">D10+F10+H10+J10+N10+P10+R10+T10+V10+X10+L10</f>
        <v>0</v>
      </c>
      <c r="AA10" s="100" t="str">
        <f t="shared" ref="AA10:AA20" si="3">IF(ISERROR(Y10/B10),"",Y10/B10)</f>
        <v/>
      </c>
      <c r="AB10" s="101" t="str">
        <f t="shared" ref="AB10:AB20" si="4">IF(ISERROR(Z10/B10),"",Z10/B10)</f>
        <v/>
      </c>
      <c r="AC10" s="102">
        <f>(C10*kWh_Élect_to_kgGES+E10*IF(U_GNat="[m³]",m3_GazNat_to_kgGES,Conversion!$H$27)+G10*IF(U_Ma2="[l]",L_Mazout2_to_kgGES,Conversion!$H$29)+I10*IF(U_Ma6="[l]",L_Mazout6_to_kgGES,Conversion!$H$31)+K10*L_Mazout2_to_kgGES+M10*IF(U_Prop="[l]",L_Propane_to_kgGES,Conversion!$H$35)+O10*kg_Bois8_to_kgGES+Q10*kg_Bois35_to_kgGES+S10*lbs_vapeur_to_kgGES+U10*MBTU_eaurefroidie_to_kgGES+W10*MBTU_eauchaude_to_kgGES)/1000</f>
        <v>0</v>
      </c>
      <c r="AD10" s="103">
        <f t="shared" ref="AD10:AD20" si="5">(IF(ISERROR(AC10/B10),0,(AC10/B10)))*1000</f>
        <v>0</v>
      </c>
      <c r="AE10" s="104">
        <f t="shared" si="1"/>
        <v>138</v>
      </c>
      <c r="AF10" s="49">
        <f>SUM(AE9)</f>
        <v>341.6</v>
      </c>
      <c r="AG10" s="49">
        <v>11</v>
      </c>
    </row>
    <row r="11" spans="1:33" ht="17.25" customHeight="1">
      <c r="A11" s="15">
        <f t="shared" ref="A11:A20" si="6">DATE(YEAR(A10),MONTH(A10)+1,DAY(A10))</f>
        <v>40695</v>
      </c>
      <c r="B11" s="85"/>
      <c r="C11" s="32"/>
      <c r="D11" s="87"/>
      <c r="E11" s="32"/>
      <c r="F11" s="87"/>
      <c r="G11" s="32"/>
      <c r="H11" s="87"/>
      <c r="I11" s="32"/>
      <c r="J11" s="87"/>
      <c r="K11" s="32"/>
      <c r="L11" s="34"/>
      <c r="M11" s="32"/>
      <c r="N11" s="87"/>
      <c r="O11" s="32"/>
      <c r="P11" s="87"/>
      <c r="Q11" s="32"/>
      <c r="R11" s="87"/>
      <c r="S11" s="32"/>
      <c r="T11" s="87"/>
      <c r="U11" s="32"/>
      <c r="V11" s="87"/>
      <c r="W11" s="32"/>
      <c r="X11" s="87"/>
      <c r="Y11" s="99">
        <f t="shared" si="0"/>
        <v>0</v>
      </c>
      <c r="Z11" s="217">
        <f t="shared" si="2"/>
        <v>0</v>
      </c>
      <c r="AA11" s="100" t="str">
        <f t="shared" si="3"/>
        <v/>
      </c>
      <c r="AB11" s="101" t="str">
        <f t="shared" si="4"/>
        <v/>
      </c>
      <c r="AC11" s="102">
        <f>(C11*kWh_Élect_to_kgGES+E11*IF(U_GNat="[m³]",m3_GazNat_to_kgGES,Conversion!$H$27)+G11*IF(U_Ma2="[l]",L_Mazout2_to_kgGES,Conversion!$H$29)+I11*IF(U_Ma6="[l]",L_Mazout6_to_kgGES,Conversion!$H$31)+K11*L_Mazout2_to_kgGES+M11*IF(U_Prop="[l]",L_Propane_to_kgGES,Conversion!$H$35)+O11*kg_Bois8_to_kgGES+Q11*kg_Bois35_to_kgGES+S11*lbs_vapeur_to_kgGES+U11*MBTU_eaurefroidie_to_kgGES+W11*MBTU_eauchaude_to_kgGES)/1000</f>
        <v>0</v>
      </c>
      <c r="AD11" s="103">
        <f t="shared" si="5"/>
        <v>0</v>
      </c>
      <c r="AE11" s="104">
        <f t="shared" si="1"/>
        <v>19.399999999999999</v>
      </c>
      <c r="AF11" s="49">
        <f>SUM(AE9:AE10)</f>
        <v>479.6</v>
      </c>
      <c r="AG11" s="49">
        <v>10</v>
      </c>
    </row>
    <row r="12" spans="1:33" ht="17.25" customHeight="1">
      <c r="A12" s="15">
        <f t="shared" si="6"/>
        <v>40725</v>
      </c>
      <c r="B12" s="85"/>
      <c r="C12" s="32"/>
      <c r="D12" s="87"/>
      <c r="E12" s="32"/>
      <c r="F12" s="87"/>
      <c r="G12" s="32"/>
      <c r="H12" s="87"/>
      <c r="I12" s="32"/>
      <c r="J12" s="87"/>
      <c r="K12" s="32"/>
      <c r="L12" s="34"/>
      <c r="M12" s="32"/>
      <c r="N12" s="87"/>
      <c r="O12" s="32"/>
      <c r="P12" s="87"/>
      <c r="Q12" s="32"/>
      <c r="R12" s="87"/>
      <c r="S12" s="32"/>
      <c r="T12" s="87"/>
      <c r="U12" s="32"/>
      <c r="V12" s="87"/>
      <c r="W12" s="32"/>
      <c r="X12" s="87"/>
      <c r="Y12" s="99">
        <f t="shared" si="0"/>
        <v>0</v>
      </c>
      <c r="Z12" s="217">
        <f t="shared" si="2"/>
        <v>0</v>
      </c>
      <c r="AA12" s="100" t="str">
        <f t="shared" si="3"/>
        <v/>
      </c>
      <c r="AB12" s="101" t="str">
        <f t="shared" si="4"/>
        <v/>
      </c>
      <c r="AC12" s="102">
        <f>(C12*kWh_Élect_to_kgGES+E12*IF(U_GNat="[m³]",m3_GazNat_to_kgGES,Conversion!$H$27)+G12*IF(U_Ma2="[l]",L_Mazout2_to_kgGES,Conversion!$H$29)+I12*IF(U_Ma6="[l]",L_Mazout6_to_kgGES,Conversion!$H$31)+K12*L_Mazout2_to_kgGES+M12*IF(U_Prop="[l]",L_Propane_to_kgGES,Conversion!$H$35)+O12*kg_Bois8_to_kgGES+Q12*kg_Bois35_to_kgGES+S12*lbs_vapeur_to_kgGES+U12*MBTU_eaurefroidie_to_kgGES+W12*MBTU_eauchaude_to_kgGES)/1000</f>
        <v>0</v>
      </c>
      <c r="AD12" s="103">
        <f t="shared" si="5"/>
        <v>0</v>
      </c>
      <c r="AE12" s="104">
        <f t="shared" si="1"/>
        <v>0</v>
      </c>
      <c r="AF12" s="49">
        <f>SUM(AE9:AE11)</f>
        <v>499</v>
      </c>
      <c r="AG12" s="49">
        <v>9</v>
      </c>
    </row>
    <row r="13" spans="1:33" ht="17.25" customHeight="1">
      <c r="A13" s="15">
        <f t="shared" si="6"/>
        <v>40756</v>
      </c>
      <c r="B13" s="85"/>
      <c r="C13" s="32"/>
      <c r="D13" s="87"/>
      <c r="E13" s="32"/>
      <c r="F13" s="87"/>
      <c r="G13" s="32"/>
      <c r="H13" s="87"/>
      <c r="I13" s="32"/>
      <c r="J13" s="87"/>
      <c r="K13" s="32"/>
      <c r="L13" s="34"/>
      <c r="M13" s="32"/>
      <c r="N13" s="87"/>
      <c r="O13" s="32"/>
      <c r="P13" s="87"/>
      <c r="Q13" s="32"/>
      <c r="R13" s="87"/>
      <c r="S13" s="32"/>
      <c r="T13" s="87"/>
      <c r="U13" s="32"/>
      <c r="V13" s="87"/>
      <c r="W13" s="32"/>
      <c r="X13" s="87"/>
      <c r="Y13" s="99">
        <f t="shared" si="0"/>
        <v>0</v>
      </c>
      <c r="Z13" s="217">
        <f t="shared" si="2"/>
        <v>0</v>
      </c>
      <c r="AA13" s="100" t="str">
        <f t="shared" si="3"/>
        <v/>
      </c>
      <c r="AB13" s="101" t="str">
        <f t="shared" si="4"/>
        <v/>
      </c>
      <c r="AC13" s="102">
        <f>(C13*kWh_Élect_to_kgGES+E13*IF(U_GNat="[m³]",m3_GazNat_to_kgGES,Conversion!$H$27)+G13*IF(U_Ma2="[l]",L_Mazout2_to_kgGES,Conversion!$H$29)+I13*IF(U_Ma6="[l]",L_Mazout6_to_kgGES,Conversion!$H$31)+K13*L_Mazout2_to_kgGES+M13*IF(U_Prop="[l]",L_Propane_to_kgGES,Conversion!$H$35)+O13*kg_Bois8_to_kgGES+Q13*kg_Bois35_to_kgGES+S13*lbs_vapeur_to_kgGES+U13*MBTU_eaurefroidie_to_kgGES+W13*MBTU_eauchaude_to_kgGES)/1000</f>
        <v>0</v>
      </c>
      <c r="AD13" s="103">
        <f t="shared" si="5"/>
        <v>0</v>
      </c>
      <c r="AE13" s="104">
        <f t="shared" si="1"/>
        <v>2.4</v>
      </c>
      <c r="AF13" s="49">
        <f>SUM(AE9:AE12)</f>
        <v>499</v>
      </c>
      <c r="AG13" s="49">
        <v>8</v>
      </c>
    </row>
    <row r="14" spans="1:33" ht="17.25" customHeight="1">
      <c r="A14" s="15">
        <f t="shared" si="6"/>
        <v>40787</v>
      </c>
      <c r="B14" s="85"/>
      <c r="C14" s="32"/>
      <c r="D14" s="87"/>
      <c r="E14" s="32"/>
      <c r="F14" s="87"/>
      <c r="G14" s="32"/>
      <c r="H14" s="87"/>
      <c r="I14" s="32"/>
      <c r="J14" s="87"/>
      <c r="K14" s="32"/>
      <c r="L14" s="34"/>
      <c r="M14" s="32"/>
      <c r="N14" s="87"/>
      <c r="O14" s="32"/>
      <c r="P14" s="87"/>
      <c r="Q14" s="32"/>
      <c r="R14" s="87"/>
      <c r="S14" s="32"/>
      <c r="T14" s="87"/>
      <c r="U14" s="32"/>
      <c r="V14" s="87"/>
      <c r="W14" s="32"/>
      <c r="X14" s="87"/>
      <c r="Y14" s="99">
        <f t="shared" si="0"/>
        <v>0</v>
      </c>
      <c r="Z14" s="217">
        <f t="shared" si="2"/>
        <v>0</v>
      </c>
      <c r="AA14" s="100" t="str">
        <f t="shared" si="3"/>
        <v/>
      </c>
      <c r="AB14" s="101" t="str">
        <f t="shared" si="4"/>
        <v/>
      </c>
      <c r="AC14" s="102">
        <f>(C14*kWh_Élect_to_kgGES+E14*IF(U_GNat="[m³]",m3_GazNat_to_kgGES,Conversion!$H$27)+G14*IF(U_Ma2="[l]",L_Mazout2_to_kgGES,Conversion!$H$29)+I14*IF(U_Ma6="[l]",L_Mazout6_to_kgGES,Conversion!$H$31)+K14*L_Mazout2_to_kgGES+M14*IF(U_Prop="[l]",L_Propane_to_kgGES,Conversion!$H$35)+O14*kg_Bois8_to_kgGES+Q14*kg_Bois35_to_kgGES+S14*lbs_vapeur_to_kgGES+U14*MBTU_eaurefroidie_to_kgGES+W14*MBTU_eauchaude_to_kgGES)/1000</f>
        <v>0</v>
      </c>
      <c r="AD14" s="103">
        <f t="shared" si="5"/>
        <v>0</v>
      </c>
      <c r="AE14" s="104">
        <f t="shared" si="1"/>
        <v>46.6</v>
      </c>
      <c r="AF14" s="49">
        <f>SUM(AE9:AE13)</f>
        <v>501.4</v>
      </c>
      <c r="AG14" s="49">
        <v>7</v>
      </c>
    </row>
    <row r="15" spans="1:33" ht="17.25" customHeight="1">
      <c r="A15" s="15">
        <f t="shared" si="6"/>
        <v>40817</v>
      </c>
      <c r="B15" s="85"/>
      <c r="C15" s="32"/>
      <c r="D15" s="87"/>
      <c r="E15" s="32"/>
      <c r="F15" s="87"/>
      <c r="G15" s="32"/>
      <c r="H15" s="87"/>
      <c r="I15" s="32"/>
      <c r="J15" s="87"/>
      <c r="K15" s="32"/>
      <c r="L15" s="34"/>
      <c r="M15" s="32"/>
      <c r="N15" s="87"/>
      <c r="O15" s="32"/>
      <c r="P15" s="87"/>
      <c r="Q15" s="32"/>
      <c r="R15" s="87"/>
      <c r="S15" s="32"/>
      <c r="T15" s="87"/>
      <c r="U15" s="32"/>
      <c r="V15" s="87"/>
      <c r="W15" s="32"/>
      <c r="X15" s="87"/>
      <c r="Y15" s="99">
        <f t="shared" si="0"/>
        <v>0</v>
      </c>
      <c r="Z15" s="217">
        <f t="shared" si="2"/>
        <v>0</v>
      </c>
      <c r="AA15" s="100" t="str">
        <f t="shared" si="3"/>
        <v/>
      </c>
      <c r="AB15" s="101" t="str">
        <f t="shared" si="4"/>
        <v/>
      </c>
      <c r="AC15" s="102">
        <f>(C15*kWh_Élect_to_kgGES+E15*IF(U_GNat="[m³]",m3_GazNat_to_kgGES,Conversion!$H$27)+G15*IF(U_Ma2="[l]",L_Mazout2_to_kgGES,Conversion!$H$29)+I15*IF(U_Ma6="[l]",L_Mazout6_to_kgGES,Conversion!$H$31)+K15*L_Mazout2_to_kgGES+M15*IF(U_Prop="[l]",L_Propane_to_kgGES,Conversion!$H$35)+O15*kg_Bois8_to_kgGES+Q15*kg_Bois35_to_kgGES+S15*lbs_vapeur_to_kgGES+U15*MBTU_eaurefroidie_to_kgGES+W15*MBTU_eauchaude_to_kgGES)/1000</f>
        <v>0</v>
      </c>
      <c r="AD15" s="103">
        <f t="shared" si="5"/>
        <v>0</v>
      </c>
      <c r="AE15" s="104">
        <f t="shared" si="1"/>
        <v>252</v>
      </c>
      <c r="AF15" s="49">
        <f>SUM(AE9:AE14)</f>
        <v>548</v>
      </c>
      <c r="AG15" s="49">
        <v>6</v>
      </c>
    </row>
    <row r="16" spans="1:33" ht="17.25" customHeight="1">
      <c r="A16" s="15">
        <f t="shared" si="6"/>
        <v>40848</v>
      </c>
      <c r="B16" s="85"/>
      <c r="C16" s="32"/>
      <c r="D16" s="87"/>
      <c r="E16" s="32"/>
      <c r="F16" s="87"/>
      <c r="G16" s="32"/>
      <c r="H16" s="87"/>
      <c r="I16" s="32"/>
      <c r="J16" s="87"/>
      <c r="K16" s="32"/>
      <c r="L16" s="34"/>
      <c r="M16" s="32"/>
      <c r="N16" s="87"/>
      <c r="O16" s="32"/>
      <c r="P16" s="87"/>
      <c r="Q16" s="32"/>
      <c r="R16" s="87"/>
      <c r="S16" s="32"/>
      <c r="T16" s="87"/>
      <c r="U16" s="32"/>
      <c r="V16" s="87"/>
      <c r="W16" s="32"/>
      <c r="X16" s="87"/>
      <c r="Y16" s="99">
        <f t="shared" si="0"/>
        <v>0</v>
      </c>
      <c r="Z16" s="217">
        <f t="shared" si="2"/>
        <v>0</v>
      </c>
      <c r="AA16" s="100" t="str">
        <f t="shared" si="3"/>
        <v/>
      </c>
      <c r="AB16" s="101" t="str">
        <f t="shared" si="4"/>
        <v/>
      </c>
      <c r="AC16" s="102">
        <f>(C16*kWh_Élect_to_kgGES+E16*IF(U_GNat="[m³]",m3_GazNat_to_kgGES,Conversion!$H$27)+G16*IF(U_Ma2="[l]",L_Mazout2_to_kgGES,Conversion!$H$29)+I16*IF(U_Ma6="[l]",L_Mazout6_to_kgGES,Conversion!$H$31)+K16*L_Mazout2_to_kgGES+M16*IF(U_Prop="[l]",L_Propane_to_kgGES,Conversion!$H$35)+O16*kg_Bois8_to_kgGES+Q16*kg_Bois35_to_kgGES+S16*lbs_vapeur_to_kgGES+U16*MBTU_eaurefroidie_to_kgGES+W16*MBTU_eauchaude_to_kgGES)/1000</f>
        <v>0</v>
      </c>
      <c r="AD16" s="103">
        <f t="shared" si="5"/>
        <v>0</v>
      </c>
      <c r="AE16" s="104">
        <f t="shared" si="1"/>
        <v>381.6</v>
      </c>
      <c r="AF16" s="49">
        <f>SUM(AE9:AE15)</f>
        <v>800</v>
      </c>
      <c r="AG16" s="49">
        <v>5</v>
      </c>
    </row>
    <row r="17" spans="1:35" ht="17.25" customHeight="1">
      <c r="A17" s="15">
        <f t="shared" si="6"/>
        <v>40878</v>
      </c>
      <c r="B17" s="85"/>
      <c r="C17" s="32"/>
      <c r="D17" s="87"/>
      <c r="E17" s="32"/>
      <c r="F17" s="87"/>
      <c r="G17" s="32"/>
      <c r="H17" s="87"/>
      <c r="I17" s="32"/>
      <c r="J17" s="87"/>
      <c r="K17" s="32"/>
      <c r="L17" s="34"/>
      <c r="M17" s="32"/>
      <c r="N17" s="87"/>
      <c r="O17" s="32"/>
      <c r="P17" s="87"/>
      <c r="Q17" s="32"/>
      <c r="R17" s="87"/>
      <c r="S17" s="32"/>
      <c r="T17" s="87"/>
      <c r="U17" s="32"/>
      <c r="V17" s="87"/>
      <c r="W17" s="32"/>
      <c r="X17" s="87"/>
      <c r="Y17" s="99">
        <f t="shared" si="0"/>
        <v>0</v>
      </c>
      <c r="Z17" s="217">
        <f t="shared" si="2"/>
        <v>0</v>
      </c>
      <c r="AA17" s="100" t="str">
        <f t="shared" si="3"/>
        <v/>
      </c>
      <c r="AB17" s="101" t="str">
        <f t="shared" si="4"/>
        <v/>
      </c>
      <c r="AC17" s="102">
        <f>(C17*kWh_Élect_to_kgGES+E17*IF(U_GNat="[m³]",m3_GazNat_to_kgGES,Conversion!$H$27)+G17*IF(U_Ma2="[l]",L_Mazout2_to_kgGES,Conversion!$H$29)+I17*IF(U_Ma6="[l]",L_Mazout6_to_kgGES,Conversion!$H$31)+K17*L_Mazout2_to_kgGES+M17*IF(U_Prop="[l]",L_Propane_to_kgGES,Conversion!$H$35)+O17*kg_Bois8_to_kgGES+Q17*kg_Bois35_to_kgGES+S17*lbs_vapeur_to_kgGES+U17*MBTU_eaurefroidie_to_kgGES+W17*MBTU_eauchaude_to_kgGES)/1000</f>
        <v>0</v>
      </c>
      <c r="AD17" s="103">
        <f t="shared" si="5"/>
        <v>0</v>
      </c>
      <c r="AE17" s="104">
        <f t="shared" si="1"/>
        <v>637.6</v>
      </c>
      <c r="AF17" s="49">
        <f>SUM(AE9:AE16)</f>
        <v>1181.5999999999999</v>
      </c>
      <c r="AG17" s="49">
        <v>4</v>
      </c>
    </row>
    <row r="18" spans="1:35" ht="17.25" customHeight="1">
      <c r="A18" s="15">
        <f t="shared" si="6"/>
        <v>40909</v>
      </c>
      <c r="B18" s="85"/>
      <c r="C18" s="32"/>
      <c r="D18" s="87"/>
      <c r="E18" s="32"/>
      <c r="F18" s="87"/>
      <c r="G18" s="32"/>
      <c r="H18" s="87"/>
      <c r="I18" s="32"/>
      <c r="J18" s="87"/>
      <c r="K18" s="32"/>
      <c r="L18" s="34"/>
      <c r="M18" s="32"/>
      <c r="N18" s="87"/>
      <c r="O18" s="32"/>
      <c r="P18" s="87"/>
      <c r="Q18" s="32"/>
      <c r="R18" s="87"/>
      <c r="S18" s="32"/>
      <c r="T18" s="87"/>
      <c r="U18" s="32"/>
      <c r="V18" s="87"/>
      <c r="W18" s="32"/>
      <c r="X18" s="87"/>
      <c r="Y18" s="99">
        <f t="shared" si="0"/>
        <v>0</v>
      </c>
      <c r="Z18" s="217">
        <f t="shared" si="2"/>
        <v>0</v>
      </c>
      <c r="AA18" s="100" t="str">
        <f t="shared" si="3"/>
        <v/>
      </c>
      <c r="AB18" s="101" t="str">
        <f t="shared" si="4"/>
        <v/>
      </c>
      <c r="AC18" s="102">
        <f>(C18*kWh_Élect_to_kgGES+E18*IF(U_GNat="[m³]",m3_GazNat_to_kgGES,Conversion!$H$27)+G18*IF(U_Ma2="[l]",L_Mazout2_to_kgGES,Conversion!$H$29)+I18*IF(U_Ma6="[l]",L_Mazout6_to_kgGES,Conversion!$H$31)+K18*L_Mazout2_to_kgGES+M18*IF(U_Prop="[l]",L_Propane_to_kgGES,Conversion!$H$35)+O18*kg_Bois8_to_kgGES+Q18*kg_Bois35_to_kgGES+S18*lbs_vapeur_to_kgGES+U18*MBTU_eaurefroidie_to_kgGES+W18*MBTU_eauchaude_to_kgGES)/1000</f>
        <v>0</v>
      </c>
      <c r="AD18" s="103">
        <f t="shared" si="5"/>
        <v>0</v>
      </c>
      <c r="AE18" s="104">
        <f t="shared" si="1"/>
        <v>788.3</v>
      </c>
      <c r="AF18" s="49">
        <f>SUM(AE9:AE17)</f>
        <v>1819.1999999999998</v>
      </c>
      <c r="AG18" s="49">
        <v>3</v>
      </c>
    </row>
    <row r="19" spans="1:35" ht="17.25" customHeight="1">
      <c r="A19" s="15">
        <f t="shared" si="6"/>
        <v>40940</v>
      </c>
      <c r="B19" s="85"/>
      <c r="C19" s="32"/>
      <c r="D19" s="87"/>
      <c r="E19" s="32"/>
      <c r="F19" s="87"/>
      <c r="G19" s="32"/>
      <c r="H19" s="87"/>
      <c r="I19" s="32"/>
      <c r="J19" s="87"/>
      <c r="K19" s="32"/>
      <c r="L19" s="34"/>
      <c r="M19" s="32"/>
      <c r="N19" s="87"/>
      <c r="O19" s="32"/>
      <c r="P19" s="87"/>
      <c r="Q19" s="32"/>
      <c r="R19" s="87"/>
      <c r="S19" s="32"/>
      <c r="T19" s="87"/>
      <c r="U19" s="32"/>
      <c r="V19" s="87"/>
      <c r="W19" s="32"/>
      <c r="X19" s="87"/>
      <c r="Y19" s="99">
        <f t="shared" si="0"/>
        <v>0</v>
      </c>
      <c r="Z19" s="217">
        <f t="shared" si="2"/>
        <v>0</v>
      </c>
      <c r="AA19" s="100" t="str">
        <f t="shared" si="3"/>
        <v/>
      </c>
      <c r="AB19" s="101" t="str">
        <f t="shared" si="4"/>
        <v/>
      </c>
      <c r="AC19" s="102">
        <f>(C19*kWh_Élect_to_kgGES+E19*IF(U_GNat="[m³]",m3_GazNat_to_kgGES,Conversion!$H$27)+G19*IF(U_Ma2="[l]",L_Mazout2_to_kgGES,Conversion!$H$29)+I19*IF(U_Ma6="[l]",L_Mazout6_to_kgGES,Conversion!$H$31)+K19*L_Mazout2_to_kgGES+M19*IF(U_Prop="[l]",L_Propane_to_kgGES,Conversion!$H$35)+O19*kg_Bois8_to_kgGES+Q19*kg_Bois35_to_kgGES+S19*lbs_vapeur_to_kgGES+U19*MBTU_eaurefroidie_to_kgGES+W19*MBTU_eauchaude_to_kgGES)/1000</f>
        <v>0</v>
      </c>
      <c r="AD19" s="103">
        <f t="shared" si="5"/>
        <v>0</v>
      </c>
      <c r="AE19" s="104">
        <f t="shared" si="1"/>
        <v>659.7</v>
      </c>
      <c r="AF19" s="49">
        <f>SUM(AE9:AE18)</f>
        <v>2607.5</v>
      </c>
      <c r="AG19" s="49">
        <v>2</v>
      </c>
    </row>
    <row r="20" spans="1:35" ht="17.25" customHeight="1" thickBot="1">
      <c r="A20" s="16">
        <f t="shared" si="6"/>
        <v>40969</v>
      </c>
      <c r="B20" s="85"/>
      <c r="C20" s="32"/>
      <c r="D20" s="87"/>
      <c r="E20" s="32"/>
      <c r="F20" s="87"/>
      <c r="G20" s="32"/>
      <c r="H20" s="87"/>
      <c r="I20" s="32"/>
      <c r="J20" s="87"/>
      <c r="K20" s="32"/>
      <c r="L20" s="34"/>
      <c r="M20" s="32"/>
      <c r="N20" s="87"/>
      <c r="O20" s="32"/>
      <c r="P20" s="87"/>
      <c r="Q20" s="32"/>
      <c r="R20" s="87"/>
      <c r="S20" s="32"/>
      <c r="T20" s="87"/>
      <c r="U20" s="32"/>
      <c r="V20" s="87"/>
      <c r="W20" s="32"/>
      <c r="X20" s="87"/>
      <c r="Y20" s="99">
        <f t="shared" si="0"/>
        <v>0</v>
      </c>
      <c r="Z20" s="217">
        <f t="shared" si="2"/>
        <v>0</v>
      </c>
      <c r="AA20" s="100" t="str">
        <f t="shared" si="3"/>
        <v/>
      </c>
      <c r="AB20" s="101" t="str">
        <f t="shared" si="4"/>
        <v/>
      </c>
      <c r="AC20" s="102">
        <f>(C20*kWh_Élect_to_kgGES+E20*IF(U_GNat="[m³]",m3_GazNat_to_kgGES,Conversion!$H$27)+G20*IF(U_Ma2="[l]",L_Mazout2_to_kgGES,Conversion!$H$29)+I20*IF(U_Ma6="[l]",L_Mazout6_to_kgGES,Conversion!$H$31)+K20*L_Mazout2_to_kgGES+M20*IF(U_Prop="[l]",L_Propane_to_kgGES,Conversion!$H$35)+O20*kg_Bois8_to_kgGES+Q20*kg_Bois35_to_kgGES+S20*lbs_vapeur_to_kgGES+U20*MBTU_eaurefroidie_to_kgGES+W20*MBTU_eauchaude_to_kgGES)/1000</f>
        <v>0</v>
      </c>
      <c r="AD20" s="103">
        <f t="shared" si="5"/>
        <v>0</v>
      </c>
      <c r="AE20" s="104">
        <f t="shared" si="1"/>
        <v>462.8</v>
      </c>
      <c r="AF20" s="49">
        <f>SUM(AE9:AE19)</f>
        <v>3267.2</v>
      </c>
      <c r="AG20" s="49">
        <v>1</v>
      </c>
    </row>
    <row r="21" spans="1:35" ht="20.25" customHeight="1" thickTop="1">
      <c r="A21" s="3" t="s">
        <v>53</v>
      </c>
      <c r="B21" s="35">
        <f>IF(ISERROR(AVERAGE(B9:B20)),0,AVERAGE(B9:B20))</f>
        <v>0</v>
      </c>
      <c r="C21" s="35">
        <f t="shared" ref="C21:X21" si="7">SUM(C9:C20)</f>
        <v>0</v>
      </c>
      <c r="D21" s="536">
        <f t="shared" si="7"/>
        <v>0</v>
      </c>
      <c r="E21" s="35">
        <f t="shared" si="7"/>
        <v>0</v>
      </c>
      <c r="F21" s="536">
        <f t="shared" si="7"/>
        <v>0</v>
      </c>
      <c r="G21" s="35">
        <f t="shared" si="7"/>
        <v>0</v>
      </c>
      <c r="H21" s="536">
        <f t="shared" si="7"/>
        <v>0</v>
      </c>
      <c r="I21" s="35">
        <f t="shared" si="7"/>
        <v>0</v>
      </c>
      <c r="J21" s="536">
        <f t="shared" si="7"/>
        <v>0</v>
      </c>
      <c r="K21" s="35">
        <f t="shared" si="7"/>
        <v>0</v>
      </c>
      <c r="L21" s="536">
        <f t="shared" si="7"/>
        <v>0</v>
      </c>
      <c r="M21" s="35">
        <f t="shared" si="7"/>
        <v>0</v>
      </c>
      <c r="N21" s="536">
        <f t="shared" si="7"/>
        <v>0</v>
      </c>
      <c r="O21" s="35">
        <f t="shared" si="7"/>
        <v>0</v>
      </c>
      <c r="P21" s="536">
        <f t="shared" si="7"/>
        <v>0</v>
      </c>
      <c r="Q21" s="35">
        <f t="shared" si="7"/>
        <v>0</v>
      </c>
      <c r="R21" s="536">
        <f t="shared" si="7"/>
        <v>0</v>
      </c>
      <c r="S21" s="35">
        <f t="shared" si="7"/>
        <v>0</v>
      </c>
      <c r="T21" s="536">
        <f t="shared" si="7"/>
        <v>0</v>
      </c>
      <c r="U21" s="35">
        <f t="shared" si="7"/>
        <v>0</v>
      </c>
      <c r="V21" s="536">
        <f t="shared" si="7"/>
        <v>0</v>
      </c>
      <c r="W21" s="35">
        <f t="shared" si="7"/>
        <v>0</v>
      </c>
      <c r="X21" s="536">
        <f t="shared" si="7"/>
        <v>0</v>
      </c>
      <c r="Y21" s="263">
        <f t="shared" si="0"/>
        <v>0</v>
      </c>
      <c r="Z21" s="537">
        <f>D21+F21+H21+J21+L21+N21+P21+R21+T21+V21+X21+L21</f>
        <v>0</v>
      </c>
      <c r="AA21" s="265" t="str">
        <f>IF(ISERROR(Y21/B21),"",Y21/B21)</f>
        <v/>
      </c>
      <c r="AB21" s="266" t="str">
        <f>IF(ISERROR(Z21/B21),"",Z21/B21)</f>
        <v/>
      </c>
      <c r="AC21" s="263">
        <f>(C21*kWh_Élect_to_kgGES+E21*IF(U_GNat="[m³]",m3_GazNat_to_kgGES,Conversion!$H$27)+G21*IF(U_Ma2="[l]",L_Mazout2_to_kgGES,Conversion!$H$29)+I21*IF(U_Ma6="[l]",L_Mazout6_to_kgGES,Conversion!$H$31)+K21*L_Mazout2_to_kgGES+M21*IF(U_Prop="[l]",L_Propane_to_kgGES,Conversion!$H$35)+O21*kg_Bois8_to_kgGES+Q21*kg_Bois35_to_kgGES+S21*lbs_vapeur_to_kgGES+U21*MBTU_eaurefroidie_to_kgGES+W21*MBTU_eauchaude_to_kgGES)/1000</f>
        <v>0</v>
      </c>
      <c r="AD21" s="267">
        <f>(IF(ISERROR(AC21/B21),0,(AC21/B21)))*1000</f>
        <v>0</v>
      </c>
      <c r="AE21" s="268">
        <f>SUM(AE9:AE20)</f>
        <v>3730</v>
      </c>
    </row>
    <row r="22" spans="1:35">
      <c r="A22" s="27">
        <v>2011</v>
      </c>
      <c r="B22" s="27" t="s">
        <v>136</v>
      </c>
      <c r="C22" s="28" t="s">
        <v>137</v>
      </c>
      <c r="D22" s="28" t="s">
        <v>138</v>
      </c>
      <c r="E22" s="28" t="s">
        <v>139</v>
      </c>
      <c r="F22" s="28" t="s">
        <v>140</v>
      </c>
      <c r="G22" s="28" t="s">
        <v>141</v>
      </c>
      <c r="H22" s="28" t="s">
        <v>142</v>
      </c>
      <c r="I22" s="28" t="s">
        <v>143</v>
      </c>
      <c r="J22" s="28" t="s">
        <v>144</v>
      </c>
      <c r="K22" s="524"/>
      <c r="L22" s="524"/>
      <c r="M22" s="28" t="s">
        <v>145</v>
      </c>
      <c r="N22" s="28" t="s">
        <v>146</v>
      </c>
      <c r="O22" s="28" t="s">
        <v>147</v>
      </c>
      <c r="P22" s="28" t="s">
        <v>148</v>
      </c>
      <c r="Q22" s="28" t="s">
        <v>149</v>
      </c>
      <c r="R22" s="28" t="s">
        <v>150</v>
      </c>
      <c r="S22" s="28"/>
      <c r="T22" s="28"/>
      <c r="U22" s="28"/>
      <c r="V22" s="28"/>
      <c r="W22" s="28"/>
      <c r="X22" s="28"/>
      <c r="Y22" s="47" t="s">
        <v>151</v>
      </c>
      <c r="Z22" s="47" t="s">
        <v>152</v>
      </c>
      <c r="AA22" s="47" t="s">
        <v>153</v>
      </c>
      <c r="AB22" s="47" t="s">
        <v>154</v>
      </c>
      <c r="AC22" s="47" t="s">
        <v>155</v>
      </c>
      <c r="AD22" s="48" t="s">
        <v>156</v>
      </c>
      <c r="AE22" s="47" t="s">
        <v>157</v>
      </c>
    </row>
    <row r="23" spans="1:35" ht="16.8">
      <c r="A23" s="123" t="s">
        <v>378</v>
      </c>
      <c r="B23" s="26"/>
      <c r="C23" s="46"/>
      <c r="D23" s="46"/>
      <c r="E23" s="46"/>
      <c r="F23" s="46"/>
      <c r="G23" s="51"/>
      <c r="H23" s="50"/>
      <c r="I23" s="46"/>
      <c r="J23" s="46"/>
      <c r="K23" s="46"/>
      <c r="L23" s="46"/>
      <c r="M23" s="47"/>
      <c r="N23" s="47"/>
      <c r="O23" s="47"/>
      <c r="P23" s="47"/>
      <c r="Q23" s="47"/>
      <c r="R23" s="47"/>
      <c r="S23" s="47"/>
      <c r="T23" s="47"/>
      <c r="U23" s="47"/>
      <c r="V23" s="47"/>
      <c r="X23" s="47"/>
      <c r="Y23" s="47"/>
      <c r="Z23" s="47"/>
      <c r="AA23" s="47"/>
      <c r="AB23" s="48"/>
      <c r="AC23" s="47"/>
    </row>
    <row r="24" spans="1:35" ht="15" thickBot="1">
      <c r="A24" s="26"/>
      <c r="B24" s="26"/>
      <c r="C24" s="46"/>
      <c r="D24" s="46"/>
      <c r="E24" s="46"/>
      <c r="F24" s="46"/>
      <c r="G24" s="46"/>
      <c r="H24" s="46"/>
      <c r="I24" s="46"/>
      <c r="J24" s="46"/>
      <c r="K24" s="46"/>
      <c r="L24" s="46"/>
      <c r="M24" s="47"/>
      <c r="N24" s="47"/>
      <c r="O24" s="47"/>
      <c r="P24" s="47"/>
      <c r="Q24" s="47"/>
      <c r="R24" s="47"/>
      <c r="S24" s="47"/>
      <c r="T24" s="47"/>
      <c r="U24" s="47"/>
      <c r="V24" s="47"/>
      <c r="X24" s="47"/>
      <c r="Y24" s="47"/>
      <c r="Z24" s="47"/>
      <c r="AA24" s="47"/>
      <c r="AB24" s="48"/>
      <c r="AC24" s="47"/>
    </row>
    <row r="25" spans="1:35" ht="18.600000000000001" thickTop="1">
      <c r="A25" s="560" t="s">
        <v>804</v>
      </c>
      <c r="B25" s="561"/>
      <c r="C25" s="561"/>
      <c r="D25" s="561"/>
      <c r="E25" s="561"/>
      <c r="F25" s="561"/>
      <c r="G25" s="561"/>
      <c r="H25" s="562"/>
      <c r="I25" s="46"/>
      <c r="J25" s="46"/>
      <c r="K25" s="46"/>
      <c r="L25" s="46"/>
      <c r="X25" s="47"/>
      <c r="AA25" s="47">
        <f>Lim_bas</f>
        <v>0</v>
      </c>
      <c r="AB25" s="47">
        <f>Lim_haut</f>
        <v>0</v>
      </c>
      <c r="AC25" s="47"/>
    </row>
    <row r="26" spans="1:35" ht="30" customHeight="1" thickBot="1">
      <c r="A26" s="46"/>
      <c r="B26" s="46"/>
      <c r="C26" s="46"/>
      <c r="D26" s="46"/>
      <c r="E26" s="46"/>
      <c r="F26" s="46"/>
      <c r="G26" s="46"/>
      <c r="H26" s="46"/>
      <c r="I26" s="46"/>
      <c r="J26" s="46"/>
      <c r="K26" s="46"/>
      <c r="L26" s="46"/>
    </row>
    <row r="27" spans="1:35" ht="159" customHeight="1" thickTop="1">
      <c r="A27" s="556" t="s">
        <v>374</v>
      </c>
      <c r="B27" s="557"/>
      <c r="C27" s="564" t="s">
        <v>788</v>
      </c>
      <c r="D27" s="564"/>
      <c r="E27" s="564"/>
      <c r="F27" s="564"/>
      <c r="G27" s="564"/>
      <c r="H27" s="564"/>
      <c r="I27" s="564"/>
      <c r="J27" s="564"/>
      <c r="K27" s="564"/>
      <c r="L27" s="564"/>
      <c r="Y27" s="47"/>
      <c r="Z27" s="47"/>
      <c r="AA27" s="47"/>
      <c r="AB27" s="89"/>
      <c r="AC27" s="89"/>
      <c r="AD27" s="25"/>
      <c r="AE27" s="25"/>
      <c r="AF27" s="25"/>
      <c r="AG27" s="25"/>
      <c r="AH27" s="25"/>
      <c r="AI27" s="25"/>
    </row>
    <row r="28" spans="1:35" ht="15" thickBot="1">
      <c r="A28" s="23"/>
      <c r="B28" s="23"/>
      <c r="X28" s="47"/>
      <c r="Z28" s="47"/>
      <c r="AA28" s="169"/>
      <c r="AB28" s="89"/>
      <c r="AC28" s="89"/>
      <c r="AD28" s="25"/>
      <c r="AE28" s="25"/>
      <c r="AF28" s="25"/>
      <c r="AG28" s="25"/>
      <c r="AH28" s="25"/>
      <c r="AI28" s="25"/>
    </row>
    <row r="29" spans="1:35" ht="44.4" thickTop="1" thickBot="1">
      <c r="B29" s="12" t="s">
        <v>64</v>
      </c>
      <c r="C29" s="12" t="s">
        <v>91</v>
      </c>
      <c r="D29" s="12" t="s">
        <v>338</v>
      </c>
      <c r="E29" s="12" t="s">
        <v>358</v>
      </c>
      <c r="F29" s="12"/>
      <c r="G29" s="12" t="s">
        <v>72</v>
      </c>
      <c r="H29" s="12" t="s">
        <v>71</v>
      </c>
      <c r="I29" s="12" t="s">
        <v>360</v>
      </c>
      <c r="J29" s="12" t="s">
        <v>361</v>
      </c>
      <c r="X29" s="57" t="s">
        <v>54</v>
      </c>
      <c r="Y29" s="61">
        <f>((1-Facteur_variable)+Facteur_variable*DJC_tot_11_12/DJC_tot_09_10)*GJ_Tot_09_10+GJ_Ajust_NP_Cour_11_12</f>
        <v>0</v>
      </c>
      <c r="Z29" s="223" t="s">
        <v>290</v>
      </c>
      <c r="AA29" s="47"/>
      <c r="AB29" s="89"/>
      <c r="AC29" s="89"/>
      <c r="AD29" s="25"/>
      <c r="AE29" s="25"/>
      <c r="AF29" s="25"/>
      <c r="AG29" s="25"/>
      <c r="AH29" s="25"/>
      <c r="AI29" s="25"/>
    </row>
    <row r="30" spans="1:35" ht="47.25" customHeight="1" thickTop="1">
      <c r="B30" s="90" t="s">
        <v>771</v>
      </c>
      <c r="C30" s="90"/>
      <c r="D30" s="90"/>
      <c r="E30" s="91"/>
      <c r="F30" s="92" t="str">
        <f>IF(D30="électrique","kWh",IF(D30="Gaz naturel","m³",IF(LEFT(D30,1)="R","1000 kg","l")))</f>
        <v>l</v>
      </c>
      <c r="G30" s="90"/>
      <c r="H30" s="93"/>
      <c r="I30" s="94">
        <f>IF(COUNTA(G30)=1,IF(C30="Réduction",-1,IF(C30="Augmentation",1,0))*E30*INDEX(Conversion!$A$24:$J$40,MATCH(D30,Conversion!$J$24:$J$40,0),9),0)</f>
        <v>0</v>
      </c>
      <c r="J30" s="94">
        <f t="shared" ref="J30:J36" si="8">IF(G30="Non",I30*L30,IF(G30="Oui",I30*K30,0))</f>
        <v>0</v>
      </c>
      <c r="K30" s="56" t="e">
        <f>(DJC_tot_11_12-INDEX($A$9:$AF$20,MATCH(H30,$A$9:$A$20,0),24))/DJC_tot_11_12</f>
        <v>#N/A</v>
      </c>
      <c r="L30" s="56" t="e">
        <f t="shared" ref="L30:L36" si="9">INDEX($A$9:$AG$20,MATCH(H30,$A$9:$A$20,0),25)/12</f>
        <v>#N/A</v>
      </c>
      <c r="W30" s="49"/>
      <c r="X30" s="58" t="s">
        <v>55</v>
      </c>
      <c r="Y30" s="61">
        <f>GJ_Tot_11_12</f>
        <v>0</v>
      </c>
      <c r="AA30" s="47"/>
      <c r="AB30" s="89"/>
      <c r="AC30" s="89"/>
      <c r="AD30" s="25"/>
      <c r="AE30" s="25"/>
      <c r="AF30" s="25"/>
      <c r="AG30" s="25"/>
      <c r="AH30" s="25"/>
      <c r="AI30" s="25"/>
    </row>
    <row r="31" spans="1:35" ht="50.25" customHeight="1">
      <c r="B31" s="90" t="s">
        <v>773</v>
      </c>
      <c r="C31" s="90"/>
      <c r="D31" s="90"/>
      <c r="E31" s="91"/>
      <c r="F31" s="92" t="str">
        <f t="shared" ref="F31:F36" si="10">IF(D31="électrique","kWh",IF(D31="Gaz naturel","m³",IF(LEFT(D31,1)="R","1000 kg","l")))</f>
        <v>l</v>
      </c>
      <c r="G31" s="90"/>
      <c r="H31" s="93"/>
      <c r="I31" s="94">
        <f>IF(COUNTA(G31)=1,IF(C31="Réduction",-1,IF(C31="Augmentation",1,0))*E31*INDEX(Conversion!$A$24:$J$40,MATCH(D31,Conversion!$J$24:$J$40,0),9),0)</f>
        <v>0</v>
      </c>
      <c r="J31" s="94">
        <f t="shared" si="8"/>
        <v>0</v>
      </c>
      <c r="K31" s="56" t="e">
        <f t="shared" ref="K31:K36" si="11">(DJC_tot_10_11-INDEX($A$9:$AF$20,MATCH(H31,$A$9:$A$20,0),24))/DJC_tot_11_12</f>
        <v>#N/A</v>
      </c>
      <c r="L31" s="56" t="e">
        <f t="shared" si="9"/>
        <v>#N/A</v>
      </c>
      <c r="W31" s="49"/>
      <c r="X31" s="58" t="s">
        <v>56</v>
      </c>
      <c r="Y31" s="49">
        <f>Sup_09_10</f>
        <v>0</v>
      </c>
      <c r="AA31" s="47"/>
      <c r="AB31" s="89"/>
      <c r="AC31" s="89"/>
      <c r="AD31" s="25"/>
      <c r="AE31" s="25"/>
      <c r="AF31" s="25"/>
      <c r="AG31" s="25"/>
      <c r="AH31" s="25"/>
      <c r="AI31" s="25"/>
    </row>
    <row r="32" spans="1:35" ht="35.25" customHeight="1">
      <c r="B32" s="90" t="s">
        <v>772</v>
      </c>
      <c r="C32" s="90"/>
      <c r="D32" s="90"/>
      <c r="E32" s="91"/>
      <c r="F32" s="92" t="str">
        <f t="shared" si="10"/>
        <v>l</v>
      </c>
      <c r="G32" s="90"/>
      <c r="H32" s="93"/>
      <c r="I32" s="94">
        <f>IF(COUNTA(G32)=1,IF(C32="Réduction",-1,IF(C32="Augmentation",1,0))*E32*INDEX(Conversion!$A$24:$J$40,MATCH(D32,Conversion!$J$24:$J$40,0),9),0)</f>
        <v>0</v>
      </c>
      <c r="J32" s="94">
        <f t="shared" si="8"/>
        <v>0</v>
      </c>
      <c r="K32" s="56" t="e">
        <f t="shared" si="11"/>
        <v>#N/A</v>
      </c>
      <c r="L32" s="56" t="e">
        <f t="shared" si="9"/>
        <v>#N/A</v>
      </c>
      <c r="X32" s="58" t="s">
        <v>57</v>
      </c>
      <c r="Y32" s="47">
        <f>Sup_11_12</f>
        <v>0</v>
      </c>
      <c r="AA32" s="47"/>
      <c r="AB32" s="89"/>
      <c r="AC32" s="89"/>
      <c r="AD32" s="25"/>
      <c r="AE32" s="25"/>
      <c r="AF32" s="25"/>
      <c r="AG32" s="25"/>
      <c r="AH32" s="25"/>
      <c r="AI32" s="25"/>
    </row>
    <row r="33" spans="1:35" ht="35.25" customHeight="1">
      <c r="B33" s="90" t="s">
        <v>777</v>
      </c>
      <c r="C33" s="90"/>
      <c r="D33" s="90"/>
      <c r="E33" s="91"/>
      <c r="F33" s="92" t="str">
        <f t="shared" si="10"/>
        <v>l</v>
      </c>
      <c r="G33" s="90"/>
      <c r="H33" s="93"/>
      <c r="I33" s="94">
        <f>IF(COUNTA(G33)=1,IF(C33="Réduction",-1,IF(C33="Augmentation",1,0))*E33*INDEX(Conversion!$A$24:$J$40,MATCH(D33,Conversion!$J$24:$J$40,0),9),0)</f>
        <v>0</v>
      </c>
      <c r="J33" s="94">
        <f t="shared" si="8"/>
        <v>0</v>
      </c>
      <c r="K33" s="56" t="e">
        <f t="shared" si="11"/>
        <v>#N/A</v>
      </c>
      <c r="L33" s="56" t="e">
        <f t="shared" si="9"/>
        <v>#N/A</v>
      </c>
      <c r="X33" s="47"/>
      <c r="Y33" s="59" t="e">
        <f>GJTotRef_Ajust_11_12/Sup_09_10</f>
        <v>#DIV/0!</v>
      </c>
      <c r="Z33" s="49" t="s">
        <v>291</v>
      </c>
      <c r="AA33" s="47"/>
      <c r="AB33" s="89"/>
      <c r="AC33" s="89"/>
      <c r="AD33" s="25"/>
      <c r="AE33" s="25"/>
      <c r="AF33" s="25"/>
      <c r="AG33" s="25"/>
      <c r="AH33" s="25"/>
      <c r="AI33" s="25"/>
    </row>
    <row r="34" spans="1:35" ht="35.25" customHeight="1">
      <c r="B34" s="90" t="s">
        <v>776</v>
      </c>
      <c r="C34" s="90"/>
      <c r="D34" s="90"/>
      <c r="E34" s="91"/>
      <c r="F34" s="92" t="str">
        <f t="shared" si="10"/>
        <v>l</v>
      </c>
      <c r="G34" s="90"/>
      <c r="H34" s="93"/>
      <c r="I34" s="94">
        <f>IF(COUNTA(G34)=1,IF(C34="Réduction",-1,IF(C34="Augmentation",1,0))*E34*INDEX(Conversion!$A$24:$J$40,MATCH(D34,Conversion!$J$24:$J$40,0),9),0)</f>
        <v>0</v>
      </c>
      <c r="J34" s="94">
        <f t="shared" si="8"/>
        <v>0</v>
      </c>
      <c r="K34" s="56" t="e">
        <f t="shared" si="11"/>
        <v>#N/A</v>
      </c>
      <c r="L34" s="56" t="e">
        <f t="shared" si="9"/>
        <v>#N/A</v>
      </c>
      <c r="W34" s="49"/>
      <c r="Y34" s="60">
        <f>J37</f>
        <v>0</v>
      </c>
      <c r="Z34" s="49" t="s">
        <v>292</v>
      </c>
      <c r="AB34" s="25"/>
      <c r="AC34" s="25"/>
      <c r="AD34" s="25"/>
      <c r="AE34" s="25"/>
      <c r="AF34" s="25"/>
      <c r="AG34" s="25"/>
      <c r="AH34" s="25"/>
      <c r="AI34" s="25"/>
    </row>
    <row r="35" spans="1:35" ht="35.25" customHeight="1">
      <c r="B35" s="90" t="s">
        <v>775</v>
      </c>
      <c r="C35" s="90"/>
      <c r="D35" s="90"/>
      <c r="E35" s="91"/>
      <c r="F35" s="92" t="str">
        <f t="shared" si="10"/>
        <v>l</v>
      </c>
      <c r="G35" s="90"/>
      <c r="H35" s="93"/>
      <c r="I35" s="94">
        <f>IF(COUNTA(G35)=1,IF(C35="Réduction",-1,IF(C35="Augmentation",1,0))*E35*INDEX(Conversion!$A$24:$J$40,MATCH(D35,Conversion!$J$24:$J$40,0),9),0)</f>
        <v>0</v>
      </c>
      <c r="J35" s="94">
        <f t="shared" si="8"/>
        <v>0</v>
      </c>
      <c r="K35" s="56" t="e">
        <f t="shared" si="11"/>
        <v>#N/A</v>
      </c>
      <c r="L35" s="56" t="e">
        <f t="shared" si="9"/>
        <v>#N/A</v>
      </c>
      <c r="W35" s="49"/>
      <c r="Y35" s="60">
        <f>I37</f>
        <v>0</v>
      </c>
      <c r="Z35" s="49" t="s">
        <v>293</v>
      </c>
      <c r="AB35" s="25"/>
      <c r="AC35" s="25"/>
      <c r="AD35" s="25"/>
      <c r="AE35" s="25"/>
      <c r="AF35" s="25"/>
      <c r="AG35" s="25"/>
      <c r="AH35" s="25"/>
      <c r="AI35" s="25"/>
    </row>
    <row r="36" spans="1:35" ht="35.25" customHeight="1" thickBot="1">
      <c r="B36" s="90" t="s">
        <v>774</v>
      </c>
      <c r="C36" s="90"/>
      <c r="D36" s="90"/>
      <c r="E36" s="91"/>
      <c r="F36" s="92" t="str">
        <f t="shared" si="10"/>
        <v>l</v>
      </c>
      <c r="G36" s="90"/>
      <c r="H36" s="93"/>
      <c r="I36" s="94">
        <f>IF(COUNTA(G36)=1,IF(C36="Réduction",-1,IF(C36="Augmentation",1,0))*E36*INDEX(Conversion!$A$24:$J$40,MATCH(D36,Conversion!$J$24:$J$40,0),9),0)</f>
        <v>0</v>
      </c>
      <c r="J36" s="94">
        <f t="shared" si="8"/>
        <v>0</v>
      </c>
      <c r="K36" s="56" t="e">
        <f t="shared" si="11"/>
        <v>#N/A</v>
      </c>
      <c r="L36" s="56" t="e">
        <f t="shared" si="9"/>
        <v>#N/A</v>
      </c>
      <c r="W36" s="49"/>
      <c r="AB36" s="25"/>
      <c r="AC36" s="25"/>
      <c r="AD36" s="25"/>
      <c r="AE36" s="25"/>
      <c r="AF36" s="25"/>
      <c r="AG36" s="25"/>
      <c r="AH36" s="25"/>
      <c r="AI36" s="25"/>
    </row>
    <row r="37" spans="1:35" ht="25.5" customHeight="1" thickTop="1" thickBot="1">
      <c r="B37" s="95" t="s">
        <v>16</v>
      </c>
      <c r="C37" s="96"/>
      <c r="D37" s="96"/>
      <c r="E37" s="96"/>
      <c r="F37" s="97"/>
      <c r="G37" s="96"/>
      <c r="H37" s="96"/>
      <c r="I37" s="98">
        <f>SUM(I30:I36)</f>
        <v>0</v>
      </c>
      <c r="J37" s="98">
        <f>SUM(J30:J36)</f>
        <v>0</v>
      </c>
      <c r="W37" s="49"/>
    </row>
    <row r="38" spans="1:35" ht="15" thickTop="1">
      <c r="I38" s="1"/>
      <c r="J38" s="24"/>
      <c r="W38" s="49"/>
    </row>
    <row r="39" spans="1:35">
      <c r="W39" s="49"/>
    </row>
    <row r="40" spans="1:35">
      <c r="W40" s="49"/>
    </row>
    <row r="41" spans="1:35" ht="16.5" customHeight="1">
      <c r="W41" s="49"/>
    </row>
    <row r="42" spans="1:35">
      <c r="W42" s="49"/>
    </row>
    <row r="43" spans="1:35" ht="16.5" customHeight="1">
      <c r="W43" s="49"/>
    </row>
    <row r="44" spans="1:35">
      <c r="A44" s="29"/>
      <c r="B44" s="29"/>
      <c r="C44" s="30"/>
      <c r="D44" s="30"/>
      <c r="E44" s="30"/>
      <c r="F44" s="30"/>
      <c r="G44" s="30"/>
      <c r="H44" s="30"/>
      <c r="W44" s="49"/>
    </row>
    <row r="45" spans="1:35">
      <c r="A45" s="29"/>
      <c r="B45" s="29"/>
      <c r="C45" s="30"/>
      <c r="D45" s="30"/>
      <c r="E45" s="30"/>
      <c r="F45" s="30"/>
      <c r="G45" s="30"/>
      <c r="H45" s="30"/>
      <c r="W45" s="49"/>
    </row>
    <row r="46" spans="1:35">
      <c r="A46" s="29"/>
      <c r="B46" s="27"/>
      <c r="C46" s="28" t="s">
        <v>65</v>
      </c>
      <c r="D46" s="28" t="s">
        <v>70</v>
      </c>
      <c r="E46" s="28"/>
      <c r="F46" s="28"/>
      <c r="G46" s="28" t="s">
        <v>73</v>
      </c>
      <c r="H46" s="30"/>
    </row>
    <row r="47" spans="1:35">
      <c r="A47" s="29"/>
      <c r="B47" s="27"/>
      <c r="C47" s="28" t="s">
        <v>66</v>
      </c>
      <c r="D47" s="28" t="s">
        <v>19</v>
      </c>
      <c r="E47" s="28"/>
      <c r="F47" s="28"/>
      <c r="G47" s="28" t="s">
        <v>74</v>
      </c>
      <c r="H47" s="30"/>
    </row>
    <row r="48" spans="1:35">
      <c r="A48" s="29"/>
      <c r="B48" s="27"/>
      <c r="C48" s="28"/>
      <c r="D48" s="28" t="s">
        <v>67</v>
      </c>
      <c r="E48" s="28"/>
      <c r="F48" s="28"/>
      <c r="G48" s="28"/>
      <c r="H48" s="30"/>
    </row>
    <row r="49" spans="1:23">
      <c r="A49" s="29"/>
      <c r="B49" s="27"/>
      <c r="C49" s="28"/>
      <c r="D49" s="28" t="s">
        <v>25</v>
      </c>
      <c r="E49" s="28"/>
      <c r="F49" s="28"/>
      <c r="G49" s="28"/>
      <c r="H49" s="30"/>
    </row>
    <row r="50" spans="1:23">
      <c r="A50" s="29"/>
      <c r="B50" s="27"/>
      <c r="C50" s="28"/>
      <c r="D50" s="28" t="s">
        <v>27</v>
      </c>
      <c r="E50" s="28"/>
      <c r="F50" s="28"/>
      <c r="G50" s="28"/>
      <c r="H50" s="30"/>
    </row>
    <row r="51" spans="1:23">
      <c r="A51" s="29"/>
      <c r="B51" s="27"/>
      <c r="C51" s="28"/>
      <c r="D51" s="28" t="s">
        <v>68</v>
      </c>
      <c r="E51" s="28"/>
      <c r="F51" s="28"/>
      <c r="G51" s="28"/>
      <c r="H51" s="30"/>
    </row>
    <row r="52" spans="1:23">
      <c r="A52" s="29"/>
      <c r="B52" s="27"/>
      <c r="C52" s="28"/>
      <c r="D52" s="28" t="s">
        <v>69</v>
      </c>
      <c r="E52" s="28"/>
      <c r="F52" s="28"/>
      <c r="G52" s="28"/>
      <c r="H52" s="30"/>
    </row>
    <row r="53" spans="1:23">
      <c r="A53" s="29"/>
      <c r="B53" s="27"/>
      <c r="C53" s="28"/>
      <c r="D53" s="28" t="s">
        <v>77</v>
      </c>
      <c r="E53" s="28"/>
      <c r="F53" s="28"/>
      <c r="G53" s="28"/>
      <c r="H53" s="30"/>
    </row>
    <row r="54" spans="1:23">
      <c r="A54" s="29"/>
      <c r="B54" s="27"/>
      <c r="C54" s="28"/>
      <c r="D54" s="28"/>
      <c r="E54" s="28"/>
      <c r="F54" s="28"/>
      <c r="G54" s="28"/>
      <c r="H54" s="30"/>
    </row>
    <row r="55" spans="1:23">
      <c r="A55" s="29"/>
      <c r="B55" s="27" t="s">
        <v>33</v>
      </c>
      <c r="C55" s="27"/>
      <c r="D55" s="28"/>
      <c r="E55" s="28"/>
      <c r="F55" s="28"/>
      <c r="G55" s="28"/>
      <c r="H55" s="30"/>
    </row>
    <row r="56" spans="1:23">
      <c r="A56" s="29"/>
      <c r="B56" s="28" t="s">
        <v>19</v>
      </c>
      <c r="C56" s="28"/>
      <c r="D56" s="28" t="s">
        <v>24</v>
      </c>
      <c r="E56" s="28"/>
      <c r="F56" s="39" t="s">
        <v>26</v>
      </c>
      <c r="G56" s="39"/>
      <c r="H56" s="30"/>
      <c r="K56" s="565"/>
      <c r="L56" s="565"/>
      <c r="N56" s="1"/>
    </row>
    <row r="57" spans="1:23">
      <c r="A57" s="29"/>
      <c r="B57" s="28" t="s">
        <v>31</v>
      </c>
      <c r="C57" s="28" t="s">
        <v>34</v>
      </c>
      <c r="D57" s="28" t="s">
        <v>23</v>
      </c>
      <c r="E57" s="28" t="s">
        <v>30</v>
      </c>
      <c r="F57" s="28" t="s">
        <v>28</v>
      </c>
      <c r="G57" s="28" t="s">
        <v>29</v>
      </c>
      <c r="H57" s="30"/>
      <c r="N57" s="1"/>
    </row>
    <row r="58" spans="1:23">
      <c r="A58" s="29"/>
      <c r="B58" s="29"/>
      <c r="C58" s="30"/>
      <c r="D58" s="30"/>
      <c r="E58" s="30"/>
      <c r="F58" s="30"/>
      <c r="G58" s="30"/>
      <c r="H58" s="30"/>
    </row>
    <row r="59" spans="1:23">
      <c r="A59" s="29"/>
      <c r="B59" s="29"/>
      <c r="C59" s="30"/>
      <c r="D59" s="30"/>
      <c r="E59" s="30"/>
      <c r="F59" s="30"/>
      <c r="G59" s="30"/>
      <c r="H59" s="30"/>
    </row>
    <row r="60" spans="1:23">
      <c r="A60" s="29"/>
      <c r="B60" s="29"/>
      <c r="C60" s="30"/>
      <c r="D60" s="30"/>
      <c r="E60" s="30"/>
      <c r="F60" s="30"/>
      <c r="G60" s="30"/>
      <c r="H60" s="30"/>
    </row>
    <row r="61" spans="1:23">
      <c r="A61" s="29"/>
      <c r="B61" s="29"/>
      <c r="C61" s="30"/>
      <c r="D61" s="30"/>
      <c r="E61" s="30"/>
      <c r="F61" s="30"/>
      <c r="G61" s="30"/>
      <c r="H61" s="30"/>
    </row>
    <row r="63" spans="1:23">
      <c r="E63" s="1"/>
      <c r="F63" s="1"/>
      <c r="G63" s="1"/>
      <c r="H63" s="1"/>
      <c r="I63" s="1"/>
      <c r="J63" s="1"/>
      <c r="K63" s="1"/>
      <c r="L63" s="1"/>
      <c r="M63" s="1"/>
      <c r="N63" s="1"/>
      <c r="O63" s="1"/>
      <c r="P63" s="1"/>
      <c r="Q63" s="1"/>
      <c r="R63" s="1"/>
      <c r="S63" s="1"/>
      <c r="T63" s="1"/>
      <c r="U63" s="1"/>
      <c r="V63" s="1"/>
      <c r="W63" s="49"/>
    </row>
    <row r="64" spans="1:23">
      <c r="E64" s="1"/>
      <c r="F64" s="1"/>
      <c r="G64" s="1"/>
      <c r="H64" s="1"/>
      <c r="I64" s="1"/>
      <c r="J64" s="1"/>
      <c r="K64" s="1"/>
      <c r="L64" s="1"/>
      <c r="M64" s="1"/>
      <c r="N64" s="1"/>
      <c r="O64" s="1"/>
      <c r="P64" s="1"/>
      <c r="Q64" s="1"/>
      <c r="R64" s="1"/>
      <c r="S64" s="1"/>
      <c r="T64" s="1"/>
      <c r="U64" s="1"/>
      <c r="V64" s="1"/>
      <c r="W64" s="49"/>
    </row>
    <row r="65" spans="5:23" ht="16.5" customHeight="1">
      <c r="E65" s="1"/>
      <c r="F65" s="1"/>
      <c r="G65" s="1"/>
      <c r="H65" s="1"/>
      <c r="I65" s="1"/>
      <c r="J65" s="1"/>
      <c r="K65" s="1"/>
      <c r="L65" s="1"/>
      <c r="M65" s="1"/>
      <c r="N65" s="1"/>
      <c r="O65" s="1"/>
      <c r="P65" s="1"/>
      <c r="Q65" s="1"/>
      <c r="R65" s="1"/>
      <c r="S65" s="1"/>
      <c r="T65" s="1"/>
      <c r="U65" s="1"/>
      <c r="V65" s="1"/>
      <c r="W65" s="49"/>
    </row>
    <row r="66" spans="5:23">
      <c r="E66" s="1"/>
      <c r="F66" s="1"/>
      <c r="G66" s="1"/>
      <c r="H66" s="1"/>
      <c r="I66" s="1"/>
      <c r="J66" s="1"/>
      <c r="K66" s="1"/>
      <c r="L66" s="1"/>
      <c r="M66" s="1"/>
      <c r="N66" s="1"/>
      <c r="O66" s="1"/>
      <c r="P66" s="1"/>
      <c r="Q66" s="1"/>
      <c r="R66" s="1"/>
      <c r="S66" s="1"/>
      <c r="T66" s="1"/>
      <c r="U66" s="1"/>
      <c r="V66" s="1"/>
      <c r="W66" s="49"/>
    </row>
    <row r="67" spans="5:23">
      <c r="E67" s="1"/>
      <c r="F67" s="1"/>
      <c r="G67" s="1"/>
      <c r="H67" s="1"/>
      <c r="I67" s="1"/>
      <c r="J67" s="1"/>
      <c r="K67" s="1"/>
      <c r="L67" s="1"/>
      <c r="M67" s="1"/>
      <c r="N67" s="1"/>
      <c r="O67" s="1"/>
      <c r="P67" s="1"/>
      <c r="Q67" s="1"/>
      <c r="R67" s="1"/>
      <c r="S67" s="1"/>
      <c r="T67" s="1"/>
      <c r="U67" s="1"/>
      <c r="V67" s="1"/>
      <c r="W67" s="49"/>
    </row>
    <row r="68" spans="5:23">
      <c r="E68" s="1"/>
      <c r="F68" s="1"/>
      <c r="G68" s="1"/>
      <c r="H68" s="1"/>
      <c r="I68" s="1"/>
      <c r="J68" s="1"/>
      <c r="K68" s="1"/>
      <c r="L68" s="1"/>
      <c r="M68" s="1"/>
      <c r="N68" s="1"/>
      <c r="O68" s="1"/>
      <c r="P68" s="1"/>
      <c r="Q68" s="1"/>
      <c r="R68" s="1"/>
      <c r="S68" s="1"/>
      <c r="T68" s="1"/>
      <c r="U68" s="1"/>
      <c r="V68" s="1"/>
      <c r="W68" s="49"/>
    </row>
    <row r="69" spans="5:23">
      <c r="E69" s="1"/>
      <c r="F69" s="1"/>
      <c r="G69" s="1"/>
      <c r="H69" s="1"/>
      <c r="I69" s="1"/>
      <c r="J69" s="1"/>
      <c r="K69" s="1"/>
      <c r="L69" s="1"/>
      <c r="M69" s="1"/>
      <c r="N69" s="1"/>
      <c r="O69" s="1"/>
      <c r="P69" s="1"/>
      <c r="Q69" s="1"/>
      <c r="R69" s="1"/>
      <c r="S69" s="1"/>
      <c r="T69" s="1"/>
      <c r="U69" s="1"/>
      <c r="V69" s="1"/>
      <c r="W69" s="49"/>
    </row>
    <row r="70" spans="5:23">
      <c r="E70" s="1"/>
      <c r="F70" s="1"/>
      <c r="G70" s="1"/>
      <c r="H70" s="1"/>
      <c r="I70" s="1"/>
      <c r="J70" s="1"/>
      <c r="K70" s="1"/>
      <c r="L70" s="1"/>
      <c r="M70" s="1"/>
      <c r="N70" s="1"/>
      <c r="O70" s="1"/>
      <c r="P70" s="1"/>
      <c r="Q70" s="1"/>
      <c r="R70" s="1"/>
      <c r="S70" s="1"/>
      <c r="T70" s="1"/>
      <c r="U70" s="1"/>
      <c r="V70" s="1"/>
      <c r="W70" s="49"/>
    </row>
    <row r="71" spans="5:23">
      <c r="E71" s="1"/>
      <c r="F71" s="1"/>
      <c r="G71" s="1"/>
      <c r="H71" s="1"/>
      <c r="I71" s="1"/>
      <c r="J71" s="1"/>
      <c r="K71" s="1"/>
      <c r="L71" s="1"/>
      <c r="M71" s="1"/>
      <c r="N71" s="1"/>
      <c r="O71" s="1"/>
      <c r="P71" s="1"/>
      <c r="Q71" s="1"/>
      <c r="R71" s="1"/>
      <c r="S71" s="1"/>
      <c r="T71" s="1"/>
      <c r="U71" s="1"/>
      <c r="V71" s="1"/>
      <c r="W71" s="49"/>
    </row>
    <row r="72" spans="5:23">
      <c r="E72" s="1"/>
      <c r="F72" s="1"/>
      <c r="G72" s="1"/>
      <c r="H72" s="1"/>
      <c r="I72" s="1"/>
      <c r="J72" s="1"/>
      <c r="K72" s="1"/>
      <c r="L72" s="1"/>
      <c r="M72" s="1"/>
      <c r="N72" s="1"/>
      <c r="O72" s="1"/>
      <c r="P72" s="1"/>
      <c r="Q72" s="1"/>
      <c r="R72" s="1"/>
      <c r="S72" s="1"/>
      <c r="T72" s="1"/>
      <c r="U72" s="1"/>
      <c r="V72" s="1"/>
      <c r="W72" s="49"/>
    </row>
    <row r="73" spans="5:23">
      <c r="E73" s="1"/>
      <c r="F73" s="1"/>
      <c r="G73" s="1"/>
      <c r="H73" s="1"/>
      <c r="I73" s="1"/>
      <c r="J73" s="1"/>
      <c r="K73" s="1"/>
      <c r="L73" s="1"/>
      <c r="M73" s="1"/>
      <c r="N73" s="1"/>
      <c r="O73" s="1"/>
      <c r="P73" s="1"/>
      <c r="Q73" s="1"/>
      <c r="R73" s="1"/>
      <c r="S73" s="1"/>
      <c r="T73" s="1"/>
      <c r="U73" s="1"/>
      <c r="V73" s="1"/>
      <c r="W73" s="49"/>
    </row>
    <row r="74" spans="5:23">
      <c r="E74" s="1"/>
      <c r="F74" s="1"/>
      <c r="G74" s="1"/>
      <c r="H74" s="1"/>
      <c r="I74" s="1"/>
      <c r="J74" s="1"/>
      <c r="K74" s="1"/>
      <c r="L74" s="1"/>
      <c r="M74" s="1"/>
      <c r="N74" s="1"/>
      <c r="O74" s="1"/>
      <c r="P74" s="1"/>
      <c r="Q74" s="1"/>
      <c r="R74" s="1"/>
      <c r="S74" s="1"/>
      <c r="T74" s="1"/>
      <c r="U74" s="1"/>
      <c r="V74" s="1"/>
      <c r="W74" s="49"/>
    </row>
    <row r="75" spans="5:23" ht="16.5" customHeight="1">
      <c r="E75" s="1"/>
      <c r="F75" s="1"/>
      <c r="G75" s="1"/>
      <c r="H75" s="1"/>
      <c r="I75" s="1"/>
      <c r="J75" s="1"/>
      <c r="K75" s="1"/>
      <c r="L75" s="1"/>
      <c r="M75" s="1"/>
      <c r="N75" s="1"/>
      <c r="O75" s="1"/>
      <c r="P75" s="1"/>
      <c r="Q75" s="1"/>
      <c r="R75" s="1"/>
      <c r="S75" s="1"/>
      <c r="T75" s="1"/>
      <c r="U75" s="1"/>
      <c r="V75" s="1"/>
      <c r="W75" s="49"/>
    </row>
    <row r="76" spans="5:23">
      <c r="E76" s="1"/>
      <c r="F76" s="1"/>
      <c r="G76" s="1"/>
      <c r="H76" s="1"/>
      <c r="I76" s="1"/>
      <c r="J76" s="1"/>
      <c r="K76" s="1"/>
      <c r="L76" s="1"/>
      <c r="M76" s="1"/>
      <c r="N76" s="1"/>
      <c r="O76" s="1"/>
      <c r="P76" s="1"/>
      <c r="Q76" s="1"/>
      <c r="R76" s="1"/>
      <c r="S76" s="1"/>
      <c r="T76" s="1"/>
      <c r="U76" s="1"/>
      <c r="V76" s="1"/>
      <c r="W76" s="49"/>
    </row>
    <row r="77" spans="5:23" ht="16.5" customHeight="1">
      <c r="E77" s="1"/>
      <c r="F77" s="1"/>
      <c r="G77" s="1"/>
      <c r="H77" s="1"/>
      <c r="I77" s="1"/>
      <c r="J77" s="1"/>
      <c r="K77" s="1"/>
      <c r="L77" s="1"/>
      <c r="M77" s="1"/>
      <c r="N77" s="1"/>
      <c r="O77" s="1"/>
      <c r="P77" s="1"/>
      <c r="Q77" s="1"/>
      <c r="R77" s="1"/>
      <c r="S77" s="1"/>
      <c r="T77" s="1"/>
      <c r="U77" s="1"/>
      <c r="V77" s="1"/>
      <c r="W77" s="49"/>
    </row>
    <row r="78" spans="5:23">
      <c r="E78" s="1"/>
      <c r="F78" s="1"/>
      <c r="G78" s="1"/>
      <c r="H78" s="1"/>
      <c r="I78" s="1"/>
      <c r="J78" s="1"/>
      <c r="K78" s="1"/>
      <c r="L78" s="1"/>
      <c r="M78" s="1"/>
      <c r="N78" s="1"/>
      <c r="O78" s="1"/>
      <c r="P78" s="1"/>
      <c r="Q78" s="1"/>
      <c r="R78" s="1"/>
      <c r="S78" s="1"/>
      <c r="T78" s="1"/>
      <c r="U78" s="1"/>
      <c r="V78" s="1"/>
      <c r="W78" s="49"/>
    </row>
    <row r="79" spans="5:23">
      <c r="E79" s="1"/>
      <c r="F79" s="1"/>
      <c r="G79" s="1"/>
      <c r="H79" s="1"/>
      <c r="I79" s="1"/>
      <c r="J79" s="1"/>
      <c r="K79" s="1"/>
      <c r="L79" s="1"/>
      <c r="M79" s="1"/>
      <c r="N79" s="1"/>
      <c r="O79" s="1"/>
      <c r="P79" s="1"/>
      <c r="Q79" s="1"/>
      <c r="R79" s="1"/>
      <c r="S79" s="1"/>
      <c r="T79" s="1"/>
      <c r="U79" s="1"/>
      <c r="V79" s="1"/>
      <c r="W79" s="49"/>
    </row>
    <row r="80" spans="5:23">
      <c r="E80" s="1"/>
      <c r="F80" s="1"/>
      <c r="G80" s="1"/>
      <c r="H80" s="1"/>
      <c r="I80" s="1"/>
      <c r="J80" s="1"/>
      <c r="K80" s="1"/>
      <c r="L80" s="1"/>
      <c r="M80" s="1"/>
      <c r="N80" s="1"/>
      <c r="O80" s="1"/>
      <c r="P80" s="1"/>
      <c r="Q80" s="1"/>
      <c r="R80" s="1"/>
      <c r="S80" s="1"/>
      <c r="T80" s="1"/>
      <c r="U80" s="1"/>
      <c r="V80" s="1"/>
      <c r="W80" s="49"/>
    </row>
    <row r="81" spans="5:23">
      <c r="E81" s="1"/>
      <c r="F81" s="1"/>
      <c r="G81" s="1"/>
      <c r="H81" s="1"/>
      <c r="I81" s="1"/>
      <c r="J81" s="1"/>
      <c r="K81" s="1"/>
      <c r="L81" s="1"/>
      <c r="M81" s="1"/>
      <c r="N81" s="1"/>
      <c r="O81" s="1"/>
      <c r="P81" s="1"/>
      <c r="Q81" s="1"/>
      <c r="R81" s="1"/>
      <c r="S81" s="1"/>
      <c r="T81" s="1"/>
      <c r="U81" s="1"/>
      <c r="V81" s="1"/>
      <c r="W81" s="49"/>
    </row>
    <row r="82" spans="5:23">
      <c r="E82" s="1"/>
      <c r="F82" s="1"/>
      <c r="G82" s="1"/>
      <c r="H82" s="1"/>
      <c r="I82" s="1"/>
      <c r="J82" s="1"/>
      <c r="K82" s="1"/>
      <c r="L82" s="1"/>
      <c r="M82" s="1"/>
      <c r="N82" s="1"/>
      <c r="O82" s="1"/>
      <c r="P82" s="1"/>
      <c r="Q82" s="1"/>
      <c r="R82" s="1"/>
      <c r="S82" s="1"/>
      <c r="T82" s="1"/>
      <c r="U82" s="1"/>
      <c r="V82" s="1"/>
      <c r="W82" s="49"/>
    </row>
    <row r="83" spans="5:23">
      <c r="E83" s="1"/>
      <c r="F83" s="1"/>
      <c r="G83" s="1"/>
      <c r="H83" s="1"/>
      <c r="I83" s="1"/>
      <c r="J83" s="1"/>
      <c r="K83" s="1"/>
      <c r="L83" s="1"/>
      <c r="M83" s="1"/>
      <c r="N83" s="1"/>
      <c r="O83" s="1"/>
      <c r="P83" s="1"/>
      <c r="Q83" s="1"/>
      <c r="R83" s="1"/>
      <c r="S83" s="1"/>
      <c r="T83" s="1"/>
      <c r="U83" s="1"/>
      <c r="V83" s="1"/>
      <c r="W83" s="49"/>
    </row>
    <row r="84" spans="5:23">
      <c r="E84" s="1"/>
      <c r="F84" s="1"/>
      <c r="G84" s="1"/>
      <c r="H84" s="1"/>
      <c r="I84" s="1"/>
      <c r="J84" s="1"/>
      <c r="K84" s="1"/>
      <c r="L84" s="1"/>
      <c r="M84" s="1"/>
      <c r="N84" s="1"/>
      <c r="O84" s="1"/>
      <c r="P84" s="1"/>
      <c r="Q84" s="1"/>
      <c r="R84" s="1"/>
      <c r="S84" s="1"/>
      <c r="T84" s="1"/>
      <c r="U84" s="1"/>
      <c r="V84" s="1"/>
      <c r="W84" s="49"/>
    </row>
    <row r="85" spans="5:23">
      <c r="E85" s="1"/>
      <c r="F85" s="1"/>
      <c r="G85" s="1"/>
      <c r="H85" s="1"/>
      <c r="I85" s="1"/>
      <c r="J85" s="1"/>
      <c r="K85" s="1"/>
      <c r="L85" s="1"/>
      <c r="M85" s="1"/>
      <c r="N85" s="1"/>
      <c r="O85" s="1"/>
      <c r="P85" s="1"/>
      <c r="Q85" s="1"/>
      <c r="R85" s="1"/>
      <c r="S85" s="1"/>
      <c r="T85" s="1"/>
      <c r="U85" s="1"/>
      <c r="V85" s="1"/>
      <c r="W85" s="49"/>
    </row>
    <row r="86" spans="5:23">
      <c r="E86" s="1"/>
      <c r="F86" s="1"/>
      <c r="G86" s="1"/>
      <c r="H86" s="1"/>
      <c r="I86" s="1"/>
      <c r="J86" s="1"/>
      <c r="K86" s="1"/>
      <c r="L86" s="1"/>
      <c r="M86" s="1"/>
      <c r="N86" s="1"/>
      <c r="O86" s="1"/>
      <c r="P86" s="1"/>
      <c r="Q86" s="1"/>
      <c r="R86" s="1"/>
      <c r="S86" s="1"/>
      <c r="T86" s="1"/>
      <c r="U86" s="1"/>
      <c r="V86" s="1"/>
      <c r="W86" s="49"/>
    </row>
    <row r="87" spans="5:23">
      <c r="E87" s="1"/>
      <c r="F87" s="1"/>
      <c r="G87" s="1"/>
      <c r="H87" s="1"/>
      <c r="I87" s="1"/>
      <c r="J87" s="1"/>
      <c r="K87" s="1"/>
      <c r="L87" s="1"/>
      <c r="M87" s="1"/>
      <c r="N87" s="1"/>
      <c r="O87" s="1"/>
      <c r="P87" s="1"/>
      <c r="Q87" s="1"/>
      <c r="R87" s="1"/>
      <c r="S87" s="1"/>
      <c r="T87" s="1"/>
      <c r="U87" s="1"/>
      <c r="V87" s="1"/>
      <c r="W87" s="49"/>
    </row>
    <row r="88" spans="5:23">
      <c r="E88" s="1"/>
      <c r="F88" s="1"/>
      <c r="G88" s="1"/>
      <c r="H88" s="1"/>
      <c r="I88" s="1"/>
      <c r="J88" s="1"/>
      <c r="K88" s="1"/>
      <c r="L88" s="1"/>
      <c r="M88" s="1"/>
      <c r="N88" s="1"/>
      <c r="O88" s="1"/>
      <c r="P88" s="1"/>
      <c r="Q88" s="1"/>
      <c r="R88" s="1"/>
      <c r="S88" s="1"/>
      <c r="T88" s="1"/>
      <c r="U88" s="1"/>
      <c r="V88" s="1"/>
      <c r="W88" s="49"/>
    </row>
    <row r="89" spans="5:23">
      <c r="E89" s="1"/>
      <c r="F89" s="1"/>
      <c r="G89" s="1"/>
      <c r="H89" s="1"/>
      <c r="I89" s="1"/>
      <c r="J89" s="1"/>
      <c r="K89" s="1"/>
      <c r="L89" s="1"/>
      <c r="M89" s="1"/>
      <c r="N89" s="1"/>
      <c r="O89" s="1"/>
      <c r="P89" s="1"/>
      <c r="Q89" s="1"/>
      <c r="R89" s="1"/>
      <c r="S89" s="1"/>
      <c r="T89" s="1"/>
      <c r="U89" s="1"/>
      <c r="V89" s="1"/>
      <c r="W89" s="49"/>
    </row>
    <row r="90" spans="5:23">
      <c r="E90" s="1"/>
      <c r="F90" s="1"/>
      <c r="G90" s="1"/>
      <c r="H90" s="1"/>
      <c r="I90" s="1"/>
      <c r="J90" s="1"/>
      <c r="K90" s="1"/>
      <c r="L90" s="1"/>
      <c r="M90" s="1"/>
      <c r="N90" s="1"/>
      <c r="O90" s="1"/>
      <c r="P90" s="1"/>
      <c r="Q90" s="1"/>
      <c r="R90" s="1"/>
      <c r="S90" s="1"/>
      <c r="T90" s="1"/>
      <c r="U90" s="1"/>
      <c r="V90" s="1"/>
      <c r="W90" s="49"/>
    </row>
    <row r="91" spans="5:23">
      <c r="E91" s="1"/>
      <c r="F91" s="1"/>
      <c r="G91" s="1"/>
      <c r="H91" s="1"/>
      <c r="I91" s="1"/>
      <c r="J91" s="1"/>
      <c r="K91" s="1"/>
      <c r="L91" s="1"/>
      <c r="M91" s="1"/>
      <c r="N91" s="1"/>
      <c r="O91" s="1"/>
      <c r="P91" s="1"/>
      <c r="Q91" s="1"/>
      <c r="R91" s="1"/>
      <c r="S91" s="1"/>
      <c r="T91" s="1"/>
      <c r="U91" s="1"/>
      <c r="V91" s="1"/>
      <c r="W91" s="49"/>
    </row>
    <row r="92" spans="5:23">
      <c r="E92" s="1"/>
      <c r="F92" s="1"/>
      <c r="G92" s="1"/>
      <c r="H92" s="1"/>
      <c r="I92" s="1"/>
      <c r="J92" s="1"/>
      <c r="K92" s="1"/>
      <c r="L92" s="1"/>
      <c r="M92" s="1"/>
      <c r="N92" s="1"/>
      <c r="O92" s="1"/>
      <c r="P92" s="1"/>
      <c r="Q92" s="1"/>
      <c r="R92" s="1"/>
      <c r="S92" s="1"/>
      <c r="T92" s="1"/>
      <c r="U92" s="1"/>
      <c r="V92" s="1"/>
      <c r="W92" s="49"/>
    </row>
    <row r="93" spans="5:23">
      <c r="E93" s="1"/>
      <c r="F93" s="1"/>
      <c r="G93" s="1"/>
      <c r="H93" s="1"/>
      <c r="I93" s="1"/>
      <c r="J93" s="1"/>
      <c r="K93" s="1"/>
      <c r="L93" s="1"/>
      <c r="M93" s="1"/>
      <c r="N93" s="1"/>
      <c r="O93" s="1"/>
      <c r="P93" s="1"/>
      <c r="Q93" s="1"/>
      <c r="R93" s="1"/>
      <c r="S93" s="1"/>
      <c r="T93" s="1"/>
      <c r="U93" s="1"/>
      <c r="V93" s="1"/>
      <c r="W93" s="49"/>
    </row>
    <row r="94" spans="5:23">
      <c r="E94" s="1"/>
      <c r="F94" s="1"/>
      <c r="G94" s="1"/>
      <c r="H94" s="1"/>
      <c r="I94" s="1"/>
      <c r="J94" s="1"/>
      <c r="K94" s="1"/>
      <c r="L94" s="1"/>
      <c r="M94" s="1"/>
      <c r="N94" s="1"/>
      <c r="O94" s="1"/>
      <c r="P94" s="1"/>
      <c r="Q94" s="1"/>
      <c r="R94" s="1"/>
      <c r="S94" s="1"/>
      <c r="T94" s="1"/>
      <c r="U94" s="1"/>
      <c r="V94" s="1"/>
      <c r="W94" s="49"/>
    </row>
    <row r="95" spans="5:23">
      <c r="E95" s="1"/>
      <c r="F95" s="1"/>
      <c r="G95" s="1"/>
      <c r="H95" s="1"/>
      <c r="I95" s="1"/>
      <c r="J95" s="1"/>
      <c r="K95" s="1"/>
      <c r="L95" s="1"/>
      <c r="M95" s="1"/>
      <c r="N95" s="1"/>
      <c r="O95" s="1"/>
      <c r="P95" s="1"/>
      <c r="Q95" s="1"/>
      <c r="R95" s="1"/>
      <c r="S95" s="1"/>
      <c r="T95" s="1"/>
      <c r="U95" s="1"/>
      <c r="V95" s="1"/>
      <c r="W95" s="49"/>
    </row>
    <row r="96" spans="5:23">
      <c r="E96" s="1"/>
      <c r="F96" s="1"/>
      <c r="G96" s="1"/>
      <c r="H96" s="1"/>
      <c r="I96" s="1"/>
      <c r="J96" s="1"/>
      <c r="K96" s="1"/>
      <c r="L96" s="1"/>
      <c r="M96" s="1"/>
      <c r="N96" s="1"/>
      <c r="O96" s="1"/>
      <c r="P96" s="1"/>
      <c r="Q96" s="1"/>
      <c r="R96" s="1"/>
      <c r="S96" s="1"/>
      <c r="T96" s="1"/>
      <c r="U96" s="1"/>
      <c r="V96" s="1"/>
      <c r="W96" s="49"/>
    </row>
    <row r="97" spans="5:23">
      <c r="E97" s="1"/>
      <c r="F97" s="1"/>
      <c r="G97" s="1"/>
      <c r="H97" s="1"/>
      <c r="I97" s="1"/>
      <c r="J97" s="1"/>
      <c r="K97" s="1"/>
      <c r="L97" s="1"/>
      <c r="M97" s="1"/>
      <c r="N97" s="1"/>
      <c r="O97" s="1"/>
      <c r="P97" s="1"/>
      <c r="Q97" s="1"/>
      <c r="R97" s="1"/>
      <c r="S97" s="1"/>
      <c r="T97" s="1"/>
      <c r="U97" s="1"/>
      <c r="V97" s="1"/>
      <c r="W97" s="49"/>
    </row>
    <row r="98" spans="5:23">
      <c r="E98" s="1"/>
      <c r="F98" s="1"/>
      <c r="G98" s="1"/>
      <c r="H98" s="1"/>
      <c r="I98" s="1"/>
      <c r="J98" s="1"/>
      <c r="K98" s="1"/>
      <c r="L98" s="1"/>
      <c r="M98" s="1"/>
      <c r="N98" s="1"/>
      <c r="O98" s="1"/>
      <c r="P98" s="1"/>
      <c r="Q98" s="1"/>
      <c r="R98" s="1"/>
      <c r="S98" s="1"/>
      <c r="T98" s="1"/>
      <c r="U98" s="1"/>
      <c r="V98" s="1"/>
      <c r="W98" s="49"/>
    </row>
    <row r="99" spans="5:23">
      <c r="E99" s="1"/>
      <c r="F99" s="1"/>
      <c r="G99" s="1"/>
      <c r="H99" s="1"/>
      <c r="I99" s="1"/>
      <c r="J99" s="1"/>
      <c r="K99" s="1"/>
      <c r="L99" s="1"/>
      <c r="M99" s="1"/>
      <c r="N99" s="1"/>
      <c r="O99" s="1"/>
      <c r="P99" s="1"/>
      <c r="Q99" s="1"/>
      <c r="R99" s="1"/>
      <c r="S99" s="1"/>
      <c r="T99" s="1"/>
      <c r="U99" s="1"/>
      <c r="V99" s="1"/>
      <c r="W99" s="49"/>
    </row>
  </sheetData>
  <mergeCells count="19">
    <mergeCell ref="AA7:AB7"/>
    <mergeCell ref="AC7:AD7"/>
    <mergeCell ref="K56:L56"/>
    <mergeCell ref="O7:P7"/>
    <mergeCell ref="Q7:R7"/>
    <mergeCell ref="Y7:Z7"/>
    <mergeCell ref="S7:T7"/>
    <mergeCell ref="U7:V7"/>
    <mergeCell ref="W7:X7"/>
    <mergeCell ref="K7:L7"/>
    <mergeCell ref="M7:N7"/>
    <mergeCell ref="A25:H25"/>
    <mergeCell ref="A27:B27"/>
    <mergeCell ref="C27:L27"/>
    <mergeCell ref="A7:A8"/>
    <mergeCell ref="C7:D7"/>
    <mergeCell ref="E7:F7"/>
    <mergeCell ref="G7:H7"/>
    <mergeCell ref="I7:J7"/>
  </mergeCells>
  <phoneticPr fontId="23" type="noConversion"/>
  <conditionalFormatting sqref="AA25">
    <cfRule type="cellIs" dxfId="51" priority="9" stopIfTrue="1" operator="lessThan">
      <formula>$AA$25</formula>
    </cfRule>
  </conditionalFormatting>
  <conditionalFormatting sqref="A25">
    <cfRule type="cellIs" dxfId="50" priority="27" stopIfTrue="1" operator="greaterThan">
      <formula>$AB$25</formula>
    </cfRule>
    <cfRule type="cellIs" dxfId="49" priority="28" stopIfTrue="1" operator="lessThan">
      <formula>$AA$25</formula>
    </cfRule>
  </conditionalFormatting>
  <conditionalFormatting sqref="AA21">
    <cfRule type="cellIs" dxfId="48" priority="29" stopIfTrue="1" operator="greaterThan">
      <formula>Lim_haut</formula>
    </cfRule>
    <cfRule type="cellIs" dxfId="47" priority="30" stopIfTrue="1" operator="lessThan">
      <formula>Lim_bas</formula>
    </cfRule>
  </conditionalFormatting>
  <dataValidations count="6">
    <dataValidation type="whole" errorStyle="warning" allowBlank="1" showInputMessage="1" showErrorMessage="1" errorTitle="TEST" error="la valeur entrée semble suspecte" sqref="AA9:AA20">
      <formula1>0.15/12</formula1>
      <formula2>4.06/12</formula2>
    </dataValidation>
    <dataValidation type="list" allowBlank="1" showInputMessage="1" showErrorMessage="1" sqref="D30:D36">
      <formula1>$D$46:$D$53</formula1>
    </dataValidation>
    <dataValidation type="list" allowBlank="1" showInputMessage="1" showErrorMessage="1" sqref="G30:G36">
      <formula1>$G$46:$G$47</formula1>
    </dataValidation>
    <dataValidation type="list" allowBlank="1" showInputMessage="1" showErrorMessage="1" sqref="H30:H36">
      <formula1>$A$9:$A$20</formula1>
    </dataValidation>
    <dataValidation type="list" allowBlank="1" showInputMessage="1" showErrorMessage="1" sqref="C30:C36">
      <formula1>$C$46:$C$47</formula1>
    </dataValidation>
    <dataValidation type="list" allowBlank="1" showInputMessage="1" showErrorMessage="1" sqref="D37">
      <formula1>$D$46:$D$52</formula1>
    </dataValidation>
  </dataValidations>
  <hyperlinks>
    <hyperlink ref="A7" location="Résumé!A1" display="Résumé!A1"/>
  </hyperlinks>
  <pageMargins left="0.70866141732283472" right="0.70866141732283472" top="0.74803149606299213" bottom="0.74803149606299213" header="0.31496062992125984" footer="0.31496062992125984"/>
  <pageSetup scale="22" orientation="landscape" r:id="rId1"/>
  <headerFooter>
    <oddFooter>&amp;L&amp;"Arial,Normal"&amp;10Transition énergétique Québec&amp;R&amp;F
&amp;A</oddFooter>
  </headerFooter>
  <colBreaks count="1" manualBreakCount="1">
    <brk id="29" min="6" max="34"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tabColor indexed="50"/>
    <pageSetUpPr fitToPage="1"/>
  </sheetPr>
  <dimension ref="A1:AG96"/>
  <sheetViews>
    <sheetView showZeros="0" zoomScaleNormal="100" zoomScaleSheetLayoutView="50" workbookViewId="0">
      <selection activeCell="B21" sqref="B21"/>
    </sheetView>
  </sheetViews>
  <sheetFormatPr baseColWidth="10" defaultColWidth="9.109375" defaultRowHeight="14.4"/>
  <cols>
    <col min="1" max="1" width="16.5546875" style="1" customWidth="1"/>
    <col min="2" max="2" width="19" style="1" customWidth="1"/>
    <col min="3" max="3" width="16.109375" style="23" customWidth="1"/>
    <col min="4" max="4" width="18.33203125" style="23" customWidth="1"/>
    <col min="5" max="5" width="16" style="23" customWidth="1"/>
    <col min="6" max="6" width="20.109375" style="23" customWidth="1"/>
    <col min="7" max="7" width="16" style="23" customWidth="1"/>
    <col min="8" max="8" width="18.88671875" style="23" customWidth="1"/>
    <col min="9" max="9" width="16" style="23" customWidth="1"/>
    <col min="10" max="10" width="18.6640625" style="23" customWidth="1"/>
    <col min="11" max="11" width="16" style="23" customWidth="1"/>
    <col min="12" max="12" width="19.88671875" style="23" customWidth="1"/>
    <col min="13" max="13" width="16" style="23" customWidth="1"/>
    <col min="14" max="14" width="19.44140625" style="23" customWidth="1"/>
    <col min="15" max="15" width="16" style="23" customWidth="1"/>
    <col min="16" max="16" width="19.6640625" style="23" customWidth="1"/>
    <col min="17" max="17" width="16" style="23" customWidth="1"/>
    <col min="18" max="18" width="21.33203125" style="23" customWidth="1"/>
    <col min="19" max="19" width="16" style="23" customWidth="1"/>
    <col min="20" max="20" width="20.6640625" style="23" customWidth="1"/>
    <col min="21" max="21" width="16" style="23" customWidth="1"/>
    <col min="22" max="22" width="19.88671875" style="23" customWidth="1"/>
    <col min="23" max="23" width="22.109375" style="47" customWidth="1"/>
    <col min="24" max="25" width="23.88671875" style="49" customWidth="1"/>
    <col min="26" max="26" width="24.33203125" style="49" customWidth="1"/>
    <col min="27" max="28" width="22.109375" style="49" customWidth="1"/>
    <col min="29" max="29" width="16.33203125" style="49" customWidth="1"/>
    <col min="30" max="30" width="14.6640625" style="49" customWidth="1"/>
    <col min="31" max="16384" width="9.109375" style="49"/>
  </cols>
  <sheetData>
    <row r="1" spans="1:33" s="1" customFormat="1" ht="117.75" customHeight="1">
      <c r="C1" s="382" t="s">
        <v>363</v>
      </c>
      <c r="D1" s="26"/>
      <c r="E1" s="26"/>
      <c r="F1" s="26"/>
      <c r="G1" s="26"/>
      <c r="H1" s="26"/>
      <c r="I1" s="26"/>
      <c r="J1" s="26"/>
      <c r="K1" s="26"/>
      <c r="L1" s="26"/>
      <c r="M1" s="26"/>
      <c r="N1" s="26"/>
      <c r="O1" s="26"/>
      <c r="P1" s="26"/>
      <c r="Q1" s="26"/>
      <c r="R1" s="26"/>
      <c r="S1" s="26"/>
      <c r="T1" s="26"/>
      <c r="U1" s="26"/>
      <c r="V1" s="26"/>
      <c r="W1" s="26"/>
      <c r="X1" s="26"/>
      <c r="Y1" s="26"/>
      <c r="Z1" s="26"/>
      <c r="AA1" s="26"/>
      <c r="AB1" s="26"/>
      <c r="AC1" s="26"/>
    </row>
    <row r="2" spans="1:33" s="1" customFormat="1" ht="18">
      <c r="C2" s="26"/>
      <c r="D2" s="203" t="s">
        <v>380</v>
      </c>
      <c r="E2" s="204"/>
      <c r="F2" s="205"/>
      <c r="G2" s="206"/>
      <c r="H2" s="206"/>
      <c r="I2" s="207"/>
      <c r="J2" s="206"/>
      <c r="K2" s="206"/>
      <c r="L2" s="206"/>
      <c r="M2" s="206"/>
      <c r="N2" s="26"/>
      <c r="O2" s="26"/>
      <c r="P2" s="26"/>
      <c r="Q2" s="26"/>
      <c r="R2" s="26"/>
      <c r="S2" s="26"/>
      <c r="T2" s="26"/>
      <c r="U2" s="26"/>
      <c r="V2" s="26"/>
      <c r="W2" s="26"/>
      <c r="X2" s="26"/>
      <c r="Y2" s="26"/>
      <c r="Z2" s="26"/>
      <c r="AA2" s="26"/>
      <c r="AB2" s="26"/>
      <c r="AC2" s="26"/>
    </row>
    <row r="3" spans="1:33" s="1" customFormat="1" ht="15.6">
      <c r="C3" s="26"/>
      <c r="D3" s="208"/>
      <c r="E3" s="13"/>
      <c r="I3" s="209"/>
      <c r="N3" s="26"/>
      <c r="O3" s="26"/>
      <c r="P3" s="26"/>
      <c r="Q3" s="26"/>
      <c r="R3" s="26"/>
      <c r="S3" s="26"/>
      <c r="T3" s="26"/>
      <c r="U3" s="26"/>
      <c r="V3" s="26"/>
      <c r="W3" s="26"/>
      <c r="X3" s="26"/>
      <c r="Y3" s="26"/>
      <c r="Z3" s="26"/>
      <c r="AA3" s="26"/>
      <c r="AB3" s="26"/>
      <c r="AC3" s="26"/>
    </row>
    <row r="4" spans="1:33" s="1" customFormat="1" ht="15.6">
      <c r="C4" s="26"/>
      <c r="D4" s="208" t="s">
        <v>435</v>
      </c>
      <c r="E4" s="13"/>
      <c r="N4" s="26"/>
      <c r="O4" s="26"/>
      <c r="P4" s="26"/>
      <c r="Q4" s="26"/>
      <c r="R4" s="26"/>
      <c r="S4" s="26"/>
      <c r="T4" s="26"/>
      <c r="U4" s="26"/>
      <c r="V4" s="26"/>
      <c r="W4" s="26"/>
      <c r="X4" s="26"/>
      <c r="Y4" s="26"/>
      <c r="Z4" s="26"/>
      <c r="AA4" s="26"/>
      <c r="AB4" s="26"/>
      <c r="AC4" s="26"/>
    </row>
    <row r="5" spans="1:33" s="1" customFormat="1" ht="15.6">
      <c r="C5" s="26"/>
      <c r="D5" s="208" t="s">
        <v>372</v>
      </c>
      <c r="E5" s="13"/>
      <c r="N5" s="26"/>
      <c r="O5" s="26"/>
      <c r="P5" s="26"/>
      <c r="Q5" s="26"/>
      <c r="R5" s="26"/>
      <c r="S5" s="26"/>
      <c r="T5" s="26"/>
      <c r="U5" s="26"/>
      <c r="V5" s="26"/>
      <c r="W5" s="26"/>
      <c r="X5" s="26"/>
      <c r="Y5" s="26"/>
      <c r="Z5" s="26"/>
      <c r="AA5" s="26"/>
      <c r="AB5" s="26"/>
      <c r="AC5" s="26"/>
    </row>
    <row r="6" spans="1:33" s="1" customFormat="1" ht="15" thickBot="1">
      <c r="C6" s="26"/>
      <c r="D6" s="26"/>
      <c r="E6" s="26"/>
      <c r="F6" s="26"/>
      <c r="G6" s="26"/>
      <c r="H6" s="26"/>
      <c r="I6" s="26"/>
      <c r="J6" s="26"/>
      <c r="K6" s="26"/>
      <c r="L6" s="26"/>
      <c r="M6" s="26"/>
      <c r="N6" s="26"/>
      <c r="O6" s="26"/>
      <c r="P6" s="26"/>
      <c r="Q6" s="26"/>
      <c r="R6" s="26"/>
      <c r="S6" s="26"/>
      <c r="T6" s="26"/>
      <c r="U6" s="26"/>
      <c r="V6" s="26"/>
      <c r="W6" s="26"/>
      <c r="X6" s="26"/>
      <c r="Y6" s="26"/>
      <c r="Z6" s="26"/>
      <c r="AA6" s="26"/>
      <c r="AB6" s="26"/>
      <c r="AC6" s="26"/>
    </row>
    <row r="7" spans="1:33" ht="30.75" customHeight="1" thickTop="1">
      <c r="A7" s="563" t="s">
        <v>78</v>
      </c>
      <c r="B7" s="4" t="s">
        <v>13</v>
      </c>
      <c r="C7" s="556" t="s">
        <v>22</v>
      </c>
      <c r="D7" s="557"/>
      <c r="E7" s="556" t="s">
        <v>19</v>
      </c>
      <c r="F7" s="557"/>
      <c r="G7" s="556" t="s">
        <v>24</v>
      </c>
      <c r="H7" s="557"/>
      <c r="I7" s="556" t="s">
        <v>25</v>
      </c>
      <c r="J7" s="557"/>
      <c r="K7" s="556" t="s">
        <v>805</v>
      </c>
      <c r="L7" s="557"/>
      <c r="M7" s="556" t="s">
        <v>27</v>
      </c>
      <c r="N7" s="557"/>
      <c r="O7" s="558" t="s">
        <v>370</v>
      </c>
      <c r="P7" s="559"/>
      <c r="Q7" s="558" t="s">
        <v>373</v>
      </c>
      <c r="R7" s="559"/>
      <c r="S7" s="558" t="s">
        <v>412</v>
      </c>
      <c r="T7" s="559"/>
      <c r="U7" s="558" t="s">
        <v>624</v>
      </c>
      <c r="V7" s="559"/>
      <c r="W7" s="558" t="s">
        <v>625</v>
      </c>
      <c r="X7" s="559"/>
      <c r="Y7" s="556" t="s">
        <v>16</v>
      </c>
      <c r="Z7" s="557"/>
      <c r="AA7" s="556" t="s">
        <v>371</v>
      </c>
      <c r="AB7" s="557"/>
      <c r="AC7" s="556" t="s">
        <v>45</v>
      </c>
      <c r="AD7" s="557"/>
      <c r="AE7" s="4" t="s">
        <v>40</v>
      </c>
    </row>
    <row r="8" spans="1:33" ht="18" customHeight="1" thickBot="1">
      <c r="A8" s="563"/>
      <c r="B8" s="8" t="s">
        <v>36</v>
      </c>
      <c r="C8" s="7" t="s">
        <v>376</v>
      </c>
      <c r="D8" s="6" t="s">
        <v>20</v>
      </c>
      <c r="E8" s="7" t="s">
        <v>31</v>
      </c>
      <c r="F8" s="6" t="s">
        <v>20</v>
      </c>
      <c r="G8" s="7" t="s">
        <v>23</v>
      </c>
      <c r="H8" s="6" t="s">
        <v>20</v>
      </c>
      <c r="I8" s="7" t="s">
        <v>23</v>
      </c>
      <c r="J8" s="6" t="s">
        <v>20</v>
      </c>
      <c r="K8" s="7" t="s">
        <v>23</v>
      </c>
      <c r="L8" s="6" t="s">
        <v>20</v>
      </c>
      <c r="M8" s="7" t="s">
        <v>23</v>
      </c>
      <c r="N8" s="6" t="s">
        <v>20</v>
      </c>
      <c r="O8" s="7" t="s">
        <v>28</v>
      </c>
      <c r="P8" s="6" t="s">
        <v>20</v>
      </c>
      <c r="Q8" s="7" t="s">
        <v>28</v>
      </c>
      <c r="R8" s="6" t="s">
        <v>20</v>
      </c>
      <c r="S8" s="216" t="s">
        <v>626</v>
      </c>
      <c r="T8" s="6" t="s">
        <v>20</v>
      </c>
      <c r="U8" s="7" t="s">
        <v>628</v>
      </c>
      <c r="V8" s="6" t="s">
        <v>20</v>
      </c>
      <c r="W8" s="7" t="s">
        <v>628</v>
      </c>
      <c r="X8" s="6" t="s">
        <v>20</v>
      </c>
      <c r="Y8" s="7" t="s">
        <v>17</v>
      </c>
      <c r="Z8" s="6" t="s">
        <v>20</v>
      </c>
      <c r="AA8" s="7" t="s">
        <v>37</v>
      </c>
      <c r="AB8" s="6" t="s">
        <v>35</v>
      </c>
      <c r="AC8" s="7" t="s">
        <v>1060</v>
      </c>
      <c r="AD8" s="6" t="s">
        <v>793</v>
      </c>
      <c r="AE8" s="9" t="s">
        <v>43</v>
      </c>
    </row>
    <row r="9" spans="1:33" ht="17.25" customHeight="1" thickTop="1">
      <c r="A9" s="14">
        <f>VALUE(CONCATENATE(LEFT(Annee_financiere,FIND("-",Annee_financiere)-1),"-",A22))</f>
        <v>41000</v>
      </c>
      <c r="B9" s="31"/>
      <c r="C9" s="32"/>
      <c r="D9" s="33"/>
      <c r="E9" s="32"/>
      <c r="F9" s="33"/>
      <c r="G9" s="32"/>
      <c r="H9" s="33"/>
      <c r="I9" s="32"/>
      <c r="J9" s="33"/>
      <c r="K9" s="32"/>
      <c r="L9" s="33"/>
      <c r="M9" s="32"/>
      <c r="N9" s="33"/>
      <c r="O9" s="32"/>
      <c r="P9" s="33"/>
      <c r="Q9" s="32"/>
      <c r="R9" s="33"/>
      <c r="S9" s="32"/>
      <c r="T9" s="33"/>
      <c r="U9" s="32"/>
      <c r="V9" s="33"/>
      <c r="W9" s="32"/>
      <c r="X9" s="33"/>
      <c r="Y9" s="99">
        <f t="shared" ref="Y9:Y21" si="0">C9*kWh_Élect_to_GJ+E9*m3_GazNat_to_GJ+G9*L_Mazout2_to_GJ+I9*L_Mazout6_to_GJ+K9*L_Mazout2_to_GJ+M9*L_Propane_to_GJ+O9*kg_Bois8_to_GJ+Q9*kg_Bois35_to_GJ+S9*lbs_vapeur_to_GJ+U9*MBTU_eaurefroidie_to_GJ+W9*MBTU_eauchaude_to_GJ</f>
        <v>0</v>
      </c>
      <c r="Z9" s="258">
        <f>D9+F9+H9+J9+N9+P9+R9+T9+V9+X9+L9</f>
        <v>0</v>
      </c>
      <c r="AA9" s="17" t="str">
        <f>IF(ISERROR(Y9/B9),"",Y9/B9)</f>
        <v/>
      </c>
      <c r="AB9" s="18" t="str">
        <f>IF(ISERROR(Z9/B9),"",Z9/B9)</f>
        <v/>
      </c>
      <c r="AC9" s="102">
        <f>(C9*kWh_Élect_to_kgGES+E9*IF(U_GNat="[m³]",m3_GazNat_to_kgGES,Conversion!$H$27)+G9*IF(U_Ma2="[l]",L_Mazout2_to_kgGES,Conversion!$H$29)+I9*IF(U_Ma6="[l]",L_Mazout6_to_kgGES,Conversion!$H$31)+K9*L_Mazout2_to_kgGES+M9*IF(U_Prop="[l]",L_Propane_to_kgGES,Conversion!$H$35)+O9*kg_Bois8_to_kgGES+Q9*kg_Bois35_to_kgGES+S9*lbs_vapeur_to_kgGES+U9*MBTU_eaurefroidie_to_kgGES+W9*MBTU_eauchaude_to_kgGES)/1000</f>
        <v>0</v>
      </c>
      <c r="AD9" s="103">
        <f>(IF(ISERROR(AC9/B9),0,(AC9/B9)))*1000</f>
        <v>0</v>
      </c>
      <c r="AE9" s="104">
        <f t="shared" ref="AE9:AE20" si="1">INDEX(plage_DJ,MATCH(A9,plage_date),3)</f>
        <v>339.2</v>
      </c>
      <c r="AG9" s="49">
        <v>12</v>
      </c>
    </row>
    <row r="10" spans="1:33" ht="17.25" customHeight="1">
      <c r="A10" s="15">
        <f>DATE(YEAR(A9),MONTH(A9)+1,DAY(A9))</f>
        <v>41030</v>
      </c>
      <c r="B10" s="31"/>
      <c r="C10" s="32"/>
      <c r="D10" s="34"/>
      <c r="E10" s="32"/>
      <c r="F10" s="34"/>
      <c r="G10" s="32"/>
      <c r="H10" s="34"/>
      <c r="I10" s="32"/>
      <c r="J10" s="34"/>
      <c r="K10" s="32"/>
      <c r="L10" s="34"/>
      <c r="M10" s="32"/>
      <c r="N10" s="34"/>
      <c r="O10" s="32"/>
      <c r="P10" s="34"/>
      <c r="Q10" s="32"/>
      <c r="R10" s="34"/>
      <c r="S10" s="32"/>
      <c r="T10" s="34"/>
      <c r="U10" s="32"/>
      <c r="V10" s="34"/>
      <c r="W10" s="32"/>
      <c r="X10" s="34"/>
      <c r="Y10" s="99">
        <f t="shared" si="0"/>
        <v>0</v>
      </c>
      <c r="Z10" s="258">
        <f t="shared" ref="Z10:Z20" si="2">D10+F10+H10+J10+N10+P10+R10+T10+V10+X10+L10</f>
        <v>0</v>
      </c>
      <c r="AA10" s="17" t="str">
        <f t="shared" ref="AA10:AA20" si="3">IF(ISERROR(Y10/B10),"",Y10/B10)</f>
        <v/>
      </c>
      <c r="AB10" s="18" t="str">
        <f t="shared" ref="AB10:AB20" si="4">IF(ISERROR(Z10/B10),"",Z10/B10)</f>
        <v/>
      </c>
      <c r="AC10" s="102">
        <f>(C10*kWh_Élect_to_kgGES+E10*IF(U_GNat="[m³]",m3_GazNat_to_kgGES,Conversion!$H$27)+G10*IF(U_Ma2="[l]",L_Mazout2_to_kgGES,Conversion!$H$29)+I10*IF(U_Ma6="[l]",L_Mazout6_to_kgGES,Conversion!$H$31)+K10*L_Mazout2_to_kgGES+M10*IF(U_Prop="[l]",L_Propane_to_kgGES,Conversion!$H$35)+O10*kg_Bois8_to_kgGES+Q10*kg_Bois35_to_kgGES+S10*lbs_vapeur_to_kgGES+U10*MBTU_eaurefroidie_to_kgGES+W10*MBTU_eauchaude_to_kgGES)/1000</f>
        <v>0</v>
      </c>
      <c r="AD10" s="103">
        <f t="shared" ref="AD10:AD20" si="5">(IF(ISERROR(AC10/B10),0,(AC10/B10)))*1000</f>
        <v>0</v>
      </c>
      <c r="AE10" s="104">
        <f t="shared" si="1"/>
        <v>89.9</v>
      </c>
      <c r="AF10" s="49">
        <f>SUM(AE9)</f>
        <v>339.2</v>
      </c>
      <c r="AG10" s="49">
        <v>11</v>
      </c>
    </row>
    <row r="11" spans="1:33" ht="17.25" customHeight="1">
      <c r="A11" s="15">
        <f t="shared" ref="A11:A20" si="6">DATE(YEAR(A10),MONTH(A10)+1,DAY(A10))</f>
        <v>41061</v>
      </c>
      <c r="B11" s="31"/>
      <c r="C11" s="32"/>
      <c r="D11" s="34"/>
      <c r="E11" s="32"/>
      <c r="F11" s="34"/>
      <c r="G11" s="32"/>
      <c r="H11" s="34"/>
      <c r="I11" s="32"/>
      <c r="J11" s="34"/>
      <c r="K11" s="32"/>
      <c r="L11" s="34"/>
      <c r="M11" s="32"/>
      <c r="N11" s="34"/>
      <c r="O11" s="32"/>
      <c r="P11" s="34"/>
      <c r="Q11" s="32"/>
      <c r="R11" s="34"/>
      <c r="S11" s="32"/>
      <c r="T11" s="34"/>
      <c r="U11" s="32"/>
      <c r="V11" s="34"/>
      <c r="W11" s="32"/>
      <c r="X11" s="34"/>
      <c r="Y11" s="99">
        <f t="shared" si="0"/>
        <v>0</v>
      </c>
      <c r="Z11" s="258">
        <f t="shared" si="2"/>
        <v>0</v>
      </c>
      <c r="AA11" s="17" t="str">
        <f t="shared" si="3"/>
        <v/>
      </c>
      <c r="AB11" s="18" t="str">
        <f t="shared" si="4"/>
        <v/>
      </c>
      <c r="AC11" s="102">
        <f>(C11*kWh_Élect_to_kgGES+E11*IF(U_GNat="[m³]",m3_GazNat_to_kgGES,Conversion!$H$27)+G11*IF(U_Ma2="[l]",L_Mazout2_to_kgGES,Conversion!$H$29)+I11*IF(U_Ma6="[l]",L_Mazout6_to_kgGES,Conversion!$H$31)+K11*L_Mazout2_to_kgGES+M11*IF(U_Prop="[l]",L_Propane_to_kgGES,Conversion!$H$35)+O11*kg_Bois8_to_kgGES+Q11*kg_Bois35_to_kgGES+S11*lbs_vapeur_to_kgGES+U11*MBTU_eaurefroidie_to_kgGES+W11*MBTU_eauchaude_to_kgGES)/1000</f>
        <v>0</v>
      </c>
      <c r="AD11" s="103">
        <f t="shared" si="5"/>
        <v>0</v>
      </c>
      <c r="AE11" s="104">
        <f t="shared" si="1"/>
        <v>21.5</v>
      </c>
      <c r="AF11" s="49">
        <f>SUM(AE9:AE10)</f>
        <v>429.1</v>
      </c>
      <c r="AG11" s="49">
        <v>10</v>
      </c>
    </row>
    <row r="12" spans="1:33" ht="17.25" customHeight="1">
      <c r="A12" s="15">
        <f t="shared" si="6"/>
        <v>41091</v>
      </c>
      <c r="B12" s="31"/>
      <c r="C12" s="32"/>
      <c r="D12" s="34"/>
      <c r="E12" s="32"/>
      <c r="F12" s="34"/>
      <c r="G12" s="32"/>
      <c r="H12" s="34"/>
      <c r="I12" s="32"/>
      <c r="J12" s="34"/>
      <c r="K12" s="32"/>
      <c r="L12" s="34"/>
      <c r="M12" s="32"/>
      <c r="N12" s="34"/>
      <c r="O12" s="32"/>
      <c r="P12" s="34"/>
      <c r="Q12" s="32"/>
      <c r="R12" s="34"/>
      <c r="S12" s="32"/>
      <c r="T12" s="34"/>
      <c r="U12" s="32"/>
      <c r="V12" s="34"/>
      <c r="W12" s="32"/>
      <c r="X12" s="34"/>
      <c r="Y12" s="99">
        <f t="shared" si="0"/>
        <v>0</v>
      </c>
      <c r="Z12" s="258">
        <f t="shared" si="2"/>
        <v>0</v>
      </c>
      <c r="AA12" s="17" t="str">
        <f t="shared" si="3"/>
        <v/>
      </c>
      <c r="AB12" s="18" t="str">
        <f t="shared" si="4"/>
        <v/>
      </c>
      <c r="AC12" s="102">
        <f>(C12*kWh_Élect_to_kgGES+E12*IF(U_GNat="[m³]",m3_GazNat_to_kgGES,Conversion!$H$27)+G12*IF(U_Ma2="[l]",L_Mazout2_to_kgGES,Conversion!$H$29)+I12*IF(U_Ma6="[l]",L_Mazout6_to_kgGES,Conversion!$H$31)+K12*L_Mazout2_to_kgGES+M12*IF(U_Prop="[l]",L_Propane_to_kgGES,Conversion!$H$35)+O12*kg_Bois8_to_kgGES+Q12*kg_Bois35_to_kgGES+S12*lbs_vapeur_to_kgGES+U12*MBTU_eaurefroidie_to_kgGES+W12*MBTU_eauchaude_to_kgGES)/1000</f>
        <v>0</v>
      </c>
      <c r="AD12" s="103">
        <f t="shared" si="5"/>
        <v>0</v>
      </c>
      <c r="AE12" s="104">
        <f t="shared" si="1"/>
        <v>0.7</v>
      </c>
      <c r="AF12" s="49">
        <f>SUM(AE9:AE11)</f>
        <v>450.6</v>
      </c>
      <c r="AG12" s="49">
        <v>9</v>
      </c>
    </row>
    <row r="13" spans="1:33" ht="17.25" customHeight="1">
      <c r="A13" s="15">
        <f t="shared" si="6"/>
        <v>41122</v>
      </c>
      <c r="B13" s="31"/>
      <c r="C13" s="32"/>
      <c r="D13" s="34"/>
      <c r="E13" s="32"/>
      <c r="F13" s="34"/>
      <c r="G13" s="32"/>
      <c r="H13" s="34"/>
      <c r="I13" s="32"/>
      <c r="J13" s="34"/>
      <c r="K13" s="32"/>
      <c r="L13" s="34"/>
      <c r="M13" s="32"/>
      <c r="N13" s="34"/>
      <c r="O13" s="32"/>
      <c r="P13" s="34"/>
      <c r="Q13" s="32"/>
      <c r="R13" s="34"/>
      <c r="S13" s="32"/>
      <c r="T13" s="34"/>
      <c r="U13" s="32"/>
      <c r="V13" s="34"/>
      <c r="W13" s="32"/>
      <c r="X13" s="34"/>
      <c r="Y13" s="99">
        <f t="shared" si="0"/>
        <v>0</v>
      </c>
      <c r="Z13" s="258">
        <f t="shared" si="2"/>
        <v>0</v>
      </c>
      <c r="AA13" s="17" t="str">
        <f t="shared" si="3"/>
        <v/>
      </c>
      <c r="AB13" s="18" t="str">
        <f t="shared" si="4"/>
        <v/>
      </c>
      <c r="AC13" s="102">
        <f>(C13*kWh_Élect_to_kgGES+E13*IF(U_GNat="[m³]",m3_GazNat_to_kgGES,Conversion!$H$27)+G13*IF(U_Ma2="[l]",L_Mazout2_to_kgGES,Conversion!$H$29)+I13*IF(U_Ma6="[l]",L_Mazout6_to_kgGES,Conversion!$H$31)+K13*L_Mazout2_to_kgGES+M13*IF(U_Prop="[l]",L_Propane_to_kgGES,Conversion!$H$35)+O13*kg_Bois8_to_kgGES+Q13*kg_Bois35_to_kgGES+S13*lbs_vapeur_to_kgGES+U13*MBTU_eaurefroidie_to_kgGES+W13*MBTU_eauchaude_to_kgGES)/1000</f>
        <v>0</v>
      </c>
      <c r="AD13" s="103">
        <f t="shared" si="5"/>
        <v>0</v>
      </c>
      <c r="AE13" s="104">
        <f t="shared" si="1"/>
        <v>0.8</v>
      </c>
      <c r="AF13" s="49">
        <f>SUM(AE9:AE12)</f>
        <v>451.3</v>
      </c>
      <c r="AG13" s="49">
        <v>8</v>
      </c>
    </row>
    <row r="14" spans="1:33" ht="17.25" customHeight="1">
      <c r="A14" s="15">
        <f t="shared" si="6"/>
        <v>41153</v>
      </c>
      <c r="B14" s="31"/>
      <c r="C14" s="32"/>
      <c r="D14" s="34"/>
      <c r="E14" s="32"/>
      <c r="F14" s="34"/>
      <c r="G14" s="32"/>
      <c r="H14" s="34"/>
      <c r="I14" s="32"/>
      <c r="J14" s="34"/>
      <c r="K14" s="32"/>
      <c r="L14" s="34"/>
      <c r="M14" s="32"/>
      <c r="N14" s="34"/>
      <c r="O14" s="32"/>
      <c r="P14" s="34"/>
      <c r="Q14" s="32"/>
      <c r="R14" s="34"/>
      <c r="S14" s="32"/>
      <c r="T14" s="34"/>
      <c r="U14" s="32"/>
      <c r="V14" s="34"/>
      <c r="W14" s="32"/>
      <c r="X14" s="34"/>
      <c r="Y14" s="99">
        <f t="shared" si="0"/>
        <v>0</v>
      </c>
      <c r="Z14" s="258">
        <f t="shared" si="2"/>
        <v>0</v>
      </c>
      <c r="AA14" s="17" t="str">
        <f t="shared" si="3"/>
        <v/>
      </c>
      <c r="AB14" s="18" t="str">
        <f t="shared" si="4"/>
        <v/>
      </c>
      <c r="AC14" s="102">
        <f>(C14*kWh_Élect_to_kgGES+E14*IF(U_GNat="[m³]",m3_GazNat_to_kgGES,Conversion!$H$27)+G14*IF(U_Ma2="[l]",L_Mazout2_to_kgGES,Conversion!$H$29)+I14*IF(U_Ma6="[l]",L_Mazout6_to_kgGES,Conversion!$H$31)+K14*L_Mazout2_to_kgGES+M14*IF(U_Prop="[l]",L_Propane_to_kgGES,Conversion!$H$35)+O14*kg_Bois8_to_kgGES+Q14*kg_Bois35_to_kgGES+S14*lbs_vapeur_to_kgGES+U14*MBTU_eaurefroidie_to_kgGES+W14*MBTU_eauchaude_to_kgGES)/1000</f>
        <v>0</v>
      </c>
      <c r="AD14" s="103">
        <f t="shared" si="5"/>
        <v>0</v>
      </c>
      <c r="AE14" s="104">
        <f t="shared" si="1"/>
        <v>92.5</v>
      </c>
      <c r="AF14" s="49">
        <f>SUM(AE9:AE13)</f>
        <v>452.1</v>
      </c>
      <c r="AG14" s="49">
        <v>7</v>
      </c>
    </row>
    <row r="15" spans="1:33" ht="17.25" customHeight="1">
      <c r="A15" s="15">
        <f t="shared" si="6"/>
        <v>41183</v>
      </c>
      <c r="B15" s="31"/>
      <c r="C15" s="32"/>
      <c r="D15" s="34"/>
      <c r="E15" s="32"/>
      <c r="F15" s="34"/>
      <c r="G15" s="32"/>
      <c r="H15" s="34"/>
      <c r="I15" s="32"/>
      <c r="J15" s="34"/>
      <c r="K15" s="32"/>
      <c r="L15" s="34"/>
      <c r="M15" s="32"/>
      <c r="N15" s="34"/>
      <c r="O15" s="32"/>
      <c r="P15" s="34"/>
      <c r="Q15" s="32"/>
      <c r="R15" s="34"/>
      <c r="S15" s="32"/>
      <c r="T15" s="34"/>
      <c r="U15" s="32"/>
      <c r="V15" s="34"/>
      <c r="W15" s="32"/>
      <c r="X15" s="34"/>
      <c r="Y15" s="99">
        <f t="shared" si="0"/>
        <v>0</v>
      </c>
      <c r="Z15" s="258">
        <f t="shared" si="2"/>
        <v>0</v>
      </c>
      <c r="AA15" s="17" t="str">
        <f t="shared" si="3"/>
        <v/>
      </c>
      <c r="AB15" s="18" t="str">
        <f t="shared" si="4"/>
        <v/>
      </c>
      <c r="AC15" s="102">
        <f>(C15*kWh_Élect_to_kgGES+E15*IF(U_GNat="[m³]",m3_GazNat_to_kgGES,Conversion!$H$27)+G15*IF(U_Ma2="[l]",L_Mazout2_to_kgGES,Conversion!$H$29)+I15*IF(U_Ma6="[l]",L_Mazout6_to_kgGES,Conversion!$H$31)+K15*L_Mazout2_to_kgGES+M15*IF(U_Prop="[l]",L_Propane_to_kgGES,Conversion!$H$35)+O15*kg_Bois8_to_kgGES+Q15*kg_Bois35_to_kgGES+S15*lbs_vapeur_to_kgGES+U15*MBTU_eaurefroidie_to_kgGES+W15*MBTU_eauchaude_to_kgGES)/1000</f>
        <v>0</v>
      </c>
      <c r="AD15" s="103">
        <f t="shared" si="5"/>
        <v>0</v>
      </c>
      <c r="AE15" s="104">
        <f t="shared" si="1"/>
        <v>222.8</v>
      </c>
      <c r="AF15" s="49">
        <f>SUM(AE9:AE14)</f>
        <v>544.6</v>
      </c>
      <c r="AG15" s="49">
        <v>6</v>
      </c>
    </row>
    <row r="16" spans="1:33" ht="17.25" customHeight="1">
      <c r="A16" s="15">
        <f t="shared" si="6"/>
        <v>41214</v>
      </c>
      <c r="B16" s="31"/>
      <c r="C16" s="32"/>
      <c r="D16" s="34"/>
      <c r="E16" s="32"/>
      <c r="F16" s="34"/>
      <c r="G16" s="32"/>
      <c r="H16" s="34"/>
      <c r="I16" s="32"/>
      <c r="J16" s="34"/>
      <c r="K16" s="32"/>
      <c r="L16" s="34"/>
      <c r="M16" s="32"/>
      <c r="N16" s="34"/>
      <c r="O16" s="32"/>
      <c r="P16" s="34"/>
      <c r="Q16" s="32"/>
      <c r="R16" s="34"/>
      <c r="S16" s="32"/>
      <c r="T16" s="34"/>
      <c r="U16" s="32"/>
      <c r="V16" s="34"/>
      <c r="W16" s="32"/>
      <c r="X16" s="34"/>
      <c r="Y16" s="99">
        <f t="shared" si="0"/>
        <v>0</v>
      </c>
      <c r="Z16" s="258">
        <f t="shared" si="2"/>
        <v>0</v>
      </c>
      <c r="AA16" s="17" t="str">
        <f t="shared" si="3"/>
        <v/>
      </c>
      <c r="AB16" s="18" t="str">
        <f t="shared" si="4"/>
        <v/>
      </c>
      <c r="AC16" s="102">
        <f>(C16*kWh_Élect_to_kgGES+E16*IF(U_GNat="[m³]",m3_GazNat_to_kgGES,Conversion!$H$27)+G16*IF(U_Ma2="[l]",L_Mazout2_to_kgGES,Conversion!$H$29)+I16*IF(U_Ma6="[l]",L_Mazout6_to_kgGES,Conversion!$H$31)+K16*L_Mazout2_to_kgGES+M16*IF(U_Prop="[l]",L_Propane_to_kgGES,Conversion!$H$35)+O16*kg_Bois8_to_kgGES+Q16*kg_Bois35_to_kgGES+S16*lbs_vapeur_to_kgGES+U16*MBTU_eaurefroidie_to_kgGES+W16*MBTU_eauchaude_to_kgGES)/1000</f>
        <v>0</v>
      </c>
      <c r="AD16" s="103">
        <f t="shared" si="5"/>
        <v>0</v>
      </c>
      <c r="AE16" s="104">
        <f t="shared" si="1"/>
        <v>524.20000000000005</v>
      </c>
      <c r="AF16" s="49">
        <f>SUM(AE9:AE15)</f>
        <v>767.40000000000009</v>
      </c>
      <c r="AG16" s="49">
        <v>5</v>
      </c>
    </row>
    <row r="17" spans="1:33" ht="17.25" customHeight="1">
      <c r="A17" s="15">
        <f t="shared" si="6"/>
        <v>41244</v>
      </c>
      <c r="B17" s="31"/>
      <c r="C17" s="32"/>
      <c r="D17" s="34"/>
      <c r="E17" s="32"/>
      <c r="F17" s="34"/>
      <c r="G17" s="32"/>
      <c r="H17" s="34"/>
      <c r="I17" s="32"/>
      <c r="J17" s="34"/>
      <c r="K17" s="32"/>
      <c r="L17" s="34"/>
      <c r="M17" s="32"/>
      <c r="N17" s="34"/>
      <c r="O17" s="32"/>
      <c r="P17" s="34"/>
      <c r="Q17" s="32"/>
      <c r="R17" s="34"/>
      <c r="S17" s="32"/>
      <c r="T17" s="34"/>
      <c r="U17" s="32"/>
      <c r="V17" s="34"/>
      <c r="W17" s="32"/>
      <c r="X17" s="34"/>
      <c r="Y17" s="99">
        <f t="shared" si="0"/>
        <v>0</v>
      </c>
      <c r="Z17" s="258">
        <f t="shared" si="2"/>
        <v>0</v>
      </c>
      <c r="AA17" s="17" t="str">
        <f t="shared" si="3"/>
        <v/>
      </c>
      <c r="AB17" s="18" t="str">
        <f t="shared" si="4"/>
        <v/>
      </c>
      <c r="AC17" s="102">
        <f>(C17*kWh_Élect_to_kgGES+E17*IF(U_GNat="[m³]",m3_GazNat_to_kgGES,Conversion!$H$27)+G17*IF(U_Ma2="[l]",L_Mazout2_to_kgGES,Conversion!$H$29)+I17*IF(U_Ma6="[l]",L_Mazout6_to_kgGES,Conversion!$H$31)+K17*L_Mazout2_to_kgGES+M17*IF(U_Prop="[l]",L_Propane_to_kgGES,Conversion!$H$35)+O17*kg_Bois8_to_kgGES+Q17*kg_Bois35_to_kgGES+S17*lbs_vapeur_to_kgGES+U17*MBTU_eaurefroidie_to_kgGES+W17*MBTU_eauchaude_to_kgGES)/1000</f>
        <v>0</v>
      </c>
      <c r="AD17" s="103">
        <f t="shared" si="5"/>
        <v>0</v>
      </c>
      <c r="AE17" s="104">
        <f t="shared" si="1"/>
        <v>666.5</v>
      </c>
      <c r="AF17" s="49">
        <f>SUM(AE9:AE16)</f>
        <v>1291.6000000000001</v>
      </c>
      <c r="AG17" s="49">
        <v>4</v>
      </c>
    </row>
    <row r="18" spans="1:33" ht="17.25" customHeight="1">
      <c r="A18" s="15">
        <f t="shared" si="6"/>
        <v>41275</v>
      </c>
      <c r="B18" s="31"/>
      <c r="C18" s="32"/>
      <c r="D18" s="34"/>
      <c r="E18" s="32"/>
      <c r="F18" s="34"/>
      <c r="G18" s="32"/>
      <c r="H18" s="34"/>
      <c r="I18" s="32"/>
      <c r="J18" s="34"/>
      <c r="K18" s="32"/>
      <c r="L18" s="34"/>
      <c r="M18" s="32"/>
      <c r="N18" s="34"/>
      <c r="O18" s="32"/>
      <c r="P18" s="34"/>
      <c r="Q18" s="32"/>
      <c r="R18" s="34"/>
      <c r="S18" s="32"/>
      <c r="T18" s="34"/>
      <c r="U18" s="32"/>
      <c r="V18" s="34"/>
      <c r="W18" s="32"/>
      <c r="X18" s="34"/>
      <c r="Y18" s="99">
        <f t="shared" si="0"/>
        <v>0</v>
      </c>
      <c r="Z18" s="258">
        <f t="shared" si="2"/>
        <v>0</v>
      </c>
      <c r="AA18" s="17" t="str">
        <f t="shared" si="3"/>
        <v/>
      </c>
      <c r="AB18" s="18" t="str">
        <f t="shared" si="4"/>
        <v/>
      </c>
      <c r="AC18" s="102">
        <f>(C18*kWh_Élect_to_kgGES+E18*IF(U_GNat="[m³]",m3_GazNat_to_kgGES,Conversion!$H$27)+G18*IF(U_Ma2="[l]",L_Mazout2_to_kgGES,Conversion!$H$29)+I18*IF(U_Ma6="[l]",L_Mazout6_to_kgGES,Conversion!$H$31)+K18*L_Mazout2_to_kgGES+M18*IF(U_Prop="[l]",L_Propane_to_kgGES,Conversion!$H$35)+O18*kg_Bois8_to_kgGES+Q18*kg_Bois35_to_kgGES+S18*lbs_vapeur_to_kgGES+U18*MBTU_eaurefroidie_to_kgGES+W18*MBTU_eauchaude_to_kgGES)/1000</f>
        <v>0</v>
      </c>
      <c r="AD18" s="103">
        <f t="shared" si="5"/>
        <v>0</v>
      </c>
      <c r="AE18" s="104">
        <f t="shared" si="1"/>
        <v>808.2</v>
      </c>
      <c r="AF18" s="49">
        <f>SUM(AE9:AE17)</f>
        <v>1958.1000000000001</v>
      </c>
      <c r="AG18" s="49">
        <v>3</v>
      </c>
    </row>
    <row r="19" spans="1:33" ht="17.25" customHeight="1">
      <c r="A19" s="15">
        <f t="shared" si="6"/>
        <v>41306</v>
      </c>
      <c r="B19" s="31"/>
      <c r="C19" s="32"/>
      <c r="D19" s="34"/>
      <c r="E19" s="32"/>
      <c r="F19" s="34"/>
      <c r="G19" s="32"/>
      <c r="H19" s="34"/>
      <c r="I19" s="32"/>
      <c r="J19" s="34"/>
      <c r="K19" s="32"/>
      <c r="L19" s="34"/>
      <c r="M19" s="32"/>
      <c r="N19" s="34"/>
      <c r="O19" s="32"/>
      <c r="P19" s="34"/>
      <c r="Q19" s="32"/>
      <c r="R19" s="34"/>
      <c r="S19" s="32"/>
      <c r="T19" s="34"/>
      <c r="U19" s="32"/>
      <c r="V19" s="34"/>
      <c r="W19" s="32"/>
      <c r="X19" s="34"/>
      <c r="Y19" s="99">
        <f t="shared" si="0"/>
        <v>0</v>
      </c>
      <c r="Z19" s="258">
        <f t="shared" si="2"/>
        <v>0</v>
      </c>
      <c r="AA19" s="17" t="str">
        <f t="shared" si="3"/>
        <v/>
      </c>
      <c r="AB19" s="18" t="str">
        <f t="shared" si="4"/>
        <v/>
      </c>
      <c r="AC19" s="102">
        <f>(C19*kWh_Élect_to_kgGES+E19*IF(U_GNat="[m³]",m3_GazNat_to_kgGES,Conversion!$H$27)+G19*IF(U_Ma2="[l]",L_Mazout2_to_kgGES,Conversion!$H$29)+I19*IF(U_Ma6="[l]",L_Mazout6_to_kgGES,Conversion!$H$31)+K19*L_Mazout2_to_kgGES+M19*IF(U_Prop="[l]",L_Propane_to_kgGES,Conversion!$H$35)+O19*kg_Bois8_to_kgGES+Q19*kg_Bois35_to_kgGES+S19*lbs_vapeur_to_kgGES+U19*MBTU_eaurefroidie_to_kgGES+W19*MBTU_eauchaude_to_kgGES)/1000</f>
        <v>0</v>
      </c>
      <c r="AD19" s="103">
        <f t="shared" si="5"/>
        <v>0</v>
      </c>
      <c r="AE19" s="104">
        <f t="shared" si="1"/>
        <v>698</v>
      </c>
      <c r="AF19" s="49">
        <f>SUM(AE9:AE18)</f>
        <v>2766.3</v>
      </c>
      <c r="AG19" s="49">
        <v>2</v>
      </c>
    </row>
    <row r="20" spans="1:33" ht="17.25" customHeight="1" thickBot="1">
      <c r="A20" s="16">
        <f t="shared" si="6"/>
        <v>41334</v>
      </c>
      <c r="B20" s="31"/>
      <c r="C20" s="32"/>
      <c r="D20" s="34"/>
      <c r="E20" s="32"/>
      <c r="F20" s="34"/>
      <c r="G20" s="32"/>
      <c r="H20" s="34"/>
      <c r="I20" s="32"/>
      <c r="J20" s="34"/>
      <c r="K20" s="32"/>
      <c r="L20" s="34"/>
      <c r="M20" s="32"/>
      <c r="N20" s="34"/>
      <c r="O20" s="32"/>
      <c r="P20" s="34"/>
      <c r="Q20" s="32"/>
      <c r="R20" s="34"/>
      <c r="S20" s="32"/>
      <c r="T20" s="34"/>
      <c r="U20" s="32"/>
      <c r="V20" s="34"/>
      <c r="W20" s="32"/>
      <c r="X20" s="34"/>
      <c r="Y20" s="99">
        <f t="shared" si="0"/>
        <v>0</v>
      </c>
      <c r="Z20" s="258">
        <f t="shared" si="2"/>
        <v>0</v>
      </c>
      <c r="AA20" s="17" t="str">
        <f t="shared" si="3"/>
        <v/>
      </c>
      <c r="AB20" s="18" t="str">
        <f t="shared" si="4"/>
        <v/>
      </c>
      <c r="AC20" s="102">
        <f>(C20*kWh_Élect_to_kgGES+E20*IF(U_GNat="[m³]",m3_GazNat_to_kgGES,Conversion!$H$27)+G20*IF(U_Ma2="[l]",L_Mazout2_to_kgGES,Conversion!$H$29)+I20*IF(U_Ma6="[l]",L_Mazout6_to_kgGES,Conversion!$H$31)+K20*L_Mazout2_to_kgGES+M20*IF(U_Prop="[l]",L_Propane_to_kgGES,Conversion!$H$35)+O20*kg_Bois8_to_kgGES+Q20*kg_Bois35_to_kgGES+S20*lbs_vapeur_to_kgGES+U20*MBTU_eaurefroidie_to_kgGES+W20*MBTU_eauchaude_to_kgGES)/1000</f>
        <v>0</v>
      </c>
      <c r="AD20" s="103">
        <f t="shared" si="5"/>
        <v>0</v>
      </c>
      <c r="AE20" s="104">
        <f t="shared" si="1"/>
        <v>575.1</v>
      </c>
      <c r="AF20" s="49">
        <f>SUM(AE9:AE19)</f>
        <v>3464.3</v>
      </c>
      <c r="AG20" s="49">
        <v>1</v>
      </c>
    </row>
    <row r="21" spans="1:33" ht="20.25" customHeight="1" thickTop="1">
      <c r="A21" s="3" t="s">
        <v>53</v>
      </c>
      <c r="B21" s="35">
        <f>IF(ISERROR(AVERAGE(B9:B20)),0,AVERAGE(B9:B20))</f>
        <v>0</v>
      </c>
      <c r="C21" s="35">
        <f t="shared" ref="C21:X21" si="7">SUM(C9:C20)</f>
        <v>0</v>
      </c>
      <c r="D21" s="536">
        <f t="shared" si="7"/>
        <v>0</v>
      </c>
      <c r="E21" s="35">
        <f t="shared" si="7"/>
        <v>0</v>
      </c>
      <c r="F21" s="536">
        <f t="shared" si="7"/>
        <v>0</v>
      </c>
      <c r="G21" s="35">
        <f t="shared" si="7"/>
        <v>0</v>
      </c>
      <c r="H21" s="536">
        <f t="shared" si="7"/>
        <v>0</v>
      </c>
      <c r="I21" s="35">
        <f t="shared" si="7"/>
        <v>0</v>
      </c>
      <c r="J21" s="536">
        <f t="shared" si="7"/>
        <v>0</v>
      </c>
      <c r="K21" s="35">
        <f t="shared" si="7"/>
        <v>0</v>
      </c>
      <c r="L21" s="536">
        <f t="shared" si="7"/>
        <v>0</v>
      </c>
      <c r="M21" s="35">
        <f t="shared" si="7"/>
        <v>0</v>
      </c>
      <c r="N21" s="536">
        <f t="shared" si="7"/>
        <v>0</v>
      </c>
      <c r="O21" s="35">
        <f t="shared" si="7"/>
        <v>0</v>
      </c>
      <c r="P21" s="536">
        <f t="shared" si="7"/>
        <v>0</v>
      </c>
      <c r="Q21" s="35">
        <f t="shared" si="7"/>
        <v>0</v>
      </c>
      <c r="R21" s="536">
        <f t="shared" si="7"/>
        <v>0</v>
      </c>
      <c r="S21" s="35">
        <f t="shared" si="7"/>
        <v>0</v>
      </c>
      <c r="T21" s="536">
        <f t="shared" si="7"/>
        <v>0</v>
      </c>
      <c r="U21" s="35">
        <f t="shared" si="7"/>
        <v>0</v>
      </c>
      <c r="V21" s="536">
        <f t="shared" si="7"/>
        <v>0</v>
      </c>
      <c r="W21" s="35">
        <f t="shared" si="7"/>
        <v>0</v>
      </c>
      <c r="X21" s="536">
        <f t="shared" si="7"/>
        <v>0</v>
      </c>
      <c r="Y21" s="263">
        <f t="shared" si="0"/>
        <v>0</v>
      </c>
      <c r="Z21" s="537">
        <f>D21+F21+H21+J21+L21+N21+P21+R21+T21+V21+X21+L21</f>
        <v>0</v>
      </c>
      <c r="AA21" s="265" t="str">
        <f>IF(ISERROR(Y21/B21),"",Y21/B21)</f>
        <v/>
      </c>
      <c r="AB21" s="266" t="str">
        <f>IF(ISERROR(Z21/B21),"",Z21/B21)</f>
        <v/>
      </c>
      <c r="AC21" s="263">
        <f>(C21*kWh_Élect_to_kgGES+E21*IF(U_GNat="[m³]",m3_GazNat_to_kgGES,Conversion!$H$27)+G21*IF(U_Ma2="[l]",L_Mazout2_to_kgGES,Conversion!$H$29)+I21*IF(U_Ma6="[l]",L_Mazout6_to_kgGES,Conversion!$H$31)+K21*L_Mazout2_to_kgGES+M21*IF(U_Prop="[l]",L_Propane_to_kgGES,Conversion!$H$35)+O21*kg_Bois8_to_kgGES+Q21*kg_Bois35_to_kgGES+S21*lbs_vapeur_to_kgGES+U21*MBTU_eaurefroidie_to_kgGES+W21*MBTU_eauchaude_to_kgGES)/1000</f>
        <v>0</v>
      </c>
      <c r="AD21" s="267">
        <f>(IF(ISERROR(AC21/B21),0,(AC21/B21)))*1000</f>
        <v>0</v>
      </c>
      <c r="AE21" s="268">
        <f>SUM(AE9:AE20)</f>
        <v>4039.4</v>
      </c>
    </row>
    <row r="22" spans="1:33">
      <c r="A22" s="27">
        <v>2012</v>
      </c>
      <c r="B22" s="27" t="s">
        <v>158</v>
      </c>
      <c r="C22" s="28" t="s">
        <v>159</v>
      </c>
      <c r="D22" s="28" t="s">
        <v>160</v>
      </c>
      <c r="E22" s="28" t="s">
        <v>161</v>
      </c>
      <c r="F22" s="28" t="s">
        <v>162</v>
      </c>
      <c r="G22" s="28" t="s">
        <v>163</v>
      </c>
      <c r="H22" s="28" t="s">
        <v>164</v>
      </c>
      <c r="I22" s="28" t="s">
        <v>165</v>
      </c>
      <c r="J22" s="28" t="s">
        <v>166</v>
      </c>
      <c r="K22" s="524"/>
      <c r="L22" s="524"/>
      <c r="M22" s="28" t="s">
        <v>167</v>
      </c>
      <c r="N22" s="28" t="s">
        <v>168</v>
      </c>
      <c r="O22" s="28" t="s">
        <v>169</v>
      </c>
      <c r="P22" s="28" t="s">
        <v>170</v>
      </c>
      <c r="Q22" s="28" t="s">
        <v>171</v>
      </c>
      <c r="R22" s="28" t="s">
        <v>172</v>
      </c>
      <c r="S22" s="28"/>
      <c r="T22" s="28"/>
      <c r="U22" s="28"/>
      <c r="V22" s="28"/>
      <c r="W22" s="28"/>
      <c r="X22" s="28"/>
      <c r="Y22" s="47" t="s">
        <v>173</v>
      </c>
      <c r="Z22" s="47" t="s">
        <v>174</v>
      </c>
      <c r="AA22" s="47" t="s">
        <v>175</v>
      </c>
      <c r="AB22" s="47" t="s">
        <v>176</v>
      </c>
      <c r="AC22" s="47" t="s">
        <v>177</v>
      </c>
      <c r="AD22" s="48" t="s">
        <v>178</v>
      </c>
      <c r="AE22" s="47" t="s">
        <v>179</v>
      </c>
    </row>
    <row r="23" spans="1:33" ht="16.8">
      <c r="A23" s="124" t="s">
        <v>379</v>
      </c>
      <c r="B23" s="49"/>
      <c r="C23" s="47"/>
      <c r="D23" s="47"/>
      <c r="E23" s="47"/>
      <c r="F23" s="47"/>
      <c r="G23" s="51"/>
      <c r="H23" s="50"/>
      <c r="I23" s="47"/>
      <c r="J23" s="47"/>
      <c r="K23" s="47"/>
      <c r="L23" s="47"/>
      <c r="M23" s="47"/>
      <c r="N23" s="47"/>
      <c r="O23" s="47"/>
      <c r="P23" s="47"/>
      <c r="Q23" s="47"/>
      <c r="R23" s="47"/>
      <c r="S23" s="47"/>
      <c r="T23" s="47"/>
      <c r="U23" s="47"/>
      <c r="V23" s="47"/>
      <c r="X23" s="47"/>
      <c r="Y23" s="47"/>
      <c r="Z23" s="47"/>
      <c r="AA23" s="47"/>
      <c r="AB23" s="48"/>
      <c r="AC23" s="47"/>
    </row>
    <row r="24" spans="1:33" ht="15" thickBot="1">
      <c r="A24" s="25"/>
      <c r="B24" s="49"/>
      <c r="C24" s="47"/>
      <c r="D24" s="47"/>
      <c r="E24" s="47"/>
      <c r="F24" s="47"/>
      <c r="G24" s="47"/>
      <c r="I24" s="47"/>
      <c r="J24" s="47"/>
      <c r="K24" s="47"/>
      <c r="L24" s="47"/>
      <c r="M24" s="47"/>
      <c r="N24" s="47"/>
      <c r="O24" s="47"/>
      <c r="P24" s="47"/>
      <c r="Q24" s="47"/>
      <c r="R24" s="47"/>
      <c r="S24" s="47"/>
      <c r="T24" s="47"/>
      <c r="U24" s="47"/>
      <c r="V24" s="47"/>
      <c r="X24" s="47"/>
      <c r="Y24" s="47"/>
      <c r="Z24" s="47"/>
      <c r="AA24" s="47"/>
      <c r="AB24" s="48"/>
      <c r="AC24" s="47"/>
    </row>
    <row r="25" spans="1:33" ht="18.600000000000001" thickTop="1">
      <c r="A25" s="560" t="s">
        <v>804</v>
      </c>
      <c r="B25" s="561"/>
      <c r="C25" s="561"/>
      <c r="D25" s="561"/>
      <c r="E25" s="561"/>
      <c r="F25" s="561"/>
      <c r="G25" s="561"/>
      <c r="H25" s="562"/>
      <c r="X25" s="47"/>
      <c r="AA25" s="47">
        <f>Lim_bas</f>
        <v>0</v>
      </c>
      <c r="AB25" s="47">
        <f>Lim_haut</f>
        <v>0</v>
      </c>
      <c r="AC25" s="47"/>
    </row>
    <row r="26" spans="1:33" ht="30" customHeight="1" thickBot="1">
      <c r="A26" s="23"/>
      <c r="B26" s="23"/>
      <c r="W26" s="89"/>
      <c r="X26" s="25"/>
      <c r="Y26" s="25"/>
      <c r="Z26" s="25"/>
      <c r="AA26" s="25"/>
      <c r="AB26" s="25"/>
      <c r="AC26" s="25"/>
    </row>
    <row r="27" spans="1:33" ht="159" customHeight="1" thickTop="1">
      <c r="A27" s="556" t="s">
        <v>374</v>
      </c>
      <c r="B27" s="557"/>
      <c r="C27" s="564" t="s">
        <v>788</v>
      </c>
      <c r="D27" s="564"/>
      <c r="E27" s="564"/>
      <c r="F27" s="564"/>
      <c r="G27" s="564"/>
      <c r="H27" s="564"/>
      <c r="I27" s="564"/>
      <c r="J27" s="564"/>
      <c r="K27" s="564"/>
      <c r="L27" s="564"/>
      <c r="P27" s="46"/>
      <c r="Q27" s="46"/>
      <c r="R27" s="46"/>
      <c r="S27" s="46"/>
      <c r="T27" s="46"/>
      <c r="U27" s="46"/>
      <c r="V27" s="46"/>
      <c r="W27" s="89"/>
      <c r="X27" s="89"/>
      <c r="Y27" s="89"/>
      <c r="Z27" s="89"/>
      <c r="AA27" s="89"/>
      <c r="AB27" s="89"/>
      <c r="AC27" s="89"/>
    </row>
    <row r="28" spans="1:33" ht="15" thickBot="1">
      <c r="A28" s="23"/>
      <c r="B28" s="23"/>
      <c r="P28" s="46"/>
      <c r="Q28" s="46"/>
      <c r="R28" s="46"/>
      <c r="S28" s="46"/>
      <c r="T28" s="46"/>
      <c r="U28" s="46"/>
      <c r="V28" s="46"/>
      <c r="W28" s="89"/>
      <c r="X28" s="89"/>
      <c r="Y28" s="89"/>
      <c r="Z28" s="89"/>
      <c r="AA28" s="89"/>
      <c r="AB28" s="89"/>
      <c r="AC28" s="89"/>
    </row>
    <row r="29" spans="1:33" ht="44.4" thickTop="1" thickBot="1">
      <c r="B29" s="12" t="s">
        <v>64</v>
      </c>
      <c r="C29" s="12" t="s">
        <v>91</v>
      </c>
      <c r="D29" s="12" t="s">
        <v>338</v>
      </c>
      <c r="E29" s="12" t="s">
        <v>75</v>
      </c>
      <c r="F29" s="12"/>
      <c r="G29" s="12" t="s">
        <v>72</v>
      </c>
      <c r="H29" s="12" t="s">
        <v>71</v>
      </c>
      <c r="I29" s="12" t="s">
        <v>340</v>
      </c>
      <c r="J29" s="12" t="s">
        <v>339</v>
      </c>
      <c r="P29" s="46"/>
      <c r="Q29" s="46"/>
      <c r="R29" s="46"/>
      <c r="S29" s="46"/>
      <c r="T29" s="46"/>
      <c r="U29" s="46"/>
      <c r="V29" s="46"/>
      <c r="W29" s="89"/>
      <c r="X29" s="57" t="s">
        <v>54</v>
      </c>
      <c r="Y29" s="61">
        <f>((1-Facteur_variable)+Facteur_variable*DJC_tot_12_13/DJC_tot_09_10)*GJ_Tot_09_10+GJ_Ajust_NP_Cour_12_13</f>
        <v>0</v>
      </c>
      <c r="Z29" s="49" t="s">
        <v>294</v>
      </c>
      <c r="AA29" s="47"/>
      <c r="AB29" s="89"/>
      <c r="AC29" s="89"/>
    </row>
    <row r="30" spans="1:33" ht="35.25" customHeight="1" thickTop="1">
      <c r="B30" s="36" t="s">
        <v>778</v>
      </c>
      <c r="C30" s="36"/>
      <c r="D30" s="36"/>
      <c r="E30" s="55"/>
      <c r="F30" s="54" t="str">
        <f>IF(D30="électrique","kWh",IF(D30="Gaz naturel","m³",IF(LEFT(D30,1)="R","1000 kg","l")))</f>
        <v>l</v>
      </c>
      <c r="G30" s="36"/>
      <c r="H30" s="37"/>
      <c r="I30" s="38">
        <f>IF(COUNTA(G30)=1,IF(C30="Réduction",-1,IF(C30="Augmentation",1,0))*E30*INDEX(Conversion!$A$24:$J$40,MATCH(D30,Conversion!$J$24:$J$40,0),9),0)</f>
        <v>0</v>
      </c>
      <c r="J30" s="38">
        <f t="shared" ref="J30:J36" si="8">IF(G30="Non",I30*L30,IF(G30="Oui",I30*K30,0))</f>
        <v>0</v>
      </c>
      <c r="K30" s="56" t="e">
        <f t="shared" ref="K30:K36" si="9">(DJC_tot_12_13-INDEX($A$9:$AF$20,MATCH(H30,$A$9:$A$20,0),24))/DJC_tot_12_13</f>
        <v>#N/A</v>
      </c>
      <c r="L30" s="56" t="e">
        <f t="shared" ref="L30:L36" si="10">INDEX($A$9:$AG$20,MATCH(H30,$A$9:$A$20,0),25)/12</f>
        <v>#N/A</v>
      </c>
      <c r="P30" s="46"/>
      <c r="Q30" s="46"/>
      <c r="R30" s="46"/>
      <c r="S30" s="46"/>
      <c r="T30" s="46"/>
      <c r="U30" s="46"/>
      <c r="V30" s="46"/>
      <c r="W30" s="25"/>
      <c r="X30" s="58" t="s">
        <v>55</v>
      </c>
      <c r="Y30" s="49">
        <f>GJ_Tot_12_13</f>
        <v>0</v>
      </c>
      <c r="AA30" s="47"/>
      <c r="AB30" s="89"/>
      <c r="AC30" s="89"/>
    </row>
    <row r="31" spans="1:33" ht="35.25" customHeight="1">
      <c r="B31" s="36" t="s">
        <v>779</v>
      </c>
      <c r="C31" s="36"/>
      <c r="D31" s="36"/>
      <c r="E31" s="55"/>
      <c r="F31" s="54" t="str">
        <f t="shared" ref="F31:F36" si="11">IF(D31="électrique","kWh",IF(D31="Gaz naturel","m³",IF(LEFT(D31,1)="R","1000 kg","l")))</f>
        <v>l</v>
      </c>
      <c r="G31" s="36"/>
      <c r="H31" s="37"/>
      <c r="I31" s="38">
        <f>IF(COUNTA(G31)=1,IF(C31="Réduction",-1,IF(C31="Augmentation",1,0))*E31*INDEX(Conversion!$A$24:$J$40,MATCH(D31,Conversion!$J$24:$J$40,0),9),0)</f>
        <v>0</v>
      </c>
      <c r="J31" s="38">
        <f t="shared" si="8"/>
        <v>0</v>
      </c>
      <c r="K31" s="56" t="e">
        <f t="shared" si="9"/>
        <v>#N/A</v>
      </c>
      <c r="L31" s="56" t="e">
        <f t="shared" si="10"/>
        <v>#N/A</v>
      </c>
      <c r="P31" s="46"/>
      <c r="Q31" s="46"/>
      <c r="R31" s="46"/>
      <c r="S31" s="46"/>
      <c r="T31" s="46"/>
      <c r="U31" s="46"/>
      <c r="V31" s="46"/>
      <c r="W31" s="25"/>
      <c r="X31" s="58" t="s">
        <v>56</v>
      </c>
      <c r="Y31" s="49">
        <f>Sup_09_10</f>
        <v>0</v>
      </c>
      <c r="AA31" s="47"/>
      <c r="AB31" s="89"/>
      <c r="AC31" s="89"/>
    </row>
    <row r="32" spans="1:33" ht="35.25" customHeight="1">
      <c r="B32" s="36" t="s">
        <v>780</v>
      </c>
      <c r="C32" s="36"/>
      <c r="D32" s="36"/>
      <c r="E32" s="55"/>
      <c r="F32" s="54" t="str">
        <f t="shared" si="11"/>
        <v>l</v>
      </c>
      <c r="G32" s="36"/>
      <c r="H32" s="37"/>
      <c r="I32" s="38">
        <f>IF(COUNTA(G32)=1,IF(C32="Réduction",-1,IF(C32="Augmentation",1,0))*E32*INDEX(Conversion!$A$24:$J$40,MATCH(D32,Conversion!$J$24:$J$40,0),9),0)</f>
        <v>0</v>
      </c>
      <c r="J32" s="38">
        <f t="shared" si="8"/>
        <v>0</v>
      </c>
      <c r="K32" s="56" t="e">
        <f t="shared" si="9"/>
        <v>#N/A</v>
      </c>
      <c r="L32" s="56" t="e">
        <f t="shared" si="10"/>
        <v>#N/A</v>
      </c>
      <c r="P32" s="46"/>
      <c r="Q32" s="46"/>
      <c r="R32" s="46"/>
      <c r="S32" s="46"/>
      <c r="T32" s="46"/>
      <c r="U32" s="46"/>
      <c r="V32" s="46"/>
      <c r="W32" s="89"/>
      <c r="X32" s="58" t="s">
        <v>57</v>
      </c>
      <c r="Y32" s="47">
        <f>Sup_12_13</f>
        <v>0</v>
      </c>
      <c r="AA32" s="47"/>
      <c r="AB32" s="89"/>
      <c r="AC32" s="89"/>
    </row>
    <row r="33" spans="1:29" ht="35.25" customHeight="1">
      <c r="B33" s="36" t="s">
        <v>781</v>
      </c>
      <c r="C33" s="36"/>
      <c r="D33" s="36"/>
      <c r="E33" s="55"/>
      <c r="F33" s="54" t="str">
        <f t="shared" si="11"/>
        <v>l</v>
      </c>
      <c r="G33" s="36"/>
      <c r="H33" s="37"/>
      <c r="I33" s="38">
        <f>IF(COUNTA(G33)=1,IF(C33="Réduction",-1,IF(C33="Augmentation",1,0))*E33*INDEX(Conversion!$A$24:$J$40,MATCH(D33,Conversion!$J$24:$J$40,0),9),0)</f>
        <v>0</v>
      </c>
      <c r="J33" s="38">
        <f t="shared" si="8"/>
        <v>0</v>
      </c>
      <c r="K33" s="56" t="e">
        <f t="shared" si="9"/>
        <v>#N/A</v>
      </c>
      <c r="L33" s="56" t="e">
        <f t="shared" si="10"/>
        <v>#N/A</v>
      </c>
      <c r="P33" s="46"/>
      <c r="Q33" s="46"/>
      <c r="R33" s="46"/>
      <c r="S33" s="46"/>
      <c r="T33" s="46"/>
      <c r="U33" s="46"/>
      <c r="V33" s="46"/>
      <c r="W33" s="89"/>
      <c r="X33" s="47"/>
      <c r="Y33" s="59" t="e">
        <f>GJTotRef_Ajust_12_13/Sup_09_10</f>
        <v>#DIV/0!</v>
      </c>
      <c r="Z33" s="49" t="s">
        <v>295</v>
      </c>
      <c r="AA33" s="47"/>
      <c r="AB33" s="89"/>
      <c r="AC33" s="89"/>
    </row>
    <row r="34" spans="1:29" ht="35.25" customHeight="1">
      <c r="B34" s="36" t="s">
        <v>782</v>
      </c>
      <c r="C34" s="36"/>
      <c r="D34" s="36"/>
      <c r="E34" s="55"/>
      <c r="F34" s="54" t="str">
        <f t="shared" si="11"/>
        <v>l</v>
      </c>
      <c r="G34" s="36"/>
      <c r="H34" s="37"/>
      <c r="I34" s="38">
        <f>IF(COUNTA(G34)=1,IF(C34="Réduction",-1,IF(C34="Augmentation",1,0))*E34*INDEX(Conversion!$A$24:$J$40,MATCH(D34,Conversion!$J$24:$J$40,0),9),0)</f>
        <v>0</v>
      </c>
      <c r="J34" s="38">
        <f t="shared" si="8"/>
        <v>0</v>
      </c>
      <c r="K34" s="56" t="e">
        <f t="shared" si="9"/>
        <v>#N/A</v>
      </c>
      <c r="L34" s="56" t="e">
        <f t="shared" si="10"/>
        <v>#N/A</v>
      </c>
      <c r="P34" s="46"/>
      <c r="Q34" s="46"/>
      <c r="R34" s="46"/>
      <c r="S34" s="46"/>
      <c r="T34" s="46"/>
      <c r="U34" s="46"/>
      <c r="V34" s="46"/>
      <c r="W34" s="25"/>
      <c r="Y34" s="60">
        <f>J37</f>
        <v>0</v>
      </c>
      <c r="Z34" s="49" t="s">
        <v>296</v>
      </c>
      <c r="AB34" s="25"/>
      <c r="AC34" s="25"/>
    </row>
    <row r="35" spans="1:29" ht="35.25" customHeight="1">
      <c r="B35" s="36" t="s">
        <v>783</v>
      </c>
      <c r="C35" s="36"/>
      <c r="D35" s="36"/>
      <c r="E35" s="55"/>
      <c r="F35" s="54" t="str">
        <f t="shared" si="11"/>
        <v>l</v>
      </c>
      <c r="G35" s="36"/>
      <c r="H35" s="37"/>
      <c r="I35" s="38">
        <f>IF(COUNTA(G35)=1,IF(C35="Réduction",-1,IF(C35="Augmentation",1,0))*E35*INDEX(Conversion!$A$24:$J$40,MATCH(D35,Conversion!$J$24:$J$40,0),9),0)</f>
        <v>0</v>
      </c>
      <c r="J35" s="38">
        <f t="shared" si="8"/>
        <v>0</v>
      </c>
      <c r="K35" s="56" t="e">
        <f t="shared" si="9"/>
        <v>#N/A</v>
      </c>
      <c r="L35" s="56" t="e">
        <f t="shared" si="10"/>
        <v>#N/A</v>
      </c>
      <c r="P35" s="46"/>
      <c r="Q35" s="46"/>
      <c r="R35" s="46"/>
      <c r="S35" s="46"/>
      <c r="T35" s="46"/>
      <c r="U35" s="46"/>
      <c r="V35" s="46"/>
      <c r="W35" s="25"/>
      <c r="Y35" s="60">
        <f>I37</f>
        <v>0</v>
      </c>
      <c r="Z35" s="49" t="s">
        <v>297</v>
      </c>
      <c r="AB35" s="25"/>
      <c r="AC35" s="25"/>
    </row>
    <row r="36" spans="1:29" ht="35.25" customHeight="1" thickBot="1">
      <c r="B36" s="36" t="s">
        <v>784</v>
      </c>
      <c r="C36" s="36"/>
      <c r="D36" s="36"/>
      <c r="E36" s="55"/>
      <c r="F36" s="54" t="str">
        <f t="shared" si="11"/>
        <v>l</v>
      </c>
      <c r="G36" s="36"/>
      <c r="H36" s="37"/>
      <c r="I36" s="38">
        <f>IF(COUNTA(G36)=1,IF(C36="Réduction",-1,IF(C36="Augmentation",1,0))*E36*INDEX(Conversion!$A$24:$J$40,MATCH(D36,Conversion!$J$24:$J$40,0),9),0)</f>
        <v>0</v>
      </c>
      <c r="J36" s="38">
        <f t="shared" si="8"/>
        <v>0</v>
      </c>
      <c r="K36" s="56" t="e">
        <f t="shared" si="9"/>
        <v>#N/A</v>
      </c>
      <c r="L36" s="56" t="e">
        <f t="shared" si="10"/>
        <v>#N/A</v>
      </c>
      <c r="P36" s="46"/>
      <c r="Q36" s="46"/>
      <c r="R36" s="46"/>
      <c r="S36" s="46"/>
      <c r="T36" s="46"/>
      <c r="U36" s="46"/>
      <c r="V36" s="46"/>
      <c r="W36" s="25"/>
      <c r="X36" s="25"/>
      <c r="Y36" s="25"/>
      <c r="Z36" s="25"/>
      <c r="AA36" s="25"/>
      <c r="AB36" s="25"/>
      <c r="AC36" s="25"/>
    </row>
    <row r="37" spans="1:29" ht="25.5" customHeight="1" thickTop="1" thickBot="1">
      <c r="B37" s="21" t="s">
        <v>16</v>
      </c>
      <c r="C37" s="19"/>
      <c r="D37" s="19"/>
      <c r="E37" s="19"/>
      <c r="F37" s="19"/>
      <c r="G37" s="19"/>
      <c r="H37" s="19"/>
      <c r="I37" s="20">
        <f>SUM(I30:I36)</f>
        <v>0</v>
      </c>
      <c r="J37" s="20">
        <f>SUM(J30:J36)</f>
        <v>0</v>
      </c>
      <c r="P37" s="46"/>
      <c r="Q37" s="46"/>
      <c r="R37" s="46"/>
      <c r="S37" s="46"/>
      <c r="T37" s="46"/>
      <c r="U37" s="46"/>
      <c r="V37" s="46"/>
      <c r="W37" s="49"/>
    </row>
    <row r="38" spans="1:29" ht="15" thickTop="1">
      <c r="I38" s="1"/>
      <c r="J38" s="24"/>
      <c r="P38" s="46"/>
      <c r="Q38" s="46"/>
      <c r="R38" s="46"/>
      <c r="S38" s="46"/>
      <c r="T38" s="46"/>
      <c r="U38" s="46"/>
      <c r="V38" s="46"/>
      <c r="W38" s="49"/>
    </row>
    <row r="39" spans="1:29">
      <c r="P39" s="46"/>
      <c r="Q39" s="46"/>
      <c r="R39" s="46"/>
      <c r="S39" s="46"/>
      <c r="T39" s="46"/>
      <c r="U39" s="46"/>
      <c r="V39" s="46"/>
      <c r="W39" s="49"/>
    </row>
    <row r="40" spans="1:29">
      <c r="P40" s="46"/>
      <c r="Q40" s="46"/>
      <c r="R40" s="46"/>
      <c r="S40" s="46"/>
      <c r="T40" s="46"/>
      <c r="U40" s="46"/>
      <c r="V40" s="46"/>
      <c r="W40" s="49"/>
    </row>
    <row r="41" spans="1:29" ht="16.5" customHeight="1">
      <c r="P41" s="46"/>
      <c r="Q41" s="46"/>
      <c r="R41" s="46"/>
      <c r="S41" s="46"/>
      <c r="T41" s="46"/>
      <c r="U41" s="46"/>
      <c r="V41" s="46"/>
      <c r="W41" s="49"/>
    </row>
    <row r="42" spans="1:29">
      <c r="P42" s="46"/>
      <c r="Q42" s="46"/>
      <c r="R42" s="46"/>
      <c r="S42" s="46"/>
      <c r="T42" s="46"/>
      <c r="U42" s="46"/>
      <c r="V42" s="46"/>
      <c r="W42" s="49"/>
    </row>
    <row r="43" spans="1:29" ht="16.5" customHeight="1">
      <c r="P43" s="46"/>
      <c r="Q43" s="46"/>
      <c r="R43" s="46"/>
      <c r="S43" s="46"/>
      <c r="T43" s="46"/>
      <c r="U43" s="46"/>
      <c r="V43" s="46"/>
      <c r="W43" s="49"/>
    </row>
    <row r="44" spans="1:29">
      <c r="A44" s="29"/>
      <c r="B44" s="29"/>
      <c r="C44" s="30"/>
      <c r="D44" s="30"/>
      <c r="E44" s="30"/>
      <c r="F44" s="30"/>
      <c r="G44" s="30"/>
      <c r="H44" s="30"/>
      <c r="P44" s="46"/>
      <c r="Q44" s="46"/>
      <c r="R44" s="46"/>
      <c r="S44" s="46"/>
      <c r="T44" s="46"/>
      <c r="U44" s="46"/>
      <c r="V44" s="46"/>
      <c r="W44" s="49"/>
    </row>
    <row r="45" spans="1:29">
      <c r="A45" s="29"/>
      <c r="B45" s="29"/>
      <c r="C45" s="30"/>
      <c r="D45" s="30"/>
      <c r="E45" s="30"/>
      <c r="F45" s="30"/>
      <c r="G45" s="30"/>
      <c r="H45" s="30"/>
      <c r="P45" s="46"/>
      <c r="Q45" s="46"/>
      <c r="R45" s="46"/>
      <c r="S45" s="46"/>
      <c r="T45" s="46"/>
      <c r="U45" s="46"/>
      <c r="V45" s="46"/>
      <c r="W45" s="49"/>
    </row>
    <row r="46" spans="1:29">
      <c r="A46" s="29"/>
      <c r="B46" s="27"/>
      <c r="C46" s="28" t="s">
        <v>65</v>
      </c>
      <c r="D46" s="28" t="s">
        <v>70</v>
      </c>
      <c r="E46" s="28"/>
      <c r="F46" s="28"/>
      <c r="G46" s="28" t="s">
        <v>73</v>
      </c>
      <c r="H46" s="30"/>
      <c r="P46" s="46"/>
      <c r="Q46" s="46"/>
      <c r="R46" s="46"/>
      <c r="S46" s="46"/>
      <c r="T46" s="46"/>
      <c r="U46" s="46"/>
      <c r="V46" s="46"/>
    </row>
    <row r="47" spans="1:29">
      <c r="A47" s="29"/>
      <c r="B47" s="27"/>
      <c r="C47" s="28" t="s">
        <v>66</v>
      </c>
      <c r="D47" s="28" t="s">
        <v>19</v>
      </c>
      <c r="E47" s="28"/>
      <c r="F47" s="28"/>
      <c r="G47" s="28" t="s">
        <v>74</v>
      </c>
      <c r="H47" s="30"/>
      <c r="P47" s="46"/>
      <c r="Q47" s="46"/>
      <c r="R47" s="46"/>
      <c r="S47" s="46"/>
      <c r="T47" s="46"/>
      <c r="U47" s="46"/>
      <c r="V47" s="46"/>
    </row>
    <row r="48" spans="1:29">
      <c r="A48" s="29"/>
      <c r="B48" s="27"/>
      <c r="C48" s="28"/>
      <c r="D48" s="28" t="s">
        <v>67</v>
      </c>
      <c r="E48" s="28"/>
      <c r="F48" s="28"/>
      <c r="G48" s="28"/>
      <c r="H48" s="30"/>
      <c r="P48" s="46"/>
      <c r="Q48" s="46"/>
      <c r="R48" s="46"/>
      <c r="S48" s="46"/>
      <c r="T48" s="46"/>
      <c r="U48" s="46"/>
      <c r="V48" s="46"/>
    </row>
    <row r="49" spans="1:23">
      <c r="A49" s="29"/>
      <c r="B49" s="27"/>
      <c r="C49" s="28"/>
      <c r="D49" s="28" t="s">
        <v>25</v>
      </c>
      <c r="E49" s="28"/>
      <c r="F49" s="28"/>
      <c r="G49" s="28"/>
      <c r="H49" s="30"/>
    </row>
    <row r="50" spans="1:23">
      <c r="A50" s="29"/>
      <c r="B50" s="27"/>
      <c r="C50" s="28"/>
      <c r="D50" s="28" t="s">
        <v>27</v>
      </c>
      <c r="E50" s="28"/>
      <c r="F50" s="28"/>
      <c r="G50" s="28"/>
      <c r="H50" s="30"/>
    </row>
    <row r="51" spans="1:23">
      <c r="A51" s="29"/>
      <c r="B51" s="27"/>
      <c r="C51" s="28"/>
      <c r="D51" s="28" t="s">
        <v>68</v>
      </c>
      <c r="E51" s="28"/>
      <c r="F51" s="28"/>
      <c r="G51" s="28"/>
      <c r="H51" s="30"/>
    </row>
    <row r="52" spans="1:23">
      <c r="A52" s="29"/>
      <c r="B52" s="27"/>
      <c r="C52" s="28"/>
      <c r="D52" s="28" t="s">
        <v>69</v>
      </c>
      <c r="E52" s="28"/>
      <c r="F52" s="28"/>
      <c r="G52" s="28"/>
      <c r="H52" s="30"/>
    </row>
    <row r="53" spans="1:23">
      <c r="A53" s="29"/>
      <c r="B53" s="27"/>
      <c r="C53" s="28"/>
      <c r="D53" s="28" t="s">
        <v>77</v>
      </c>
      <c r="E53" s="28"/>
      <c r="F53" s="28"/>
      <c r="G53" s="28"/>
      <c r="H53" s="30"/>
    </row>
    <row r="54" spans="1:23">
      <c r="A54" s="29"/>
      <c r="B54" s="27"/>
      <c r="C54" s="28"/>
      <c r="D54" s="28"/>
      <c r="E54" s="28"/>
      <c r="F54" s="28"/>
      <c r="G54" s="28"/>
      <c r="H54" s="30"/>
    </row>
    <row r="55" spans="1:23">
      <c r="A55" s="29"/>
      <c r="B55" s="29"/>
      <c r="C55" s="30"/>
      <c r="D55" s="30"/>
      <c r="E55" s="30"/>
      <c r="F55" s="30"/>
      <c r="G55" s="30"/>
      <c r="H55" s="30"/>
    </row>
    <row r="56" spans="1:23">
      <c r="A56" s="29"/>
      <c r="B56" s="29"/>
      <c r="C56" s="30"/>
      <c r="D56" s="30"/>
      <c r="E56" s="30"/>
      <c r="F56" s="30"/>
      <c r="G56" s="30"/>
      <c r="H56" s="30"/>
    </row>
    <row r="57" spans="1:23">
      <c r="A57" s="29"/>
      <c r="B57" s="29"/>
      <c r="C57" s="30"/>
      <c r="D57" s="30"/>
      <c r="E57" s="30"/>
      <c r="F57" s="30"/>
      <c r="G57" s="30"/>
      <c r="H57" s="30"/>
    </row>
    <row r="58" spans="1:23">
      <c r="A58" s="29"/>
      <c r="B58" s="29"/>
      <c r="C58" s="30"/>
      <c r="D58" s="30"/>
      <c r="E58" s="30"/>
      <c r="F58" s="30"/>
      <c r="G58" s="30"/>
      <c r="H58" s="30"/>
    </row>
    <row r="59" spans="1:23">
      <c r="A59" s="29"/>
      <c r="B59" s="29"/>
      <c r="C59" s="30"/>
      <c r="D59" s="30"/>
      <c r="E59" s="30"/>
      <c r="F59" s="30"/>
      <c r="G59" s="30"/>
      <c r="H59" s="30"/>
    </row>
    <row r="60" spans="1:23">
      <c r="A60" s="29"/>
      <c r="B60" s="29"/>
      <c r="C60" s="30"/>
      <c r="D60" s="30"/>
      <c r="E60" s="29"/>
      <c r="F60" s="29"/>
      <c r="G60" s="29"/>
      <c r="H60" s="29"/>
      <c r="I60" s="1"/>
      <c r="J60" s="1"/>
      <c r="K60" s="1"/>
      <c r="L60" s="1"/>
      <c r="M60" s="1"/>
      <c r="N60" s="1"/>
      <c r="O60" s="1"/>
      <c r="P60" s="1"/>
      <c r="Q60" s="1"/>
      <c r="R60" s="1"/>
      <c r="S60" s="1"/>
      <c r="T60" s="1"/>
      <c r="U60" s="1"/>
      <c r="V60" s="1"/>
      <c r="W60" s="49"/>
    </row>
    <row r="61" spans="1:23">
      <c r="A61" s="29"/>
      <c r="B61" s="29"/>
      <c r="C61" s="30"/>
      <c r="D61" s="30"/>
      <c r="E61" s="29"/>
      <c r="F61" s="29"/>
      <c r="G61" s="29"/>
      <c r="H61" s="29"/>
      <c r="I61" s="1"/>
      <c r="J61" s="1"/>
      <c r="K61" s="1"/>
      <c r="L61" s="1"/>
      <c r="M61" s="1"/>
      <c r="N61" s="1"/>
      <c r="O61" s="1"/>
      <c r="P61" s="1"/>
      <c r="Q61" s="1"/>
      <c r="R61" s="1"/>
      <c r="S61" s="1"/>
      <c r="T61" s="1"/>
      <c r="U61" s="1"/>
      <c r="V61" s="1"/>
      <c r="W61" s="49"/>
    </row>
    <row r="62" spans="1:23" ht="16.5" customHeight="1">
      <c r="E62" s="1"/>
      <c r="F62" s="1"/>
      <c r="G62" s="1"/>
      <c r="H62" s="1"/>
      <c r="I62" s="1"/>
      <c r="J62" s="1"/>
      <c r="K62" s="1"/>
      <c r="L62" s="1"/>
      <c r="M62" s="1"/>
      <c r="N62" s="1"/>
      <c r="O62" s="1"/>
      <c r="P62" s="1"/>
      <c r="Q62" s="1"/>
      <c r="R62" s="1"/>
      <c r="S62" s="1"/>
      <c r="T62" s="1"/>
      <c r="U62" s="1"/>
      <c r="V62" s="1"/>
      <c r="W62" s="49"/>
    </row>
    <row r="63" spans="1:23">
      <c r="E63" s="1"/>
      <c r="F63" s="1"/>
      <c r="G63" s="1"/>
      <c r="H63" s="1"/>
      <c r="I63" s="1"/>
      <c r="J63" s="1"/>
      <c r="K63" s="1"/>
      <c r="L63" s="1"/>
      <c r="M63" s="1"/>
      <c r="N63" s="1"/>
      <c r="O63" s="1"/>
      <c r="P63" s="1"/>
      <c r="Q63" s="1"/>
      <c r="R63" s="1"/>
      <c r="S63" s="1"/>
      <c r="T63" s="1"/>
      <c r="U63" s="1"/>
      <c r="V63" s="1"/>
      <c r="W63" s="49"/>
    </row>
    <row r="64" spans="1:23">
      <c r="E64" s="1"/>
      <c r="F64" s="1"/>
      <c r="G64" s="1"/>
      <c r="H64" s="1"/>
      <c r="I64" s="1"/>
      <c r="J64" s="1"/>
      <c r="K64" s="1"/>
      <c r="L64" s="1"/>
      <c r="M64" s="1"/>
      <c r="N64" s="1"/>
      <c r="O64" s="1"/>
      <c r="P64" s="1"/>
      <c r="Q64" s="1"/>
      <c r="R64" s="1"/>
      <c r="S64" s="1"/>
      <c r="T64" s="1"/>
      <c r="U64" s="1"/>
      <c r="V64" s="1"/>
      <c r="W64" s="49"/>
    </row>
    <row r="65" spans="5:23">
      <c r="E65" s="1"/>
      <c r="F65" s="1"/>
      <c r="G65" s="1"/>
      <c r="H65" s="1"/>
      <c r="I65" s="1"/>
      <c r="J65" s="1"/>
      <c r="K65" s="1"/>
      <c r="L65" s="1"/>
      <c r="M65" s="1"/>
      <c r="N65" s="1"/>
      <c r="O65" s="1"/>
      <c r="P65" s="1"/>
      <c r="Q65" s="1"/>
      <c r="R65" s="1"/>
      <c r="S65" s="1"/>
      <c r="T65" s="1"/>
      <c r="U65" s="1"/>
      <c r="V65" s="1"/>
      <c r="W65" s="49"/>
    </row>
    <row r="66" spans="5:23">
      <c r="E66" s="1"/>
      <c r="F66" s="1"/>
      <c r="G66" s="1"/>
      <c r="H66" s="1"/>
      <c r="I66" s="1"/>
      <c r="J66" s="1"/>
      <c r="K66" s="1"/>
      <c r="L66" s="1"/>
      <c r="M66" s="1"/>
      <c r="N66" s="1"/>
      <c r="O66" s="1"/>
      <c r="P66" s="1"/>
      <c r="Q66" s="1"/>
      <c r="R66" s="1"/>
      <c r="S66" s="1"/>
      <c r="T66" s="1"/>
      <c r="U66" s="1"/>
      <c r="V66" s="1"/>
      <c r="W66" s="49"/>
    </row>
    <row r="67" spans="5:23">
      <c r="E67" s="1"/>
      <c r="F67" s="1"/>
      <c r="G67" s="1"/>
      <c r="H67" s="1"/>
      <c r="I67" s="1"/>
      <c r="J67" s="1"/>
      <c r="K67" s="1"/>
      <c r="L67" s="1"/>
      <c r="M67" s="1"/>
      <c r="N67" s="1"/>
      <c r="O67" s="1"/>
      <c r="P67" s="1"/>
      <c r="Q67" s="1"/>
      <c r="R67" s="1"/>
      <c r="S67" s="1"/>
      <c r="T67" s="1"/>
      <c r="U67" s="1"/>
      <c r="V67" s="1"/>
      <c r="W67" s="49"/>
    </row>
    <row r="68" spans="5:23">
      <c r="E68" s="1"/>
      <c r="F68" s="1"/>
      <c r="G68" s="1"/>
      <c r="H68" s="1"/>
      <c r="I68" s="1"/>
      <c r="J68" s="1"/>
      <c r="K68" s="1"/>
      <c r="L68" s="1"/>
      <c r="M68" s="1"/>
      <c r="N68" s="1"/>
      <c r="O68" s="1"/>
      <c r="P68" s="1"/>
      <c r="Q68" s="1"/>
      <c r="R68" s="1"/>
      <c r="S68" s="1"/>
      <c r="T68" s="1"/>
      <c r="U68" s="1"/>
      <c r="V68" s="1"/>
      <c r="W68" s="49"/>
    </row>
    <row r="69" spans="5:23">
      <c r="E69" s="1"/>
      <c r="F69" s="1"/>
      <c r="G69" s="1"/>
      <c r="H69" s="1"/>
      <c r="I69" s="1"/>
      <c r="J69" s="1"/>
      <c r="K69" s="1"/>
      <c r="L69" s="1"/>
      <c r="M69" s="1"/>
      <c r="N69" s="1"/>
      <c r="O69" s="1"/>
      <c r="P69" s="1"/>
      <c r="Q69" s="1"/>
      <c r="R69" s="1"/>
      <c r="S69" s="1"/>
      <c r="T69" s="1"/>
      <c r="U69" s="1"/>
      <c r="V69" s="1"/>
      <c r="W69" s="49"/>
    </row>
    <row r="70" spans="5:23">
      <c r="E70" s="1"/>
      <c r="F70" s="1"/>
      <c r="G70" s="1"/>
      <c r="H70" s="1"/>
      <c r="I70" s="1"/>
      <c r="J70" s="1"/>
      <c r="K70" s="1"/>
      <c r="L70" s="1"/>
      <c r="M70" s="1"/>
      <c r="N70" s="1"/>
      <c r="O70" s="1"/>
      <c r="P70" s="1"/>
      <c r="Q70" s="1"/>
      <c r="R70" s="1"/>
      <c r="S70" s="1"/>
      <c r="T70" s="1"/>
      <c r="U70" s="1"/>
      <c r="V70" s="1"/>
      <c r="W70" s="49"/>
    </row>
    <row r="71" spans="5:23">
      <c r="E71" s="1"/>
      <c r="F71" s="1"/>
      <c r="G71" s="1"/>
      <c r="H71" s="1"/>
      <c r="I71" s="1"/>
      <c r="J71" s="1"/>
      <c r="K71" s="1"/>
      <c r="L71" s="1"/>
      <c r="M71" s="1"/>
      <c r="N71" s="1"/>
      <c r="O71" s="1"/>
      <c r="P71" s="1"/>
      <c r="Q71" s="1"/>
      <c r="R71" s="1"/>
      <c r="S71" s="1"/>
      <c r="T71" s="1"/>
      <c r="U71" s="1"/>
      <c r="V71" s="1"/>
      <c r="W71" s="49"/>
    </row>
    <row r="72" spans="5:23" ht="16.5" customHeight="1">
      <c r="E72" s="1"/>
      <c r="F72" s="1"/>
      <c r="G72" s="1"/>
      <c r="H72" s="1"/>
      <c r="I72" s="1"/>
      <c r="J72" s="1"/>
      <c r="K72" s="1"/>
      <c r="L72" s="1"/>
      <c r="M72" s="1"/>
      <c r="N72" s="1"/>
      <c r="O72" s="1"/>
      <c r="P72" s="1"/>
      <c r="Q72" s="1"/>
      <c r="R72" s="1"/>
      <c r="S72" s="1"/>
      <c r="T72" s="1"/>
      <c r="U72" s="1"/>
      <c r="V72" s="1"/>
      <c r="W72" s="49"/>
    </row>
    <row r="73" spans="5:23">
      <c r="E73" s="1"/>
      <c r="F73" s="1"/>
      <c r="G73" s="1"/>
      <c r="H73" s="1"/>
      <c r="I73" s="1"/>
      <c r="J73" s="1"/>
      <c r="K73" s="1"/>
      <c r="L73" s="1"/>
      <c r="M73" s="1"/>
      <c r="N73" s="1"/>
      <c r="O73" s="1"/>
      <c r="P73" s="1"/>
      <c r="Q73" s="1"/>
      <c r="R73" s="1"/>
      <c r="S73" s="1"/>
      <c r="T73" s="1"/>
      <c r="U73" s="1"/>
      <c r="V73" s="1"/>
      <c r="W73" s="49"/>
    </row>
    <row r="74" spans="5:23" ht="16.5" customHeight="1">
      <c r="E74" s="1"/>
      <c r="F74" s="1"/>
      <c r="G74" s="1"/>
      <c r="H74" s="1"/>
      <c r="I74" s="1"/>
      <c r="J74" s="1"/>
      <c r="K74" s="1"/>
      <c r="L74" s="1"/>
      <c r="M74" s="1"/>
      <c r="N74" s="1"/>
      <c r="O74" s="1"/>
      <c r="P74" s="1"/>
      <c r="Q74" s="1"/>
      <c r="R74" s="1"/>
      <c r="S74" s="1"/>
      <c r="T74" s="1"/>
      <c r="U74" s="1"/>
      <c r="V74" s="1"/>
      <c r="W74" s="49"/>
    </row>
    <row r="75" spans="5:23">
      <c r="E75" s="1"/>
      <c r="F75" s="1"/>
      <c r="G75" s="1"/>
      <c r="H75" s="1"/>
      <c r="I75" s="1"/>
      <c r="J75" s="1"/>
      <c r="K75" s="1"/>
      <c r="L75" s="1"/>
      <c r="M75" s="1"/>
      <c r="N75" s="1"/>
      <c r="O75" s="1"/>
      <c r="P75" s="1"/>
      <c r="Q75" s="1"/>
      <c r="R75" s="1"/>
      <c r="S75" s="1"/>
      <c r="T75" s="1"/>
      <c r="U75" s="1"/>
      <c r="V75" s="1"/>
      <c r="W75" s="49"/>
    </row>
    <row r="76" spans="5:23">
      <c r="E76" s="1"/>
      <c r="F76" s="1"/>
      <c r="G76" s="1"/>
      <c r="H76" s="1"/>
      <c r="I76" s="1"/>
      <c r="J76" s="1"/>
      <c r="K76" s="1"/>
      <c r="L76" s="1"/>
      <c r="M76" s="1"/>
      <c r="N76" s="1"/>
      <c r="O76" s="1"/>
      <c r="P76" s="1"/>
      <c r="Q76" s="1"/>
      <c r="R76" s="1"/>
      <c r="S76" s="1"/>
      <c r="T76" s="1"/>
      <c r="U76" s="1"/>
      <c r="V76" s="1"/>
      <c r="W76" s="49"/>
    </row>
    <row r="77" spans="5:23">
      <c r="E77" s="1"/>
      <c r="F77" s="1"/>
      <c r="G77" s="1"/>
      <c r="H77" s="1"/>
      <c r="I77" s="1"/>
      <c r="J77" s="1"/>
      <c r="K77" s="1"/>
      <c r="L77" s="1"/>
      <c r="M77" s="1"/>
      <c r="N77" s="1"/>
      <c r="O77" s="1"/>
      <c r="P77" s="1"/>
      <c r="Q77" s="1"/>
      <c r="R77" s="1"/>
      <c r="S77" s="1"/>
      <c r="T77" s="1"/>
      <c r="U77" s="1"/>
      <c r="V77" s="1"/>
      <c r="W77" s="49"/>
    </row>
    <row r="78" spans="5:23">
      <c r="E78" s="1"/>
      <c r="F78" s="1"/>
      <c r="G78" s="1"/>
      <c r="H78" s="1"/>
      <c r="I78" s="1"/>
      <c r="J78" s="1"/>
      <c r="K78" s="1"/>
      <c r="L78" s="1"/>
      <c r="M78" s="1"/>
      <c r="N78" s="1"/>
      <c r="O78" s="1"/>
      <c r="P78" s="1"/>
      <c r="Q78" s="1"/>
      <c r="R78" s="1"/>
      <c r="S78" s="1"/>
      <c r="T78" s="1"/>
      <c r="U78" s="1"/>
      <c r="V78" s="1"/>
      <c r="W78" s="49"/>
    </row>
    <row r="79" spans="5:23">
      <c r="E79" s="1"/>
      <c r="F79" s="1"/>
      <c r="G79" s="1"/>
      <c r="H79" s="1"/>
      <c r="I79" s="1"/>
      <c r="J79" s="1"/>
      <c r="K79" s="1"/>
      <c r="L79" s="1"/>
      <c r="M79" s="1"/>
      <c r="N79" s="1"/>
      <c r="O79" s="1"/>
      <c r="P79" s="1"/>
      <c r="Q79" s="1"/>
      <c r="R79" s="1"/>
      <c r="S79" s="1"/>
      <c r="T79" s="1"/>
      <c r="U79" s="1"/>
      <c r="V79" s="1"/>
      <c r="W79" s="49"/>
    </row>
    <row r="80" spans="5:23">
      <c r="E80" s="1"/>
      <c r="F80" s="1"/>
      <c r="G80" s="1"/>
      <c r="H80" s="1"/>
      <c r="I80" s="1"/>
      <c r="J80" s="1"/>
      <c r="K80" s="1"/>
      <c r="L80" s="1"/>
      <c r="M80" s="1"/>
      <c r="N80" s="1"/>
      <c r="O80" s="1"/>
      <c r="P80" s="1"/>
      <c r="Q80" s="1"/>
      <c r="R80" s="1"/>
      <c r="S80" s="1"/>
      <c r="T80" s="1"/>
      <c r="U80" s="1"/>
      <c r="V80" s="1"/>
      <c r="W80" s="49"/>
    </row>
    <row r="81" spans="5:23">
      <c r="E81" s="1"/>
      <c r="F81" s="1"/>
      <c r="G81" s="1"/>
      <c r="H81" s="1"/>
      <c r="I81" s="1"/>
      <c r="J81" s="1"/>
      <c r="K81" s="1"/>
      <c r="L81" s="1"/>
      <c r="M81" s="1"/>
      <c r="N81" s="1"/>
      <c r="O81" s="1"/>
      <c r="P81" s="1"/>
      <c r="Q81" s="1"/>
      <c r="R81" s="1"/>
      <c r="S81" s="1"/>
      <c r="T81" s="1"/>
      <c r="U81" s="1"/>
      <c r="V81" s="1"/>
      <c r="W81" s="49"/>
    </row>
    <row r="82" spans="5:23">
      <c r="E82" s="1"/>
      <c r="F82" s="1"/>
      <c r="G82" s="1"/>
      <c r="H82" s="1"/>
      <c r="I82" s="1"/>
      <c r="J82" s="1"/>
      <c r="K82" s="1"/>
      <c r="L82" s="1"/>
      <c r="M82" s="1"/>
      <c r="N82" s="1"/>
      <c r="O82" s="1"/>
      <c r="P82" s="1"/>
      <c r="Q82" s="1"/>
      <c r="R82" s="1"/>
      <c r="S82" s="1"/>
      <c r="T82" s="1"/>
      <c r="U82" s="1"/>
      <c r="V82" s="1"/>
      <c r="W82" s="49"/>
    </row>
    <row r="83" spans="5:23">
      <c r="E83" s="1"/>
      <c r="F83" s="1"/>
      <c r="G83" s="1"/>
      <c r="H83" s="1"/>
      <c r="I83" s="1"/>
      <c r="J83" s="1"/>
      <c r="K83" s="1"/>
      <c r="L83" s="1"/>
      <c r="M83" s="1"/>
      <c r="N83" s="1"/>
      <c r="O83" s="1"/>
      <c r="P83" s="1"/>
      <c r="Q83" s="1"/>
      <c r="R83" s="1"/>
      <c r="S83" s="1"/>
      <c r="T83" s="1"/>
      <c r="U83" s="1"/>
      <c r="V83" s="1"/>
      <c r="W83" s="49"/>
    </row>
    <row r="84" spans="5:23">
      <c r="E84" s="1"/>
      <c r="F84" s="1"/>
      <c r="G84" s="1"/>
      <c r="H84" s="1"/>
      <c r="I84" s="1"/>
      <c r="J84" s="1"/>
      <c r="K84" s="1"/>
      <c r="L84" s="1"/>
      <c r="M84" s="1"/>
      <c r="N84" s="1"/>
      <c r="O84" s="1"/>
      <c r="P84" s="1"/>
      <c r="Q84" s="1"/>
      <c r="R84" s="1"/>
      <c r="S84" s="1"/>
      <c r="T84" s="1"/>
      <c r="U84" s="1"/>
      <c r="V84" s="1"/>
      <c r="W84" s="49"/>
    </row>
    <row r="85" spans="5:23">
      <c r="E85" s="1"/>
      <c r="F85" s="1"/>
      <c r="G85" s="1"/>
      <c r="H85" s="1"/>
      <c r="I85" s="1"/>
      <c r="J85" s="1"/>
      <c r="K85" s="1"/>
      <c r="L85" s="1"/>
      <c r="M85" s="1"/>
      <c r="N85" s="1"/>
      <c r="O85" s="1"/>
      <c r="P85" s="1"/>
      <c r="Q85" s="1"/>
      <c r="R85" s="1"/>
      <c r="S85" s="1"/>
      <c r="T85" s="1"/>
      <c r="U85" s="1"/>
      <c r="V85" s="1"/>
      <c r="W85" s="49"/>
    </row>
    <row r="86" spans="5:23">
      <c r="E86" s="1"/>
      <c r="F86" s="1"/>
      <c r="G86" s="1"/>
      <c r="H86" s="1"/>
      <c r="I86" s="1"/>
      <c r="J86" s="1"/>
      <c r="K86" s="1"/>
      <c r="L86" s="1"/>
      <c r="M86" s="1"/>
      <c r="N86" s="1"/>
      <c r="O86" s="1"/>
      <c r="P86" s="1"/>
      <c r="Q86" s="1"/>
      <c r="R86" s="1"/>
      <c r="S86" s="1"/>
      <c r="T86" s="1"/>
      <c r="U86" s="1"/>
      <c r="V86" s="1"/>
      <c r="W86" s="49"/>
    </row>
    <row r="87" spans="5:23">
      <c r="E87" s="1"/>
      <c r="F87" s="1"/>
      <c r="G87" s="1"/>
      <c r="H87" s="1"/>
      <c r="I87" s="1"/>
      <c r="J87" s="1"/>
      <c r="K87" s="1"/>
      <c r="L87" s="1"/>
      <c r="M87" s="1"/>
      <c r="N87" s="1"/>
      <c r="O87" s="1"/>
      <c r="P87" s="1"/>
      <c r="Q87" s="1"/>
      <c r="R87" s="1"/>
      <c r="S87" s="1"/>
      <c r="T87" s="1"/>
      <c r="U87" s="1"/>
      <c r="V87" s="1"/>
      <c r="W87" s="49"/>
    </row>
    <row r="88" spans="5:23">
      <c r="E88" s="1"/>
      <c r="F88" s="1"/>
      <c r="G88" s="1"/>
      <c r="H88" s="1"/>
      <c r="I88" s="1"/>
      <c r="J88" s="1"/>
      <c r="K88" s="1"/>
      <c r="L88" s="1"/>
      <c r="M88" s="1"/>
      <c r="N88" s="1"/>
      <c r="O88" s="1"/>
      <c r="P88" s="1"/>
      <c r="Q88" s="1"/>
      <c r="R88" s="1"/>
      <c r="S88" s="1"/>
      <c r="T88" s="1"/>
      <c r="U88" s="1"/>
      <c r="V88" s="1"/>
      <c r="W88" s="49"/>
    </row>
    <row r="89" spans="5:23">
      <c r="E89" s="1"/>
      <c r="F89" s="1"/>
      <c r="G89" s="1"/>
      <c r="H89" s="1"/>
      <c r="I89" s="1"/>
      <c r="J89" s="1"/>
      <c r="K89" s="1"/>
      <c r="L89" s="1"/>
      <c r="M89" s="1"/>
      <c r="N89" s="1"/>
      <c r="O89" s="1"/>
      <c r="P89" s="1"/>
      <c r="Q89" s="1"/>
      <c r="R89" s="1"/>
      <c r="S89" s="1"/>
      <c r="T89" s="1"/>
      <c r="U89" s="1"/>
      <c r="V89" s="1"/>
      <c r="W89" s="49"/>
    </row>
    <row r="90" spans="5:23">
      <c r="E90" s="1"/>
      <c r="F90" s="1"/>
      <c r="G90" s="1"/>
      <c r="H90" s="1"/>
      <c r="I90" s="1"/>
      <c r="J90" s="1"/>
      <c r="K90" s="1"/>
      <c r="L90" s="1"/>
      <c r="M90" s="1"/>
      <c r="N90" s="1"/>
      <c r="O90" s="1"/>
      <c r="P90" s="1"/>
      <c r="Q90" s="1"/>
      <c r="R90" s="1"/>
      <c r="S90" s="1"/>
      <c r="T90" s="1"/>
      <c r="U90" s="1"/>
      <c r="V90" s="1"/>
      <c r="W90" s="49"/>
    </row>
    <row r="91" spans="5:23">
      <c r="E91" s="1"/>
      <c r="F91" s="1"/>
      <c r="G91" s="1"/>
      <c r="H91" s="1"/>
      <c r="I91" s="1"/>
      <c r="J91" s="1"/>
      <c r="K91" s="1"/>
      <c r="L91" s="1"/>
      <c r="M91" s="1"/>
      <c r="N91" s="1"/>
      <c r="O91" s="1"/>
      <c r="P91" s="1"/>
      <c r="Q91" s="1"/>
      <c r="R91" s="1"/>
      <c r="S91" s="1"/>
      <c r="T91" s="1"/>
      <c r="U91" s="1"/>
      <c r="V91" s="1"/>
      <c r="W91" s="49"/>
    </row>
    <row r="92" spans="5:23">
      <c r="E92" s="1"/>
      <c r="F92" s="1"/>
      <c r="G92" s="1"/>
      <c r="H92" s="1"/>
      <c r="I92" s="1"/>
      <c r="J92" s="1"/>
      <c r="K92" s="1"/>
      <c r="L92" s="1"/>
      <c r="M92" s="1"/>
      <c r="N92" s="1"/>
      <c r="O92" s="1"/>
      <c r="P92" s="1"/>
      <c r="Q92" s="1"/>
      <c r="R92" s="1"/>
      <c r="S92" s="1"/>
      <c r="T92" s="1"/>
      <c r="U92" s="1"/>
      <c r="V92" s="1"/>
      <c r="W92" s="49"/>
    </row>
    <row r="93" spans="5:23">
      <c r="E93" s="1"/>
      <c r="F93" s="1"/>
      <c r="G93" s="1"/>
      <c r="H93" s="1"/>
      <c r="I93" s="1"/>
      <c r="J93" s="1"/>
      <c r="K93" s="1"/>
      <c r="L93" s="1"/>
      <c r="M93" s="1"/>
      <c r="N93" s="1"/>
      <c r="O93" s="1"/>
      <c r="P93" s="1"/>
      <c r="Q93" s="1"/>
      <c r="R93" s="1"/>
      <c r="S93" s="1"/>
      <c r="T93" s="1"/>
      <c r="U93" s="1"/>
      <c r="V93" s="1"/>
      <c r="W93" s="49"/>
    </row>
    <row r="94" spans="5:23">
      <c r="E94" s="1"/>
      <c r="F94" s="1"/>
      <c r="G94" s="1"/>
      <c r="H94" s="1"/>
      <c r="I94" s="1"/>
      <c r="J94" s="1"/>
      <c r="K94" s="1"/>
      <c r="L94" s="1"/>
      <c r="M94" s="1"/>
      <c r="N94" s="1"/>
      <c r="O94" s="1"/>
      <c r="P94" s="1"/>
      <c r="Q94" s="1"/>
      <c r="R94" s="1"/>
      <c r="S94" s="1"/>
      <c r="T94" s="1"/>
      <c r="U94" s="1"/>
      <c r="V94" s="1"/>
      <c r="W94" s="49"/>
    </row>
    <row r="95" spans="5:23">
      <c r="E95" s="1"/>
      <c r="F95" s="1"/>
      <c r="G95" s="1"/>
      <c r="H95" s="1"/>
      <c r="I95" s="1"/>
      <c r="J95" s="1"/>
      <c r="K95" s="1"/>
      <c r="L95" s="1"/>
      <c r="M95" s="1"/>
      <c r="N95" s="1"/>
      <c r="O95" s="1"/>
      <c r="P95" s="1"/>
      <c r="Q95" s="1"/>
      <c r="R95" s="1"/>
      <c r="S95" s="1"/>
      <c r="T95" s="1"/>
      <c r="U95" s="1"/>
      <c r="V95" s="1"/>
      <c r="W95" s="49"/>
    </row>
    <row r="96" spans="5:23">
      <c r="E96" s="1"/>
      <c r="F96" s="1"/>
      <c r="G96" s="1"/>
      <c r="H96" s="1"/>
      <c r="I96" s="1"/>
      <c r="J96" s="1"/>
      <c r="K96" s="1"/>
      <c r="L96" s="1"/>
      <c r="M96" s="1"/>
      <c r="N96" s="1"/>
      <c r="O96" s="1"/>
      <c r="P96" s="1"/>
      <c r="Q96" s="1"/>
      <c r="R96" s="1"/>
      <c r="S96" s="1"/>
      <c r="T96" s="1"/>
      <c r="U96" s="1"/>
      <c r="V96" s="1"/>
      <c r="W96" s="49"/>
    </row>
  </sheetData>
  <mergeCells count="18">
    <mergeCell ref="M7:N7"/>
    <mergeCell ref="S7:T7"/>
    <mergeCell ref="U7:V7"/>
    <mergeCell ref="AC7:AD7"/>
    <mergeCell ref="O7:P7"/>
    <mergeCell ref="W7:X7"/>
    <mergeCell ref="Q7:R7"/>
    <mergeCell ref="Y7:Z7"/>
    <mergeCell ref="AA7:AB7"/>
    <mergeCell ref="A27:B27"/>
    <mergeCell ref="C27:L27"/>
    <mergeCell ref="A7:A8"/>
    <mergeCell ref="C7:D7"/>
    <mergeCell ref="E7:F7"/>
    <mergeCell ref="G7:H7"/>
    <mergeCell ref="K7:L7"/>
    <mergeCell ref="A25:H25"/>
    <mergeCell ref="I7:J7"/>
  </mergeCells>
  <phoneticPr fontId="23" type="noConversion"/>
  <conditionalFormatting sqref="AA25">
    <cfRule type="cellIs" dxfId="46" priority="11" stopIfTrue="1" operator="lessThan">
      <formula>$AA$25</formula>
    </cfRule>
  </conditionalFormatting>
  <conditionalFormatting sqref="A25">
    <cfRule type="cellIs" dxfId="45" priority="32" stopIfTrue="1" operator="greaterThan">
      <formula>$AB$25</formula>
    </cfRule>
    <cfRule type="cellIs" dxfId="44" priority="33" stopIfTrue="1" operator="lessThan">
      <formula>$AA$25</formula>
    </cfRule>
  </conditionalFormatting>
  <conditionalFormatting sqref="AA21">
    <cfRule type="cellIs" dxfId="43" priority="34" stopIfTrue="1" operator="greaterThan">
      <formula>Lim_haut</formula>
    </cfRule>
    <cfRule type="cellIs" dxfId="42" priority="35" stopIfTrue="1" operator="lessThan">
      <formula>Lim_bas</formula>
    </cfRule>
  </conditionalFormatting>
  <dataValidations count="6">
    <dataValidation type="whole" errorStyle="warning" allowBlank="1" showInputMessage="1" showErrorMessage="1" errorTitle="TEST" error="la valeur entrée semble suspecte" sqref="AA9:AA20">
      <formula1>0.15/12</formula1>
      <formula2>4.06/12</formula2>
    </dataValidation>
    <dataValidation type="list" allowBlank="1" showInputMessage="1" showErrorMessage="1" sqref="D30:D36">
      <formula1>$D$46:$D$53</formula1>
    </dataValidation>
    <dataValidation type="list" allowBlank="1" showInputMessage="1" showErrorMessage="1" sqref="G30:G36">
      <formula1>$G$46:$G$47</formula1>
    </dataValidation>
    <dataValidation type="list" allowBlank="1" showInputMessage="1" showErrorMessage="1" sqref="H30:H36">
      <formula1>$A$9:$A$20</formula1>
    </dataValidation>
    <dataValidation type="list" allowBlank="1" showInputMessage="1" showErrorMessage="1" sqref="C30:C36">
      <formula1>$C$46:$C$47</formula1>
    </dataValidation>
    <dataValidation type="list" allowBlank="1" showInputMessage="1" showErrorMessage="1" sqref="D37">
      <formula1>$D$46:$D$52</formula1>
    </dataValidation>
  </dataValidations>
  <hyperlinks>
    <hyperlink ref="A7" location="Résumé!A1" display="Résumé!A1"/>
  </hyperlinks>
  <pageMargins left="0.70866141732283472" right="0.70866141732283472" top="0.74803149606299213" bottom="0.74803149606299213" header="0.31496062992125984" footer="0.31496062992125984"/>
  <pageSetup scale="22" orientation="landscape" r:id="rId1"/>
  <headerFooter>
    <oddFooter>&amp;L&amp;"Arial,Normal"&amp;10Transition énergétique Québec&amp;R&amp;F
&amp;A</oddFooter>
  </headerFooter>
  <colBreaks count="1" manualBreakCount="1">
    <brk id="29" min="6" max="35"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tabColor indexed="50"/>
    <pageSetUpPr fitToPage="1"/>
  </sheetPr>
  <dimension ref="A1:AG96"/>
  <sheetViews>
    <sheetView showZeros="0" zoomScaleNormal="100" zoomScaleSheetLayoutView="85" workbookViewId="0">
      <selection activeCell="B21" sqref="B21"/>
    </sheetView>
  </sheetViews>
  <sheetFormatPr baseColWidth="10" defaultColWidth="9.109375" defaultRowHeight="14.4"/>
  <cols>
    <col min="1" max="1" width="22.6640625" style="1" customWidth="1"/>
    <col min="2" max="2" width="18.88671875" style="1" customWidth="1"/>
    <col min="3" max="3" width="20" style="23" customWidth="1"/>
    <col min="4" max="4" width="19.33203125" style="23" customWidth="1"/>
    <col min="5" max="5" width="16" style="23" customWidth="1"/>
    <col min="6" max="6" width="18.88671875" style="23" customWidth="1"/>
    <col min="7" max="7" width="16" style="23" customWidth="1"/>
    <col min="8" max="8" width="19" style="23" customWidth="1"/>
    <col min="9" max="9" width="16" style="23" customWidth="1"/>
    <col min="10" max="10" width="20.6640625" style="23" customWidth="1"/>
    <col min="11" max="11" width="16" style="23" customWidth="1"/>
    <col min="12" max="12" width="19.6640625" style="23" customWidth="1"/>
    <col min="13" max="13" width="16" style="23" customWidth="1"/>
    <col min="14" max="14" width="19" style="23" customWidth="1"/>
    <col min="15" max="15" width="16" style="23" customWidth="1"/>
    <col min="16" max="16" width="19.33203125" style="23" customWidth="1"/>
    <col min="17" max="17" width="16" style="23" customWidth="1"/>
    <col min="18" max="18" width="20.109375" style="23" customWidth="1"/>
    <col min="19" max="19" width="16" style="23" customWidth="1"/>
    <col min="20" max="20" width="19.6640625" style="23" customWidth="1"/>
    <col min="21" max="21" width="16" style="23" customWidth="1"/>
    <col min="22" max="22" width="19.88671875" style="23" customWidth="1"/>
    <col min="23" max="23" width="27.109375" style="47" customWidth="1"/>
    <col min="24" max="24" width="25.109375" style="49" customWidth="1"/>
    <col min="25" max="25" width="23.88671875" style="49" customWidth="1"/>
    <col min="26" max="26" width="21.6640625" style="49" customWidth="1"/>
    <col min="27" max="27" width="24.5546875" style="49" customWidth="1"/>
    <col min="28" max="28" width="27.44140625" style="49" customWidth="1"/>
    <col min="29" max="29" width="18.88671875" style="49" customWidth="1"/>
    <col min="30" max="30" width="16.33203125" style="49" customWidth="1"/>
    <col min="31" max="16384" width="9.109375" style="49"/>
  </cols>
  <sheetData>
    <row r="1" spans="1:33" s="1" customFormat="1" ht="117.75" customHeight="1">
      <c r="C1" s="382" t="s">
        <v>363</v>
      </c>
      <c r="D1" s="26"/>
      <c r="E1" s="26"/>
      <c r="F1" s="26"/>
      <c r="G1" s="26"/>
      <c r="H1" s="26"/>
      <c r="I1" s="26"/>
      <c r="J1" s="26"/>
      <c r="K1" s="26"/>
      <c r="L1" s="26"/>
      <c r="M1" s="26"/>
      <c r="N1" s="26"/>
      <c r="O1" s="26"/>
      <c r="P1" s="26"/>
      <c r="Q1" s="26"/>
      <c r="R1" s="26"/>
      <c r="S1" s="26"/>
      <c r="T1" s="26"/>
      <c r="U1" s="26"/>
      <c r="V1" s="26"/>
      <c r="W1" s="26"/>
      <c r="X1" s="26"/>
      <c r="Y1" s="26"/>
      <c r="Z1" s="26"/>
      <c r="AA1" s="26"/>
      <c r="AB1" s="26"/>
      <c r="AC1" s="26"/>
    </row>
    <row r="2" spans="1:33" s="1" customFormat="1" ht="18">
      <c r="C2" s="26"/>
      <c r="D2" s="203" t="s">
        <v>380</v>
      </c>
      <c r="E2" s="204"/>
      <c r="F2" s="205"/>
      <c r="G2" s="206"/>
      <c r="H2" s="206"/>
      <c r="I2" s="207"/>
      <c r="J2" s="206"/>
      <c r="K2" s="206"/>
      <c r="L2" s="206"/>
      <c r="M2" s="206"/>
      <c r="N2" s="26"/>
      <c r="O2" s="26"/>
      <c r="P2" s="26"/>
      <c r="Q2" s="26"/>
      <c r="R2" s="26"/>
      <c r="S2" s="26"/>
      <c r="T2" s="26"/>
      <c r="U2" s="26"/>
      <c r="V2" s="26"/>
      <c r="W2" s="26"/>
      <c r="X2" s="26"/>
      <c r="Y2" s="26"/>
      <c r="Z2" s="26"/>
      <c r="AA2" s="26"/>
      <c r="AB2" s="26"/>
      <c r="AC2" s="26"/>
    </row>
    <row r="3" spans="1:33" s="1" customFormat="1" ht="15.6">
      <c r="C3" s="26"/>
      <c r="D3" s="208"/>
      <c r="E3" s="13"/>
      <c r="I3" s="209"/>
      <c r="N3" s="26"/>
      <c r="O3" s="26"/>
      <c r="P3" s="26"/>
      <c r="Q3" s="26"/>
      <c r="R3" s="26"/>
      <c r="S3" s="26"/>
      <c r="T3" s="26"/>
      <c r="U3" s="26"/>
      <c r="V3" s="26"/>
      <c r="W3" s="26"/>
      <c r="X3" s="26"/>
      <c r="Y3" s="26"/>
      <c r="Z3" s="26"/>
      <c r="AA3" s="26"/>
      <c r="AB3" s="26"/>
      <c r="AC3" s="26"/>
    </row>
    <row r="4" spans="1:33" s="1" customFormat="1" ht="15.6">
      <c r="C4" s="26"/>
      <c r="D4" s="208" t="s">
        <v>435</v>
      </c>
      <c r="E4" s="13"/>
      <c r="N4" s="26"/>
      <c r="O4" s="26"/>
      <c r="P4" s="26"/>
      <c r="Q4" s="26"/>
      <c r="R4" s="26"/>
      <c r="S4" s="26"/>
      <c r="T4" s="26"/>
      <c r="U4" s="26"/>
      <c r="V4" s="26"/>
      <c r="W4" s="26"/>
      <c r="X4" s="26"/>
      <c r="Y4" s="26"/>
      <c r="Z4" s="26"/>
      <c r="AA4" s="26"/>
      <c r="AB4" s="26"/>
      <c r="AC4" s="26"/>
    </row>
    <row r="5" spans="1:33" s="1" customFormat="1" ht="15.6">
      <c r="C5" s="26"/>
      <c r="D5" s="208" t="s">
        <v>372</v>
      </c>
      <c r="E5" s="13"/>
      <c r="N5" s="26"/>
      <c r="O5" s="26"/>
      <c r="P5" s="26"/>
      <c r="Q5" s="26"/>
      <c r="R5" s="26"/>
      <c r="S5" s="26"/>
      <c r="T5" s="26"/>
      <c r="U5" s="26"/>
      <c r="V5" s="26"/>
      <c r="W5" s="26"/>
      <c r="X5" s="26"/>
      <c r="Y5" s="26"/>
      <c r="Z5" s="26"/>
      <c r="AA5" s="26"/>
      <c r="AB5" s="26"/>
      <c r="AC5" s="26"/>
    </row>
    <row r="6" spans="1:33" s="1" customFormat="1" ht="15" thickBot="1">
      <c r="C6" s="26"/>
      <c r="D6" s="26"/>
      <c r="E6" s="26"/>
      <c r="F6" s="26"/>
      <c r="G6" s="26"/>
      <c r="H6" s="26"/>
      <c r="I6" s="26"/>
      <c r="J6" s="26"/>
      <c r="K6" s="26"/>
      <c r="L6" s="26"/>
      <c r="M6" s="26"/>
      <c r="N6" s="26"/>
      <c r="O6" s="26"/>
      <c r="P6" s="26"/>
      <c r="Q6" s="26"/>
      <c r="R6" s="26"/>
      <c r="S6" s="26"/>
      <c r="T6" s="26"/>
      <c r="U6" s="26"/>
      <c r="V6" s="26"/>
      <c r="W6" s="26"/>
      <c r="X6" s="26"/>
      <c r="Y6" s="26"/>
      <c r="Z6" s="26"/>
      <c r="AA6" s="26"/>
      <c r="AB6" s="26"/>
      <c r="AC6" s="26"/>
    </row>
    <row r="7" spans="1:33" ht="30.75" customHeight="1" thickTop="1">
      <c r="A7" s="563" t="s">
        <v>78</v>
      </c>
      <c r="B7" s="4" t="s">
        <v>13</v>
      </c>
      <c r="C7" s="556" t="s">
        <v>22</v>
      </c>
      <c r="D7" s="557"/>
      <c r="E7" s="556" t="s">
        <v>19</v>
      </c>
      <c r="F7" s="557"/>
      <c r="G7" s="556" t="s">
        <v>24</v>
      </c>
      <c r="H7" s="557"/>
      <c r="I7" s="556" t="s">
        <v>25</v>
      </c>
      <c r="J7" s="557"/>
      <c r="K7" s="556" t="s">
        <v>805</v>
      </c>
      <c r="L7" s="557"/>
      <c r="M7" s="556" t="s">
        <v>27</v>
      </c>
      <c r="N7" s="557"/>
      <c r="O7" s="558" t="s">
        <v>370</v>
      </c>
      <c r="P7" s="559"/>
      <c r="Q7" s="558" t="s">
        <v>373</v>
      </c>
      <c r="R7" s="559"/>
      <c r="S7" s="558" t="s">
        <v>412</v>
      </c>
      <c r="T7" s="559"/>
      <c r="U7" s="558" t="s">
        <v>624</v>
      </c>
      <c r="V7" s="559"/>
      <c r="W7" s="558" t="s">
        <v>625</v>
      </c>
      <c r="X7" s="559"/>
      <c r="Y7" s="556" t="s">
        <v>16</v>
      </c>
      <c r="Z7" s="557"/>
      <c r="AA7" s="556" t="s">
        <v>371</v>
      </c>
      <c r="AB7" s="557"/>
      <c r="AC7" s="556" t="s">
        <v>45</v>
      </c>
      <c r="AD7" s="557"/>
      <c r="AE7" s="4" t="s">
        <v>40</v>
      </c>
    </row>
    <row r="8" spans="1:33" ht="18" customHeight="1" thickBot="1">
      <c r="A8" s="563"/>
      <c r="B8" s="8" t="s">
        <v>36</v>
      </c>
      <c r="C8" s="7" t="s">
        <v>376</v>
      </c>
      <c r="D8" s="6" t="s">
        <v>20</v>
      </c>
      <c r="E8" s="7" t="s">
        <v>31</v>
      </c>
      <c r="F8" s="6" t="s">
        <v>20</v>
      </c>
      <c r="G8" s="7" t="s">
        <v>23</v>
      </c>
      <c r="H8" s="6" t="s">
        <v>20</v>
      </c>
      <c r="I8" s="7" t="s">
        <v>23</v>
      </c>
      <c r="J8" s="6" t="s">
        <v>20</v>
      </c>
      <c r="K8" s="7" t="s">
        <v>23</v>
      </c>
      <c r="L8" s="6" t="s">
        <v>20</v>
      </c>
      <c r="M8" s="7" t="s">
        <v>23</v>
      </c>
      <c r="N8" s="6" t="s">
        <v>20</v>
      </c>
      <c r="O8" s="7" t="s">
        <v>28</v>
      </c>
      <c r="P8" s="6" t="s">
        <v>20</v>
      </c>
      <c r="Q8" s="7" t="s">
        <v>28</v>
      </c>
      <c r="R8" s="6" t="s">
        <v>20</v>
      </c>
      <c r="S8" s="216" t="s">
        <v>626</v>
      </c>
      <c r="T8" s="6" t="s">
        <v>20</v>
      </c>
      <c r="U8" s="7" t="s">
        <v>628</v>
      </c>
      <c r="V8" s="6" t="s">
        <v>20</v>
      </c>
      <c r="W8" s="7" t="s">
        <v>628</v>
      </c>
      <c r="X8" s="6" t="s">
        <v>20</v>
      </c>
      <c r="Y8" s="7" t="s">
        <v>17</v>
      </c>
      <c r="Z8" s="6" t="s">
        <v>20</v>
      </c>
      <c r="AA8" s="7" t="s">
        <v>37</v>
      </c>
      <c r="AB8" s="6" t="s">
        <v>35</v>
      </c>
      <c r="AC8" s="7" t="s">
        <v>1060</v>
      </c>
      <c r="AD8" s="6" t="s">
        <v>793</v>
      </c>
      <c r="AE8" s="9" t="s">
        <v>43</v>
      </c>
    </row>
    <row r="9" spans="1:33" ht="17.25" customHeight="1" thickTop="1">
      <c r="A9" s="14">
        <f>VALUE(CONCATENATE(LEFT(Annee_financiere,FIND("-",Annee_financiere)-1),"-",A22))</f>
        <v>41365</v>
      </c>
      <c r="B9" s="31"/>
      <c r="C9" s="32"/>
      <c r="D9" s="33"/>
      <c r="E9" s="32"/>
      <c r="F9" s="33"/>
      <c r="G9" s="32"/>
      <c r="H9" s="33"/>
      <c r="I9" s="32"/>
      <c r="J9" s="33"/>
      <c r="K9" s="32"/>
      <c r="L9" s="33"/>
      <c r="M9" s="32"/>
      <c r="N9" s="33"/>
      <c r="O9" s="32"/>
      <c r="P9" s="33"/>
      <c r="Q9" s="32"/>
      <c r="R9" s="33"/>
      <c r="S9" s="32"/>
      <c r="T9" s="33"/>
      <c r="U9" s="32"/>
      <c r="V9" s="33"/>
      <c r="W9" s="32"/>
      <c r="X9" s="33"/>
      <c r="Y9" s="99">
        <f t="shared" ref="Y9:Y21" si="0">C9*kWh_Élect_to_GJ+E9*m3_GazNat_to_GJ+G9*L_Mazout2_to_GJ+I9*L_Mazout6_to_GJ+K9*L_Mazout2_to_GJ+M9*L_Propane_to_GJ+O9*kg_Bois8_to_GJ+Q9*kg_Bois35_to_GJ+S9*lbs_vapeur_to_GJ+U9*MBTU_eaurefroidie_to_GJ+W9*MBTU_eauchaude_to_GJ</f>
        <v>0</v>
      </c>
      <c r="Z9" s="258">
        <f>D9+F9+H9+J9+N9+P9+R9+T9+V9+X9+L9</f>
        <v>0</v>
      </c>
      <c r="AA9" s="17" t="str">
        <f>IF(ISERROR(Y9/B9),"",Y9/B9)</f>
        <v/>
      </c>
      <c r="AB9" s="18" t="str">
        <f>IF(ISERROR(Z9/B9),"",Z9/B9)</f>
        <v/>
      </c>
      <c r="AC9" s="102">
        <f>(C9*kWh_Élect_to_kgGES+E9*IF(U_GNat="[m³]",m3_GazNat_to_kgGES,Conversion!$H$27)+G9*IF(U_Ma2="[l]",L_Mazout2_to_kgGES,Conversion!$H$29)+I9*IF(U_Ma6="[l]",L_Mazout6_to_kgGES,Conversion!$H$31)+K9*L_Mazout2_to_kgGES+M9*IF(U_Prop="[l]",L_Propane_to_kgGES,Conversion!$H$35)+O9*kg_Bois8_to_kgGES+Q9*kg_Bois35_to_kgGES+S9*lbs_vapeur_to_kgGES+U9*MBTU_eaurefroidie_to_kgGES+W9*MBTU_eauchaude_to_kgGES)/1000</f>
        <v>0</v>
      </c>
      <c r="AD9" s="103">
        <f>(IF(ISERROR(AC9/B9),0,(AC9/B9)))*1000</f>
        <v>0</v>
      </c>
      <c r="AE9" s="5">
        <f t="shared" ref="AE9:AE20" si="1">INDEX(plage_DJ,MATCH(A9,plage_date),3)</f>
        <v>358.6</v>
      </c>
      <c r="AG9" s="49">
        <v>12</v>
      </c>
    </row>
    <row r="10" spans="1:33" ht="17.25" customHeight="1">
      <c r="A10" s="15">
        <f>DATE(YEAR(A9),MONTH(A9)+1,DAY(A9))</f>
        <v>41395</v>
      </c>
      <c r="B10" s="31"/>
      <c r="C10" s="32"/>
      <c r="D10" s="34"/>
      <c r="E10" s="32"/>
      <c r="F10" s="34"/>
      <c r="G10" s="32"/>
      <c r="H10" s="34"/>
      <c r="I10" s="32"/>
      <c r="J10" s="34"/>
      <c r="K10" s="32"/>
      <c r="L10" s="34"/>
      <c r="M10" s="32"/>
      <c r="N10" s="34"/>
      <c r="O10" s="32"/>
      <c r="P10" s="34"/>
      <c r="Q10" s="32"/>
      <c r="R10" s="34"/>
      <c r="S10" s="32"/>
      <c r="T10" s="34"/>
      <c r="U10" s="32"/>
      <c r="V10" s="34"/>
      <c r="W10" s="32"/>
      <c r="X10" s="34"/>
      <c r="Y10" s="99">
        <f t="shared" si="0"/>
        <v>0</v>
      </c>
      <c r="Z10" s="258">
        <f t="shared" ref="Z10:Z20" si="2">D10+F10+H10+J10+N10+P10+R10+T10+V10+X10+L10</f>
        <v>0</v>
      </c>
      <c r="AA10" s="17" t="str">
        <f t="shared" ref="AA10:AA20" si="3">IF(ISERROR(Y10/B10),"",Y10/B10)</f>
        <v/>
      </c>
      <c r="AB10" s="18" t="str">
        <f t="shared" ref="AB10:AB20" si="4">IF(ISERROR(Z10/B10),"",Z10/B10)</f>
        <v/>
      </c>
      <c r="AC10" s="102">
        <f>(C10*kWh_Élect_to_kgGES+E10*IF(U_GNat="[m³]",m3_GazNat_to_kgGES,Conversion!$H$27)+G10*IF(U_Ma2="[l]",L_Mazout2_to_kgGES,Conversion!$H$29)+I10*IF(U_Ma6="[l]",L_Mazout6_to_kgGES,Conversion!$H$31)+K10*L_Mazout2_to_kgGES+M10*IF(U_Prop="[l]",L_Propane_to_kgGES,Conversion!$H$35)+O10*kg_Bois8_to_kgGES+Q10*kg_Bois35_to_kgGES+S10*lbs_vapeur_to_kgGES+U10*MBTU_eaurefroidie_to_kgGES+W10*MBTU_eauchaude_to_kgGES)/1000</f>
        <v>0</v>
      </c>
      <c r="AD10" s="103">
        <f t="shared" ref="AD10:AD20" si="5">(IF(ISERROR(AC10/B10),0,(AC10/B10)))*1000</f>
        <v>0</v>
      </c>
      <c r="AE10" s="5">
        <f t="shared" si="1"/>
        <v>106.5</v>
      </c>
      <c r="AF10" s="49">
        <f>SUM(AE9)</f>
        <v>358.6</v>
      </c>
      <c r="AG10" s="49">
        <v>11</v>
      </c>
    </row>
    <row r="11" spans="1:33" ht="17.25" customHeight="1">
      <c r="A11" s="15">
        <f t="shared" ref="A11:A20" si="6">DATE(YEAR(A10),MONTH(A10)+1,DAY(A10))</f>
        <v>41426</v>
      </c>
      <c r="B11" s="31"/>
      <c r="C11" s="32"/>
      <c r="D11" s="34"/>
      <c r="E11" s="32"/>
      <c r="F11" s="34"/>
      <c r="G11" s="32"/>
      <c r="H11" s="34"/>
      <c r="I11" s="32"/>
      <c r="J11" s="34"/>
      <c r="K11" s="32"/>
      <c r="L11" s="34"/>
      <c r="M11" s="32"/>
      <c r="N11" s="34"/>
      <c r="O11" s="32"/>
      <c r="P11" s="34"/>
      <c r="Q11" s="32"/>
      <c r="R11" s="34"/>
      <c r="S11" s="32"/>
      <c r="T11" s="34"/>
      <c r="U11" s="32"/>
      <c r="V11" s="34"/>
      <c r="W11" s="32"/>
      <c r="X11" s="34"/>
      <c r="Y11" s="99">
        <f t="shared" si="0"/>
        <v>0</v>
      </c>
      <c r="Z11" s="258">
        <f t="shared" si="2"/>
        <v>0</v>
      </c>
      <c r="AA11" s="17" t="str">
        <f t="shared" si="3"/>
        <v/>
      </c>
      <c r="AB11" s="18" t="str">
        <f t="shared" si="4"/>
        <v/>
      </c>
      <c r="AC11" s="102">
        <f>(C11*kWh_Élect_to_kgGES+E11*IF(U_GNat="[m³]",m3_GazNat_to_kgGES,Conversion!$H$27)+G11*IF(U_Ma2="[l]",L_Mazout2_to_kgGES,Conversion!$H$29)+I11*IF(U_Ma6="[l]",L_Mazout6_to_kgGES,Conversion!$H$31)+K11*L_Mazout2_to_kgGES+M11*IF(U_Prop="[l]",L_Propane_to_kgGES,Conversion!$H$35)+O11*kg_Bois8_to_kgGES+Q11*kg_Bois35_to_kgGES+S11*lbs_vapeur_to_kgGES+U11*MBTU_eaurefroidie_to_kgGES+W11*MBTU_eauchaude_to_kgGES)/1000</f>
        <v>0</v>
      </c>
      <c r="AD11" s="103">
        <f t="shared" si="5"/>
        <v>0</v>
      </c>
      <c r="AE11" s="5">
        <f t="shared" si="1"/>
        <v>47.7</v>
      </c>
      <c r="AF11" s="49">
        <f>SUM(AE9:AE10)</f>
        <v>465.1</v>
      </c>
      <c r="AG11" s="49">
        <v>10</v>
      </c>
    </row>
    <row r="12" spans="1:33" ht="17.25" customHeight="1">
      <c r="A12" s="15">
        <f t="shared" si="6"/>
        <v>41456</v>
      </c>
      <c r="B12" s="31"/>
      <c r="C12" s="32"/>
      <c r="D12" s="34"/>
      <c r="E12" s="32"/>
      <c r="F12" s="34"/>
      <c r="G12" s="32"/>
      <c r="H12" s="34"/>
      <c r="I12" s="32"/>
      <c r="J12" s="34"/>
      <c r="K12" s="32"/>
      <c r="L12" s="34"/>
      <c r="M12" s="32"/>
      <c r="N12" s="34"/>
      <c r="O12" s="32"/>
      <c r="P12" s="34"/>
      <c r="Q12" s="32"/>
      <c r="R12" s="34"/>
      <c r="S12" s="32"/>
      <c r="T12" s="34"/>
      <c r="U12" s="32"/>
      <c r="V12" s="34"/>
      <c r="W12" s="32"/>
      <c r="X12" s="34"/>
      <c r="Y12" s="99">
        <f t="shared" si="0"/>
        <v>0</v>
      </c>
      <c r="Z12" s="258">
        <f t="shared" si="2"/>
        <v>0</v>
      </c>
      <c r="AA12" s="17" t="str">
        <f t="shared" si="3"/>
        <v/>
      </c>
      <c r="AB12" s="18" t="str">
        <f t="shared" si="4"/>
        <v/>
      </c>
      <c r="AC12" s="102">
        <f>(C12*kWh_Élect_to_kgGES+E12*IF(U_GNat="[m³]",m3_GazNat_to_kgGES,Conversion!$H$27)+G12*IF(U_Ma2="[l]",L_Mazout2_to_kgGES,Conversion!$H$29)+I12*IF(U_Ma6="[l]",L_Mazout6_to_kgGES,Conversion!$H$31)+K12*L_Mazout2_to_kgGES+M12*IF(U_Prop="[l]",L_Propane_to_kgGES,Conversion!$H$35)+O12*kg_Bois8_to_kgGES+Q12*kg_Bois35_to_kgGES+S12*lbs_vapeur_to_kgGES+U12*MBTU_eaurefroidie_to_kgGES+W12*MBTU_eauchaude_to_kgGES)/1000</f>
        <v>0</v>
      </c>
      <c r="AD12" s="103">
        <f t="shared" si="5"/>
        <v>0</v>
      </c>
      <c r="AE12" s="5">
        <f t="shared" si="1"/>
        <v>4.0999999999999996</v>
      </c>
      <c r="AF12" s="49">
        <f>SUM(AE9:AE11)</f>
        <v>512.80000000000007</v>
      </c>
      <c r="AG12" s="49">
        <v>9</v>
      </c>
    </row>
    <row r="13" spans="1:33" ht="17.25" customHeight="1">
      <c r="A13" s="15">
        <f t="shared" si="6"/>
        <v>41487</v>
      </c>
      <c r="B13" s="31"/>
      <c r="C13" s="32"/>
      <c r="D13" s="34"/>
      <c r="E13" s="32"/>
      <c r="F13" s="34"/>
      <c r="G13" s="32"/>
      <c r="H13" s="34"/>
      <c r="I13" s="32"/>
      <c r="J13" s="34"/>
      <c r="K13" s="32"/>
      <c r="L13" s="34"/>
      <c r="M13" s="32"/>
      <c r="N13" s="34"/>
      <c r="O13" s="32"/>
      <c r="P13" s="34"/>
      <c r="Q13" s="32"/>
      <c r="R13" s="34"/>
      <c r="S13" s="32"/>
      <c r="T13" s="34"/>
      <c r="U13" s="32"/>
      <c r="V13" s="34"/>
      <c r="W13" s="32"/>
      <c r="X13" s="34"/>
      <c r="Y13" s="99">
        <f t="shared" si="0"/>
        <v>0</v>
      </c>
      <c r="Z13" s="258">
        <f t="shared" si="2"/>
        <v>0</v>
      </c>
      <c r="AA13" s="17" t="str">
        <f t="shared" si="3"/>
        <v/>
      </c>
      <c r="AB13" s="18" t="str">
        <f t="shared" si="4"/>
        <v/>
      </c>
      <c r="AC13" s="102">
        <f>(C13*kWh_Élect_to_kgGES+E13*IF(U_GNat="[m³]",m3_GazNat_to_kgGES,Conversion!$H$27)+G13*IF(U_Ma2="[l]",L_Mazout2_to_kgGES,Conversion!$H$29)+I13*IF(U_Ma6="[l]",L_Mazout6_to_kgGES,Conversion!$H$31)+K13*L_Mazout2_to_kgGES+M13*IF(U_Prop="[l]",L_Propane_to_kgGES,Conversion!$H$35)+O13*kg_Bois8_to_kgGES+Q13*kg_Bois35_to_kgGES+S13*lbs_vapeur_to_kgGES+U13*MBTU_eaurefroidie_to_kgGES+W13*MBTU_eauchaude_to_kgGES)/1000</f>
        <v>0</v>
      </c>
      <c r="AD13" s="103">
        <f t="shared" si="5"/>
        <v>0</v>
      </c>
      <c r="AE13" s="5">
        <f t="shared" si="1"/>
        <v>3.4</v>
      </c>
      <c r="AF13" s="49">
        <f>SUM(AE9:AE12)</f>
        <v>516.90000000000009</v>
      </c>
      <c r="AG13" s="49">
        <v>8</v>
      </c>
    </row>
    <row r="14" spans="1:33" ht="17.25" customHeight="1">
      <c r="A14" s="15">
        <f t="shared" si="6"/>
        <v>41518</v>
      </c>
      <c r="B14" s="31"/>
      <c r="C14" s="32"/>
      <c r="D14" s="34"/>
      <c r="E14" s="32"/>
      <c r="F14" s="34"/>
      <c r="G14" s="32"/>
      <c r="H14" s="34"/>
      <c r="I14" s="32"/>
      <c r="J14" s="34"/>
      <c r="K14" s="32"/>
      <c r="L14" s="34"/>
      <c r="M14" s="32"/>
      <c r="N14" s="34"/>
      <c r="O14" s="32"/>
      <c r="P14" s="34"/>
      <c r="Q14" s="32"/>
      <c r="R14" s="34"/>
      <c r="S14" s="32"/>
      <c r="T14" s="34"/>
      <c r="U14" s="32"/>
      <c r="V14" s="34"/>
      <c r="W14" s="32"/>
      <c r="X14" s="34"/>
      <c r="Y14" s="99">
        <f t="shared" si="0"/>
        <v>0</v>
      </c>
      <c r="Z14" s="258">
        <f t="shared" si="2"/>
        <v>0</v>
      </c>
      <c r="AA14" s="17" t="str">
        <f t="shared" si="3"/>
        <v/>
      </c>
      <c r="AB14" s="18" t="str">
        <f t="shared" si="4"/>
        <v/>
      </c>
      <c r="AC14" s="102">
        <f>(C14*kWh_Élect_to_kgGES+E14*IF(U_GNat="[m³]",m3_GazNat_to_kgGES,Conversion!$H$27)+G14*IF(U_Ma2="[l]",L_Mazout2_to_kgGES,Conversion!$H$29)+I14*IF(U_Ma6="[l]",L_Mazout6_to_kgGES,Conversion!$H$31)+K14*L_Mazout2_to_kgGES+M14*IF(U_Prop="[l]",L_Propane_to_kgGES,Conversion!$H$35)+O14*kg_Bois8_to_kgGES+Q14*kg_Bois35_to_kgGES+S14*lbs_vapeur_to_kgGES+U14*MBTU_eaurefroidie_to_kgGES+W14*MBTU_eauchaude_to_kgGES)/1000</f>
        <v>0</v>
      </c>
      <c r="AD14" s="103">
        <f t="shared" si="5"/>
        <v>0</v>
      </c>
      <c r="AE14" s="5">
        <f t="shared" si="1"/>
        <v>99.5</v>
      </c>
      <c r="AF14" s="49">
        <f>SUM(AE9:AE13)</f>
        <v>520.30000000000007</v>
      </c>
      <c r="AG14" s="49">
        <v>7</v>
      </c>
    </row>
    <row r="15" spans="1:33" ht="17.25" customHeight="1">
      <c r="A15" s="15">
        <f t="shared" si="6"/>
        <v>41548</v>
      </c>
      <c r="B15" s="31"/>
      <c r="C15" s="32"/>
      <c r="D15" s="34"/>
      <c r="E15" s="32"/>
      <c r="F15" s="34"/>
      <c r="G15" s="32"/>
      <c r="H15" s="34"/>
      <c r="I15" s="32"/>
      <c r="J15" s="34"/>
      <c r="K15" s="32"/>
      <c r="L15" s="34"/>
      <c r="M15" s="32"/>
      <c r="N15" s="34"/>
      <c r="O15" s="32"/>
      <c r="P15" s="34"/>
      <c r="Q15" s="32"/>
      <c r="R15" s="34"/>
      <c r="S15" s="32"/>
      <c r="T15" s="34"/>
      <c r="U15" s="32"/>
      <c r="V15" s="34"/>
      <c r="W15" s="32"/>
      <c r="X15" s="34"/>
      <c r="Y15" s="99">
        <f t="shared" si="0"/>
        <v>0</v>
      </c>
      <c r="Z15" s="258">
        <f t="shared" si="2"/>
        <v>0</v>
      </c>
      <c r="AA15" s="17" t="str">
        <f t="shared" si="3"/>
        <v/>
      </c>
      <c r="AB15" s="18" t="str">
        <f t="shared" si="4"/>
        <v/>
      </c>
      <c r="AC15" s="102">
        <f>(C15*kWh_Élect_to_kgGES+E15*IF(U_GNat="[m³]",m3_GazNat_to_kgGES,Conversion!$H$27)+G15*IF(U_Ma2="[l]",L_Mazout2_to_kgGES,Conversion!$H$29)+I15*IF(U_Ma6="[l]",L_Mazout6_to_kgGES,Conversion!$H$31)+K15*L_Mazout2_to_kgGES+M15*IF(U_Prop="[l]",L_Propane_to_kgGES,Conversion!$H$35)+O15*kg_Bois8_to_kgGES+Q15*kg_Bois35_to_kgGES+S15*lbs_vapeur_to_kgGES+U15*MBTU_eaurefroidie_to_kgGES+W15*MBTU_eauchaude_to_kgGES)/1000</f>
        <v>0</v>
      </c>
      <c r="AD15" s="103">
        <f t="shared" si="5"/>
        <v>0</v>
      </c>
      <c r="AE15" s="5">
        <f t="shared" si="1"/>
        <v>236.5</v>
      </c>
      <c r="AF15" s="49">
        <f>SUM(AE9:AE14)</f>
        <v>619.80000000000007</v>
      </c>
      <c r="AG15" s="49">
        <v>6</v>
      </c>
    </row>
    <row r="16" spans="1:33" ht="17.25" customHeight="1">
      <c r="A16" s="15">
        <f t="shared" si="6"/>
        <v>41579</v>
      </c>
      <c r="B16" s="31"/>
      <c r="C16" s="32"/>
      <c r="D16" s="34"/>
      <c r="E16" s="32"/>
      <c r="F16" s="34"/>
      <c r="G16" s="32"/>
      <c r="H16" s="34"/>
      <c r="I16" s="32"/>
      <c r="J16" s="34"/>
      <c r="K16" s="32"/>
      <c r="L16" s="34"/>
      <c r="M16" s="32"/>
      <c r="N16" s="34"/>
      <c r="O16" s="32"/>
      <c r="P16" s="34"/>
      <c r="Q16" s="32"/>
      <c r="R16" s="34"/>
      <c r="S16" s="32"/>
      <c r="T16" s="34"/>
      <c r="U16" s="32"/>
      <c r="V16" s="34"/>
      <c r="W16" s="32"/>
      <c r="X16" s="34"/>
      <c r="Y16" s="99">
        <f t="shared" si="0"/>
        <v>0</v>
      </c>
      <c r="Z16" s="258">
        <f t="shared" si="2"/>
        <v>0</v>
      </c>
      <c r="AA16" s="17" t="str">
        <f t="shared" si="3"/>
        <v/>
      </c>
      <c r="AB16" s="18" t="str">
        <f t="shared" si="4"/>
        <v/>
      </c>
      <c r="AC16" s="102">
        <f>(C16*kWh_Élect_to_kgGES+E16*IF(U_GNat="[m³]",m3_GazNat_to_kgGES,Conversion!$H$27)+G16*IF(U_Ma2="[l]",L_Mazout2_to_kgGES,Conversion!$H$29)+I16*IF(U_Ma6="[l]",L_Mazout6_to_kgGES,Conversion!$H$31)+K16*L_Mazout2_to_kgGES+M16*IF(U_Prop="[l]",L_Propane_to_kgGES,Conversion!$H$35)+O16*kg_Bois8_to_kgGES+Q16*kg_Bois35_to_kgGES+S16*lbs_vapeur_to_kgGES+U16*MBTU_eaurefroidie_to_kgGES+W16*MBTU_eauchaude_to_kgGES)/1000</f>
        <v>0</v>
      </c>
      <c r="AD16" s="103">
        <f t="shared" si="5"/>
        <v>0</v>
      </c>
      <c r="AE16" s="5">
        <f t="shared" si="1"/>
        <v>514</v>
      </c>
      <c r="AF16" s="49">
        <f>SUM(AE9:AE15)</f>
        <v>856.30000000000007</v>
      </c>
      <c r="AG16" s="49">
        <v>5</v>
      </c>
    </row>
    <row r="17" spans="1:33" ht="17.25" customHeight="1">
      <c r="A17" s="15">
        <f t="shared" si="6"/>
        <v>41609</v>
      </c>
      <c r="B17" s="31"/>
      <c r="C17" s="32"/>
      <c r="D17" s="34"/>
      <c r="E17" s="32"/>
      <c r="F17" s="34"/>
      <c r="G17" s="32"/>
      <c r="H17" s="34"/>
      <c r="I17" s="32"/>
      <c r="J17" s="34"/>
      <c r="K17" s="32"/>
      <c r="L17" s="34"/>
      <c r="M17" s="32"/>
      <c r="N17" s="34"/>
      <c r="O17" s="32"/>
      <c r="P17" s="34"/>
      <c r="Q17" s="32"/>
      <c r="R17" s="34"/>
      <c r="S17" s="32"/>
      <c r="T17" s="34"/>
      <c r="U17" s="32"/>
      <c r="V17" s="34"/>
      <c r="W17" s="32"/>
      <c r="X17" s="34"/>
      <c r="Y17" s="99">
        <f t="shared" si="0"/>
        <v>0</v>
      </c>
      <c r="Z17" s="258">
        <f t="shared" si="2"/>
        <v>0</v>
      </c>
      <c r="AA17" s="17" t="str">
        <f t="shared" si="3"/>
        <v/>
      </c>
      <c r="AB17" s="18" t="str">
        <f t="shared" si="4"/>
        <v/>
      </c>
      <c r="AC17" s="102">
        <f>(C17*kWh_Élect_to_kgGES+E17*IF(U_GNat="[m³]",m3_GazNat_to_kgGES,Conversion!$H$27)+G17*IF(U_Ma2="[l]",L_Mazout2_to_kgGES,Conversion!$H$29)+I17*IF(U_Ma6="[l]",L_Mazout6_to_kgGES,Conversion!$H$31)+K17*L_Mazout2_to_kgGES+M17*IF(U_Prop="[l]",L_Propane_to_kgGES,Conversion!$H$35)+O17*kg_Bois8_to_kgGES+Q17*kg_Bois35_to_kgGES+S17*lbs_vapeur_to_kgGES+U17*MBTU_eaurefroidie_to_kgGES+W17*MBTU_eauchaude_to_kgGES)/1000</f>
        <v>0</v>
      </c>
      <c r="AD17" s="103">
        <f t="shared" si="5"/>
        <v>0</v>
      </c>
      <c r="AE17" s="5">
        <f t="shared" si="1"/>
        <v>817.5</v>
      </c>
      <c r="AF17" s="49">
        <f>SUM(AE9:AE16)</f>
        <v>1370.3000000000002</v>
      </c>
      <c r="AG17" s="49">
        <v>4</v>
      </c>
    </row>
    <row r="18" spans="1:33" ht="17.25" customHeight="1">
      <c r="A18" s="15">
        <f t="shared" si="6"/>
        <v>41640</v>
      </c>
      <c r="B18" s="31"/>
      <c r="C18" s="32"/>
      <c r="D18" s="34"/>
      <c r="E18" s="32"/>
      <c r="F18" s="34"/>
      <c r="G18" s="32"/>
      <c r="H18" s="34"/>
      <c r="I18" s="32"/>
      <c r="J18" s="34"/>
      <c r="K18" s="32"/>
      <c r="L18" s="34"/>
      <c r="M18" s="32"/>
      <c r="N18" s="34"/>
      <c r="O18" s="32"/>
      <c r="P18" s="34"/>
      <c r="Q18" s="32"/>
      <c r="R18" s="34"/>
      <c r="S18" s="32"/>
      <c r="T18" s="34"/>
      <c r="U18" s="32"/>
      <c r="V18" s="34"/>
      <c r="W18" s="32"/>
      <c r="X18" s="34"/>
      <c r="Y18" s="99">
        <f t="shared" si="0"/>
        <v>0</v>
      </c>
      <c r="Z18" s="258">
        <f t="shared" si="2"/>
        <v>0</v>
      </c>
      <c r="AA18" s="17" t="str">
        <f t="shared" si="3"/>
        <v/>
      </c>
      <c r="AB18" s="18" t="str">
        <f t="shared" si="4"/>
        <v/>
      </c>
      <c r="AC18" s="102">
        <f>(C18*kWh_Élect_to_kgGES+E18*IF(U_GNat="[m³]",m3_GazNat_to_kgGES,Conversion!$H$27)+G18*IF(U_Ma2="[l]",L_Mazout2_to_kgGES,Conversion!$H$29)+I18*IF(U_Ma6="[l]",L_Mazout6_to_kgGES,Conversion!$H$31)+K18*L_Mazout2_to_kgGES+M18*IF(U_Prop="[l]",L_Propane_to_kgGES,Conversion!$H$35)+O18*kg_Bois8_to_kgGES+Q18*kg_Bois35_to_kgGES+S18*lbs_vapeur_to_kgGES+U18*MBTU_eaurefroidie_to_kgGES+W18*MBTU_eauchaude_to_kgGES)/1000</f>
        <v>0</v>
      </c>
      <c r="AD18" s="103">
        <f t="shared" si="5"/>
        <v>0</v>
      </c>
      <c r="AE18" s="5">
        <f t="shared" si="1"/>
        <v>873.9</v>
      </c>
      <c r="AF18" s="49">
        <f>SUM(AE9:AE17)</f>
        <v>2187.8000000000002</v>
      </c>
      <c r="AG18" s="49">
        <v>3</v>
      </c>
    </row>
    <row r="19" spans="1:33" ht="17.25" customHeight="1">
      <c r="A19" s="15">
        <f t="shared" si="6"/>
        <v>41671</v>
      </c>
      <c r="B19" s="31"/>
      <c r="C19" s="32"/>
      <c r="D19" s="34"/>
      <c r="E19" s="32"/>
      <c r="F19" s="34"/>
      <c r="G19" s="32"/>
      <c r="H19" s="34"/>
      <c r="I19" s="32"/>
      <c r="J19" s="34"/>
      <c r="K19" s="32"/>
      <c r="L19" s="34"/>
      <c r="M19" s="32"/>
      <c r="N19" s="34"/>
      <c r="O19" s="32"/>
      <c r="P19" s="34"/>
      <c r="Q19" s="32"/>
      <c r="R19" s="34"/>
      <c r="S19" s="32"/>
      <c r="T19" s="34"/>
      <c r="U19" s="32"/>
      <c r="V19" s="34"/>
      <c r="W19" s="32"/>
      <c r="X19" s="34"/>
      <c r="Y19" s="99">
        <f t="shared" si="0"/>
        <v>0</v>
      </c>
      <c r="Z19" s="258">
        <f t="shared" si="2"/>
        <v>0</v>
      </c>
      <c r="AA19" s="17" t="str">
        <f t="shared" si="3"/>
        <v/>
      </c>
      <c r="AB19" s="18" t="str">
        <f t="shared" si="4"/>
        <v/>
      </c>
      <c r="AC19" s="102">
        <f>(C19*kWh_Élect_to_kgGES+E19*IF(U_GNat="[m³]",m3_GazNat_to_kgGES,Conversion!$H$27)+G19*IF(U_Ma2="[l]",L_Mazout2_to_kgGES,Conversion!$H$29)+I19*IF(U_Ma6="[l]",L_Mazout6_to_kgGES,Conversion!$H$31)+K19*L_Mazout2_to_kgGES+M19*IF(U_Prop="[l]",L_Propane_to_kgGES,Conversion!$H$35)+O19*kg_Bois8_to_kgGES+Q19*kg_Bois35_to_kgGES+S19*lbs_vapeur_to_kgGES+U19*MBTU_eaurefroidie_to_kgGES+W19*MBTU_eauchaude_to_kgGES)/1000</f>
        <v>0</v>
      </c>
      <c r="AD19" s="103">
        <f t="shared" si="5"/>
        <v>0</v>
      </c>
      <c r="AE19" s="5">
        <f t="shared" si="1"/>
        <v>754.6</v>
      </c>
      <c r="AF19" s="49">
        <f>SUM(AE9:AE18)</f>
        <v>3061.7000000000003</v>
      </c>
      <c r="AG19" s="49">
        <v>2</v>
      </c>
    </row>
    <row r="20" spans="1:33" ht="17.25" customHeight="1" thickBot="1">
      <c r="A20" s="16">
        <f t="shared" si="6"/>
        <v>41699</v>
      </c>
      <c r="B20" s="31"/>
      <c r="C20" s="32"/>
      <c r="D20" s="34"/>
      <c r="E20" s="32"/>
      <c r="F20" s="34"/>
      <c r="G20" s="32"/>
      <c r="H20" s="34"/>
      <c r="I20" s="32"/>
      <c r="J20" s="34"/>
      <c r="K20" s="32"/>
      <c r="L20" s="34"/>
      <c r="M20" s="32"/>
      <c r="N20" s="34"/>
      <c r="O20" s="32"/>
      <c r="P20" s="34"/>
      <c r="Q20" s="32"/>
      <c r="R20" s="34"/>
      <c r="S20" s="32"/>
      <c r="T20" s="34"/>
      <c r="U20" s="32"/>
      <c r="V20" s="34"/>
      <c r="W20" s="32"/>
      <c r="X20" s="34"/>
      <c r="Y20" s="99">
        <f t="shared" si="0"/>
        <v>0</v>
      </c>
      <c r="Z20" s="258">
        <f t="shared" si="2"/>
        <v>0</v>
      </c>
      <c r="AA20" s="17" t="str">
        <f t="shared" si="3"/>
        <v/>
      </c>
      <c r="AB20" s="18" t="str">
        <f t="shared" si="4"/>
        <v/>
      </c>
      <c r="AC20" s="102">
        <f>(C20*kWh_Élect_to_kgGES+E20*IF(U_GNat="[m³]",m3_GazNat_to_kgGES,Conversion!$H$27)+G20*IF(U_Ma2="[l]",L_Mazout2_to_kgGES,Conversion!$H$29)+I20*IF(U_Ma6="[l]",L_Mazout6_to_kgGES,Conversion!$H$31)+K20*L_Mazout2_to_kgGES+M20*IF(U_Prop="[l]",L_Propane_to_kgGES,Conversion!$H$35)+O20*kg_Bois8_to_kgGES+Q20*kg_Bois35_to_kgGES+S20*lbs_vapeur_to_kgGES+U20*MBTU_eaurefroidie_to_kgGES+W20*MBTU_eauchaude_to_kgGES)/1000</f>
        <v>0</v>
      </c>
      <c r="AD20" s="103">
        <f t="shared" si="5"/>
        <v>0</v>
      </c>
      <c r="AE20" s="5">
        <f t="shared" si="1"/>
        <v>746.2</v>
      </c>
      <c r="AF20" s="49">
        <f>SUM(AE9:AE19)</f>
        <v>3816.3</v>
      </c>
      <c r="AG20" s="49">
        <v>1</v>
      </c>
    </row>
    <row r="21" spans="1:33" ht="20.25" customHeight="1" thickTop="1">
      <c r="A21" s="3" t="s">
        <v>53</v>
      </c>
      <c r="B21" s="35">
        <f>IF(ISERROR(AVERAGE(B9:B20)),0,AVERAGE(B9:B20))</f>
        <v>0</v>
      </c>
      <c r="C21" s="35">
        <f>SUM(C9:C20)</f>
        <v>0</v>
      </c>
      <c r="D21" s="536">
        <f t="shared" ref="D21:X21" si="7">SUM(D9:D20)</f>
        <v>0</v>
      </c>
      <c r="E21" s="35">
        <f t="shared" si="7"/>
        <v>0</v>
      </c>
      <c r="F21" s="536">
        <f t="shared" si="7"/>
        <v>0</v>
      </c>
      <c r="G21" s="35">
        <f t="shared" si="7"/>
        <v>0</v>
      </c>
      <c r="H21" s="536">
        <f t="shared" si="7"/>
        <v>0</v>
      </c>
      <c r="I21" s="35">
        <f t="shared" si="7"/>
        <v>0</v>
      </c>
      <c r="J21" s="536">
        <f t="shared" si="7"/>
        <v>0</v>
      </c>
      <c r="K21" s="35">
        <f t="shared" si="7"/>
        <v>0</v>
      </c>
      <c r="L21" s="536">
        <f t="shared" si="7"/>
        <v>0</v>
      </c>
      <c r="M21" s="35">
        <f t="shared" si="7"/>
        <v>0</v>
      </c>
      <c r="N21" s="536">
        <f t="shared" si="7"/>
        <v>0</v>
      </c>
      <c r="O21" s="35">
        <f t="shared" si="7"/>
        <v>0</v>
      </c>
      <c r="P21" s="536">
        <f t="shared" si="7"/>
        <v>0</v>
      </c>
      <c r="Q21" s="35">
        <f t="shared" si="7"/>
        <v>0</v>
      </c>
      <c r="R21" s="536">
        <f t="shared" si="7"/>
        <v>0</v>
      </c>
      <c r="S21" s="35">
        <f t="shared" si="7"/>
        <v>0</v>
      </c>
      <c r="T21" s="536">
        <f t="shared" si="7"/>
        <v>0</v>
      </c>
      <c r="U21" s="35">
        <f t="shared" si="7"/>
        <v>0</v>
      </c>
      <c r="V21" s="536">
        <f t="shared" si="7"/>
        <v>0</v>
      </c>
      <c r="W21" s="35">
        <f t="shared" si="7"/>
        <v>0</v>
      </c>
      <c r="X21" s="536">
        <f t="shared" si="7"/>
        <v>0</v>
      </c>
      <c r="Y21" s="263">
        <f t="shared" si="0"/>
        <v>0</v>
      </c>
      <c r="Z21" s="537">
        <f>D21+F21+H21+J21+L21+N21+P21+R21+T21+V21+X21+L21</f>
        <v>0</v>
      </c>
      <c r="AA21" s="265" t="str">
        <f>IF(ISERROR(Y21/B21),"",Y21/B21)</f>
        <v/>
      </c>
      <c r="AB21" s="266" t="str">
        <f>IF(ISERROR(Z21/B21),"",Z21/B21)</f>
        <v/>
      </c>
      <c r="AC21" s="263">
        <f>(C21*kWh_Élect_to_kgGES+E21*IF(U_GNat="[m³]",m3_GazNat_to_kgGES,Conversion!$H$27)+G21*IF(U_Ma2="[l]",L_Mazout2_to_kgGES,Conversion!$H$29)+I21*IF(U_Ma6="[l]",L_Mazout6_to_kgGES,Conversion!$H$31)+K21*L_Mazout2_to_kgGES+M21*IF(U_Prop="[l]",L_Propane_to_kgGES,Conversion!$H$35)+O21*kg_Bois8_to_kgGES+Q21*kg_Bois35_to_kgGES+S21*lbs_vapeur_to_kgGES+U21*MBTU_eaurefroidie_to_kgGES+W21*MBTU_eauchaude_to_kgGES)/1000</f>
        <v>0</v>
      </c>
      <c r="AD21" s="267">
        <f>(IF(ISERROR(AC21/B21),0,(AC21/B21)))*1000</f>
        <v>0</v>
      </c>
      <c r="AE21" s="268">
        <f>SUM(AE9:AE20)</f>
        <v>4562.5</v>
      </c>
    </row>
    <row r="22" spans="1:33">
      <c r="A22" s="27">
        <v>2013</v>
      </c>
      <c r="B22" s="27" t="s">
        <v>180</v>
      </c>
      <c r="C22" s="28" t="s">
        <v>181</v>
      </c>
      <c r="D22" s="28" t="s">
        <v>182</v>
      </c>
      <c r="E22" s="28" t="s">
        <v>183</v>
      </c>
      <c r="F22" s="28" t="s">
        <v>184</v>
      </c>
      <c r="G22" s="28" t="s">
        <v>185</v>
      </c>
      <c r="H22" s="28" t="s">
        <v>186</v>
      </c>
      <c r="I22" s="28" t="s">
        <v>187</v>
      </c>
      <c r="J22" s="28" t="s">
        <v>188</v>
      </c>
      <c r="K22" s="524"/>
      <c r="L22" s="524"/>
      <c r="M22" s="28" t="s">
        <v>189</v>
      </c>
      <c r="N22" s="28" t="s">
        <v>190</v>
      </c>
      <c r="O22" s="28" t="s">
        <v>191</v>
      </c>
      <c r="P22" s="28" t="s">
        <v>192</v>
      </c>
      <c r="Q22" s="28" t="s">
        <v>193</v>
      </c>
      <c r="R22" s="28" t="s">
        <v>194</v>
      </c>
      <c r="S22" s="28"/>
      <c r="T22" s="28"/>
      <c r="U22" s="28"/>
      <c r="V22" s="28"/>
      <c r="W22" s="28"/>
      <c r="X22" s="28"/>
      <c r="Y22" s="47" t="s">
        <v>195</v>
      </c>
      <c r="Z22" s="47" t="s">
        <v>196</v>
      </c>
      <c r="AA22" s="47" t="s">
        <v>197</v>
      </c>
      <c r="AB22" s="47" t="s">
        <v>198</v>
      </c>
      <c r="AC22" s="47" t="s">
        <v>199</v>
      </c>
      <c r="AD22" s="48" t="s">
        <v>200</v>
      </c>
      <c r="AE22" s="47" t="s">
        <v>201</v>
      </c>
    </row>
    <row r="23" spans="1:33" ht="16.8">
      <c r="A23" s="124" t="s">
        <v>379</v>
      </c>
      <c r="B23" s="49"/>
      <c r="C23" s="47"/>
      <c r="D23" s="47"/>
      <c r="E23" s="47"/>
      <c r="F23" s="47"/>
      <c r="G23" s="51"/>
      <c r="H23" s="50"/>
      <c r="I23" s="47"/>
      <c r="J23" s="47"/>
      <c r="K23" s="47"/>
      <c r="L23" s="47"/>
      <c r="M23" s="47"/>
      <c r="N23" s="47"/>
      <c r="O23" s="47"/>
      <c r="P23" s="47"/>
      <c r="Q23" s="47"/>
      <c r="R23" s="47"/>
      <c r="S23" s="47"/>
      <c r="T23" s="47"/>
      <c r="U23" s="47"/>
      <c r="V23" s="296"/>
      <c r="W23" s="296"/>
      <c r="X23" s="296"/>
      <c r="Y23" s="296"/>
      <c r="Z23" s="296"/>
      <c r="AA23" s="296"/>
      <c r="AB23" s="483"/>
      <c r="AC23" s="296"/>
      <c r="AD23" s="297"/>
    </row>
    <row r="24" spans="1:33" ht="15" thickBot="1">
      <c r="A24" s="25"/>
      <c r="B24" s="49"/>
      <c r="C24" s="47"/>
      <c r="D24" s="47"/>
      <c r="E24" s="47"/>
      <c r="F24" s="47"/>
      <c r="G24" s="47"/>
      <c r="I24" s="47"/>
      <c r="J24" s="47"/>
      <c r="K24" s="47"/>
      <c r="L24" s="47"/>
      <c r="M24" s="47"/>
      <c r="N24" s="47"/>
      <c r="O24" s="47"/>
      <c r="P24" s="47"/>
      <c r="Q24" s="47"/>
      <c r="R24" s="47"/>
      <c r="S24" s="47"/>
      <c r="T24" s="47"/>
      <c r="U24" s="47"/>
      <c r="V24" s="296"/>
      <c r="W24" s="296"/>
      <c r="X24" s="296"/>
      <c r="Y24" s="296"/>
      <c r="Z24" s="296"/>
      <c r="AA24" s="296"/>
      <c r="AB24" s="483"/>
      <c r="AC24" s="296"/>
      <c r="AD24" s="297"/>
    </row>
    <row r="25" spans="1:33" ht="18.600000000000001" thickTop="1">
      <c r="A25" s="560" t="s">
        <v>804</v>
      </c>
      <c r="B25" s="561"/>
      <c r="C25" s="561"/>
      <c r="D25" s="561"/>
      <c r="E25" s="561"/>
      <c r="F25" s="561"/>
      <c r="G25" s="561"/>
      <c r="H25" s="562"/>
      <c r="V25" s="295"/>
      <c r="W25" s="296"/>
      <c r="X25" s="296"/>
      <c r="AA25" s="220">
        <f>Lim_bas</f>
        <v>0</v>
      </c>
      <c r="AB25" s="220">
        <f>Lim_haut</f>
        <v>0</v>
      </c>
      <c r="AC25" s="296"/>
      <c r="AD25" s="297"/>
    </row>
    <row r="26" spans="1:33" ht="30" customHeight="1" thickBot="1">
      <c r="A26" s="23"/>
      <c r="B26" s="23"/>
      <c r="V26" s="295"/>
      <c r="W26" s="296"/>
      <c r="X26" s="297"/>
      <c r="Y26" s="297"/>
      <c r="Z26" s="297"/>
      <c r="AA26" s="297"/>
      <c r="AB26" s="297"/>
      <c r="AC26" s="297"/>
      <c r="AD26" s="297"/>
    </row>
    <row r="27" spans="1:33" ht="181.5" customHeight="1" thickTop="1">
      <c r="A27" s="556" t="s">
        <v>374</v>
      </c>
      <c r="B27" s="557"/>
      <c r="C27" s="564" t="s">
        <v>788</v>
      </c>
      <c r="D27" s="564"/>
      <c r="E27" s="564"/>
      <c r="F27" s="564"/>
      <c r="G27" s="564"/>
      <c r="H27" s="564"/>
      <c r="I27" s="564"/>
      <c r="J27" s="564"/>
      <c r="K27" s="564"/>
      <c r="L27" s="564"/>
      <c r="V27" s="295"/>
      <c r="W27" s="408"/>
      <c r="X27" s="408"/>
      <c r="Y27" s="408"/>
      <c r="Z27" s="408"/>
      <c r="AA27" s="408"/>
      <c r="AB27" s="296"/>
      <c r="AC27" s="296"/>
      <c r="AD27" s="297"/>
    </row>
    <row r="28" spans="1:33" ht="15" thickBot="1">
      <c r="A28" s="23"/>
      <c r="B28" s="23"/>
      <c r="V28" s="295"/>
      <c r="W28" s="408"/>
      <c r="X28" s="408"/>
      <c r="Y28" s="408"/>
      <c r="Z28" s="408"/>
      <c r="AA28" s="408"/>
      <c r="AB28" s="296"/>
      <c r="AC28" s="296"/>
      <c r="AD28" s="297"/>
    </row>
    <row r="29" spans="1:33" ht="44.4" thickTop="1" thickBot="1">
      <c r="B29" s="12" t="s">
        <v>64</v>
      </c>
      <c r="C29" s="12" t="s">
        <v>91</v>
      </c>
      <c r="D29" s="12" t="s">
        <v>338</v>
      </c>
      <c r="E29" s="12" t="s">
        <v>75</v>
      </c>
      <c r="F29" s="12"/>
      <c r="G29" s="12" t="s">
        <v>72</v>
      </c>
      <c r="H29" s="12" t="s">
        <v>71</v>
      </c>
      <c r="I29" s="12" t="s">
        <v>340</v>
      </c>
      <c r="J29" s="12" t="s">
        <v>339</v>
      </c>
      <c r="V29" s="295"/>
      <c r="W29" s="408"/>
      <c r="X29" s="492" t="s">
        <v>54</v>
      </c>
      <c r="Y29" s="493">
        <f>((1-Facteur_variable)+Facteur_variable*DJC_tot_13_14/DJC_tot_09_10)*GJ_Tot_09_10+GJ_Ajust_NP_Cour_13_14</f>
        <v>0</v>
      </c>
      <c r="Z29" s="490" t="s">
        <v>298</v>
      </c>
      <c r="AA29" s="408"/>
      <c r="AB29" s="296"/>
      <c r="AC29" s="296"/>
      <c r="AD29" s="297"/>
    </row>
    <row r="30" spans="1:33" ht="35.25" customHeight="1" thickTop="1">
      <c r="B30" s="36" t="s">
        <v>778</v>
      </c>
      <c r="C30" s="36"/>
      <c r="D30" s="36"/>
      <c r="E30" s="55"/>
      <c r="F30" s="54" t="str">
        <f>IF(D30="électrique","kWh",IF(D30="Gaz naturel","m³",IF(LEFT(D30,1)="R","1000 kg","l")))</f>
        <v>l</v>
      </c>
      <c r="G30" s="36"/>
      <c r="H30" s="37"/>
      <c r="I30" s="38">
        <f>IF(COUNTA(G30)=1,IF(C30="Réduction",-1,IF(C30="Augmentation",1,0))*E30*INDEX(Conversion!$A$24:$J$40,MATCH(D30,Conversion!$J$24:$J$40,0),9),0)</f>
        <v>0</v>
      </c>
      <c r="J30" s="38">
        <f t="shared" ref="J30:J36" si="8">IF(G30="Non",I30*L30,IF(G30="Oui",I30*K30,0))</f>
        <v>0</v>
      </c>
      <c r="K30" s="56" t="e">
        <f t="shared" ref="K30:K36" si="9">(DJC_tot_13_14-INDEX($A$9:$AF$20,MATCH(H30,$A$9:$A$20,0),24))/DJC_tot_13_14</f>
        <v>#N/A</v>
      </c>
      <c r="L30" s="56" t="e">
        <f t="shared" ref="L30:L36" si="10">INDEX($A$9:$AG$20,MATCH(H30,$A$9:$A$20,0),25)/12</f>
        <v>#N/A</v>
      </c>
      <c r="V30" s="295"/>
      <c r="W30" s="490"/>
      <c r="X30" s="494" t="s">
        <v>55</v>
      </c>
      <c r="Y30" s="490">
        <f>GJ_Tot_13_14</f>
        <v>0</v>
      </c>
      <c r="Z30" s="490"/>
      <c r="AA30" s="408"/>
      <c r="AB30" s="296"/>
      <c r="AC30" s="296"/>
      <c r="AD30" s="297"/>
    </row>
    <row r="31" spans="1:33" ht="35.25" customHeight="1">
      <c r="B31" s="36" t="s">
        <v>779</v>
      </c>
      <c r="C31" s="36"/>
      <c r="D31" s="36"/>
      <c r="E31" s="55"/>
      <c r="F31" s="54" t="str">
        <f t="shared" ref="F31:F36" si="11">IF(D31="électrique","kWh",IF(D31="Gaz naturel","m³",IF(LEFT(D31,1)="R","1000 kg","l")))</f>
        <v>l</v>
      </c>
      <c r="G31" s="36"/>
      <c r="H31" s="37"/>
      <c r="I31" s="38">
        <f>IF(COUNTA(G31)=1,IF(C31="Réduction",-1,IF(C31="Augmentation",1,0))*E31*INDEX(Conversion!$A$24:$J$40,MATCH(D31,Conversion!$J$24:$J$40,0),9),0)</f>
        <v>0</v>
      </c>
      <c r="J31" s="38">
        <f t="shared" si="8"/>
        <v>0</v>
      </c>
      <c r="K31" s="56" t="e">
        <f t="shared" si="9"/>
        <v>#N/A</v>
      </c>
      <c r="L31" s="56" t="e">
        <f t="shared" si="10"/>
        <v>#N/A</v>
      </c>
      <c r="V31" s="295"/>
      <c r="W31" s="490"/>
      <c r="X31" s="494" t="s">
        <v>56</v>
      </c>
      <c r="Y31" s="490">
        <f>Sup_09_10</f>
        <v>0</v>
      </c>
      <c r="Z31" s="490"/>
      <c r="AA31" s="408"/>
      <c r="AB31" s="296"/>
      <c r="AC31" s="296"/>
      <c r="AD31" s="297"/>
    </row>
    <row r="32" spans="1:33" ht="35.25" customHeight="1">
      <c r="B32" s="36" t="s">
        <v>780</v>
      </c>
      <c r="C32" s="36"/>
      <c r="D32" s="36"/>
      <c r="E32" s="55"/>
      <c r="F32" s="54" t="str">
        <f t="shared" si="11"/>
        <v>l</v>
      </c>
      <c r="G32" s="36"/>
      <c r="H32" s="37"/>
      <c r="I32" s="38">
        <f>IF(COUNTA(G32)=1,IF(C32="Réduction",-1,IF(C32="Augmentation",1,0))*E32*INDEX(Conversion!$A$24:$J$40,MATCH(D32,Conversion!$J$24:$J$40,0),9),0)</f>
        <v>0</v>
      </c>
      <c r="J32" s="38">
        <f t="shared" si="8"/>
        <v>0</v>
      </c>
      <c r="K32" s="56" t="e">
        <f t="shared" si="9"/>
        <v>#N/A</v>
      </c>
      <c r="L32" s="56" t="e">
        <f t="shared" si="10"/>
        <v>#N/A</v>
      </c>
      <c r="V32" s="295"/>
      <c r="W32" s="408"/>
      <c r="X32" s="494" t="s">
        <v>57</v>
      </c>
      <c r="Y32" s="408">
        <f>Sup_13_14</f>
        <v>0</v>
      </c>
      <c r="Z32" s="490"/>
      <c r="AA32" s="408"/>
      <c r="AB32" s="296"/>
      <c r="AC32" s="296"/>
      <c r="AD32" s="297"/>
    </row>
    <row r="33" spans="1:30" ht="35.25" customHeight="1">
      <c r="B33" s="36" t="s">
        <v>781</v>
      </c>
      <c r="C33" s="36"/>
      <c r="D33" s="36"/>
      <c r="E33" s="55"/>
      <c r="F33" s="54" t="str">
        <f t="shared" si="11"/>
        <v>l</v>
      </c>
      <c r="G33" s="36"/>
      <c r="H33" s="37"/>
      <c r="I33" s="38">
        <f>IF(COUNTA(G33)=1,IF(C33="Réduction",-1,IF(C33="Augmentation",1,0))*E33*INDEX(Conversion!$A$24:$J$40,MATCH(D33,Conversion!$J$24:$J$40,0),9),0)</f>
        <v>0</v>
      </c>
      <c r="J33" s="38">
        <f t="shared" si="8"/>
        <v>0</v>
      </c>
      <c r="K33" s="56" t="e">
        <f t="shared" si="9"/>
        <v>#N/A</v>
      </c>
      <c r="L33" s="56" t="e">
        <f t="shared" si="10"/>
        <v>#N/A</v>
      </c>
      <c r="V33" s="295"/>
      <c r="W33" s="408"/>
      <c r="X33" s="408"/>
      <c r="Y33" s="495" t="e">
        <f>GJTotRef_Ajust_13_14/Sup_09_10</f>
        <v>#DIV/0!</v>
      </c>
      <c r="Z33" s="490" t="s">
        <v>299</v>
      </c>
      <c r="AA33" s="408"/>
      <c r="AB33" s="296"/>
      <c r="AC33" s="296"/>
      <c r="AD33" s="297"/>
    </row>
    <row r="34" spans="1:30" ht="35.25" customHeight="1">
      <c r="B34" s="36" t="s">
        <v>782</v>
      </c>
      <c r="C34" s="36"/>
      <c r="D34" s="36"/>
      <c r="E34" s="55"/>
      <c r="F34" s="54" t="str">
        <f t="shared" si="11"/>
        <v>l</v>
      </c>
      <c r="G34" s="36"/>
      <c r="H34" s="37"/>
      <c r="I34" s="38">
        <f>IF(COUNTA(G34)=1,IF(C34="Réduction",-1,IF(C34="Augmentation",1,0))*E34*INDEX(Conversion!$A$24:$J$40,MATCH(D34,Conversion!$J$24:$J$40,0),9),0)</f>
        <v>0</v>
      </c>
      <c r="J34" s="38">
        <f t="shared" si="8"/>
        <v>0</v>
      </c>
      <c r="K34" s="56" t="e">
        <f t="shared" si="9"/>
        <v>#N/A</v>
      </c>
      <c r="L34" s="56" t="e">
        <f t="shared" si="10"/>
        <v>#N/A</v>
      </c>
      <c r="V34" s="295"/>
      <c r="W34" s="490"/>
      <c r="X34" s="490"/>
      <c r="Y34" s="496">
        <f>J37</f>
        <v>0</v>
      </c>
      <c r="Z34" s="490" t="s">
        <v>300</v>
      </c>
      <c r="AA34" s="490"/>
      <c r="AB34" s="297"/>
      <c r="AC34" s="297"/>
      <c r="AD34" s="297"/>
    </row>
    <row r="35" spans="1:30" ht="35.25" customHeight="1">
      <c r="B35" s="36" t="s">
        <v>783</v>
      </c>
      <c r="C35" s="36"/>
      <c r="D35" s="36"/>
      <c r="E35" s="55"/>
      <c r="F35" s="54" t="str">
        <f t="shared" si="11"/>
        <v>l</v>
      </c>
      <c r="G35" s="36"/>
      <c r="H35" s="37"/>
      <c r="I35" s="38">
        <f>IF(COUNTA(G35)=1,IF(C35="Réduction",-1,IF(C35="Augmentation",1,0))*E35*INDEX(Conversion!$A$24:$J$40,MATCH(D35,Conversion!$J$24:$J$40,0),9),0)</f>
        <v>0</v>
      </c>
      <c r="J35" s="38">
        <f t="shared" si="8"/>
        <v>0</v>
      </c>
      <c r="K35" s="56" t="e">
        <f t="shared" si="9"/>
        <v>#N/A</v>
      </c>
      <c r="L35" s="56" t="e">
        <f t="shared" si="10"/>
        <v>#N/A</v>
      </c>
      <c r="V35" s="295"/>
      <c r="W35" s="490"/>
      <c r="X35" s="490"/>
      <c r="Y35" s="496">
        <f>I37</f>
        <v>0</v>
      </c>
      <c r="Z35" s="490" t="s">
        <v>301</v>
      </c>
      <c r="AA35" s="490"/>
      <c r="AB35" s="297"/>
      <c r="AC35" s="297"/>
      <c r="AD35" s="297"/>
    </row>
    <row r="36" spans="1:30" ht="35.25" customHeight="1" thickBot="1">
      <c r="B36" s="36" t="s">
        <v>784</v>
      </c>
      <c r="C36" s="36"/>
      <c r="D36" s="36"/>
      <c r="E36" s="55"/>
      <c r="F36" s="54" t="str">
        <f t="shared" si="11"/>
        <v>l</v>
      </c>
      <c r="G36" s="36"/>
      <c r="H36" s="37"/>
      <c r="I36" s="38">
        <f>IF(COUNTA(G36)=1,IF(C36="Réduction",-1,IF(C36="Augmentation",1,0))*E36*INDEX(Conversion!$A$24:$J$40,MATCH(D36,Conversion!$J$24:$J$40,0),9),0)</f>
        <v>0</v>
      </c>
      <c r="J36" s="38">
        <f t="shared" si="8"/>
        <v>0</v>
      </c>
      <c r="K36" s="56" t="e">
        <f t="shared" si="9"/>
        <v>#N/A</v>
      </c>
      <c r="L36" s="56" t="e">
        <f t="shared" si="10"/>
        <v>#N/A</v>
      </c>
      <c r="V36" s="295"/>
      <c r="W36" s="490"/>
      <c r="X36" s="490"/>
      <c r="Y36" s="490"/>
      <c r="Z36" s="490"/>
      <c r="AA36" s="490"/>
      <c r="AB36" s="297"/>
      <c r="AC36" s="297"/>
      <c r="AD36" s="297"/>
    </row>
    <row r="37" spans="1:30" ht="25.5" customHeight="1" thickTop="1" thickBot="1">
      <c r="B37" s="21" t="s">
        <v>16</v>
      </c>
      <c r="C37" s="19"/>
      <c r="D37" s="19"/>
      <c r="E37" s="19"/>
      <c r="F37" s="19"/>
      <c r="G37" s="19"/>
      <c r="H37" s="19"/>
      <c r="I37" s="20">
        <f>SUM(I30:I36)</f>
        <v>0</v>
      </c>
      <c r="J37" s="20">
        <f>SUM(J30:J36)</f>
        <v>0</v>
      </c>
      <c r="V37" s="295"/>
      <c r="W37" s="490"/>
      <c r="X37" s="490"/>
      <c r="Y37" s="490"/>
      <c r="Z37" s="490"/>
      <c r="AA37" s="490"/>
      <c r="AB37" s="297"/>
      <c r="AC37" s="297"/>
      <c r="AD37" s="297"/>
    </row>
    <row r="38" spans="1:30" ht="15" thickTop="1">
      <c r="I38" s="1"/>
      <c r="J38" s="24"/>
      <c r="V38" s="295"/>
      <c r="W38" s="297"/>
      <c r="X38" s="297"/>
      <c r="Y38" s="297"/>
      <c r="Z38" s="297"/>
      <c r="AA38" s="297"/>
      <c r="AB38" s="297"/>
      <c r="AC38" s="297"/>
      <c r="AD38" s="297"/>
    </row>
    <row r="39" spans="1:30">
      <c r="W39" s="49"/>
    </row>
    <row r="40" spans="1:30">
      <c r="W40" s="49"/>
    </row>
    <row r="41" spans="1:30" ht="16.5" customHeight="1">
      <c r="W41" s="49"/>
    </row>
    <row r="42" spans="1:30">
      <c r="W42" s="49"/>
    </row>
    <row r="43" spans="1:30" ht="16.5" customHeight="1">
      <c r="W43" s="49"/>
    </row>
    <row r="44" spans="1:30">
      <c r="A44" s="29"/>
      <c r="B44" s="29"/>
      <c r="C44" s="30"/>
      <c r="D44" s="30"/>
      <c r="E44" s="30"/>
      <c r="F44" s="30"/>
      <c r="G44" s="30"/>
      <c r="H44" s="30"/>
      <c r="W44" s="49"/>
    </row>
    <row r="45" spans="1:30">
      <c r="A45" s="29"/>
      <c r="B45" s="29"/>
      <c r="C45" s="30"/>
      <c r="D45" s="30"/>
      <c r="E45" s="30"/>
      <c r="F45" s="30"/>
      <c r="G45" s="30"/>
      <c r="H45" s="30"/>
      <c r="W45" s="49"/>
    </row>
    <row r="46" spans="1:30">
      <c r="A46" s="29"/>
      <c r="B46" s="27"/>
      <c r="C46" s="28" t="s">
        <v>65</v>
      </c>
      <c r="D46" s="28" t="s">
        <v>70</v>
      </c>
      <c r="E46" s="28"/>
      <c r="F46" s="28"/>
      <c r="G46" s="28" t="s">
        <v>73</v>
      </c>
      <c r="H46" s="30"/>
    </row>
    <row r="47" spans="1:30">
      <c r="A47" s="29"/>
      <c r="B47" s="27"/>
      <c r="C47" s="28" t="s">
        <v>66</v>
      </c>
      <c r="D47" s="28" t="s">
        <v>19</v>
      </c>
      <c r="E47" s="28"/>
      <c r="F47" s="28"/>
      <c r="G47" s="28" t="s">
        <v>74</v>
      </c>
      <c r="H47" s="30"/>
    </row>
    <row r="48" spans="1:30">
      <c r="A48" s="29"/>
      <c r="B48" s="27"/>
      <c r="C48" s="28"/>
      <c r="D48" s="28" t="s">
        <v>67</v>
      </c>
      <c r="E48" s="28"/>
      <c r="F48" s="28"/>
      <c r="G48" s="28"/>
      <c r="H48" s="30"/>
    </row>
    <row r="49" spans="1:23">
      <c r="A49" s="29"/>
      <c r="B49" s="27"/>
      <c r="C49" s="28"/>
      <c r="D49" s="28" t="s">
        <v>25</v>
      </c>
      <c r="E49" s="28"/>
      <c r="F49" s="28"/>
      <c r="G49" s="28"/>
      <c r="H49" s="30"/>
    </row>
    <row r="50" spans="1:23">
      <c r="A50" s="29"/>
      <c r="B50" s="27"/>
      <c r="C50" s="28"/>
      <c r="D50" s="28" t="s">
        <v>27</v>
      </c>
      <c r="E50" s="28"/>
      <c r="F50" s="28"/>
      <c r="G50" s="28"/>
      <c r="H50" s="30"/>
    </row>
    <row r="51" spans="1:23">
      <c r="A51" s="29"/>
      <c r="B51" s="27"/>
      <c r="C51" s="28"/>
      <c r="D51" s="28" t="s">
        <v>68</v>
      </c>
      <c r="E51" s="28"/>
      <c r="F51" s="28"/>
      <c r="G51" s="28"/>
      <c r="H51" s="30"/>
    </row>
    <row r="52" spans="1:23">
      <c r="A52" s="29"/>
      <c r="B52" s="27"/>
      <c r="C52" s="28"/>
      <c r="D52" s="28" t="s">
        <v>69</v>
      </c>
      <c r="E52" s="28"/>
      <c r="F52" s="28"/>
      <c r="G52" s="28"/>
      <c r="H52" s="30"/>
    </row>
    <row r="53" spans="1:23">
      <c r="A53" s="29"/>
      <c r="B53" s="27"/>
      <c r="C53" s="28"/>
      <c r="D53" s="28" t="s">
        <v>77</v>
      </c>
      <c r="E53" s="28"/>
      <c r="F53" s="28"/>
      <c r="G53" s="28"/>
      <c r="H53" s="30"/>
    </row>
    <row r="54" spans="1:23">
      <c r="A54" s="29"/>
      <c r="B54" s="27"/>
      <c r="C54" s="28"/>
      <c r="D54" s="28"/>
      <c r="E54" s="28"/>
      <c r="F54" s="28"/>
      <c r="G54" s="28"/>
      <c r="H54" s="30"/>
    </row>
    <row r="55" spans="1:23">
      <c r="A55" s="29"/>
      <c r="B55" s="29"/>
      <c r="C55" s="30"/>
      <c r="D55" s="30"/>
      <c r="E55" s="30"/>
      <c r="F55" s="30"/>
      <c r="G55" s="30"/>
      <c r="H55" s="30"/>
    </row>
    <row r="56" spans="1:23">
      <c r="A56" s="29"/>
      <c r="B56" s="29"/>
      <c r="C56" s="30"/>
      <c r="D56" s="30"/>
      <c r="E56" s="30"/>
      <c r="F56" s="30"/>
      <c r="G56" s="30"/>
      <c r="H56" s="30"/>
    </row>
    <row r="57" spans="1:23">
      <c r="A57" s="29"/>
      <c r="B57" s="29"/>
      <c r="C57" s="30"/>
      <c r="D57" s="30"/>
      <c r="E57" s="30"/>
      <c r="F57" s="30"/>
      <c r="G57" s="30"/>
      <c r="H57" s="30"/>
    </row>
    <row r="58" spans="1:23">
      <c r="A58" s="29"/>
      <c r="B58" s="29"/>
      <c r="C58" s="30"/>
      <c r="D58" s="30"/>
      <c r="E58" s="30"/>
      <c r="F58" s="30"/>
      <c r="G58" s="30"/>
      <c r="H58" s="30"/>
    </row>
    <row r="59" spans="1:23">
      <c r="A59" s="29"/>
      <c r="B59" s="29"/>
      <c r="C59" s="30"/>
      <c r="D59" s="30"/>
      <c r="E59" s="30"/>
      <c r="F59" s="30"/>
      <c r="G59" s="30"/>
      <c r="H59" s="30"/>
    </row>
    <row r="60" spans="1:23">
      <c r="A60" s="29"/>
      <c r="B60" s="29"/>
      <c r="C60" s="30"/>
      <c r="D60" s="30"/>
      <c r="E60" s="29"/>
      <c r="F60" s="29"/>
      <c r="G60" s="29"/>
      <c r="H60" s="29"/>
      <c r="I60" s="1"/>
      <c r="J60" s="1"/>
      <c r="K60" s="1"/>
      <c r="L60" s="1"/>
      <c r="M60" s="1"/>
      <c r="N60" s="1"/>
      <c r="O60" s="1"/>
      <c r="P60" s="1"/>
      <c r="Q60" s="1"/>
      <c r="R60" s="1"/>
      <c r="S60" s="1"/>
      <c r="T60" s="1"/>
      <c r="U60" s="1"/>
      <c r="V60" s="1"/>
      <c r="W60" s="49"/>
    </row>
    <row r="61" spans="1:23">
      <c r="A61" s="29"/>
      <c r="B61" s="29"/>
      <c r="C61" s="30"/>
      <c r="D61" s="30"/>
      <c r="E61" s="29"/>
      <c r="F61" s="29"/>
      <c r="G61" s="29"/>
      <c r="H61" s="29"/>
      <c r="I61" s="1"/>
      <c r="J61" s="1"/>
      <c r="K61" s="1"/>
      <c r="L61" s="1"/>
      <c r="M61" s="1"/>
      <c r="N61" s="1"/>
      <c r="O61" s="1"/>
      <c r="P61" s="1"/>
      <c r="Q61" s="1"/>
      <c r="R61" s="1"/>
      <c r="S61" s="1"/>
      <c r="T61" s="1"/>
      <c r="U61" s="1"/>
      <c r="V61" s="1"/>
      <c r="W61" s="49"/>
    </row>
    <row r="62" spans="1:23" ht="16.5" customHeight="1">
      <c r="E62" s="1"/>
      <c r="F62" s="1"/>
      <c r="G62" s="1"/>
      <c r="H62" s="1"/>
      <c r="I62" s="1"/>
      <c r="J62" s="1"/>
      <c r="K62" s="1"/>
      <c r="L62" s="1"/>
      <c r="M62" s="1"/>
      <c r="N62" s="1"/>
      <c r="O62" s="1"/>
      <c r="P62" s="1"/>
      <c r="Q62" s="1"/>
      <c r="R62" s="1"/>
      <c r="S62" s="1"/>
      <c r="T62" s="1"/>
      <c r="U62" s="1"/>
      <c r="V62" s="1"/>
      <c r="W62" s="49"/>
    </row>
    <row r="63" spans="1:23">
      <c r="E63" s="1"/>
      <c r="F63" s="1"/>
      <c r="G63" s="1"/>
      <c r="H63" s="1"/>
      <c r="I63" s="1"/>
      <c r="J63" s="1"/>
      <c r="K63" s="1"/>
      <c r="L63" s="1"/>
      <c r="M63" s="1"/>
      <c r="N63" s="1"/>
      <c r="O63" s="1"/>
      <c r="P63" s="1"/>
      <c r="Q63" s="1"/>
      <c r="R63" s="1"/>
      <c r="S63" s="1"/>
      <c r="T63" s="1"/>
      <c r="U63" s="1"/>
      <c r="V63" s="1"/>
      <c r="W63" s="49"/>
    </row>
    <row r="64" spans="1:23">
      <c r="E64" s="1"/>
      <c r="F64" s="1"/>
      <c r="G64" s="1"/>
      <c r="H64" s="1"/>
      <c r="I64" s="1"/>
      <c r="J64" s="1"/>
      <c r="K64" s="1"/>
      <c r="L64" s="1"/>
      <c r="M64" s="1"/>
      <c r="N64" s="1"/>
      <c r="O64" s="1"/>
      <c r="P64" s="1"/>
      <c r="Q64" s="1"/>
      <c r="R64" s="1"/>
      <c r="S64" s="1"/>
      <c r="T64" s="1"/>
      <c r="U64" s="1"/>
      <c r="V64" s="1"/>
      <c r="W64" s="49"/>
    </row>
    <row r="65" spans="5:23">
      <c r="E65" s="1"/>
      <c r="F65" s="1"/>
      <c r="G65" s="1"/>
      <c r="H65" s="1"/>
      <c r="I65" s="1"/>
      <c r="J65" s="1"/>
      <c r="K65" s="1"/>
      <c r="L65" s="1"/>
      <c r="M65" s="1"/>
      <c r="N65" s="1"/>
      <c r="O65" s="1"/>
      <c r="P65" s="1"/>
      <c r="Q65" s="1"/>
      <c r="R65" s="1"/>
      <c r="S65" s="1"/>
      <c r="T65" s="1"/>
      <c r="U65" s="1"/>
      <c r="V65" s="1"/>
      <c r="W65" s="49"/>
    </row>
    <row r="66" spans="5:23">
      <c r="E66" s="1"/>
      <c r="F66" s="1"/>
      <c r="G66" s="1"/>
      <c r="H66" s="1"/>
      <c r="I66" s="1"/>
      <c r="J66" s="1"/>
      <c r="K66" s="1"/>
      <c r="L66" s="1"/>
      <c r="M66" s="1"/>
      <c r="N66" s="1"/>
      <c r="O66" s="1"/>
      <c r="P66" s="1"/>
      <c r="Q66" s="1"/>
      <c r="R66" s="1"/>
      <c r="S66" s="1"/>
      <c r="T66" s="1"/>
      <c r="U66" s="1"/>
      <c r="V66" s="1"/>
      <c r="W66" s="49"/>
    </row>
    <row r="67" spans="5:23">
      <c r="E67" s="1"/>
      <c r="F67" s="1"/>
      <c r="G67" s="1"/>
      <c r="H67" s="1"/>
      <c r="I67" s="1"/>
      <c r="J67" s="1"/>
      <c r="K67" s="1"/>
      <c r="L67" s="1"/>
      <c r="M67" s="1"/>
      <c r="N67" s="1"/>
      <c r="O67" s="1"/>
      <c r="P67" s="1"/>
      <c r="Q67" s="1"/>
      <c r="R67" s="1"/>
      <c r="S67" s="1"/>
      <c r="T67" s="1"/>
      <c r="U67" s="1"/>
      <c r="V67" s="1"/>
      <c r="W67" s="49"/>
    </row>
    <row r="68" spans="5:23">
      <c r="E68" s="1"/>
      <c r="F68" s="1"/>
      <c r="G68" s="1"/>
      <c r="H68" s="1"/>
      <c r="I68" s="1"/>
      <c r="J68" s="1"/>
      <c r="K68" s="1"/>
      <c r="L68" s="1"/>
      <c r="M68" s="1"/>
      <c r="N68" s="1"/>
      <c r="O68" s="1"/>
      <c r="P68" s="1"/>
      <c r="Q68" s="1"/>
      <c r="R68" s="1"/>
      <c r="S68" s="1"/>
      <c r="T68" s="1"/>
      <c r="U68" s="1"/>
      <c r="V68" s="1"/>
      <c r="W68" s="49"/>
    </row>
    <row r="69" spans="5:23">
      <c r="E69" s="1"/>
      <c r="F69" s="1"/>
      <c r="G69" s="1"/>
      <c r="H69" s="1"/>
      <c r="I69" s="1"/>
      <c r="J69" s="1"/>
      <c r="K69" s="1"/>
      <c r="L69" s="1"/>
      <c r="M69" s="1"/>
      <c r="N69" s="1"/>
      <c r="O69" s="1"/>
      <c r="P69" s="1"/>
      <c r="Q69" s="1"/>
      <c r="R69" s="1"/>
      <c r="S69" s="1"/>
      <c r="T69" s="1"/>
      <c r="U69" s="1"/>
      <c r="V69" s="1"/>
      <c r="W69" s="49"/>
    </row>
    <row r="70" spans="5:23">
      <c r="E70" s="1"/>
      <c r="F70" s="1"/>
      <c r="G70" s="1"/>
      <c r="H70" s="1"/>
      <c r="I70" s="1"/>
      <c r="J70" s="1"/>
      <c r="K70" s="1"/>
      <c r="L70" s="1"/>
      <c r="M70" s="1"/>
      <c r="N70" s="1"/>
      <c r="O70" s="1"/>
      <c r="P70" s="1"/>
      <c r="Q70" s="1"/>
      <c r="R70" s="1"/>
      <c r="S70" s="1"/>
      <c r="T70" s="1"/>
      <c r="U70" s="1"/>
      <c r="V70" s="1"/>
      <c r="W70" s="49"/>
    </row>
    <row r="71" spans="5:23">
      <c r="E71" s="1"/>
      <c r="F71" s="1"/>
      <c r="G71" s="1"/>
      <c r="H71" s="1"/>
      <c r="I71" s="1"/>
      <c r="J71" s="1"/>
      <c r="K71" s="1"/>
      <c r="L71" s="1"/>
      <c r="M71" s="1"/>
      <c r="N71" s="1"/>
      <c r="O71" s="1"/>
      <c r="P71" s="1"/>
      <c r="Q71" s="1"/>
      <c r="R71" s="1"/>
      <c r="S71" s="1"/>
      <c r="T71" s="1"/>
      <c r="U71" s="1"/>
      <c r="V71" s="1"/>
      <c r="W71" s="49"/>
    </row>
    <row r="72" spans="5:23" ht="16.5" customHeight="1">
      <c r="E72" s="1"/>
      <c r="F72" s="1"/>
      <c r="G72" s="1"/>
      <c r="H72" s="1"/>
      <c r="I72" s="1"/>
      <c r="J72" s="1"/>
      <c r="K72" s="1"/>
      <c r="L72" s="1"/>
      <c r="M72" s="1"/>
      <c r="N72" s="1"/>
      <c r="O72" s="1"/>
      <c r="P72" s="1"/>
      <c r="Q72" s="1"/>
      <c r="R72" s="1"/>
      <c r="S72" s="1"/>
      <c r="T72" s="1"/>
      <c r="U72" s="1"/>
      <c r="V72" s="1"/>
      <c r="W72" s="49"/>
    </row>
    <row r="73" spans="5:23">
      <c r="E73" s="1"/>
      <c r="F73" s="1"/>
      <c r="G73" s="1"/>
      <c r="H73" s="1"/>
      <c r="I73" s="1"/>
      <c r="J73" s="1"/>
      <c r="K73" s="1"/>
      <c r="L73" s="1"/>
      <c r="M73" s="1"/>
      <c r="N73" s="1"/>
      <c r="O73" s="1"/>
      <c r="P73" s="1"/>
      <c r="Q73" s="1"/>
      <c r="R73" s="1"/>
      <c r="S73" s="1"/>
      <c r="T73" s="1"/>
      <c r="U73" s="1"/>
      <c r="V73" s="1"/>
      <c r="W73" s="49"/>
    </row>
    <row r="74" spans="5:23" ht="16.5" customHeight="1">
      <c r="E74" s="1"/>
      <c r="F74" s="1"/>
      <c r="G74" s="1"/>
      <c r="H74" s="1"/>
      <c r="I74" s="1"/>
      <c r="J74" s="1"/>
      <c r="K74" s="1"/>
      <c r="L74" s="1"/>
      <c r="M74" s="1"/>
      <c r="N74" s="1"/>
      <c r="O74" s="1"/>
      <c r="P74" s="1"/>
      <c r="Q74" s="1"/>
      <c r="R74" s="1"/>
      <c r="S74" s="1"/>
      <c r="T74" s="1"/>
      <c r="U74" s="1"/>
      <c r="V74" s="1"/>
      <c r="W74" s="49"/>
    </row>
    <row r="75" spans="5:23">
      <c r="E75" s="1"/>
      <c r="F75" s="1"/>
      <c r="G75" s="1"/>
      <c r="H75" s="1"/>
      <c r="I75" s="1"/>
      <c r="J75" s="1"/>
      <c r="K75" s="1"/>
      <c r="L75" s="1"/>
      <c r="M75" s="1"/>
      <c r="N75" s="1"/>
      <c r="O75" s="1"/>
      <c r="P75" s="1"/>
      <c r="Q75" s="1"/>
      <c r="R75" s="1"/>
      <c r="S75" s="1"/>
      <c r="T75" s="1"/>
      <c r="U75" s="1"/>
      <c r="V75" s="1"/>
      <c r="W75" s="49"/>
    </row>
    <row r="76" spans="5:23">
      <c r="E76" s="1"/>
      <c r="F76" s="1"/>
      <c r="G76" s="1"/>
      <c r="H76" s="1"/>
      <c r="I76" s="1"/>
      <c r="J76" s="1"/>
      <c r="K76" s="1"/>
      <c r="L76" s="1"/>
      <c r="M76" s="1"/>
      <c r="N76" s="1"/>
      <c r="O76" s="1"/>
      <c r="P76" s="1"/>
      <c r="Q76" s="1"/>
      <c r="R76" s="1"/>
      <c r="S76" s="1"/>
      <c r="T76" s="1"/>
      <c r="U76" s="1"/>
      <c r="V76" s="1"/>
      <c r="W76" s="49"/>
    </row>
    <row r="77" spans="5:23">
      <c r="E77" s="1"/>
      <c r="F77" s="1"/>
      <c r="G77" s="1"/>
      <c r="H77" s="1"/>
      <c r="I77" s="1"/>
      <c r="J77" s="1"/>
      <c r="K77" s="1"/>
      <c r="L77" s="1"/>
      <c r="M77" s="1"/>
      <c r="N77" s="1"/>
      <c r="O77" s="1"/>
      <c r="P77" s="1"/>
      <c r="Q77" s="1"/>
      <c r="R77" s="1"/>
      <c r="S77" s="1"/>
      <c r="T77" s="1"/>
      <c r="U77" s="1"/>
      <c r="V77" s="1"/>
      <c r="W77" s="49"/>
    </row>
    <row r="78" spans="5:23">
      <c r="E78" s="1"/>
      <c r="F78" s="1"/>
      <c r="G78" s="1"/>
      <c r="H78" s="1"/>
      <c r="I78" s="1"/>
      <c r="J78" s="1"/>
      <c r="K78" s="1"/>
      <c r="L78" s="1"/>
      <c r="M78" s="1"/>
      <c r="N78" s="1"/>
      <c r="O78" s="1"/>
      <c r="P78" s="1"/>
      <c r="Q78" s="1"/>
      <c r="R78" s="1"/>
      <c r="S78" s="1"/>
      <c r="T78" s="1"/>
      <c r="U78" s="1"/>
      <c r="V78" s="1"/>
      <c r="W78" s="49"/>
    </row>
    <row r="79" spans="5:23">
      <c r="E79" s="1"/>
      <c r="F79" s="1"/>
      <c r="G79" s="1"/>
      <c r="H79" s="1"/>
      <c r="I79" s="1"/>
      <c r="J79" s="1"/>
      <c r="K79" s="1"/>
      <c r="L79" s="1"/>
      <c r="M79" s="1"/>
      <c r="N79" s="1"/>
      <c r="O79" s="1"/>
      <c r="P79" s="1"/>
      <c r="Q79" s="1"/>
      <c r="R79" s="1"/>
      <c r="S79" s="1"/>
      <c r="T79" s="1"/>
      <c r="U79" s="1"/>
      <c r="V79" s="1"/>
      <c r="W79" s="49"/>
    </row>
    <row r="80" spans="5:23">
      <c r="E80" s="1"/>
      <c r="F80" s="1"/>
      <c r="G80" s="1"/>
      <c r="H80" s="1"/>
      <c r="I80" s="1"/>
      <c r="J80" s="1"/>
      <c r="K80" s="1"/>
      <c r="L80" s="1"/>
      <c r="M80" s="1"/>
      <c r="N80" s="1"/>
      <c r="O80" s="1"/>
      <c r="P80" s="1"/>
      <c r="Q80" s="1"/>
      <c r="R80" s="1"/>
      <c r="S80" s="1"/>
      <c r="T80" s="1"/>
      <c r="U80" s="1"/>
      <c r="V80" s="1"/>
      <c r="W80" s="49"/>
    </row>
    <row r="81" spans="5:23">
      <c r="E81" s="1"/>
      <c r="F81" s="1"/>
      <c r="G81" s="1"/>
      <c r="H81" s="1"/>
      <c r="I81" s="1"/>
      <c r="J81" s="1"/>
      <c r="K81" s="1"/>
      <c r="L81" s="1"/>
      <c r="M81" s="1"/>
      <c r="N81" s="1"/>
      <c r="O81" s="1"/>
      <c r="P81" s="1"/>
      <c r="Q81" s="1"/>
      <c r="R81" s="1"/>
      <c r="S81" s="1"/>
      <c r="T81" s="1"/>
      <c r="U81" s="1"/>
      <c r="V81" s="1"/>
      <c r="W81" s="49"/>
    </row>
    <row r="82" spans="5:23">
      <c r="E82" s="1"/>
      <c r="F82" s="1"/>
      <c r="G82" s="1"/>
      <c r="H82" s="1"/>
      <c r="I82" s="1"/>
      <c r="J82" s="1"/>
      <c r="K82" s="1"/>
      <c r="L82" s="1"/>
      <c r="M82" s="1"/>
      <c r="N82" s="1"/>
      <c r="O82" s="1"/>
      <c r="P82" s="1"/>
      <c r="Q82" s="1"/>
      <c r="R82" s="1"/>
      <c r="S82" s="1"/>
      <c r="T82" s="1"/>
      <c r="U82" s="1"/>
      <c r="V82" s="1"/>
      <c r="W82" s="49"/>
    </row>
    <row r="83" spans="5:23">
      <c r="E83" s="1"/>
      <c r="F83" s="1"/>
      <c r="G83" s="1"/>
      <c r="H83" s="1"/>
      <c r="I83" s="1"/>
      <c r="J83" s="1"/>
      <c r="K83" s="1"/>
      <c r="L83" s="1"/>
      <c r="M83" s="1"/>
      <c r="N83" s="1"/>
      <c r="O83" s="1"/>
      <c r="P83" s="1"/>
      <c r="Q83" s="1"/>
      <c r="R83" s="1"/>
      <c r="S83" s="1"/>
      <c r="T83" s="1"/>
      <c r="U83" s="1"/>
      <c r="V83" s="1"/>
      <c r="W83" s="49"/>
    </row>
    <row r="84" spans="5:23">
      <c r="E84" s="1"/>
      <c r="F84" s="1"/>
      <c r="G84" s="1"/>
      <c r="H84" s="1"/>
      <c r="I84" s="1"/>
      <c r="J84" s="1"/>
      <c r="K84" s="1"/>
      <c r="L84" s="1"/>
      <c r="M84" s="1"/>
      <c r="N84" s="1"/>
      <c r="O84" s="1"/>
      <c r="P84" s="1"/>
      <c r="Q84" s="1"/>
      <c r="R84" s="1"/>
      <c r="S84" s="1"/>
      <c r="T84" s="1"/>
      <c r="U84" s="1"/>
      <c r="V84" s="1"/>
      <c r="W84" s="49"/>
    </row>
    <row r="85" spans="5:23">
      <c r="E85" s="1"/>
      <c r="F85" s="1"/>
      <c r="G85" s="1"/>
      <c r="H85" s="1"/>
      <c r="I85" s="1"/>
      <c r="J85" s="1"/>
      <c r="K85" s="1"/>
      <c r="L85" s="1"/>
      <c r="M85" s="1"/>
      <c r="N85" s="1"/>
      <c r="O85" s="1"/>
      <c r="P85" s="1"/>
      <c r="Q85" s="1"/>
      <c r="R85" s="1"/>
      <c r="S85" s="1"/>
      <c r="T85" s="1"/>
      <c r="U85" s="1"/>
      <c r="V85" s="1"/>
      <c r="W85" s="49"/>
    </row>
    <row r="86" spans="5:23">
      <c r="E86" s="1"/>
      <c r="F86" s="1"/>
      <c r="G86" s="1"/>
      <c r="H86" s="1"/>
      <c r="I86" s="1"/>
      <c r="J86" s="1"/>
      <c r="K86" s="1"/>
      <c r="L86" s="1"/>
      <c r="M86" s="1"/>
      <c r="N86" s="1"/>
      <c r="O86" s="1"/>
      <c r="P86" s="1"/>
      <c r="Q86" s="1"/>
      <c r="R86" s="1"/>
      <c r="S86" s="1"/>
      <c r="T86" s="1"/>
      <c r="U86" s="1"/>
      <c r="V86" s="1"/>
      <c r="W86" s="49"/>
    </row>
    <row r="87" spans="5:23">
      <c r="E87" s="1"/>
      <c r="F87" s="1"/>
      <c r="G87" s="1"/>
      <c r="H87" s="1"/>
      <c r="I87" s="1"/>
      <c r="J87" s="1"/>
      <c r="K87" s="1"/>
      <c r="L87" s="1"/>
      <c r="M87" s="1"/>
      <c r="N87" s="1"/>
      <c r="O87" s="1"/>
      <c r="P87" s="1"/>
      <c r="Q87" s="1"/>
      <c r="R87" s="1"/>
      <c r="S87" s="1"/>
      <c r="T87" s="1"/>
      <c r="U87" s="1"/>
      <c r="V87" s="1"/>
      <c r="W87" s="49"/>
    </row>
    <row r="88" spans="5:23">
      <c r="E88" s="1"/>
      <c r="F88" s="1"/>
      <c r="G88" s="1"/>
      <c r="H88" s="1"/>
      <c r="I88" s="1"/>
      <c r="J88" s="1"/>
      <c r="K88" s="1"/>
      <c r="L88" s="1"/>
      <c r="M88" s="1"/>
      <c r="N88" s="1"/>
      <c r="O88" s="1"/>
      <c r="P88" s="1"/>
      <c r="Q88" s="1"/>
      <c r="R88" s="1"/>
      <c r="S88" s="1"/>
      <c r="T88" s="1"/>
      <c r="U88" s="1"/>
      <c r="V88" s="1"/>
      <c r="W88" s="49"/>
    </row>
    <row r="89" spans="5:23">
      <c r="E89" s="1"/>
      <c r="F89" s="1"/>
      <c r="G89" s="1"/>
      <c r="H89" s="1"/>
      <c r="I89" s="1"/>
      <c r="J89" s="1"/>
      <c r="K89" s="1"/>
      <c r="L89" s="1"/>
      <c r="M89" s="1"/>
      <c r="N89" s="1"/>
      <c r="O89" s="1"/>
      <c r="P89" s="1"/>
      <c r="Q89" s="1"/>
      <c r="R89" s="1"/>
      <c r="S89" s="1"/>
      <c r="T89" s="1"/>
      <c r="U89" s="1"/>
      <c r="V89" s="1"/>
      <c r="W89" s="49"/>
    </row>
    <row r="90" spans="5:23">
      <c r="E90" s="1"/>
      <c r="F90" s="1"/>
      <c r="G90" s="1"/>
      <c r="H90" s="1"/>
      <c r="I90" s="1"/>
      <c r="J90" s="1"/>
      <c r="K90" s="1"/>
      <c r="L90" s="1"/>
      <c r="M90" s="1"/>
      <c r="N90" s="1"/>
      <c r="O90" s="1"/>
      <c r="P90" s="1"/>
      <c r="Q90" s="1"/>
      <c r="R90" s="1"/>
      <c r="S90" s="1"/>
      <c r="T90" s="1"/>
      <c r="U90" s="1"/>
      <c r="V90" s="1"/>
      <c r="W90" s="49"/>
    </row>
    <row r="91" spans="5:23">
      <c r="E91" s="1"/>
      <c r="F91" s="1"/>
      <c r="G91" s="1"/>
      <c r="H91" s="1"/>
      <c r="I91" s="1"/>
      <c r="J91" s="1"/>
      <c r="K91" s="1"/>
      <c r="L91" s="1"/>
      <c r="M91" s="1"/>
      <c r="N91" s="1"/>
      <c r="O91" s="1"/>
      <c r="P91" s="1"/>
      <c r="Q91" s="1"/>
      <c r="R91" s="1"/>
      <c r="S91" s="1"/>
      <c r="T91" s="1"/>
      <c r="U91" s="1"/>
      <c r="V91" s="1"/>
      <c r="W91" s="49"/>
    </row>
    <row r="92" spans="5:23">
      <c r="E92" s="1"/>
      <c r="F92" s="1"/>
      <c r="G92" s="1"/>
      <c r="H92" s="1"/>
      <c r="I92" s="1"/>
      <c r="J92" s="1"/>
      <c r="K92" s="1"/>
      <c r="L92" s="1"/>
      <c r="M92" s="1"/>
      <c r="N92" s="1"/>
      <c r="O92" s="1"/>
      <c r="P92" s="1"/>
      <c r="Q92" s="1"/>
      <c r="R92" s="1"/>
      <c r="S92" s="1"/>
      <c r="T92" s="1"/>
      <c r="U92" s="1"/>
      <c r="V92" s="1"/>
      <c r="W92" s="49"/>
    </row>
    <row r="93" spans="5:23">
      <c r="E93" s="1"/>
      <c r="F93" s="1"/>
      <c r="G93" s="1"/>
      <c r="H93" s="1"/>
      <c r="I93" s="1"/>
      <c r="J93" s="1"/>
      <c r="K93" s="1"/>
      <c r="L93" s="1"/>
      <c r="M93" s="1"/>
      <c r="N93" s="1"/>
      <c r="O93" s="1"/>
      <c r="P93" s="1"/>
      <c r="Q93" s="1"/>
      <c r="R93" s="1"/>
      <c r="S93" s="1"/>
      <c r="T93" s="1"/>
      <c r="U93" s="1"/>
      <c r="V93" s="1"/>
      <c r="W93" s="49"/>
    </row>
    <row r="94" spans="5:23">
      <c r="E94" s="1"/>
      <c r="F94" s="1"/>
      <c r="G94" s="1"/>
      <c r="H94" s="1"/>
      <c r="I94" s="1"/>
      <c r="J94" s="1"/>
      <c r="K94" s="1"/>
      <c r="L94" s="1"/>
      <c r="M94" s="1"/>
      <c r="N94" s="1"/>
      <c r="O94" s="1"/>
      <c r="P94" s="1"/>
      <c r="Q94" s="1"/>
      <c r="R94" s="1"/>
      <c r="S94" s="1"/>
      <c r="T94" s="1"/>
      <c r="U94" s="1"/>
      <c r="V94" s="1"/>
      <c r="W94" s="49"/>
    </row>
    <row r="95" spans="5:23">
      <c r="E95" s="1"/>
      <c r="F95" s="1"/>
      <c r="G95" s="1"/>
      <c r="H95" s="1"/>
      <c r="I95" s="1"/>
      <c r="J95" s="1"/>
      <c r="K95" s="1"/>
      <c r="L95" s="1"/>
      <c r="M95" s="1"/>
      <c r="N95" s="1"/>
      <c r="O95" s="1"/>
      <c r="P95" s="1"/>
      <c r="Q95" s="1"/>
      <c r="R95" s="1"/>
      <c r="S95" s="1"/>
      <c r="T95" s="1"/>
      <c r="U95" s="1"/>
      <c r="V95" s="1"/>
      <c r="W95" s="49"/>
    </row>
    <row r="96" spans="5:23">
      <c r="E96" s="1"/>
      <c r="F96" s="1"/>
      <c r="G96" s="1"/>
      <c r="H96" s="1"/>
      <c r="I96" s="1"/>
      <c r="J96" s="1"/>
      <c r="K96" s="1"/>
      <c r="L96" s="1"/>
      <c r="M96" s="1"/>
      <c r="N96" s="1"/>
      <c r="O96" s="1"/>
      <c r="P96" s="1"/>
      <c r="Q96" s="1"/>
      <c r="R96" s="1"/>
      <c r="S96" s="1"/>
      <c r="T96" s="1"/>
      <c r="U96" s="1"/>
      <c r="V96" s="1"/>
      <c r="W96" s="49"/>
    </row>
  </sheetData>
  <mergeCells count="18">
    <mergeCell ref="M7:N7"/>
    <mergeCell ref="S7:T7"/>
    <mergeCell ref="U7:V7"/>
    <mergeCell ref="AC7:AD7"/>
    <mergeCell ref="O7:P7"/>
    <mergeCell ref="W7:X7"/>
    <mergeCell ref="Q7:R7"/>
    <mergeCell ref="Y7:Z7"/>
    <mergeCell ref="AA7:AB7"/>
    <mergeCell ref="A27:B27"/>
    <mergeCell ref="C27:L27"/>
    <mergeCell ref="A7:A8"/>
    <mergeCell ref="C7:D7"/>
    <mergeCell ref="E7:F7"/>
    <mergeCell ref="G7:H7"/>
    <mergeCell ref="K7:L7"/>
    <mergeCell ref="A25:H25"/>
    <mergeCell ref="I7:J7"/>
  </mergeCells>
  <phoneticPr fontId="23" type="noConversion"/>
  <conditionalFormatting sqref="AA25">
    <cfRule type="cellIs" dxfId="41" priority="11" stopIfTrue="1" operator="lessThan">
      <formula>$AA$25</formula>
    </cfRule>
  </conditionalFormatting>
  <conditionalFormatting sqref="A25">
    <cfRule type="cellIs" dxfId="40" priority="37" stopIfTrue="1" operator="greaterThan">
      <formula>$AB$25</formula>
    </cfRule>
    <cfRule type="cellIs" dxfId="39" priority="38" stopIfTrue="1" operator="lessThan">
      <formula>$AA$25</formula>
    </cfRule>
  </conditionalFormatting>
  <conditionalFormatting sqref="AA21">
    <cfRule type="cellIs" dxfId="38" priority="39" stopIfTrue="1" operator="greaterThan">
      <formula>Lim_haut</formula>
    </cfRule>
    <cfRule type="cellIs" dxfId="37" priority="40" stopIfTrue="1" operator="lessThan">
      <formula>Lim_bas</formula>
    </cfRule>
  </conditionalFormatting>
  <dataValidations count="6">
    <dataValidation type="whole" errorStyle="warning" allowBlank="1" showInputMessage="1" showErrorMessage="1" errorTitle="TEST" error="la valeur entrée semble suspecte" sqref="AA9:AA20">
      <formula1>0.15/12</formula1>
      <formula2>4.06/12</formula2>
    </dataValidation>
    <dataValidation type="list" allowBlank="1" showInputMessage="1" showErrorMessage="1" sqref="D30:D36">
      <formula1>$D$46:$D$53</formula1>
    </dataValidation>
    <dataValidation type="list" allowBlank="1" showInputMessage="1" showErrorMessage="1" sqref="G30:G36">
      <formula1>$G$46:$G$47</formula1>
    </dataValidation>
    <dataValidation type="list" allowBlank="1" showInputMessage="1" showErrorMessage="1" sqref="H30:H36">
      <formula1>$A$9:$A$20</formula1>
    </dataValidation>
    <dataValidation type="list" allowBlank="1" showInputMessage="1" showErrorMessage="1" sqref="C30:C36">
      <formula1>$C$46:$C$47</formula1>
    </dataValidation>
    <dataValidation type="list" allowBlank="1" showInputMessage="1" showErrorMessage="1" sqref="D37">
      <formula1>$D$46:$D$52</formula1>
    </dataValidation>
  </dataValidations>
  <hyperlinks>
    <hyperlink ref="A7" location="Résumé!A1" display="Résumé!A1"/>
  </hyperlinks>
  <pageMargins left="0.70866141732283472" right="0.70866141732283472" top="0.74803149606299213" bottom="0.74803149606299213" header="0.31496062992125984" footer="0.31496062992125984"/>
  <pageSetup scale="20" orientation="landscape" r:id="rId1"/>
  <headerFooter>
    <oddFooter>&amp;L&amp;"Arial,Normal"&amp;10Transition énergétique Québec&amp;R&amp;F
&amp;A</oddFooter>
  </headerFooter>
  <colBreaks count="1" manualBreakCount="1">
    <brk id="29" max="37" man="1"/>
  </colBreaks>
  <ignoredErrors>
    <ignoredError sqref="Y30:Y33 K30:L36" evalError="1"/>
  </ignoredError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0">
    <tabColor rgb="FF99CC00"/>
    <pageSetUpPr fitToPage="1"/>
  </sheetPr>
  <dimension ref="A1:AG104"/>
  <sheetViews>
    <sheetView showZeros="0" zoomScaleNormal="100" zoomScaleSheetLayoutView="100" workbookViewId="0">
      <selection activeCell="B21" sqref="B21"/>
    </sheetView>
  </sheetViews>
  <sheetFormatPr baseColWidth="10" defaultColWidth="9.109375" defaultRowHeight="14.4"/>
  <cols>
    <col min="1" max="1" width="16.5546875" style="1" customWidth="1"/>
    <col min="2" max="2" width="18" style="1" customWidth="1"/>
    <col min="3" max="3" width="16" style="23" customWidth="1"/>
    <col min="4" max="4" width="18" style="23" customWidth="1"/>
    <col min="5" max="5" width="16" style="23" customWidth="1"/>
    <col min="6" max="6" width="17.44140625" style="23" customWidth="1"/>
    <col min="7" max="19" width="16" style="23" customWidth="1"/>
    <col min="20" max="20" width="18.5546875" style="23" customWidth="1"/>
    <col min="21" max="21" width="16" style="23" customWidth="1"/>
    <col min="22" max="22" width="18.88671875" style="23" customWidth="1"/>
    <col min="23" max="23" width="16" style="23" customWidth="1"/>
    <col min="24" max="24" width="18.5546875" style="23" customWidth="1"/>
    <col min="25" max="25" width="16" style="47" customWidth="1"/>
    <col min="26" max="26" width="23.44140625" style="49" customWidth="1"/>
    <col min="27" max="30" width="16" style="49" customWidth="1"/>
    <col min="31" max="31" width="16.33203125" style="49" customWidth="1"/>
    <col min="32" max="16384" width="9.109375" style="49"/>
  </cols>
  <sheetData>
    <row r="1" spans="1:33" s="1" customFormat="1" ht="117.75" customHeight="1">
      <c r="C1" s="382" t="s">
        <v>363</v>
      </c>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row>
    <row r="2" spans="1:33" s="1" customFormat="1" ht="18">
      <c r="C2" s="26"/>
      <c r="D2" s="125" t="s">
        <v>380</v>
      </c>
      <c r="E2" s="126"/>
      <c r="F2" s="127"/>
      <c r="G2" s="128"/>
      <c r="H2" s="128"/>
      <c r="I2" s="129"/>
      <c r="J2" s="128"/>
      <c r="K2" s="128"/>
      <c r="L2" s="128"/>
      <c r="M2" s="128"/>
      <c r="N2" s="128"/>
      <c r="O2" s="128"/>
      <c r="P2" s="26"/>
      <c r="Q2" s="26"/>
      <c r="R2" s="26"/>
      <c r="S2" s="26"/>
      <c r="T2" s="26"/>
      <c r="U2" s="26"/>
      <c r="V2" s="26"/>
      <c r="W2" s="26"/>
      <c r="X2" s="26"/>
      <c r="Y2" s="26"/>
      <c r="Z2" s="26"/>
      <c r="AA2" s="26"/>
      <c r="AB2" s="26"/>
      <c r="AC2" s="26"/>
      <c r="AD2" s="26"/>
      <c r="AE2" s="26"/>
    </row>
    <row r="3" spans="1:33" s="1" customFormat="1" ht="19.5" customHeight="1">
      <c r="C3" s="26"/>
      <c r="D3" s="233" t="s">
        <v>1059</v>
      </c>
      <c r="E3" s="227"/>
      <c r="F3" s="228"/>
      <c r="G3" s="233"/>
      <c r="H3" s="233"/>
      <c r="I3" s="251"/>
      <c r="J3" s="252"/>
      <c r="K3" s="252"/>
      <c r="L3" s="252"/>
      <c r="M3" s="252"/>
      <c r="N3" s="252"/>
      <c r="O3" s="252"/>
      <c r="P3" s="253"/>
      <c r="Q3" s="253"/>
      <c r="R3" s="253"/>
      <c r="S3" s="253"/>
      <c r="T3" s="26"/>
      <c r="U3" s="26"/>
      <c r="V3" s="26"/>
      <c r="W3" s="26"/>
      <c r="X3" s="26"/>
      <c r="Y3" s="26"/>
      <c r="Z3" s="26"/>
      <c r="AA3" s="26"/>
      <c r="AB3" s="26"/>
      <c r="AC3" s="26"/>
      <c r="AD3" s="26"/>
      <c r="AE3" s="26"/>
    </row>
    <row r="4" spans="1:33" s="1" customFormat="1" ht="15.6">
      <c r="C4" s="26"/>
      <c r="D4" s="82" t="s">
        <v>435</v>
      </c>
      <c r="E4" s="78"/>
      <c r="F4" s="79"/>
      <c r="G4" s="71"/>
      <c r="H4" s="71"/>
      <c r="I4" s="71"/>
      <c r="J4" s="71"/>
      <c r="K4" s="71"/>
      <c r="L4" s="71"/>
      <c r="M4" s="71"/>
      <c r="N4" s="71"/>
      <c r="O4" s="71"/>
      <c r="P4" s="26"/>
      <c r="Q4" s="26"/>
      <c r="R4" s="26"/>
      <c r="S4" s="26"/>
      <c r="T4" s="26"/>
      <c r="U4" s="26"/>
      <c r="V4" s="26"/>
      <c r="W4" s="26"/>
      <c r="X4" s="26"/>
      <c r="Y4" s="26"/>
      <c r="Z4" s="26"/>
      <c r="AA4" s="26"/>
      <c r="AB4" s="26"/>
      <c r="AC4" s="26"/>
      <c r="AD4" s="26"/>
      <c r="AE4" s="26"/>
    </row>
    <row r="5" spans="1:33" s="1" customFormat="1" ht="15.6">
      <c r="C5" s="26"/>
      <c r="D5" s="82" t="s">
        <v>372</v>
      </c>
      <c r="E5" s="78"/>
      <c r="F5" s="79"/>
      <c r="G5" s="71"/>
      <c r="H5" s="71"/>
      <c r="I5" s="71"/>
      <c r="J5" s="71"/>
      <c r="K5" s="71"/>
      <c r="L5" s="71"/>
      <c r="M5" s="71"/>
      <c r="N5" s="71"/>
      <c r="O5" s="71"/>
      <c r="P5" s="26"/>
      <c r="Q5" s="26"/>
      <c r="R5" s="26"/>
      <c r="S5" s="26"/>
      <c r="T5" s="26"/>
      <c r="U5" s="26"/>
      <c r="V5" s="26"/>
      <c r="W5" s="26"/>
      <c r="X5" s="26"/>
      <c r="Y5" s="26"/>
      <c r="Z5" s="26"/>
      <c r="AA5" s="26"/>
      <c r="AB5" s="26"/>
      <c r="AC5" s="26"/>
      <c r="AD5" s="26"/>
      <c r="AE5" s="26"/>
    </row>
    <row r="6" spans="1:33" s="1" customFormat="1" ht="15" thickBot="1">
      <c r="C6" s="26"/>
      <c r="D6" s="26"/>
      <c r="E6" s="26"/>
      <c r="F6" s="26"/>
      <c r="G6" s="26"/>
      <c r="H6" s="26"/>
      <c r="I6" s="26"/>
      <c r="J6" s="26"/>
      <c r="K6" s="26"/>
      <c r="L6" s="26"/>
      <c r="M6" s="26"/>
      <c r="N6" s="26"/>
      <c r="O6" s="26"/>
      <c r="P6" s="26"/>
      <c r="Q6" s="26"/>
      <c r="R6" s="26"/>
      <c r="S6" s="26"/>
      <c r="T6" s="26"/>
      <c r="U6" s="26"/>
      <c r="V6" s="26"/>
      <c r="W6" s="26"/>
      <c r="X6" s="26"/>
      <c r="Y6" s="26"/>
      <c r="Z6" s="26"/>
      <c r="AA6" s="26"/>
      <c r="AB6" s="26"/>
      <c r="AC6" s="525"/>
      <c r="AD6" s="26"/>
      <c r="AE6" s="26"/>
    </row>
    <row r="7" spans="1:33" ht="30.75" customHeight="1" thickTop="1">
      <c r="A7" s="563" t="s">
        <v>78</v>
      </c>
      <c r="B7" s="4" t="s">
        <v>13</v>
      </c>
      <c r="C7" s="556" t="s">
        <v>22</v>
      </c>
      <c r="D7" s="557"/>
      <c r="E7" s="556" t="s">
        <v>19</v>
      </c>
      <c r="F7" s="557"/>
      <c r="G7" s="556" t="s">
        <v>24</v>
      </c>
      <c r="H7" s="557"/>
      <c r="I7" s="556" t="s">
        <v>25</v>
      </c>
      <c r="J7" s="557"/>
      <c r="K7" s="556" t="s">
        <v>805</v>
      </c>
      <c r="L7" s="557"/>
      <c r="M7" s="556" t="s">
        <v>27</v>
      </c>
      <c r="N7" s="557"/>
      <c r="O7" s="558" t="s">
        <v>757</v>
      </c>
      <c r="P7" s="559"/>
      <c r="Q7" s="558" t="s">
        <v>758</v>
      </c>
      <c r="R7" s="559"/>
      <c r="S7" s="558" t="s">
        <v>412</v>
      </c>
      <c r="T7" s="559"/>
      <c r="U7" s="558" t="s">
        <v>624</v>
      </c>
      <c r="V7" s="559"/>
      <c r="W7" s="558" t="s">
        <v>625</v>
      </c>
      <c r="X7" s="559"/>
      <c r="Y7" s="556" t="s">
        <v>16</v>
      </c>
      <c r="Z7" s="557"/>
      <c r="AA7" s="556" t="s">
        <v>52</v>
      </c>
      <c r="AB7" s="557"/>
      <c r="AC7" s="556" t="s">
        <v>45</v>
      </c>
      <c r="AD7" s="557"/>
      <c r="AE7" s="4" t="s">
        <v>40</v>
      </c>
    </row>
    <row r="8" spans="1:33" ht="18" customHeight="1" thickBot="1">
      <c r="A8" s="563"/>
      <c r="B8" s="8" t="s">
        <v>36</v>
      </c>
      <c r="C8" s="7" t="s">
        <v>376</v>
      </c>
      <c r="D8" s="6" t="s">
        <v>20</v>
      </c>
      <c r="E8" s="7" t="s">
        <v>31</v>
      </c>
      <c r="F8" s="6" t="s">
        <v>20</v>
      </c>
      <c r="G8" s="7" t="s">
        <v>23</v>
      </c>
      <c r="H8" s="6" t="s">
        <v>20</v>
      </c>
      <c r="I8" s="7" t="s">
        <v>23</v>
      </c>
      <c r="J8" s="6" t="s">
        <v>20</v>
      </c>
      <c r="K8" s="7" t="s">
        <v>23</v>
      </c>
      <c r="L8" s="6" t="s">
        <v>20</v>
      </c>
      <c r="M8" s="7" t="s">
        <v>23</v>
      </c>
      <c r="N8" s="6" t="s">
        <v>20</v>
      </c>
      <c r="O8" s="7" t="s">
        <v>28</v>
      </c>
      <c r="P8" s="6" t="s">
        <v>20</v>
      </c>
      <c r="Q8" s="7" t="s">
        <v>28</v>
      </c>
      <c r="R8" s="6" t="s">
        <v>20</v>
      </c>
      <c r="S8" s="216" t="s">
        <v>626</v>
      </c>
      <c r="T8" s="6" t="s">
        <v>20</v>
      </c>
      <c r="U8" s="7" t="s">
        <v>628</v>
      </c>
      <c r="V8" s="6" t="s">
        <v>20</v>
      </c>
      <c r="W8" s="7" t="s">
        <v>628</v>
      </c>
      <c r="X8" s="6" t="s">
        <v>20</v>
      </c>
      <c r="Y8" s="7" t="s">
        <v>17</v>
      </c>
      <c r="Z8" s="6" t="s">
        <v>20</v>
      </c>
      <c r="AA8" s="7" t="s">
        <v>37</v>
      </c>
      <c r="AB8" s="6" t="s">
        <v>35</v>
      </c>
      <c r="AC8" s="7" t="s">
        <v>1060</v>
      </c>
      <c r="AD8" s="6" t="s">
        <v>793</v>
      </c>
      <c r="AE8" s="9" t="s">
        <v>43</v>
      </c>
    </row>
    <row r="9" spans="1:33" ht="17.25" customHeight="1" thickTop="1" thickBot="1">
      <c r="A9" s="243">
        <f>VALUE(CONCATENATE(LEFT(Annee_financiere,FIND("-",Annee_financiere)-1),"-",A22))</f>
        <v>41730</v>
      </c>
      <c r="B9" s="254"/>
      <c r="C9" s="255"/>
      <c r="D9" s="255"/>
      <c r="E9" s="255"/>
      <c r="F9" s="256"/>
      <c r="G9" s="255"/>
      <c r="H9" s="256"/>
      <c r="I9" s="255"/>
      <c r="J9" s="256"/>
      <c r="K9" s="420"/>
      <c r="L9" s="420"/>
      <c r="M9" s="255"/>
      <c r="N9" s="256"/>
      <c r="O9" s="255"/>
      <c r="P9" s="256"/>
      <c r="Q9" s="255"/>
      <c r="R9" s="256"/>
      <c r="S9" s="255"/>
      <c r="T9" s="256"/>
      <c r="U9" s="255"/>
      <c r="V9" s="256"/>
      <c r="W9" s="255"/>
      <c r="X9" s="256"/>
      <c r="Y9" s="99">
        <f t="shared" ref="Y9:Y21" si="0">C9*kWh_Élect_to_GJ+E9*m3_GazNat_to_GJ+G9*L_Mazout2_to_GJ+I9*L_Mazout6_to_GJ+K9*L_Mazout2_to_GJ+M9*L_Propane_to_GJ+O9*kg_Bois8_to_GJ+Q9*kg_Bois35_to_GJ+S9*lbs_vapeur_to_GJ+U9*MBTU_eaurefroidie_to_GJ+W9*MBTU_eauchaude_to_GJ</f>
        <v>0</v>
      </c>
      <c r="Z9" s="258">
        <f>D9+F9+H9+J9+N9+P9+R9+T9+V9+X9+L9</f>
        <v>0</v>
      </c>
      <c r="AA9" s="17" t="str">
        <f>IF(ISERROR(Y9/B9),"",Y9/B9)</f>
        <v/>
      </c>
      <c r="AB9" s="18" t="str">
        <f>IF(ISERROR(Z9/B9),"",Z9/B9)</f>
        <v/>
      </c>
      <c r="AC9" s="102">
        <f>(C9*kWh_Élect_to_kgGES+E9*IF(U_GNat="[m³]",m3_GazNat_to_kgGES,Conversion!$H$27)+G9*IF(U_Ma2="[l]",L_Mazout2_to_kgGES,Conversion!$H$29)+I9*IF(U_Ma6="[l]",L_Mazout6_to_kgGES,Conversion!$H$31)+K9*L_Mazout2_to_kgGES+M9*IF(U_Prop="[l]",L_Propane_to_kgGES,Conversion!$H$35)+O9*kg_Bois8_to_kgGES+Q9*kg_Bois35_to_kgGES+S9*lbs_vapeur_to_kgGES+U9*MBTU_eaurefroidie_to_kgGES+W9*MBTU_eauchaude_to_kgGES)/1000</f>
        <v>0</v>
      </c>
      <c r="AD9" s="103">
        <f>(IF(ISERROR(AC9/B9),0,(AC9/B9)))*1000</f>
        <v>0</v>
      </c>
      <c r="AE9" s="5">
        <f t="shared" ref="AE9:AE20" si="1">INDEX(plage_DJ,MATCH(A9,plage_date),3)</f>
        <v>368.1</v>
      </c>
      <c r="AG9" s="49">
        <v>12</v>
      </c>
    </row>
    <row r="10" spans="1:33" ht="17.25" customHeight="1" thickTop="1" thickBot="1">
      <c r="A10" s="244">
        <f>DATE(YEAR(A9),MONTH(A9)+1,DAY(A9))</f>
        <v>41760</v>
      </c>
      <c r="B10" s="254"/>
      <c r="C10" s="255"/>
      <c r="D10" s="256"/>
      <c r="E10" s="255"/>
      <c r="F10" s="256"/>
      <c r="G10" s="255"/>
      <c r="H10" s="256"/>
      <c r="I10" s="255"/>
      <c r="J10" s="256"/>
      <c r="K10" s="420"/>
      <c r="L10" s="420"/>
      <c r="M10" s="255"/>
      <c r="N10" s="256"/>
      <c r="O10" s="255"/>
      <c r="P10" s="256"/>
      <c r="Q10" s="255"/>
      <c r="R10" s="256"/>
      <c r="S10" s="255"/>
      <c r="T10" s="256"/>
      <c r="U10" s="255"/>
      <c r="V10" s="256"/>
      <c r="W10" s="255"/>
      <c r="X10" s="256"/>
      <c r="Y10" s="99">
        <f t="shared" si="0"/>
        <v>0</v>
      </c>
      <c r="Z10" s="258">
        <f t="shared" ref="Z10:Z20" si="2">D10+F10+H10+J10+N10+P10+R10+T10+V10+X10+L10</f>
        <v>0</v>
      </c>
      <c r="AA10" s="17" t="str">
        <f t="shared" ref="AA10:AA20" si="3">IF(ISERROR(Y10/B10),"",Y10/B10)</f>
        <v/>
      </c>
      <c r="AB10" s="18" t="str">
        <f t="shared" ref="AB10:AB20" si="4">IF(ISERROR(Z10/B10),"",Z10/B10)</f>
        <v/>
      </c>
      <c r="AC10" s="102">
        <f>(C10*kWh_Élect_to_kgGES+E10*IF(U_GNat="[m³]",m3_GazNat_to_kgGES,Conversion!$H$27)+G10*IF(U_Ma2="[l]",L_Mazout2_to_kgGES,Conversion!$H$29)+I10*IF(U_Ma6="[l]",L_Mazout6_to_kgGES,Conversion!$H$31)+K10*L_Mazout2_to_kgGES+M10*IF(U_Prop="[l]",L_Propane_to_kgGES,Conversion!$H$35)+O10*kg_Bois8_to_kgGES+Q10*kg_Bois35_to_kgGES+S10*lbs_vapeur_to_kgGES+U10*MBTU_eaurefroidie_to_kgGES+W10*MBTU_eauchaude_to_kgGES)/1000</f>
        <v>0</v>
      </c>
      <c r="AD10" s="103">
        <f t="shared" ref="AD10:AD20" si="5">(IF(ISERROR(AC10/B10),0,(AC10/B10)))*1000</f>
        <v>0</v>
      </c>
      <c r="AE10" s="5">
        <f t="shared" si="1"/>
        <v>118.9</v>
      </c>
      <c r="AF10" s="49">
        <f>SUM(AE9)</f>
        <v>368.1</v>
      </c>
      <c r="AG10" s="49">
        <v>11</v>
      </c>
    </row>
    <row r="11" spans="1:33" ht="17.25" customHeight="1" thickTop="1" thickBot="1">
      <c r="A11" s="244">
        <f t="shared" ref="A11:A20" si="6">DATE(YEAR(A10),MONTH(A10)+1,DAY(A10))</f>
        <v>41791</v>
      </c>
      <c r="B11" s="254"/>
      <c r="C11" s="255"/>
      <c r="D11" s="256"/>
      <c r="E11" s="255"/>
      <c r="F11" s="256"/>
      <c r="G11" s="255"/>
      <c r="H11" s="256"/>
      <c r="I11" s="255"/>
      <c r="J11" s="256"/>
      <c r="K11" s="420"/>
      <c r="L11" s="420"/>
      <c r="M11" s="255"/>
      <c r="N11" s="256"/>
      <c r="O11" s="255"/>
      <c r="P11" s="256"/>
      <c r="Q11" s="255"/>
      <c r="R11" s="256"/>
      <c r="S11" s="255"/>
      <c r="T11" s="256"/>
      <c r="U11" s="255"/>
      <c r="V11" s="256"/>
      <c r="W11" s="255"/>
      <c r="X11" s="256"/>
      <c r="Y11" s="99">
        <f t="shared" si="0"/>
        <v>0</v>
      </c>
      <c r="Z11" s="258">
        <f t="shared" si="2"/>
        <v>0</v>
      </c>
      <c r="AA11" s="17" t="str">
        <f t="shared" si="3"/>
        <v/>
      </c>
      <c r="AB11" s="18" t="str">
        <f t="shared" si="4"/>
        <v/>
      </c>
      <c r="AC11" s="102">
        <f>(C11*kWh_Élect_to_kgGES+E11*IF(U_GNat="[m³]",m3_GazNat_to_kgGES,Conversion!$H$27)+G11*IF(U_Ma2="[l]",L_Mazout2_to_kgGES,Conversion!$H$29)+I11*IF(U_Ma6="[l]",L_Mazout6_to_kgGES,Conversion!$H$31)+K11*L_Mazout2_to_kgGES+M11*IF(U_Prop="[l]",L_Propane_to_kgGES,Conversion!$H$35)+O11*kg_Bois8_to_kgGES+Q11*kg_Bois35_to_kgGES+S11*lbs_vapeur_to_kgGES+U11*MBTU_eaurefroidie_to_kgGES+W11*MBTU_eauchaude_to_kgGES)/1000</f>
        <v>0</v>
      </c>
      <c r="AD11" s="103">
        <f t="shared" si="5"/>
        <v>0</v>
      </c>
      <c r="AE11" s="5">
        <f t="shared" si="1"/>
        <v>10.1</v>
      </c>
      <c r="AF11" s="49">
        <f>SUM(AE9:AE10)</f>
        <v>487</v>
      </c>
      <c r="AG11" s="49">
        <v>10</v>
      </c>
    </row>
    <row r="12" spans="1:33" ht="17.25" customHeight="1" thickTop="1" thickBot="1">
      <c r="A12" s="244">
        <f t="shared" si="6"/>
        <v>41821</v>
      </c>
      <c r="B12" s="254"/>
      <c r="C12" s="255"/>
      <c r="D12" s="255"/>
      <c r="E12" s="255"/>
      <c r="F12" s="256"/>
      <c r="G12" s="255"/>
      <c r="H12" s="256"/>
      <c r="I12" s="255"/>
      <c r="J12" s="256"/>
      <c r="K12" s="420"/>
      <c r="L12" s="420"/>
      <c r="M12" s="255"/>
      <c r="N12" s="256"/>
      <c r="O12" s="255"/>
      <c r="P12" s="256"/>
      <c r="Q12" s="255"/>
      <c r="R12" s="256"/>
      <c r="S12" s="255"/>
      <c r="T12" s="256"/>
      <c r="U12" s="255"/>
      <c r="V12" s="256"/>
      <c r="W12" s="255"/>
      <c r="X12" s="256"/>
      <c r="Y12" s="99">
        <f t="shared" si="0"/>
        <v>0</v>
      </c>
      <c r="Z12" s="258">
        <f t="shared" si="2"/>
        <v>0</v>
      </c>
      <c r="AA12" s="17" t="str">
        <f t="shared" si="3"/>
        <v/>
      </c>
      <c r="AB12" s="18" t="str">
        <f t="shared" si="4"/>
        <v/>
      </c>
      <c r="AC12" s="102">
        <f>(C12*kWh_Élect_to_kgGES+E12*IF(U_GNat="[m³]",m3_GazNat_to_kgGES,Conversion!$H$27)+G12*IF(U_Ma2="[l]",L_Mazout2_to_kgGES,Conversion!$H$29)+I12*IF(U_Ma6="[l]",L_Mazout6_to_kgGES,Conversion!$H$31)+K12*L_Mazout2_to_kgGES+M12*IF(U_Prop="[l]",L_Propane_to_kgGES,Conversion!$H$35)+O12*kg_Bois8_to_kgGES+Q12*kg_Bois35_to_kgGES+S12*lbs_vapeur_to_kgGES+U12*MBTU_eaurefroidie_to_kgGES+W12*MBTU_eauchaude_to_kgGES)/1000</f>
        <v>0</v>
      </c>
      <c r="AD12" s="103">
        <f t="shared" si="5"/>
        <v>0</v>
      </c>
      <c r="AE12" s="5">
        <f t="shared" si="1"/>
        <v>2.9</v>
      </c>
      <c r="AF12" s="49">
        <f>SUM(AE9:AE11)</f>
        <v>497.1</v>
      </c>
      <c r="AG12" s="49">
        <v>9</v>
      </c>
    </row>
    <row r="13" spans="1:33" ht="17.25" customHeight="1" thickTop="1" thickBot="1">
      <c r="A13" s="244">
        <f t="shared" si="6"/>
        <v>41852</v>
      </c>
      <c r="B13" s="254"/>
      <c r="C13" s="255"/>
      <c r="D13" s="256"/>
      <c r="E13" s="255"/>
      <c r="F13" s="256"/>
      <c r="G13" s="255"/>
      <c r="H13" s="256"/>
      <c r="I13" s="255"/>
      <c r="J13" s="256"/>
      <c r="K13" s="420"/>
      <c r="L13" s="420"/>
      <c r="M13" s="255"/>
      <c r="N13" s="256"/>
      <c r="O13" s="255"/>
      <c r="P13" s="256"/>
      <c r="Q13" s="255"/>
      <c r="R13" s="256"/>
      <c r="S13" s="255"/>
      <c r="T13" s="256"/>
      <c r="U13" s="255"/>
      <c r="V13" s="256"/>
      <c r="W13" s="255"/>
      <c r="X13" s="256"/>
      <c r="Y13" s="99">
        <f t="shared" si="0"/>
        <v>0</v>
      </c>
      <c r="Z13" s="258">
        <f t="shared" si="2"/>
        <v>0</v>
      </c>
      <c r="AA13" s="17" t="str">
        <f t="shared" si="3"/>
        <v/>
      </c>
      <c r="AB13" s="18" t="str">
        <f t="shared" si="4"/>
        <v/>
      </c>
      <c r="AC13" s="102">
        <f>(C13*kWh_Élect_to_kgGES+E13*IF(U_GNat="[m³]",m3_GazNat_to_kgGES,Conversion!$H$27)+G13*IF(U_Ma2="[l]",L_Mazout2_to_kgGES,Conversion!$H$29)+I13*IF(U_Ma6="[l]",L_Mazout6_to_kgGES,Conversion!$H$31)+K13*L_Mazout2_to_kgGES+M13*IF(U_Prop="[l]",L_Propane_to_kgGES,Conversion!$H$35)+O13*kg_Bois8_to_kgGES+Q13*kg_Bois35_to_kgGES+S13*lbs_vapeur_to_kgGES+U13*MBTU_eaurefroidie_to_kgGES+W13*MBTU_eauchaude_to_kgGES)/1000</f>
        <v>0</v>
      </c>
      <c r="AD13" s="103">
        <f t="shared" si="5"/>
        <v>0</v>
      </c>
      <c r="AE13" s="5">
        <f t="shared" si="1"/>
        <v>10.6</v>
      </c>
      <c r="AF13" s="49">
        <f>SUM(AE9:AE12)</f>
        <v>500</v>
      </c>
      <c r="AG13" s="49">
        <v>8</v>
      </c>
    </row>
    <row r="14" spans="1:33" ht="17.25" customHeight="1" thickTop="1" thickBot="1">
      <c r="A14" s="244">
        <f t="shared" si="6"/>
        <v>41883</v>
      </c>
      <c r="B14" s="254"/>
      <c r="C14" s="255"/>
      <c r="D14" s="256"/>
      <c r="E14" s="255"/>
      <c r="F14" s="256"/>
      <c r="G14" s="255"/>
      <c r="H14" s="256"/>
      <c r="I14" s="255"/>
      <c r="J14" s="256"/>
      <c r="K14" s="420"/>
      <c r="L14" s="420"/>
      <c r="M14" s="255"/>
      <c r="N14" s="256"/>
      <c r="O14" s="255"/>
      <c r="P14" s="256"/>
      <c r="Q14" s="255"/>
      <c r="R14" s="256"/>
      <c r="S14" s="255"/>
      <c r="T14" s="256"/>
      <c r="U14" s="255"/>
      <c r="V14" s="256"/>
      <c r="W14" s="255"/>
      <c r="X14" s="256"/>
      <c r="Y14" s="99">
        <f t="shared" si="0"/>
        <v>0</v>
      </c>
      <c r="Z14" s="258">
        <f t="shared" si="2"/>
        <v>0</v>
      </c>
      <c r="AA14" s="17" t="str">
        <f t="shared" si="3"/>
        <v/>
      </c>
      <c r="AB14" s="18" t="str">
        <f t="shared" si="4"/>
        <v/>
      </c>
      <c r="AC14" s="102">
        <f>(C14*kWh_Élect_to_kgGES+E14*IF(U_GNat="[m³]",m3_GazNat_to_kgGES,Conversion!$H$27)+G14*IF(U_Ma2="[l]",L_Mazout2_to_kgGES,Conversion!$H$29)+I14*IF(U_Ma6="[l]",L_Mazout6_to_kgGES,Conversion!$H$31)+K14*L_Mazout2_to_kgGES+M14*IF(U_Prop="[l]",L_Propane_to_kgGES,Conversion!$H$35)+O14*kg_Bois8_to_kgGES+Q14*kg_Bois35_to_kgGES+S14*lbs_vapeur_to_kgGES+U14*MBTU_eaurefroidie_to_kgGES+W14*MBTU_eauchaude_to_kgGES)/1000</f>
        <v>0</v>
      </c>
      <c r="AD14" s="103">
        <f t="shared" si="5"/>
        <v>0</v>
      </c>
      <c r="AE14" s="5">
        <f t="shared" si="1"/>
        <v>97.6</v>
      </c>
      <c r="AF14" s="49">
        <f>SUM(AE9:AE13)</f>
        <v>510.6</v>
      </c>
      <c r="AG14" s="49">
        <v>7</v>
      </c>
    </row>
    <row r="15" spans="1:33" ht="17.25" customHeight="1" thickTop="1" thickBot="1">
      <c r="A15" s="244">
        <f t="shared" si="6"/>
        <v>41913</v>
      </c>
      <c r="B15" s="254"/>
      <c r="C15" s="255"/>
      <c r="D15" s="256"/>
      <c r="E15" s="255"/>
      <c r="F15" s="256"/>
      <c r="G15" s="255"/>
      <c r="H15" s="256"/>
      <c r="I15" s="255"/>
      <c r="J15" s="256"/>
      <c r="K15" s="420"/>
      <c r="L15" s="420"/>
      <c r="M15" s="255"/>
      <c r="N15" s="256"/>
      <c r="O15" s="255"/>
      <c r="P15" s="256"/>
      <c r="Q15" s="255"/>
      <c r="R15" s="256"/>
      <c r="S15" s="255"/>
      <c r="T15" s="256"/>
      <c r="U15" s="255"/>
      <c r="V15" s="256"/>
      <c r="W15" s="255"/>
      <c r="X15" s="256"/>
      <c r="Y15" s="99">
        <f t="shared" si="0"/>
        <v>0</v>
      </c>
      <c r="Z15" s="258">
        <f t="shared" si="2"/>
        <v>0</v>
      </c>
      <c r="AA15" s="17" t="str">
        <f t="shared" si="3"/>
        <v/>
      </c>
      <c r="AB15" s="18" t="str">
        <f t="shared" si="4"/>
        <v/>
      </c>
      <c r="AC15" s="102">
        <f>(C15*kWh_Élect_to_kgGES+E15*IF(U_GNat="[m³]",m3_GazNat_to_kgGES,Conversion!$H$27)+G15*IF(U_Ma2="[l]",L_Mazout2_to_kgGES,Conversion!$H$29)+I15*IF(U_Ma6="[l]",L_Mazout6_to_kgGES,Conversion!$H$31)+K15*L_Mazout2_to_kgGES+M15*IF(U_Prop="[l]",L_Propane_to_kgGES,Conversion!$H$35)+O15*kg_Bois8_to_kgGES+Q15*kg_Bois35_to_kgGES+S15*lbs_vapeur_to_kgGES+U15*MBTU_eaurefroidie_to_kgGES+W15*MBTU_eauchaude_to_kgGES)/1000</f>
        <v>0</v>
      </c>
      <c r="AD15" s="103">
        <f t="shared" si="5"/>
        <v>0</v>
      </c>
      <c r="AE15" s="5">
        <f t="shared" si="1"/>
        <v>224.1</v>
      </c>
      <c r="AF15" s="49">
        <f>SUM(AE9:AE14)</f>
        <v>608.20000000000005</v>
      </c>
      <c r="AG15" s="49">
        <v>6</v>
      </c>
    </row>
    <row r="16" spans="1:33" ht="17.25" customHeight="1" thickTop="1" thickBot="1">
      <c r="A16" s="244">
        <f t="shared" si="6"/>
        <v>41944</v>
      </c>
      <c r="B16" s="254"/>
      <c r="C16" s="255"/>
      <c r="D16" s="256"/>
      <c r="E16" s="255"/>
      <c r="F16" s="256"/>
      <c r="G16" s="255"/>
      <c r="H16" s="256"/>
      <c r="I16" s="255"/>
      <c r="J16" s="256"/>
      <c r="K16" s="420"/>
      <c r="L16" s="420"/>
      <c r="M16" s="255"/>
      <c r="N16" s="256"/>
      <c r="O16" s="255"/>
      <c r="P16" s="256"/>
      <c r="Q16" s="255"/>
      <c r="R16" s="256"/>
      <c r="S16" s="255"/>
      <c r="T16" s="256"/>
      <c r="U16" s="255"/>
      <c r="V16" s="256"/>
      <c r="W16" s="255"/>
      <c r="X16" s="256"/>
      <c r="Y16" s="99">
        <f t="shared" si="0"/>
        <v>0</v>
      </c>
      <c r="Z16" s="258">
        <f t="shared" si="2"/>
        <v>0</v>
      </c>
      <c r="AA16" s="17" t="str">
        <f t="shared" si="3"/>
        <v/>
      </c>
      <c r="AB16" s="18" t="str">
        <f t="shared" si="4"/>
        <v/>
      </c>
      <c r="AC16" s="102">
        <f>(C16*kWh_Élect_to_kgGES+E16*IF(U_GNat="[m³]",m3_GazNat_to_kgGES,Conversion!$H$27)+G16*IF(U_Ma2="[l]",L_Mazout2_to_kgGES,Conversion!$H$29)+I16*IF(U_Ma6="[l]",L_Mazout6_to_kgGES,Conversion!$H$31)+K16*L_Mazout2_to_kgGES+M16*IF(U_Prop="[l]",L_Propane_to_kgGES,Conversion!$H$35)+O16*kg_Bois8_to_kgGES+Q16*kg_Bois35_to_kgGES+S16*lbs_vapeur_to_kgGES+U16*MBTU_eaurefroidie_to_kgGES+W16*MBTU_eauchaude_to_kgGES)/1000</f>
        <v>0</v>
      </c>
      <c r="AD16" s="103">
        <f t="shared" si="5"/>
        <v>0</v>
      </c>
      <c r="AE16" s="5">
        <f t="shared" si="1"/>
        <v>484</v>
      </c>
      <c r="AF16" s="49">
        <f>SUM(AE9:AE15)</f>
        <v>832.30000000000007</v>
      </c>
      <c r="AG16" s="49">
        <v>5</v>
      </c>
    </row>
    <row r="17" spans="1:33" ht="17.25" customHeight="1" thickTop="1" thickBot="1">
      <c r="A17" s="244">
        <f t="shared" si="6"/>
        <v>41974</v>
      </c>
      <c r="B17" s="254"/>
      <c r="C17" s="255"/>
      <c r="D17" s="256"/>
      <c r="E17" s="255"/>
      <c r="F17" s="256"/>
      <c r="G17" s="255"/>
      <c r="H17" s="256"/>
      <c r="I17" s="255"/>
      <c r="J17" s="256"/>
      <c r="K17" s="420"/>
      <c r="L17" s="420"/>
      <c r="M17" s="255"/>
      <c r="N17" s="256"/>
      <c r="O17" s="255"/>
      <c r="P17" s="256"/>
      <c r="Q17" s="255"/>
      <c r="R17" s="256"/>
      <c r="S17" s="255"/>
      <c r="T17" s="256"/>
      <c r="U17" s="255"/>
      <c r="V17" s="256"/>
      <c r="W17" s="255"/>
      <c r="X17" s="256"/>
      <c r="Y17" s="99">
        <f t="shared" si="0"/>
        <v>0</v>
      </c>
      <c r="Z17" s="258">
        <f t="shared" si="2"/>
        <v>0</v>
      </c>
      <c r="AA17" s="17" t="str">
        <f t="shared" si="3"/>
        <v/>
      </c>
      <c r="AB17" s="18" t="str">
        <f t="shared" si="4"/>
        <v/>
      </c>
      <c r="AC17" s="102">
        <f>(C17*kWh_Élect_to_kgGES+E17*IF(U_GNat="[m³]",m3_GazNat_to_kgGES,Conversion!$H$27)+G17*IF(U_Ma2="[l]",L_Mazout2_to_kgGES,Conversion!$H$29)+I17*IF(U_Ma6="[l]",L_Mazout6_to_kgGES,Conversion!$H$31)+K17*L_Mazout2_to_kgGES+M17*IF(U_Prop="[l]",L_Propane_to_kgGES,Conversion!$H$35)+O17*kg_Bois8_to_kgGES+Q17*kg_Bois35_to_kgGES+S17*lbs_vapeur_to_kgGES+U17*MBTU_eaurefroidie_to_kgGES+W17*MBTU_eauchaude_to_kgGES)/1000</f>
        <v>0</v>
      </c>
      <c r="AD17" s="103">
        <f t="shared" si="5"/>
        <v>0</v>
      </c>
      <c r="AE17" s="5">
        <f t="shared" si="1"/>
        <v>664.7</v>
      </c>
      <c r="AF17" s="49">
        <f>SUM(AE9:AE16)</f>
        <v>1316.3000000000002</v>
      </c>
      <c r="AG17" s="49">
        <v>4</v>
      </c>
    </row>
    <row r="18" spans="1:33" ht="17.25" customHeight="1" thickTop="1" thickBot="1">
      <c r="A18" s="244">
        <f t="shared" si="6"/>
        <v>42005</v>
      </c>
      <c r="B18" s="254"/>
      <c r="C18" s="255"/>
      <c r="D18" s="256"/>
      <c r="E18" s="255"/>
      <c r="F18" s="256"/>
      <c r="G18" s="255"/>
      <c r="H18" s="256"/>
      <c r="I18" s="255"/>
      <c r="J18" s="256"/>
      <c r="K18" s="420"/>
      <c r="L18" s="420"/>
      <c r="M18" s="255"/>
      <c r="N18" s="256"/>
      <c r="O18" s="255"/>
      <c r="P18" s="256"/>
      <c r="Q18" s="255"/>
      <c r="R18" s="256"/>
      <c r="S18" s="255"/>
      <c r="T18" s="256"/>
      <c r="U18" s="255"/>
      <c r="V18" s="256"/>
      <c r="W18" s="255"/>
      <c r="X18" s="256"/>
      <c r="Y18" s="99">
        <f t="shared" si="0"/>
        <v>0</v>
      </c>
      <c r="Z18" s="258">
        <f t="shared" si="2"/>
        <v>0</v>
      </c>
      <c r="AA18" s="17" t="str">
        <f t="shared" si="3"/>
        <v/>
      </c>
      <c r="AB18" s="18" t="str">
        <f t="shared" si="4"/>
        <v/>
      </c>
      <c r="AC18" s="102">
        <f>(C18*kWh_Élect_to_kgGES+E18*IF(U_GNat="[m³]",m3_GazNat_to_kgGES,Conversion!$H$27)+G18*IF(U_Ma2="[l]",L_Mazout2_to_kgGES,Conversion!$H$29)+I18*IF(U_Ma6="[l]",L_Mazout6_to_kgGES,Conversion!$H$31)+K18*L_Mazout2_to_kgGES+M18*IF(U_Prop="[l]",L_Propane_to_kgGES,Conversion!$H$35)+O18*kg_Bois8_to_kgGES+Q18*kg_Bois35_to_kgGES+S18*lbs_vapeur_to_kgGES+U18*MBTU_eaurefroidie_to_kgGES+W18*MBTU_eauchaude_to_kgGES)/1000</f>
        <v>0</v>
      </c>
      <c r="AD18" s="103">
        <f t="shared" si="5"/>
        <v>0</v>
      </c>
      <c r="AE18" s="5">
        <f t="shared" si="1"/>
        <v>926.3</v>
      </c>
      <c r="AF18" s="49">
        <f>SUM(AE9:AE17)</f>
        <v>1981.0000000000002</v>
      </c>
      <c r="AG18" s="49">
        <v>3</v>
      </c>
    </row>
    <row r="19" spans="1:33" ht="17.25" customHeight="1" thickTop="1" thickBot="1">
      <c r="A19" s="244">
        <f t="shared" si="6"/>
        <v>42036</v>
      </c>
      <c r="B19" s="254"/>
      <c r="C19" s="255"/>
      <c r="D19" s="256"/>
      <c r="E19" s="255"/>
      <c r="F19" s="256"/>
      <c r="G19" s="255"/>
      <c r="H19" s="256"/>
      <c r="I19" s="255"/>
      <c r="J19" s="256"/>
      <c r="K19" s="420"/>
      <c r="L19" s="420"/>
      <c r="M19" s="255"/>
      <c r="N19" s="256"/>
      <c r="O19" s="255"/>
      <c r="P19" s="256"/>
      <c r="Q19" s="255"/>
      <c r="R19" s="256"/>
      <c r="S19" s="255"/>
      <c r="T19" s="256"/>
      <c r="U19" s="255"/>
      <c r="V19" s="256"/>
      <c r="W19" s="255"/>
      <c r="X19" s="256"/>
      <c r="Y19" s="99">
        <f t="shared" si="0"/>
        <v>0</v>
      </c>
      <c r="Z19" s="258">
        <f t="shared" si="2"/>
        <v>0</v>
      </c>
      <c r="AA19" s="17" t="str">
        <f t="shared" si="3"/>
        <v/>
      </c>
      <c r="AB19" s="18" t="str">
        <f t="shared" si="4"/>
        <v/>
      </c>
      <c r="AC19" s="102">
        <f>(C19*kWh_Élect_to_kgGES+E19*IF(U_GNat="[m³]",m3_GazNat_to_kgGES,Conversion!$H$27)+G19*IF(U_Ma2="[l]",L_Mazout2_to_kgGES,Conversion!$H$29)+I19*IF(U_Ma6="[l]",L_Mazout6_to_kgGES,Conversion!$H$31)+K19*L_Mazout2_to_kgGES+M19*IF(U_Prop="[l]",L_Propane_to_kgGES,Conversion!$H$35)+O19*kg_Bois8_to_kgGES+Q19*kg_Bois35_to_kgGES+S19*lbs_vapeur_to_kgGES+U19*MBTU_eaurefroidie_to_kgGES+W19*MBTU_eauchaude_to_kgGES)/1000</f>
        <v>0</v>
      </c>
      <c r="AD19" s="103">
        <f t="shared" si="5"/>
        <v>0</v>
      </c>
      <c r="AE19" s="5">
        <f t="shared" si="1"/>
        <v>929.3</v>
      </c>
      <c r="AF19" s="49">
        <f>SUM(AE9:AE18)</f>
        <v>2907.3</v>
      </c>
      <c r="AG19" s="49">
        <v>2</v>
      </c>
    </row>
    <row r="20" spans="1:33" ht="17.25" customHeight="1" thickTop="1" thickBot="1">
      <c r="A20" s="245">
        <f t="shared" si="6"/>
        <v>42064</v>
      </c>
      <c r="B20" s="254"/>
      <c r="C20" s="255"/>
      <c r="D20" s="256"/>
      <c r="E20" s="255"/>
      <c r="F20" s="256"/>
      <c r="G20" s="255"/>
      <c r="H20" s="256"/>
      <c r="I20" s="255"/>
      <c r="J20" s="256"/>
      <c r="K20" s="420"/>
      <c r="L20" s="420"/>
      <c r="M20" s="255"/>
      <c r="N20" s="256"/>
      <c r="O20" s="255"/>
      <c r="P20" s="256"/>
      <c r="Q20" s="255"/>
      <c r="R20" s="256"/>
      <c r="S20" s="255"/>
      <c r="T20" s="256"/>
      <c r="U20" s="255"/>
      <c r="V20" s="256"/>
      <c r="W20" s="255"/>
      <c r="X20" s="256"/>
      <c r="Y20" s="99">
        <f t="shared" si="0"/>
        <v>0</v>
      </c>
      <c r="Z20" s="258">
        <f t="shared" si="2"/>
        <v>0</v>
      </c>
      <c r="AA20" s="17" t="str">
        <f t="shared" si="3"/>
        <v/>
      </c>
      <c r="AB20" s="18" t="str">
        <f t="shared" si="4"/>
        <v/>
      </c>
      <c r="AC20" s="102">
        <f>(C20*kWh_Élect_to_kgGES+E20*IF(U_GNat="[m³]",m3_GazNat_to_kgGES,Conversion!$H$27)+G20*IF(U_Ma2="[l]",L_Mazout2_to_kgGES,Conversion!$H$29)+I20*IF(U_Ma6="[l]",L_Mazout6_to_kgGES,Conversion!$H$31)+K20*L_Mazout2_to_kgGES+M20*IF(U_Prop="[l]",L_Propane_to_kgGES,Conversion!$H$35)+O20*kg_Bois8_to_kgGES+Q20*kg_Bois35_to_kgGES+S20*lbs_vapeur_to_kgGES+U20*MBTU_eaurefroidie_to_kgGES+W20*MBTU_eauchaude_to_kgGES)/1000</f>
        <v>0</v>
      </c>
      <c r="AD20" s="103">
        <f t="shared" si="5"/>
        <v>0</v>
      </c>
      <c r="AE20" s="5">
        <f t="shared" si="1"/>
        <v>706.5</v>
      </c>
      <c r="AF20" s="49">
        <f>SUM(AE9:AE19)</f>
        <v>3836.6000000000004</v>
      </c>
      <c r="AG20" s="49">
        <v>1</v>
      </c>
    </row>
    <row r="21" spans="1:33" ht="20.25" customHeight="1" thickTop="1">
      <c r="A21" s="3" t="s">
        <v>53</v>
      </c>
      <c r="B21" s="35">
        <f>IF(ISERROR(AVERAGE(B9:B20)),0,AVERAGE(B9:B20))</f>
        <v>0</v>
      </c>
      <c r="C21" s="35">
        <f>SUM(C9:C20)</f>
        <v>0</v>
      </c>
      <c r="D21" s="536">
        <f>SUM(D9:D20)</f>
        <v>0</v>
      </c>
      <c r="E21" s="35">
        <f t="shared" ref="E21:X21" si="7">SUM(E9:E20)</f>
        <v>0</v>
      </c>
      <c r="F21" s="536">
        <f t="shared" si="7"/>
        <v>0</v>
      </c>
      <c r="G21" s="35">
        <f t="shared" si="7"/>
        <v>0</v>
      </c>
      <c r="H21" s="536">
        <f t="shared" si="7"/>
        <v>0</v>
      </c>
      <c r="I21" s="35">
        <f t="shared" si="7"/>
        <v>0</v>
      </c>
      <c r="J21" s="536">
        <f t="shared" si="7"/>
        <v>0</v>
      </c>
      <c r="K21" s="35">
        <f t="shared" si="7"/>
        <v>0</v>
      </c>
      <c r="L21" s="536">
        <f t="shared" si="7"/>
        <v>0</v>
      </c>
      <c r="M21" s="35">
        <f t="shared" si="7"/>
        <v>0</v>
      </c>
      <c r="N21" s="536">
        <f t="shared" si="7"/>
        <v>0</v>
      </c>
      <c r="O21" s="35">
        <f t="shared" si="7"/>
        <v>0</v>
      </c>
      <c r="P21" s="536">
        <f t="shared" si="7"/>
        <v>0</v>
      </c>
      <c r="Q21" s="35">
        <f t="shared" si="7"/>
        <v>0</v>
      </c>
      <c r="R21" s="536">
        <f t="shared" si="7"/>
        <v>0</v>
      </c>
      <c r="S21" s="35">
        <f t="shared" si="7"/>
        <v>0</v>
      </c>
      <c r="T21" s="536">
        <f t="shared" si="7"/>
        <v>0</v>
      </c>
      <c r="U21" s="35">
        <f t="shared" si="7"/>
        <v>0</v>
      </c>
      <c r="V21" s="536">
        <f t="shared" si="7"/>
        <v>0</v>
      </c>
      <c r="W21" s="35">
        <f t="shared" si="7"/>
        <v>0</v>
      </c>
      <c r="X21" s="536">
        <f t="shared" si="7"/>
        <v>0</v>
      </c>
      <c r="Y21" s="263">
        <f t="shared" si="0"/>
        <v>0</v>
      </c>
      <c r="Z21" s="537">
        <f>D21+F21+H21+J21+L21+N21+P21+R21+T21+V21+X21+L21</f>
        <v>0</v>
      </c>
      <c r="AA21" s="265" t="str">
        <f>IF(ISERROR(Y21/B21),"",Y21/B21)</f>
        <v/>
      </c>
      <c r="AB21" s="266" t="str">
        <f>IF(ISERROR(Z21/B21),"",Z21/B21)</f>
        <v/>
      </c>
      <c r="AC21" s="263">
        <f>(C21*kWh_Élect_to_kgGES+E21*IF(U_GNat="[m³]",m3_GazNat_to_kgGES,Conversion!$H$27)+G21*IF(U_Ma2="[l]",L_Mazout2_to_kgGES,Conversion!$H$29)+I21*IF(U_Ma6="[l]",L_Mazout6_to_kgGES,Conversion!$H$31)+K21*L_Mazout2_to_kgGES+M21*IF(U_Prop="[l]",L_Propane_to_kgGES,Conversion!$H$35)+O21*kg_Bois8_to_kgGES+Q21*kg_Bois35_to_kgGES+S21*lbs_vapeur_to_kgGES+U21*MBTU_eaurefroidie_to_kgGES+W21*MBTU_eauchaude_to_kgGES)/1000</f>
        <v>0</v>
      </c>
      <c r="AD21" s="267">
        <f>(IF(ISERROR(AC21/B21),0,(AC21/B21)))*1000</f>
        <v>0</v>
      </c>
      <c r="AE21" s="268">
        <f>SUM(AE9:AE20)</f>
        <v>4543.1000000000004</v>
      </c>
    </row>
    <row r="22" spans="1:33">
      <c r="A22" s="27">
        <v>2014</v>
      </c>
      <c r="B22" s="27" t="s">
        <v>966</v>
      </c>
      <c r="C22" s="28" t="s">
        <v>967</v>
      </c>
      <c r="D22" s="28" t="s">
        <v>968</v>
      </c>
      <c r="E22" s="28" t="s">
        <v>969</v>
      </c>
      <c r="F22" s="28" t="s">
        <v>970</v>
      </c>
      <c r="G22" s="28" t="s">
        <v>971</v>
      </c>
      <c r="H22" s="28" t="s">
        <v>972</v>
      </c>
      <c r="I22" s="28" t="s">
        <v>973</v>
      </c>
      <c r="J22" s="28" t="s">
        <v>974</v>
      </c>
      <c r="K22" s="524"/>
      <c r="L22" s="524"/>
      <c r="M22" s="28" t="s">
        <v>975</v>
      </c>
      <c r="N22" s="28" t="s">
        <v>976</v>
      </c>
      <c r="O22" s="28" t="s">
        <v>977</v>
      </c>
      <c r="P22" s="28" t="s">
        <v>978</v>
      </c>
      <c r="Q22" s="28" t="s">
        <v>979</v>
      </c>
      <c r="R22" s="28" t="s">
        <v>980</v>
      </c>
      <c r="S22" s="28"/>
      <c r="T22" s="28"/>
      <c r="U22" s="28"/>
      <c r="V22" s="28"/>
      <c r="W22" s="28"/>
      <c r="X22" s="28"/>
      <c r="Y22" s="47" t="s">
        <v>981</v>
      </c>
      <c r="Z22" s="47" t="s">
        <v>982</v>
      </c>
      <c r="AA22" s="47" t="s">
        <v>983</v>
      </c>
      <c r="AB22" s="47" t="s">
        <v>984</v>
      </c>
      <c r="AC22" s="47" t="s">
        <v>985</v>
      </c>
      <c r="AD22" s="48" t="s">
        <v>986</v>
      </c>
      <c r="AE22" s="47" t="s">
        <v>987</v>
      </c>
    </row>
    <row r="23" spans="1:33" ht="15">
      <c r="A23" s="52" t="s">
        <v>352</v>
      </c>
      <c r="B23" s="49"/>
      <c r="C23" s="47"/>
      <c r="D23" s="47"/>
      <c r="E23" s="47"/>
      <c r="F23" s="47"/>
      <c r="G23" s="51"/>
      <c r="H23" s="50"/>
      <c r="I23" s="47"/>
      <c r="J23" s="47"/>
      <c r="K23" s="47"/>
      <c r="L23" s="47"/>
      <c r="M23" s="47"/>
      <c r="O23" s="47"/>
      <c r="P23" s="47"/>
      <c r="Q23" s="47"/>
      <c r="R23" s="47"/>
      <c r="S23" s="296"/>
      <c r="T23" s="296"/>
      <c r="U23" s="296"/>
      <c r="V23" s="296"/>
      <c r="W23" s="296"/>
      <c r="X23" s="296"/>
      <c r="Y23" s="296"/>
      <c r="Z23" s="296"/>
      <c r="AA23" s="296"/>
      <c r="AB23" s="296"/>
      <c r="AC23" s="550"/>
      <c r="AD23" s="483"/>
      <c r="AE23" s="296"/>
      <c r="AF23" s="297"/>
      <c r="AG23" s="297"/>
    </row>
    <row r="24" spans="1:33">
      <c r="A24" s="25"/>
      <c r="B24" s="49"/>
      <c r="C24" s="47"/>
      <c r="D24" s="47"/>
      <c r="E24" s="47"/>
      <c r="F24" s="47"/>
      <c r="G24" s="47"/>
      <c r="I24" s="47"/>
      <c r="J24" s="47"/>
      <c r="K24" s="47"/>
      <c r="L24" s="47"/>
      <c r="M24" s="47"/>
      <c r="N24" s="47"/>
      <c r="O24" s="47"/>
      <c r="P24" s="47"/>
      <c r="Q24" s="47"/>
      <c r="R24" s="47"/>
      <c r="S24" s="296"/>
      <c r="T24" s="296"/>
      <c r="U24" s="296"/>
      <c r="V24" s="296"/>
      <c r="W24" s="296"/>
      <c r="X24" s="296"/>
      <c r="Y24" s="296"/>
      <c r="Z24" s="296"/>
      <c r="AA24" s="296"/>
      <c r="AB24" s="296"/>
      <c r="AC24" s="550"/>
      <c r="AD24" s="483"/>
      <c r="AE24" s="296"/>
      <c r="AF24" s="297"/>
      <c r="AG24" s="297"/>
    </row>
    <row r="25" spans="1:33" ht="18">
      <c r="A25" s="566" t="s">
        <v>804</v>
      </c>
      <c r="B25" s="567"/>
      <c r="C25" s="567"/>
      <c r="D25" s="567"/>
      <c r="E25" s="567"/>
      <c r="F25" s="567"/>
      <c r="G25" s="567"/>
      <c r="H25" s="567"/>
      <c r="I25" s="567"/>
      <c r="S25" s="295"/>
      <c r="T25" s="295"/>
      <c r="U25" s="295"/>
      <c r="V25" s="295"/>
      <c r="W25" s="295"/>
      <c r="X25" s="295"/>
      <c r="Y25" s="296"/>
      <c r="Z25" s="296"/>
      <c r="AA25" s="220">
        <f>Lim_bas</f>
        <v>0</v>
      </c>
      <c r="AB25" s="220">
        <f>Lim_haut</f>
        <v>0</v>
      </c>
      <c r="AC25" s="296"/>
      <c r="AD25" s="296"/>
      <c r="AE25" s="296"/>
      <c r="AF25" s="297"/>
      <c r="AG25" s="297"/>
    </row>
    <row r="26" spans="1:33" ht="19.8">
      <c r="A26" s="53"/>
      <c r="B26" s="23"/>
      <c r="S26" s="295"/>
      <c r="T26" s="295"/>
      <c r="U26" s="295"/>
      <c r="V26" s="295"/>
      <c r="W26" s="295"/>
      <c r="X26" s="295"/>
      <c r="Y26" s="296"/>
      <c r="Z26" s="296"/>
      <c r="AA26" s="296"/>
      <c r="AB26" s="296"/>
      <c r="AC26" s="296"/>
      <c r="AD26" s="296"/>
      <c r="AE26" s="296"/>
      <c r="AF26" s="297"/>
      <c r="AG26" s="297"/>
    </row>
    <row r="27" spans="1:33" ht="19.8">
      <c r="A27" s="53" t="s">
        <v>686</v>
      </c>
      <c r="S27" s="295"/>
      <c r="T27" s="489"/>
      <c r="U27" s="489"/>
      <c r="V27" s="489"/>
      <c r="W27" s="489"/>
      <c r="X27" s="489"/>
      <c r="Y27" s="408"/>
      <c r="Z27" s="408"/>
      <c r="AA27" s="408"/>
      <c r="AB27" s="408"/>
      <c r="AC27" s="408"/>
      <c r="AD27" s="408"/>
      <c r="AE27" s="408"/>
      <c r="AF27" s="490"/>
      <c r="AG27" s="490"/>
    </row>
    <row r="28" spans="1:33" ht="19.8">
      <c r="A28" s="53"/>
      <c r="S28" s="295"/>
      <c r="T28" s="489"/>
      <c r="U28" s="489"/>
      <c r="V28" s="489"/>
      <c r="W28" s="489"/>
      <c r="X28" s="489"/>
      <c r="Y28" s="408"/>
      <c r="Z28" s="408"/>
      <c r="AA28" s="408"/>
      <c r="AB28" s="408"/>
      <c r="AC28" s="408"/>
      <c r="AD28" s="408"/>
      <c r="AE28" s="408"/>
      <c r="AF28" s="490"/>
      <c r="AG28" s="490"/>
    </row>
    <row r="29" spans="1:33" s="231" customFormat="1" ht="15" thickBot="1">
      <c r="A29" s="232" t="s">
        <v>681</v>
      </c>
      <c r="B29" s="229"/>
      <c r="C29" s="229"/>
      <c r="D29" s="229"/>
      <c r="E29" s="229"/>
      <c r="F29" s="229"/>
      <c r="I29" s="230"/>
      <c r="S29" s="407"/>
      <c r="T29" s="488"/>
      <c r="U29" s="488"/>
      <c r="V29" s="491"/>
      <c r="W29" s="488"/>
      <c r="X29" s="488"/>
      <c r="Y29" s="488"/>
      <c r="Z29" s="488"/>
      <c r="AA29" s="488"/>
      <c r="AB29" s="488"/>
      <c r="AC29" s="488"/>
      <c r="AD29" s="488"/>
      <c r="AE29" s="488"/>
      <c r="AF29" s="488"/>
      <c r="AG29" s="488"/>
    </row>
    <row r="30" spans="1:33" s="231" customFormat="1" ht="15.6" thickTop="1" thickBot="1">
      <c r="A30" s="232" t="s">
        <v>682</v>
      </c>
      <c r="B30" s="229"/>
      <c r="C30" s="229"/>
      <c r="D30" s="229"/>
      <c r="E30" s="229"/>
      <c r="F30" s="229"/>
      <c r="I30" s="230"/>
      <c r="S30" s="407"/>
      <c r="T30" s="488"/>
      <c r="U30" s="488"/>
      <c r="V30" s="488"/>
      <c r="W30" s="488"/>
      <c r="X30" s="488"/>
      <c r="Y30" s="488"/>
      <c r="Z30" s="488"/>
      <c r="AA30" s="488"/>
      <c r="AB30" s="488"/>
      <c r="AC30" s="488"/>
      <c r="AD30" s="488"/>
      <c r="AE30" s="488"/>
      <c r="AF30" s="488"/>
      <c r="AG30" s="488"/>
    </row>
    <row r="31" spans="1:33" s="231" customFormat="1" ht="15.6" thickTop="1" thickBot="1">
      <c r="A31" s="232" t="s">
        <v>683</v>
      </c>
      <c r="B31" s="229"/>
      <c r="C31" s="229"/>
      <c r="D31" s="229"/>
      <c r="E31" s="229"/>
      <c r="F31" s="229"/>
      <c r="I31" s="230"/>
      <c r="S31" s="407"/>
      <c r="T31" s="488"/>
      <c r="U31" s="488"/>
      <c r="V31" s="488"/>
      <c r="W31" s="488"/>
      <c r="X31" s="488"/>
      <c r="Y31" s="488"/>
      <c r="Z31" s="488"/>
      <c r="AA31" s="488"/>
      <c r="AB31" s="488"/>
      <c r="AC31" s="488"/>
      <c r="AD31" s="488"/>
      <c r="AE31" s="488"/>
      <c r="AF31" s="488"/>
      <c r="AG31" s="488"/>
    </row>
    <row r="32" spans="1:33" s="231" customFormat="1" ht="15.6" thickTop="1" thickBot="1">
      <c r="A32" s="232" t="s">
        <v>684</v>
      </c>
      <c r="B32" s="229"/>
      <c r="C32" s="229"/>
      <c r="D32" s="229"/>
      <c r="E32" s="229"/>
      <c r="F32" s="229"/>
      <c r="I32" s="230"/>
      <c r="S32" s="407"/>
      <c r="T32" s="488"/>
      <c r="U32" s="488"/>
      <c r="V32" s="488"/>
      <c r="W32" s="488"/>
      <c r="X32" s="488"/>
      <c r="Y32" s="488"/>
      <c r="Z32" s="488"/>
      <c r="AA32" s="488"/>
      <c r="AB32" s="488"/>
      <c r="AC32" s="488"/>
      <c r="AD32" s="488"/>
      <c r="AE32" s="488"/>
      <c r="AF32" s="488"/>
      <c r="AG32" s="488"/>
    </row>
    <row r="33" spans="1:33" s="231" customFormat="1" ht="15.6" thickTop="1" thickBot="1">
      <c r="A33" s="232" t="s">
        <v>685</v>
      </c>
      <c r="B33" s="229"/>
      <c r="C33" s="229"/>
      <c r="D33" s="229"/>
      <c r="E33" s="229"/>
      <c r="F33" s="229"/>
      <c r="I33" s="230"/>
      <c r="S33" s="407"/>
      <c r="T33" s="488"/>
      <c r="U33" s="488"/>
      <c r="V33" s="488"/>
      <c r="W33" s="488"/>
      <c r="X33" s="488"/>
      <c r="Y33" s="488"/>
      <c r="Z33" s="488"/>
      <c r="AA33" s="488"/>
      <c r="AB33" s="488"/>
      <c r="AC33" s="488"/>
      <c r="AD33" s="488"/>
      <c r="AE33" s="488"/>
      <c r="AF33" s="488"/>
      <c r="AG33" s="488"/>
    </row>
    <row r="34" spans="1:33" ht="30" customHeight="1" thickTop="1" thickBot="1">
      <c r="A34" s="23"/>
      <c r="B34" s="23"/>
      <c r="S34" s="295"/>
      <c r="T34" s="489"/>
      <c r="U34" s="489"/>
      <c r="V34" s="489"/>
      <c r="W34" s="489"/>
      <c r="X34" s="489"/>
      <c r="Y34" s="408"/>
      <c r="Z34" s="490"/>
      <c r="AA34" s="490"/>
      <c r="AB34" s="490"/>
      <c r="AC34" s="490"/>
      <c r="AD34" s="490"/>
      <c r="AE34" s="490"/>
      <c r="AF34" s="490"/>
      <c r="AG34" s="490"/>
    </row>
    <row r="35" spans="1:33" ht="178.5" customHeight="1" thickTop="1">
      <c r="A35" s="556" t="s">
        <v>80</v>
      </c>
      <c r="B35" s="557"/>
      <c r="C35" s="564" t="s">
        <v>788</v>
      </c>
      <c r="D35" s="564"/>
      <c r="E35" s="564"/>
      <c r="F35" s="564"/>
      <c r="G35" s="564"/>
      <c r="H35" s="564"/>
      <c r="I35" s="564"/>
      <c r="J35" s="564"/>
      <c r="K35" s="564"/>
      <c r="L35" s="564"/>
      <c r="M35" s="564"/>
      <c r="N35" s="564"/>
      <c r="S35" s="295"/>
      <c r="T35" s="489"/>
      <c r="U35" s="489"/>
      <c r="V35" s="489"/>
      <c r="W35" s="489"/>
      <c r="X35" s="489"/>
      <c r="Y35" s="408"/>
      <c r="Z35" s="408"/>
      <c r="AA35" s="408"/>
      <c r="AB35" s="408"/>
      <c r="AC35" s="408"/>
      <c r="AD35" s="408"/>
      <c r="AE35" s="408"/>
      <c r="AF35" s="490"/>
      <c r="AG35" s="490"/>
    </row>
    <row r="36" spans="1:33" ht="15" thickBot="1">
      <c r="A36" s="23"/>
      <c r="B36" s="23"/>
      <c r="S36" s="295"/>
      <c r="T36" s="489"/>
      <c r="U36" s="489"/>
      <c r="V36" s="489"/>
      <c r="W36" s="489"/>
      <c r="X36" s="489"/>
      <c r="Y36" s="408"/>
      <c r="Z36" s="408"/>
      <c r="AA36" s="408"/>
      <c r="AB36" s="408"/>
      <c r="AC36" s="408"/>
      <c r="AD36" s="408"/>
      <c r="AE36" s="408"/>
      <c r="AF36" s="490"/>
      <c r="AG36" s="490"/>
    </row>
    <row r="37" spans="1:33" ht="44.4" thickTop="1" thickBot="1">
      <c r="B37" s="12" t="s">
        <v>64</v>
      </c>
      <c r="C37" s="12" t="s">
        <v>91</v>
      </c>
      <c r="D37" s="12" t="s">
        <v>338</v>
      </c>
      <c r="E37" s="12" t="s">
        <v>75</v>
      </c>
      <c r="F37" s="12"/>
      <c r="G37" s="12" t="s">
        <v>72</v>
      </c>
      <c r="H37" s="12" t="s">
        <v>71</v>
      </c>
      <c r="I37" s="12" t="s">
        <v>340</v>
      </c>
      <c r="J37" s="12" t="s">
        <v>339</v>
      </c>
      <c r="S37" s="295"/>
      <c r="T37" s="489"/>
      <c r="U37" s="489"/>
      <c r="V37" s="489"/>
      <c r="W37" s="489"/>
      <c r="X37" s="489"/>
      <c r="Y37" s="408"/>
      <c r="Z37" s="492" t="s">
        <v>54</v>
      </c>
      <c r="AA37" s="493">
        <f>((1-Facteur_variable)+Facteur_variable*DJC_tot_14_15/DJC_tot_09_10)*GJ_Tot_09_10+GJ_Ajust_NP_Cour_14_15</f>
        <v>0</v>
      </c>
      <c r="AB37" s="490" t="s">
        <v>302</v>
      </c>
      <c r="AC37" s="408"/>
      <c r="AD37" s="408"/>
      <c r="AE37" s="408"/>
      <c r="AF37" s="490"/>
      <c r="AG37" s="490"/>
    </row>
    <row r="38" spans="1:33" ht="35.25" customHeight="1" thickTop="1">
      <c r="B38" s="36" t="s">
        <v>778</v>
      </c>
      <c r="C38" s="36"/>
      <c r="D38" s="36"/>
      <c r="E38" s="55"/>
      <c r="F38" s="54" t="str">
        <f>IF(D38="électrique","kWh",IF(D38="Gaz naturel","m³",IF(LEFT(D38,1)="R","1000 kg","l")))</f>
        <v>l</v>
      </c>
      <c r="G38" s="36"/>
      <c r="H38" s="37"/>
      <c r="I38" s="38">
        <f>IF(COUNTA(G38)=1,IF(C38="Réduction",-1,IF(C38="Augmentation",1,0))*E38*INDEX(Conversion!$A$24:$J$40,MATCH(D38,Conversion!$J$24:$J$40,0),9),0)</f>
        <v>0</v>
      </c>
      <c r="J38" s="38">
        <f t="shared" ref="J38:J44" si="8">IF(G38="Non",I38*L38,IF(G38="Oui",I38*K38,0))</f>
        <v>0</v>
      </c>
      <c r="K38" s="56" t="e">
        <f t="shared" ref="K38:K44" si="9">(DJC_tot_15_16-INDEX($A$9:$AF$20,MATCH(H38,$A$9:$A$20,0),24))/DJC_tot_15_16</f>
        <v>#N/A</v>
      </c>
      <c r="L38" s="56" t="e">
        <f t="shared" ref="L38:L44" si="10">INDEX($A$9:$AG$20,MATCH(H38,$A$9:$A$20,0),25)/12</f>
        <v>#N/A</v>
      </c>
      <c r="S38" s="295"/>
      <c r="T38" s="489"/>
      <c r="U38" s="489"/>
      <c r="V38" s="489"/>
      <c r="W38" s="489"/>
      <c r="X38" s="489"/>
      <c r="Y38" s="490"/>
      <c r="Z38" s="494" t="s">
        <v>55</v>
      </c>
      <c r="AA38" s="490">
        <f>GJ_Tot_15_16</f>
        <v>0</v>
      </c>
      <c r="AB38" s="490"/>
      <c r="AC38" s="408"/>
      <c r="AD38" s="408"/>
      <c r="AE38" s="408"/>
      <c r="AF38" s="490"/>
      <c r="AG38" s="490"/>
    </row>
    <row r="39" spans="1:33" ht="35.25" customHeight="1">
      <c r="B39" s="36" t="s">
        <v>779</v>
      </c>
      <c r="C39" s="36"/>
      <c r="D39" s="36"/>
      <c r="E39" s="55"/>
      <c r="F39" s="54" t="str">
        <f t="shared" ref="F39:F44" si="11">IF(D39="électrique","kWh",IF(D39="Gaz naturel","m³",IF(LEFT(D39,1)="R","1000 kg","l")))</f>
        <v>l</v>
      </c>
      <c r="G39" s="36"/>
      <c r="H39" s="37"/>
      <c r="I39" s="38">
        <f>IF(COUNTA(G39)=1,IF(C39="Réduction",-1,IF(C39="Augmentation",1,0))*E39*INDEX(Conversion!$A$24:$J$40,MATCH(D39,Conversion!$J$24:$J$40,0),9),0)</f>
        <v>0</v>
      </c>
      <c r="J39" s="38">
        <f t="shared" si="8"/>
        <v>0</v>
      </c>
      <c r="K39" s="56" t="e">
        <f t="shared" si="9"/>
        <v>#N/A</v>
      </c>
      <c r="L39" s="56" t="e">
        <f t="shared" si="10"/>
        <v>#N/A</v>
      </c>
      <c r="S39" s="295"/>
      <c r="T39" s="489"/>
      <c r="U39" s="489"/>
      <c r="V39" s="489"/>
      <c r="W39" s="489"/>
      <c r="X39" s="489"/>
      <c r="Y39" s="490"/>
      <c r="Z39" s="494" t="s">
        <v>56</v>
      </c>
      <c r="AA39" s="490">
        <f>Sup_09_10</f>
        <v>0</v>
      </c>
      <c r="AB39" s="490"/>
      <c r="AC39" s="408"/>
      <c r="AD39" s="408"/>
      <c r="AE39" s="408"/>
      <c r="AF39" s="490"/>
      <c r="AG39" s="490"/>
    </row>
    <row r="40" spans="1:33" ht="35.25" customHeight="1">
      <c r="B40" s="36" t="s">
        <v>780</v>
      </c>
      <c r="C40" s="36"/>
      <c r="D40" s="36"/>
      <c r="E40" s="55"/>
      <c r="F40" s="54" t="str">
        <f t="shared" si="11"/>
        <v>l</v>
      </c>
      <c r="G40" s="36"/>
      <c r="H40" s="37"/>
      <c r="I40" s="38">
        <f>IF(COUNTA(G40)=1,IF(C40="Réduction",-1,IF(C40="Augmentation",1,0))*E40*INDEX(Conversion!$A$24:$J$40,MATCH(D40,Conversion!$J$24:$J$40,0),9),0)</f>
        <v>0</v>
      </c>
      <c r="J40" s="38">
        <f t="shared" si="8"/>
        <v>0</v>
      </c>
      <c r="K40" s="56" t="e">
        <f t="shared" si="9"/>
        <v>#N/A</v>
      </c>
      <c r="L40" s="56" t="e">
        <f t="shared" si="10"/>
        <v>#N/A</v>
      </c>
      <c r="T40" s="489"/>
      <c r="U40" s="489"/>
      <c r="V40" s="489"/>
      <c r="W40" s="489"/>
      <c r="X40" s="489"/>
      <c r="Y40" s="408"/>
      <c r="Z40" s="494" t="s">
        <v>57</v>
      </c>
      <c r="AA40" s="408">
        <f>Sup_15_16</f>
        <v>0</v>
      </c>
      <c r="AB40" s="490"/>
      <c r="AC40" s="408"/>
      <c r="AD40" s="408"/>
      <c r="AE40" s="408"/>
      <c r="AF40" s="490"/>
      <c r="AG40" s="490"/>
    </row>
    <row r="41" spans="1:33" ht="35.25" customHeight="1">
      <c r="B41" s="36" t="s">
        <v>781</v>
      </c>
      <c r="C41" s="36"/>
      <c r="D41" s="36"/>
      <c r="E41" s="55"/>
      <c r="F41" s="54" t="str">
        <f t="shared" si="11"/>
        <v>l</v>
      </c>
      <c r="G41" s="36"/>
      <c r="H41" s="37"/>
      <c r="I41" s="38">
        <f>IF(COUNTA(G41)=1,IF(C41="Réduction",-1,IF(C41="Augmentation",1,0))*E41*INDEX(Conversion!$A$24:$J$40,MATCH(D41,Conversion!$J$24:$J$40,0),9),0)</f>
        <v>0</v>
      </c>
      <c r="J41" s="38">
        <f t="shared" si="8"/>
        <v>0</v>
      </c>
      <c r="K41" s="56" t="e">
        <f t="shared" si="9"/>
        <v>#N/A</v>
      </c>
      <c r="L41" s="56" t="e">
        <f t="shared" si="10"/>
        <v>#N/A</v>
      </c>
      <c r="T41" s="489"/>
      <c r="U41" s="489"/>
      <c r="V41" s="489"/>
      <c r="W41" s="489"/>
      <c r="X41" s="489"/>
      <c r="Y41" s="408"/>
      <c r="Z41" s="408"/>
      <c r="AA41" s="495" t="e">
        <f>GJTotRef_Ajust_14_15/Sup_09_10</f>
        <v>#DIV/0!</v>
      </c>
      <c r="AB41" s="490" t="s">
        <v>303</v>
      </c>
      <c r="AC41" s="408"/>
      <c r="AD41" s="408"/>
      <c r="AE41" s="408"/>
      <c r="AF41" s="490"/>
      <c r="AG41" s="490"/>
    </row>
    <row r="42" spans="1:33" ht="35.25" customHeight="1">
      <c r="B42" s="36" t="s">
        <v>782</v>
      </c>
      <c r="C42" s="36"/>
      <c r="D42" s="36"/>
      <c r="E42" s="55"/>
      <c r="F42" s="54" t="str">
        <f t="shared" si="11"/>
        <v>l</v>
      </c>
      <c r="G42" s="36"/>
      <c r="H42" s="37"/>
      <c r="I42" s="38">
        <f>IF(COUNTA(G42)=1,IF(C42="Réduction",-1,IF(C42="Augmentation",1,0))*E42*INDEX(Conversion!$A$24:$J$40,MATCH(D42,Conversion!$J$24:$J$40,0),9),0)</f>
        <v>0</v>
      </c>
      <c r="J42" s="38">
        <f t="shared" si="8"/>
        <v>0</v>
      </c>
      <c r="K42" s="56" t="e">
        <f t="shared" si="9"/>
        <v>#N/A</v>
      </c>
      <c r="L42" s="56" t="e">
        <f t="shared" si="10"/>
        <v>#N/A</v>
      </c>
      <c r="T42" s="489"/>
      <c r="U42" s="489"/>
      <c r="V42" s="489"/>
      <c r="W42" s="489"/>
      <c r="X42" s="489"/>
      <c r="Y42" s="490"/>
      <c r="Z42" s="490"/>
      <c r="AA42" s="496">
        <f>J45</f>
        <v>0</v>
      </c>
      <c r="AB42" s="490" t="s">
        <v>304</v>
      </c>
      <c r="AC42" s="490"/>
      <c r="AD42" s="490"/>
      <c r="AE42" s="490"/>
      <c r="AF42" s="490"/>
      <c r="AG42" s="490"/>
    </row>
    <row r="43" spans="1:33" ht="35.25" customHeight="1">
      <c r="B43" s="36" t="s">
        <v>783</v>
      </c>
      <c r="C43" s="36"/>
      <c r="D43" s="36"/>
      <c r="E43" s="55"/>
      <c r="F43" s="54" t="str">
        <f t="shared" si="11"/>
        <v>l</v>
      </c>
      <c r="G43" s="36"/>
      <c r="H43" s="37"/>
      <c r="I43" s="38">
        <f>IF(COUNTA(G43)=1,IF(C43="Réduction",-1,IF(C43="Augmentation",1,0))*E43*INDEX(Conversion!$A$24:$J$40,MATCH(D43,Conversion!$J$24:$J$40,0),9),0)</f>
        <v>0</v>
      </c>
      <c r="J43" s="38">
        <f t="shared" si="8"/>
        <v>0</v>
      </c>
      <c r="K43" s="56" t="e">
        <f t="shared" si="9"/>
        <v>#N/A</v>
      </c>
      <c r="L43" s="56" t="e">
        <f t="shared" si="10"/>
        <v>#N/A</v>
      </c>
      <c r="T43" s="489"/>
      <c r="U43" s="489"/>
      <c r="V43" s="489"/>
      <c r="W43" s="489"/>
      <c r="X43" s="489"/>
      <c r="Y43" s="490"/>
      <c r="Z43" s="490"/>
      <c r="AA43" s="496">
        <f>I45</f>
        <v>0</v>
      </c>
      <c r="AB43" s="490" t="s">
        <v>305</v>
      </c>
      <c r="AC43" s="490"/>
      <c r="AD43" s="490"/>
      <c r="AE43" s="490"/>
      <c r="AF43" s="490"/>
      <c r="AG43" s="490"/>
    </row>
    <row r="44" spans="1:33" ht="35.25" customHeight="1" thickBot="1">
      <c r="B44" s="36" t="s">
        <v>784</v>
      </c>
      <c r="C44" s="36"/>
      <c r="D44" s="36"/>
      <c r="E44" s="55"/>
      <c r="F44" s="54" t="str">
        <f t="shared" si="11"/>
        <v>l</v>
      </c>
      <c r="G44" s="36"/>
      <c r="H44" s="37"/>
      <c r="I44" s="38">
        <f>IF(COUNTA(G44)=1,IF(C44="Réduction",-1,IF(C44="Augmentation",1,0))*E44*INDEX(Conversion!$A$24:$J$40,MATCH(D44,Conversion!$J$24:$J$40,0),9),0)</f>
        <v>0</v>
      </c>
      <c r="J44" s="38">
        <f t="shared" si="8"/>
        <v>0</v>
      </c>
      <c r="K44" s="56" t="e">
        <f t="shared" si="9"/>
        <v>#N/A</v>
      </c>
      <c r="L44" s="56" t="e">
        <f t="shared" si="10"/>
        <v>#N/A</v>
      </c>
      <c r="T44" s="489"/>
      <c r="U44" s="489"/>
      <c r="V44" s="489"/>
      <c r="W44" s="489"/>
      <c r="X44" s="489"/>
      <c r="Y44" s="490"/>
      <c r="Z44" s="490"/>
      <c r="AA44" s="490"/>
      <c r="AB44" s="490"/>
      <c r="AC44" s="490"/>
      <c r="AD44" s="490"/>
      <c r="AE44" s="490"/>
      <c r="AF44" s="490"/>
      <c r="AG44" s="490"/>
    </row>
    <row r="45" spans="1:33" ht="25.5" customHeight="1" thickTop="1" thickBot="1">
      <c r="B45" s="21" t="s">
        <v>16</v>
      </c>
      <c r="C45" s="19"/>
      <c r="D45" s="19"/>
      <c r="E45" s="19"/>
      <c r="F45" s="19"/>
      <c r="G45" s="19"/>
      <c r="H45" s="19"/>
      <c r="I45" s="20">
        <f>SUM(I38:I44)</f>
        <v>0</v>
      </c>
      <c r="J45" s="20">
        <f>SUM(J38:J44)</f>
        <v>0</v>
      </c>
      <c r="T45" s="489"/>
      <c r="U45" s="489"/>
      <c r="V45" s="489"/>
      <c r="W45" s="489"/>
      <c r="X45" s="489"/>
      <c r="Y45" s="490"/>
      <c r="Z45" s="490"/>
      <c r="AA45" s="490"/>
      <c r="AB45" s="490"/>
      <c r="AC45" s="490"/>
      <c r="AD45" s="490"/>
      <c r="AE45" s="490"/>
      <c r="AF45" s="490"/>
      <c r="AG45" s="490"/>
    </row>
    <row r="46" spans="1:33" ht="15" thickTop="1">
      <c r="I46" s="1"/>
      <c r="J46" s="24"/>
      <c r="K46" s="24"/>
      <c r="L46" s="24"/>
      <c r="T46" s="489"/>
      <c r="U46" s="489"/>
      <c r="V46" s="489"/>
      <c r="W46" s="489"/>
      <c r="X46" s="489"/>
      <c r="Y46" s="490"/>
      <c r="Z46" s="490"/>
      <c r="AA46" s="490"/>
      <c r="AB46" s="490"/>
      <c r="AC46" s="490"/>
      <c r="AD46" s="490"/>
      <c r="AE46" s="490"/>
      <c r="AF46" s="490"/>
      <c r="AG46" s="490"/>
    </row>
    <row r="47" spans="1:33">
      <c r="T47" s="489"/>
      <c r="U47" s="489"/>
      <c r="V47" s="489"/>
      <c r="W47" s="489"/>
      <c r="X47" s="489"/>
      <c r="Y47" s="490"/>
      <c r="Z47" s="490"/>
      <c r="AA47" s="490"/>
      <c r="AB47" s="490"/>
      <c r="AC47" s="490"/>
      <c r="AD47" s="490"/>
      <c r="AE47" s="490"/>
      <c r="AF47" s="490"/>
      <c r="AG47" s="490"/>
    </row>
    <row r="48" spans="1:33">
      <c r="T48" s="489"/>
      <c r="U48" s="489"/>
      <c r="V48" s="489"/>
      <c r="W48" s="489"/>
      <c r="X48" s="489"/>
      <c r="Y48" s="490"/>
      <c r="Z48" s="490"/>
      <c r="AA48" s="490"/>
      <c r="AB48" s="490"/>
      <c r="AC48" s="490"/>
      <c r="AD48" s="490"/>
      <c r="AE48" s="490"/>
      <c r="AF48" s="490"/>
      <c r="AG48" s="490"/>
    </row>
    <row r="49" spans="1:33" ht="16.5" customHeight="1">
      <c r="T49" s="489"/>
      <c r="U49" s="489"/>
      <c r="V49" s="489"/>
      <c r="W49" s="489"/>
      <c r="X49" s="489"/>
      <c r="Y49" s="490"/>
      <c r="Z49" s="490"/>
      <c r="AA49" s="490"/>
      <c r="AB49" s="490"/>
      <c r="AC49" s="490"/>
      <c r="AD49" s="490"/>
      <c r="AE49" s="490"/>
      <c r="AF49" s="490"/>
      <c r="AG49" s="490"/>
    </row>
    <row r="50" spans="1:33">
      <c r="T50" s="489"/>
      <c r="U50" s="489"/>
      <c r="V50" s="489"/>
      <c r="W50" s="489"/>
      <c r="X50" s="489"/>
      <c r="Y50" s="490"/>
      <c r="Z50" s="490"/>
      <c r="AA50" s="490"/>
      <c r="AB50" s="490"/>
      <c r="AC50" s="490"/>
      <c r="AD50" s="490"/>
      <c r="AE50" s="490"/>
      <c r="AF50" s="490"/>
      <c r="AG50" s="490"/>
    </row>
    <row r="51" spans="1:33" ht="16.5" customHeight="1">
      <c r="T51" s="489"/>
      <c r="U51" s="489"/>
      <c r="V51" s="489"/>
      <c r="W51" s="489"/>
      <c r="X51" s="489"/>
      <c r="Y51" s="490"/>
      <c r="Z51" s="490"/>
      <c r="AA51" s="490"/>
      <c r="AB51" s="490"/>
      <c r="AC51" s="490"/>
      <c r="AD51" s="490"/>
      <c r="AE51" s="490"/>
      <c r="AF51" s="490"/>
      <c r="AG51" s="490"/>
    </row>
    <row r="52" spans="1:33">
      <c r="A52" s="29"/>
      <c r="B52" s="29"/>
      <c r="C52" s="30"/>
      <c r="D52" s="30"/>
      <c r="E52" s="30"/>
      <c r="F52" s="30"/>
      <c r="G52" s="30"/>
      <c r="H52" s="30"/>
      <c r="T52" s="489"/>
      <c r="U52" s="489"/>
      <c r="V52" s="489"/>
      <c r="W52" s="489"/>
      <c r="X52" s="489"/>
      <c r="Y52" s="490"/>
      <c r="Z52" s="490"/>
      <c r="AA52" s="490"/>
      <c r="AB52" s="490"/>
      <c r="AC52" s="490"/>
      <c r="AD52" s="490"/>
      <c r="AE52" s="490"/>
      <c r="AF52" s="490"/>
      <c r="AG52" s="490"/>
    </row>
    <row r="53" spans="1:33">
      <c r="A53" s="29"/>
      <c r="B53" s="29"/>
      <c r="C53" s="30"/>
      <c r="D53" s="30"/>
      <c r="E53" s="30"/>
      <c r="F53" s="30"/>
      <c r="G53" s="30"/>
      <c r="H53" s="30"/>
      <c r="T53" s="489"/>
      <c r="U53" s="489"/>
      <c r="V53" s="489"/>
      <c r="W53" s="489"/>
      <c r="X53" s="489"/>
      <c r="Y53" s="490"/>
      <c r="Z53" s="490"/>
      <c r="AA53" s="490"/>
      <c r="AB53" s="490"/>
      <c r="AC53" s="490"/>
      <c r="AD53" s="490"/>
      <c r="AE53" s="490"/>
      <c r="AF53" s="490"/>
      <c r="AG53" s="490"/>
    </row>
    <row r="54" spans="1:33">
      <c r="A54" s="29"/>
      <c r="B54" s="27"/>
      <c r="C54" s="28" t="s">
        <v>65</v>
      </c>
      <c r="D54" s="28" t="s">
        <v>70</v>
      </c>
      <c r="E54" s="28"/>
      <c r="F54" s="28"/>
      <c r="G54" s="28" t="s">
        <v>73</v>
      </c>
      <c r="H54" s="30"/>
      <c r="T54" s="489"/>
      <c r="U54" s="489"/>
      <c r="V54" s="489"/>
      <c r="W54" s="489"/>
      <c r="X54" s="489"/>
      <c r="Y54" s="408"/>
      <c r="Z54" s="490"/>
      <c r="AA54" s="490"/>
      <c r="AB54" s="490"/>
      <c r="AC54" s="490"/>
      <c r="AD54" s="490"/>
      <c r="AE54" s="490"/>
      <c r="AF54" s="490"/>
      <c r="AG54" s="490"/>
    </row>
    <row r="55" spans="1:33">
      <c r="A55" s="29"/>
      <c r="B55" s="27"/>
      <c r="C55" s="28" t="s">
        <v>66</v>
      </c>
      <c r="D55" s="28" t="s">
        <v>19</v>
      </c>
      <c r="E55" s="28"/>
      <c r="F55" s="28"/>
      <c r="G55" s="28" t="s">
        <v>74</v>
      </c>
      <c r="H55" s="30"/>
      <c r="T55" s="489"/>
      <c r="U55" s="489"/>
      <c r="V55" s="489"/>
      <c r="W55" s="489"/>
      <c r="X55" s="489"/>
      <c r="Y55" s="408"/>
      <c r="Z55" s="490"/>
      <c r="AA55" s="490"/>
      <c r="AB55" s="490"/>
      <c r="AC55" s="490"/>
      <c r="AD55" s="490"/>
      <c r="AE55" s="490"/>
      <c r="AF55" s="490"/>
      <c r="AG55" s="490"/>
    </row>
    <row r="56" spans="1:33">
      <c r="A56" s="29"/>
      <c r="B56" s="27"/>
      <c r="C56" s="28"/>
      <c r="D56" s="28" t="s">
        <v>67</v>
      </c>
      <c r="E56" s="28"/>
      <c r="F56" s="28"/>
      <c r="G56" s="28"/>
      <c r="H56" s="30"/>
      <c r="T56" s="489"/>
      <c r="U56" s="489"/>
      <c r="V56" s="489"/>
      <c r="W56" s="489"/>
      <c r="X56" s="489"/>
      <c r="Y56" s="408"/>
      <c r="Z56" s="490"/>
      <c r="AA56" s="490"/>
      <c r="AB56" s="490"/>
      <c r="AC56" s="490"/>
      <c r="AD56" s="490"/>
      <c r="AE56" s="490"/>
      <c r="AF56" s="490"/>
      <c r="AG56" s="490"/>
    </row>
    <row r="57" spans="1:33">
      <c r="A57" s="29"/>
      <c r="B57" s="27"/>
      <c r="C57" s="28"/>
      <c r="D57" s="28" t="s">
        <v>25</v>
      </c>
      <c r="E57" s="28"/>
      <c r="F57" s="28"/>
      <c r="G57" s="28"/>
      <c r="H57" s="30"/>
      <c r="T57" s="489"/>
      <c r="U57" s="489"/>
      <c r="V57" s="489"/>
      <c r="W57" s="489"/>
      <c r="X57" s="489"/>
      <c r="Y57" s="408"/>
      <c r="Z57" s="490"/>
      <c r="AA57" s="490"/>
      <c r="AB57" s="490"/>
      <c r="AC57" s="490"/>
      <c r="AD57" s="490"/>
      <c r="AE57" s="490"/>
      <c r="AF57" s="490"/>
      <c r="AG57" s="490"/>
    </row>
    <row r="58" spans="1:33">
      <c r="A58" s="29"/>
      <c r="B58" s="27"/>
      <c r="C58" s="28"/>
      <c r="D58" s="28" t="s">
        <v>27</v>
      </c>
      <c r="E58" s="28"/>
      <c r="F58" s="28"/>
      <c r="G58" s="28"/>
      <c r="H58" s="30"/>
      <c r="Y58" s="220"/>
      <c r="Z58" s="223"/>
      <c r="AA58" s="223"/>
      <c r="AB58" s="223"/>
      <c r="AC58" s="223"/>
      <c r="AD58" s="223"/>
    </row>
    <row r="59" spans="1:33">
      <c r="A59" s="29"/>
      <c r="B59" s="27"/>
      <c r="C59" s="28"/>
      <c r="D59" s="28" t="s">
        <v>68</v>
      </c>
      <c r="E59" s="28"/>
      <c r="F59" s="28"/>
      <c r="G59" s="28"/>
      <c r="H59" s="30"/>
    </row>
    <row r="60" spans="1:33">
      <c r="A60" s="29"/>
      <c r="B60" s="27"/>
      <c r="C60" s="28"/>
      <c r="D60" s="28" t="s">
        <v>69</v>
      </c>
      <c r="E60" s="28"/>
      <c r="F60" s="28"/>
      <c r="G60" s="28"/>
      <c r="H60" s="30"/>
    </row>
    <row r="61" spans="1:33">
      <c r="A61" s="29"/>
      <c r="B61" s="27"/>
      <c r="C61" s="28"/>
      <c r="D61" s="28" t="s">
        <v>77</v>
      </c>
      <c r="E61" s="28"/>
      <c r="F61" s="28"/>
      <c r="G61" s="28"/>
      <c r="H61" s="30"/>
    </row>
    <row r="62" spans="1:33">
      <c r="A62" s="29"/>
      <c r="B62" s="27"/>
      <c r="C62" s="28"/>
      <c r="D62" s="28"/>
      <c r="E62" s="28"/>
      <c r="F62" s="28"/>
      <c r="G62" s="28"/>
      <c r="H62" s="30"/>
    </row>
    <row r="63" spans="1:33">
      <c r="A63" s="29"/>
      <c r="B63" s="29"/>
      <c r="C63" s="30"/>
      <c r="D63" s="30"/>
      <c r="E63" s="30"/>
      <c r="F63" s="30"/>
      <c r="G63" s="30"/>
      <c r="H63" s="30"/>
    </row>
    <row r="64" spans="1:33">
      <c r="A64" s="29"/>
      <c r="B64" s="29"/>
      <c r="C64" s="30"/>
      <c r="D64" s="30"/>
      <c r="E64" s="30"/>
      <c r="F64" s="30"/>
      <c r="G64" s="30"/>
      <c r="H64" s="30"/>
    </row>
    <row r="65" spans="1:25">
      <c r="A65" s="29"/>
      <c r="B65" s="29"/>
      <c r="C65" s="30"/>
      <c r="D65" s="30"/>
      <c r="E65" s="30"/>
      <c r="F65" s="30"/>
      <c r="G65" s="30"/>
      <c r="H65" s="30"/>
    </row>
    <row r="66" spans="1:25">
      <c r="A66" s="29"/>
      <c r="B66" s="29"/>
      <c r="C66" s="30"/>
      <c r="D66" s="30"/>
      <c r="E66" s="30"/>
      <c r="F66" s="30"/>
      <c r="G66" s="30"/>
      <c r="H66" s="30"/>
    </row>
    <row r="67" spans="1:25">
      <c r="A67" s="29"/>
      <c r="B67" s="29"/>
      <c r="C67" s="30"/>
      <c r="D67" s="30"/>
      <c r="E67" s="30"/>
      <c r="F67" s="30"/>
      <c r="G67" s="30"/>
      <c r="H67" s="30"/>
    </row>
    <row r="68" spans="1:25">
      <c r="A68" s="29"/>
      <c r="B68" s="29"/>
      <c r="C68" s="30"/>
      <c r="D68" s="30"/>
      <c r="E68" s="29"/>
      <c r="F68" s="29"/>
      <c r="G68" s="29"/>
      <c r="H68" s="29"/>
      <c r="I68" s="1"/>
      <c r="J68" s="1"/>
      <c r="K68" s="1"/>
      <c r="L68" s="1"/>
      <c r="M68" s="1"/>
      <c r="N68" s="1"/>
      <c r="O68" s="1"/>
      <c r="P68" s="1"/>
      <c r="Q68" s="1"/>
      <c r="R68" s="1"/>
      <c r="S68" s="1"/>
      <c r="T68" s="1"/>
      <c r="U68" s="1"/>
      <c r="V68" s="1"/>
      <c r="W68" s="1"/>
      <c r="X68" s="1"/>
      <c r="Y68" s="49"/>
    </row>
    <row r="69" spans="1:25">
      <c r="A69" s="29"/>
      <c r="B69" s="29"/>
      <c r="C69" s="30"/>
      <c r="D69" s="30"/>
      <c r="E69" s="29"/>
      <c r="F69" s="29"/>
      <c r="G69" s="29"/>
      <c r="H69" s="29"/>
      <c r="I69" s="1"/>
      <c r="J69" s="1"/>
      <c r="K69" s="1"/>
      <c r="L69" s="1"/>
      <c r="M69" s="1"/>
      <c r="N69" s="1"/>
      <c r="O69" s="1"/>
      <c r="P69" s="1"/>
      <c r="Q69" s="1"/>
      <c r="R69" s="1"/>
      <c r="S69" s="1"/>
      <c r="T69" s="1"/>
      <c r="U69" s="1"/>
      <c r="V69" s="1"/>
      <c r="W69" s="1"/>
      <c r="X69" s="1"/>
      <c r="Y69" s="49"/>
    </row>
    <row r="70" spans="1:25" ht="16.5" customHeight="1">
      <c r="E70" s="1"/>
      <c r="F70" s="1"/>
      <c r="G70" s="1"/>
      <c r="H70" s="1"/>
      <c r="I70" s="1"/>
      <c r="J70" s="1"/>
      <c r="K70" s="1"/>
      <c r="L70" s="1"/>
      <c r="M70" s="1"/>
      <c r="N70" s="1"/>
      <c r="O70" s="1"/>
      <c r="P70" s="1"/>
      <c r="Q70" s="1"/>
      <c r="R70" s="1"/>
      <c r="S70" s="1"/>
      <c r="T70" s="1"/>
      <c r="U70" s="1"/>
      <c r="V70" s="1"/>
      <c r="W70" s="1"/>
      <c r="X70" s="1"/>
      <c r="Y70" s="49"/>
    </row>
    <row r="71" spans="1:25">
      <c r="E71" s="1"/>
      <c r="F71" s="1"/>
      <c r="G71" s="1"/>
      <c r="H71" s="1"/>
      <c r="I71" s="1"/>
      <c r="J71" s="1"/>
      <c r="K71" s="1"/>
      <c r="L71" s="1"/>
      <c r="M71" s="1"/>
      <c r="N71" s="1"/>
      <c r="O71" s="1"/>
      <c r="P71" s="1"/>
      <c r="Q71" s="1"/>
      <c r="R71" s="1"/>
      <c r="S71" s="1"/>
      <c r="T71" s="1"/>
      <c r="U71" s="1"/>
      <c r="V71" s="1"/>
      <c r="W71" s="1"/>
      <c r="X71" s="1"/>
      <c r="Y71" s="49"/>
    </row>
    <row r="72" spans="1:25">
      <c r="E72" s="1"/>
      <c r="F72" s="1"/>
      <c r="G72" s="1"/>
      <c r="H72" s="1"/>
      <c r="I72" s="1"/>
      <c r="J72" s="1"/>
      <c r="K72" s="1"/>
      <c r="L72" s="1"/>
      <c r="M72" s="1"/>
      <c r="N72" s="1"/>
      <c r="O72" s="1"/>
      <c r="P72" s="1"/>
      <c r="Q72" s="1"/>
      <c r="R72" s="1"/>
      <c r="S72" s="1"/>
      <c r="T72" s="1"/>
      <c r="U72" s="1"/>
      <c r="V72" s="1"/>
      <c r="W72" s="1"/>
      <c r="X72" s="1"/>
      <c r="Y72" s="49"/>
    </row>
    <row r="73" spans="1:25">
      <c r="E73" s="1"/>
      <c r="F73" s="1"/>
      <c r="G73" s="1"/>
      <c r="H73" s="1"/>
      <c r="I73" s="1"/>
      <c r="J73" s="1"/>
      <c r="K73" s="1"/>
      <c r="L73" s="1"/>
      <c r="M73" s="1"/>
      <c r="N73" s="1"/>
      <c r="O73" s="1"/>
      <c r="P73" s="1"/>
      <c r="Q73" s="1"/>
      <c r="R73" s="1"/>
      <c r="S73" s="1"/>
      <c r="T73" s="1"/>
      <c r="U73" s="1"/>
      <c r="V73" s="1"/>
      <c r="W73" s="1"/>
      <c r="X73" s="1"/>
      <c r="Y73" s="49"/>
    </row>
    <row r="74" spans="1:25">
      <c r="E74" s="1"/>
      <c r="F74" s="1"/>
      <c r="G74" s="1"/>
      <c r="H74" s="1"/>
      <c r="I74" s="1"/>
      <c r="J74" s="1"/>
      <c r="K74" s="1"/>
      <c r="L74" s="1"/>
      <c r="M74" s="1"/>
      <c r="N74" s="1"/>
      <c r="O74" s="1"/>
      <c r="P74" s="1"/>
      <c r="Q74" s="1"/>
      <c r="R74" s="1"/>
      <c r="S74" s="1"/>
      <c r="T74" s="1"/>
      <c r="U74" s="1"/>
      <c r="V74" s="1"/>
      <c r="W74" s="1"/>
      <c r="X74" s="1"/>
      <c r="Y74" s="49"/>
    </row>
    <row r="75" spans="1:25">
      <c r="E75" s="1"/>
      <c r="F75" s="1"/>
      <c r="G75" s="1"/>
      <c r="H75" s="1"/>
      <c r="I75" s="1"/>
      <c r="J75" s="1"/>
      <c r="K75" s="1"/>
      <c r="L75" s="1"/>
      <c r="M75" s="1"/>
      <c r="N75" s="1"/>
      <c r="O75" s="1"/>
      <c r="P75" s="1"/>
      <c r="Q75" s="1"/>
      <c r="R75" s="1"/>
      <c r="S75" s="1"/>
      <c r="T75" s="1"/>
      <c r="U75" s="1"/>
      <c r="V75" s="1"/>
      <c r="W75" s="1"/>
      <c r="X75" s="1"/>
      <c r="Y75" s="49"/>
    </row>
    <row r="76" spans="1:25">
      <c r="E76" s="1"/>
      <c r="F76" s="1"/>
      <c r="G76" s="1"/>
      <c r="H76" s="1"/>
      <c r="I76" s="1"/>
      <c r="J76" s="1"/>
      <c r="K76" s="1"/>
      <c r="L76" s="1"/>
      <c r="M76" s="1"/>
      <c r="N76" s="1"/>
      <c r="O76" s="1"/>
      <c r="P76" s="1"/>
      <c r="Q76" s="1"/>
      <c r="R76" s="1"/>
      <c r="S76" s="1"/>
      <c r="T76" s="1"/>
      <c r="U76" s="1"/>
      <c r="V76" s="1"/>
      <c r="W76" s="1"/>
      <c r="X76" s="1"/>
      <c r="Y76" s="49"/>
    </row>
    <row r="77" spans="1:25">
      <c r="E77" s="1"/>
      <c r="F77" s="1"/>
      <c r="G77" s="1"/>
      <c r="H77" s="1"/>
      <c r="I77" s="1"/>
      <c r="J77" s="1"/>
      <c r="K77" s="1"/>
      <c r="L77" s="1"/>
      <c r="M77" s="1"/>
      <c r="N77" s="1"/>
      <c r="O77" s="1"/>
      <c r="P77" s="1"/>
      <c r="Q77" s="1"/>
      <c r="R77" s="1"/>
      <c r="S77" s="1"/>
      <c r="T77" s="1"/>
      <c r="U77" s="1"/>
      <c r="V77" s="1"/>
      <c r="W77" s="1"/>
      <c r="X77" s="1"/>
      <c r="Y77" s="49"/>
    </row>
    <row r="78" spans="1:25">
      <c r="E78" s="1"/>
      <c r="F78" s="1"/>
      <c r="G78" s="1"/>
      <c r="H78" s="1"/>
      <c r="I78" s="1"/>
      <c r="J78" s="1"/>
      <c r="K78" s="1"/>
      <c r="L78" s="1"/>
      <c r="M78" s="1"/>
      <c r="N78" s="1"/>
      <c r="O78" s="1"/>
      <c r="P78" s="1"/>
      <c r="Q78" s="1"/>
      <c r="R78" s="1"/>
      <c r="S78" s="1"/>
      <c r="T78" s="1"/>
      <c r="U78" s="1"/>
      <c r="V78" s="1"/>
      <c r="W78" s="1"/>
      <c r="X78" s="1"/>
      <c r="Y78" s="49"/>
    </row>
    <row r="79" spans="1:25">
      <c r="E79" s="1"/>
      <c r="F79" s="1"/>
      <c r="G79" s="1"/>
      <c r="H79" s="1"/>
      <c r="I79" s="1"/>
      <c r="J79" s="1"/>
      <c r="K79" s="1"/>
      <c r="L79" s="1"/>
      <c r="M79" s="1"/>
      <c r="N79" s="1"/>
      <c r="O79" s="1"/>
      <c r="P79" s="1"/>
      <c r="Q79" s="1"/>
      <c r="R79" s="1"/>
      <c r="S79" s="1"/>
      <c r="T79" s="1"/>
      <c r="U79" s="1"/>
      <c r="V79" s="1"/>
      <c r="W79" s="1"/>
      <c r="X79" s="1"/>
      <c r="Y79" s="49"/>
    </row>
    <row r="80" spans="1:25" ht="16.5" customHeight="1">
      <c r="E80" s="1"/>
      <c r="F80" s="1"/>
      <c r="G80" s="1"/>
      <c r="H80" s="1"/>
      <c r="I80" s="1"/>
      <c r="J80" s="1"/>
      <c r="K80" s="1"/>
      <c r="L80" s="1"/>
      <c r="M80" s="1"/>
      <c r="N80" s="1"/>
      <c r="O80" s="1"/>
      <c r="P80" s="1"/>
      <c r="Q80" s="1"/>
      <c r="R80" s="1"/>
      <c r="S80" s="1"/>
      <c r="T80" s="1"/>
      <c r="U80" s="1"/>
      <c r="V80" s="1"/>
      <c r="W80" s="1"/>
      <c r="X80" s="1"/>
      <c r="Y80" s="49"/>
    </row>
    <row r="81" spans="5:25">
      <c r="E81" s="1"/>
      <c r="F81" s="1"/>
      <c r="G81" s="1"/>
      <c r="H81" s="1"/>
      <c r="I81" s="1"/>
      <c r="J81" s="1"/>
      <c r="K81" s="1"/>
      <c r="L81" s="1"/>
      <c r="M81" s="1"/>
      <c r="N81" s="1"/>
      <c r="O81" s="1"/>
      <c r="P81" s="1"/>
      <c r="Q81" s="1"/>
      <c r="R81" s="1"/>
      <c r="S81" s="1"/>
      <c r="T81" s="1"/>
      <c r="U81" s="1"/>
      <c r="V81" s="1"/>
      <c r="W81" s="1"/>
      <c r="X81" s="1"/>
      <c r="Y81" s="49"/>
    </row>
    <row r="82" spans="5:25" ht="16.5" customHeight="1">
      <c r="E82" s="1"/>
      <c r="F82" s="1"/>
      <c r="G82" s="1"/>
      <c r="H82" s="1"/>
      <c r="I82" s="1"/>
      <c r="J82" s="1"/>
      <c r="K82" s="1"/>
      <c r="L82" s="1"/>
      <c r="M82" s="1"/>
      <c r="N82" s="1"/>
      <c r="O82" s="1"/>
      <c r="P82" s="1"/>
      <c r="Q82" s="1"/>
      <c r="R82" s="1"/>
      <c r="S82" s="1"/>
      <c r="T82" s="1"/>
      <c r="U82" s="1"/>
      <c r="V82" s="1"/>
      <c r="W82" s="1"/>
      <c r="X82" s="1"/>
      <c r="Y82" s="49"/>
    </row>
    <row r="83" spans="5:25">
      <c r="E83" s="1"/>
      <c r="F83" s="1"/>
      <c r="G83" s="1"/>
      <c r="H83" s="1"/>
      <c r="I83" s="1"/>
      <c r="J83" s="1"/>
      <c r="K83" s="1"/>
      <c r="L83" s="1"/>
      <c r="M83" s="1"/>
      <c r="N83" s="1"/>
      <c r="O83" s="1"/>
      <c r="P83" s="1"/>
      <c r="Q83" s="1"/>
      <c r="R83" s="1"/>
      <c r="S83" s="1"/>
      <c r="T83" s="1"/>
      <c r="U83" s="1"/>
      <c r="V83" s="1"/>
      <c r="W83" s="1"/>
      <c r="X83" s="1"/>
      <c r="Y83" s="49"/>
    </row>
    <row r="84" spans="5:25">
      <c r="E84" s="1"/>
      <c r="F84" s="1"/>
      <c r="G84" s="1"/>
      <c r="H84" s="1"/>
      <c r="I84" s="1"/>
      <c r="J84" s="1"/>
      <c r="K84" s="1"/>
      <c r="L84" s="1"/>
      <c r="M84" s="1"/>
      <c r="N84" s="1"/>
      <c r="O84" s="1"/>
      <c r="P84" s="1"/>
      <c r="Q84" s="1"/>
      <c r="R84" s="1"/>
      <c r="S84" s="1"/>
      <c r="T84" s="1"/>
      <c r="U84" s="1"/>
      <c r="V84" s="1"/>
      <c r="W84" s="1"/>
      <c r="X84" s="1"/>
      <c r="Y84" s="49"/>
    </row>
    <row r="85" spans="5:25">
      <c r="E85" s="1"/>
      <c r="F85" s="1"/>
      <c r="G85" s="1"/>
      <c r="H85" s="1"/>
      <c r="I85" s="1"/>
      <c r="J85" s="1"/>
      <c r="K85" s="1"/>
      <c r="L85" s="1"/>
      <c r="M85" s="1"/>
      <c r="N85" s="1"/>
      <c r="O85" s="1"/>
      <c r="P85" s="1"/>
      <c r="Q85" s="1"/>
      <c r="R85" s="1"/>
      <c r="S85" s="1"/>
      <c r="T85" s="1"/>
      <c r="U85" s="1"/>
      <c r="V85" s="1"/>
      <c r="W85" s="1"/>
      <c r="X85" s="1"/>
      <c r="Y85" s="49"/>
    </row>
    <row r="86" spans="5:25">
      <c r="E86" s="1"/>
      <c r="F86" s="1"/>
      <c r="G86" s="1"/>
      <c r="H86" s="1"/>
      <c r="I86" s="1"/>
      <c r="J86" s="1"/>
      <c r="K86" s="1"/>
      <c r="L86" s="1"/>
      <c r="M86" s="1"/>
      <c r="N86" s="1"/>
      <c r="O86" s="1"/>
      <c r="P86" s="1"/>
      <c r="Q86" s="1"/>
      <c r="R86" s="1"/>
      <c r="S86" s="1"/>
      <c r="T86" s="1"/>
      <c r="U86" s="1"/>
      <c r="V86" s="1"/>
      <c r="W86" s="1"/>
      <c r="X86" s="1"/>
      <c r="Y86" s="49"/>
    </row>
    <row r="87" spans="5:25">
      <c r="E87" s="1"/>
      <c r="F87" s="1"/>
      <c r="G87" s="1"/>
      <c r="H87" s="1"/>
      <c r="I87" s="1"/>
      <c r="J87" s="1"/>
      <c r="K87" s="1"/>
      <c r="L87" s="1"/>
      <c r="M87" s="1"/>
      <c r="N87" s="1"/>
      <c r="O87" s="1"/>
      <c r="P87" s="1"/>
      <c r="Q87" s="1"/>
      <c r="R87" s="1"/>
      <c r="S87" s="1"/>
      <c r="T87" s="1"/>
      <c r="U87" s="1"/>
      <c r="V87" s="1"/>
      <c r="W87" s="1"/>
      <c r="X87" s="1"/>
      <c r="Y87" s="49"/>
    </row>
    <row r="88" spans="5:25">
      <c r="E88" s="1"/>
      <c r="F88" s="1"/>
      <c r="G88" s="1"/>
      <c r="H88" s="1"/>
      <c r="I88" s="1"/>
      <c r="J88" s="1"/>
      <c r="K88" s="1"/>
      <c r="L88" s="1"/>
      <c r="M88" s="1"/>
      <c r="N88" s="1"/>
      <c r="O88" s="1"/>
      <c r="P88" s="1"/>
      <c r="Q88" s="1"/>
      <c r="R88" s="1"/>
      <c r="S88" s="1"/>
      <c r="T88" s="1"/>
      <c r="U88" s="1"/>
      <c r="V88" s="1"/>
      <c r="W88" s="1"/>
      <c r="X88" s="1"/>
      <c r="Y88" s="49"/>
    </row>
    <row r="89" spans="5:25">
      <c r="E89" s="1"/>
      <c r="F89" s="1"/>
      <c r="G89" s="1"/>
      <c r="H89" s="1"/>
      <c r="I89" s="1"/>
      <c r="J89" s="1"/>
      <c r="K89" s="1"/>
      <c r="L89" s="1"/>
      <c r="M89" s="1"/>
      <c r="N89" s="1"/>
      <c r="O89" s="1"/>
      <c r="P89" s="1"/>
      <c r="Q89" s="1"/>
      <c r="R89" s="1"/>
      <c r="S89" s="1"/>
      <c r="T89" s="1"/>
      <c r="U89" s="1"/>
      <c r="V89" s="1"/>
      <c r="W89" s="1"/>
      <c r="X89" s="1"/>
      <c r="Y89" s="49"/>
    </row>
    <row r="90" spans="5:25">
      <c r="E90" s="1"/>
      <c r="F90" s="1"/>
      <c r="G90" s="1"/>
      <c r="H90" s="1"/>
      <c r="I90" s="1"/>
      <c r="J90" s="1"/>
      <c r="K90" s="1"/>
      <c r="L90" s="1"/>
      <c r="M90" s="1"/>
      <c r="N90" s="1"/>
      <c r="O90" s="1"/>
      <c r="P90" s="1"/>
      <c r="Q90" s="1"/>
      <c r="R90" s="1"/>
      <c r="S90" s="1"/>
      <c r="T90" s="1"/>
      <c r="U90" s="1"/>
      <c r="V90" s="1"/>
      <c r="W90" s="1"/>
      <c r="X90" s="1"/>
      <c r="Y90" s="49"/>
    </row>
    <row r="91" spans="5:25">
      <c r="E91" s="1"/>
      <c r="F91" s="1"/>
      <c r="G91" s="1"/>
      <c r="H91" s="1"/>
      <c r="I91" s="1"/>
      <c r="J91" s="1"/>
      <c r="K91" s="1"/>
      <c r="L91" s="1"/>
      <c r="M91" s="1"/>
      <c r="N91" s="1"/>
      <c r="O91" s="1"/>
      <c r="P91" s="1"/>
      <c r="Q91" s="1"/>
      <c r="R91" s="1"/>
      <c r="S91" s="1"/>
      <c r="T91" s="1"/>
      <c r="U91" s="1"/>
      <c r="V91" s="1"/>
      <c r="W91" s="1"/>
      <c r="X91" s="1"/>
      <c r="Y91" s="49"/>
    </row>
    <row r="92" spans="5:25">
      <c r="E92" s="1"/>
      <c r="F92" s="1"/>
      <c r="G92" s="1"/>
      <c r="H92" s="1"/>
      <c r="I92" s="1"/>
      <c r="J92" s="1"/>
      <c r="K92" s="1"/>
      <c r="L92" s="1"/>
      <c r="M92" s="1"/>
      <c r="N92" s="1"/>
      <c r="O92" s="1"/>
      <c r="P92" s="1"/>
      <c r="Q92" s="1"/>
      <c r="R92" s="1"/>
      <c r="S92" s="1"/>
      <c r="T92" s="1"/>
      <c r="U92" s="1"/>
      <c r="V92" s="1"/>
      <c r="W92" s="1"/>
      <c r="X92" s="1"/>
      <c r="Y92" s="49"/>
    </row>
    <row r="93" spans="5:25">
      <c r="E93" s="1"/>
      <c r="F93" s="1"/>
      <c r="G93" s="1"/>
      <c r="H93" s="1"/>
      <c r="I93" s="1"/>
      <c r="J93" s="1"/>
      <c r="K93" s="1"/>
      <c r="L93" s="1"/>
      <c r="M93" s="1"/>
      <c r="N93" s="1"/>
      <c r="O93" s="1"/>
      <c r="P93" s="1"/>
      <c r="Q93" s="1"/>
      <c r="R93" s="1"/>
      <c r="S93" s="1"/>
      <c r="T93" s="1"/>
      <c r="U93" s="1"/>
      <c r="V93" s="1"/>
      <c r="W93" s="1"/>
      <c r="X93" s="1"/>
      <c r="Y93" s="49"/>
    </row>
    <row r="94" spans="5:25">
      <c r="E94" s="1"/>
      <c r="F94" s="1"/>
      <c r="G94" s="1"/>
      <c r="H94" s="1"/>
      <c r="I94" s="1"/>
      <c r="J94" s="1"/>
      <c r="K94" s="1"/>
      <c r="L94" s="1"/>
      <c r="M94" s="1"/>
      <c r="N94" s="1"/>
      <c r="O94" s="1"/>
      <c r="P94" s="1"/>
      <c r="Q94" s="1"/>
      <c r="R94" s="1"/>
      <c r="S94" s="1"/>
      <c r="T94" s="1"/>
      <c r="U94" s="1"/>
      <c r="V94" s="1"/>
      <c r="W94" s="1"/>
      <c r="X94" s="1"/>
      <c r="Y94" s="49"/>
    </row>
    <row r="95" spans="5:25">
      <c r="E95" s="1"/>
      <c r="F95" s="1"/>
      <c r="G95" s="1"/>
      <c r="H95" s="1"/>
      <c r="I95" s="1"/>
      <c r="J95" s="1"/>
      <c r="K95" s="1"/>
      <c r="L95" s="1"/>
      <c r="M95" s="1"/>
      <c r="N95" s="1"/>
      <c r="O95" s="1"/>
      <c r="P95" s="1"/>
      <c r="Q95" s="1"/>
      <c r="R95" s="1"/>
      <c r="S95" s="1"/>
      <c r="T95" s="1"/>
      <c r="U95" s="1"/>
      <c r="V95" s="1"/>
      <c r="W95" s="1"/>
      <c r="X95" s="1"/>
      <c r="Y95" s="49"/>
    </row>
    <row r="96" spans="5:25">
      <c r="E96" s="1"/>
      <c r="F96" s="1"/>
      <c r="G96" s="1"/>
      <c r="H96" s="1"/>
      <c r="I96" s="1"/>
      <c r="J96" s="1"/>
      <c r="K96" s="1"/>
      <c r="L96" s="1"/>
      <c r="M96" s="1"/>
      <c r="N96" s="1"/>
      <c r="O96" s="1"/>
      <c r="P96" s="1"/>
      <c r="Q96" s="1"/>
      <c r="R96" s="1"/>
      <c r="S96" s="1"/>
      <c r="T96" s="1"/>
      <c r="U96" s="1"/>
      <c r="V96" s="1"/>
      <c r="W96" s="1"/>
      <c r="X96" s="1"/>
      <c r="Y96" s="49"/>
    </row>
    <row r="97" spans="5:25">
      <c r="E97" s="1"/>
      <c r="F97" s="1"/>
      <c r="G97" s="1"/>
      <c r="H97" s="1"/>
      <c r="I97" s="1"/>
      <c r="J97" s="1"/>
      <c r="K97" s="1"/>
      <c r="L97" s="1"/>
      <c r="M97" s="1"/>
      <c r="N97" s="1"/>
      <c r="O97" s="1"/>
      <c r="P97" s="1"/>
      <c r="Q97" s="1"/>
      <c r="R97" s="1"/>
      <c r="S97" s="1"/>
      <c r="T97" s="1"/>
      <c r="U97" s="1"/>
      <c r="V97" s="1"/>
      <c r="W97" s="1"/>
      <c r="X97" s="1"/>
      <c r="Y97" s="49"/>
    </row>
    <row r="98" spans="5:25">
      <c r="E98" s="1"/>
      <c r="F98" s="1"/>
      <c r="G98" s="1"/>
      <c r="H98" s="1"/>
      <c r="I98" s="1"/>
      <c r="J98" s="1"/>
      <c r="K98" s="1"/>
      <c r="L98" s="1"/>
      <c r="M98" s="1"/>
      <c r="N98" s="1"/>
      <c r="O98" s="1"/>
      <c r="P98" s="1"/>
      <c r="Q98" s="1"/>
      <c r="R98" s="1"/>
      <c r="S98" s="1"/>
      <c r="T98" s="1"/>
      <c r="U98" s="1"/>
      <c r="V98" s="1"/>
      <c r="W98" s="1"/>
      <c r="X98" s="1"/>
      <c r="Y98" s="49"/>
    </row>
    <row r="99" spans="5:25">
      <c r="E99" s="1"/>
      <c r="F99" s="1"/>
      <c r="G99" s="1"/>
      <c r="H99" s="1"/>
      <c r="I99" s="1"/>
      <c r="J99" s="1"/>
      <c r="K99" s="1"/>
      <c r="L99" s="1"/>
      <c r="M99" s="1"/>
      <c r="N99" s="1"/>
      <c r="O99" s="1"/>
      <c r="P99" s="1"/>
      <c r="Q99" s="1"/>
      <c r="R99" s="1"/>
      <c r="S99" s="1"/>
      <c r="T99" s="1"/>
      <c r="U99" s="1"/>
      <c r="V99" s="1"/>
      <c r="W99" s="1"/>
      <c r="X99" s="1"/>
      <c r="Y99" s="49"/>
    </row>
    <row r="100" spans="5:25">
      <c r="E100" s="1"/>
      <c r="F100" s="1"/>
      <c r="G100" s="1"/>
      <c r="H100" s="1"/>
      <c r="I100" s="1"/>
      <c r="J100" s="1"/>
      <c r="K100" s="1"/>
      <c r="L100" s="1"/>
      <c r="M100" s="1"/>
      <c r="N100" s="1"/>
      <c r="O100" s="1"/>
      <c r="P100" s="1"/>
      <c r="Q100" s="1"/>
      <c r="R100" s="1"/>
      <c r="S100" s="1"/>
      <c r="T100" s="1"/>
      <c r="U100" s="1"/>
      <c r="V100" s="1"/>
      <c r="W100" s="1"/>
      <c r="X100" s="1"/>
      <c r="Y100" s="49"/>
    </row>
    <row r="101" spans="5:25">
      <c r="E101" s="1"/>
      <c r="F101" s="1"/>
      <c r="G101" s="1"/>
      <c r="H101" s="1"/>
      <c r="I101" s="1"/>
      <c r="J101" s="1"/>
      <c r="K101" s="1"/>
      <c r="L101" s="1"/>
      <c r="M101" s="1"/>
      <c r="N101" s="1"/>
      <c r="O101" s="1"/>
      <c r="P101" s="1"/>
      <c r="Q101" s="1"/>
      <c r="R101" s="1"/>
      <c r="S101" s="1"/>
      <c r="T101" s="1"/>
      <c r="U101" s="1"/>
      <c r="V101" s="1"/>
      <c r="W101" s="1"/>
      <c r="X101" s="1"/>
      <c r="Y101" s="49"/>
    </row>
    <row r="102" spans="5:25">
      <c r="E102" s="1"/>
      <c r="F102" s="1"/>
      <c r="G102" s="1"/>
      <c r="H102" s="1"/>
      <c r="I102" s="1"/>
      <c r="J102" s="1"/>
      <c r="K102" s="1"/>
      <c r="L102" s="1"/>
      <c r="M102" s="1"/>
      <c r="N102" s="1"/>
      <c r="O102" s="1"/>
      <c r="P102" s="1"/>
      <c r="Q102" s="1"/>
      <c r="R102" s="1"/>
      <c r="S102" s="1"/>
      <c r="T102" s="1"/>
      <c r="U102" s="1"/>
      <c r="V102" s="1"/>
      <c r="W102" s="1"/>
      <c r="X102" s="1"/>
      <c r="Y102" s="49"/>
    </row>
    <row r="103" spans="5:25">
      <c r="E103" s="1"/>
      <c r="F103" s="1"/>
      <c r="G103" s="1"/>
      <c r="H103" s="1"/>
      <c r="I103" s="1"/>
      <c r="J103" s="1"/>
      <c r="K103" s="1"/>
      <c r="L103" s="1"/>
      <c r="M103" s="1"/>
      <c r="N103" s="1"/>
      <c r="O103" s="1"/>
      <c r="P103" s="1"/>
      <c r="Q103" s="1"/>
      <c r="R103" s="1"/>
      <c r="S103" s="1"/>
      <c r="T103" s="1"/>
      <c r="U103" s="1"/>
      <c r="V103" s="1"/>
      <c r="W103" s="1"/>
      <c r="X103" s="1"/>
      <c r="Y103" s="49"/>
    </row>
    <row r="104" spans="5:25">
      <c r="E104" s="1"/>
      <c r="F104" s="1"/>
      <c r="G104" s="1"/>
      <c r="H104" s="1"/>
      <c r="I104" s="1"/>
      <c r="J104" s="1"/>
      <c r="K104" s="1"/>
      <c r="L104" s="1"/>
      <c r="M104" s="1"/>
      <c r="N104" s="1"/>
      <c r="O104" s="1"/>
      <c r="P104" s="1"/>
      <c r="Q104" s="1"/>
      <c r="R104" s="1"/>
      <c r="S104" s="1"/>
      <c r="T104" s="1"/>
      <c r="U104" s="1"/>
      <c r="V104" s="1"/>
      <c r="W104" s="1"/>
      <c r="X104" s="1"/>
      <c r="Y104" s="49"/>
    </row>
  </sheetData>
  <mergeCells count="18">
    <mergeCell ref="A25:I25"/>
    <mergeCell ref="A35:B35"/>
    <mergeCell ref="C35:N35"/>
    <mergeCell ref="M7:N7"/>
    <mergeCell ref="O7:P7"/>
    <mergeCell ref="A7:A8"/>
    <mergeCell ref="C7:D7"/>
    <mergeCell ref="E7:F7"/>
    <mergeCell ref="G7:H7"/>
    <mergeCell ref="I7:J7"/>
    <mergeCell ref="K7:L7"/>
    <mergeCell ref="Y7:Z7"/>
    <mergeCell ref="AA7:AB7"/>
    <mergeCell ref="AC7:AD7"/>
    <mergeCell ref="Q7:R7"/>
    <mergeCell ref="S7:T7"/>
    <mergeCell ref="U7:V7"/>
    <mergeCell ref="W7:X7"/>
  </mergeCells>
  <conditionalFormatting sqref="A25">
    <cfRule type="cellIs" dxfId="36" priority="4" stopIfTrue="1" operator="greaterThan">
      <formula>$AB$25</formula>
    </cfRule>
    <cfRule type="cellIs" dxfId="35" priority="5" stopIfTrue="1" operator="lessThan">
      <formula>$AA$25</formula>
    </cfRule>
  </conditionalFormatting>
  <conditionalFormatting sqref="AA21">
    <cfRule type="cellIs" dxfId="34" priority="1" stopIfTrue="1" operator="greaterThan">
      <formula>Lim_haut</formula>
    </cfRule>
    <cfRule type="cellIs" dxfId="33" priority="2" stopIfTrue="1" operator="lessThan">
      <formula>Lim_bas</formula>
    </cfRule>
  </conditionalFormatting>
  <dataValidations count="6">
    <dataValidation type="whole" errorStyle="warning" allowBlank="1" showInputMessage="1" showErrorMessage="1" errorTitle="TEST" error="la valeur entrée semble suspecte" sqref="AA9:AA20">
      <formula1>0.15/12</formula1>
      <formula2>4.06/12</formula2>
    </dataValidation>
    <dataValidation type="list" allowBlank="1" showInputMessage="1" showErrorMessage="1" sqref="D38:D44">
      <formula1>$D$54:$D$61</formula1>
    </dataValidation>
    <dataValidation type="list" allowBlank="1" showInputMessage="1" showErrorMessage="1" sqref="G38:G44">
      <formula1>$G$54:$G$55</formula1>
    </dataValidation>
    <dataValidation type="list" allowBlank="1" showInputMessage="1" showErrorMessage="1" sqref="H38:H44">
      <formula1>$A$9:$A$20</formula1>
    </dataValidation>
    <dataValidation type="list" allowBlank="1" showInputMessage="1" showErrorMessage="1" sqref="C38:C44">
      <formula1>$C$54:$C$55</formula1>
    </dataValidation>
    <dataValidation type="list" allowBlank="1" showInputMessage="1" showErrorMessage="1" sqref="D45">
      <formula1>$D$54:$D$60</formula1>
    </dataValidation>
  </dataValidations>
  <hyperlinks>
    <hyperlink ref="A7" location="Résumé!A1" display="Résumé!A1"/>
  </hyperlinks>
  <pageMargins left="0.70866141732283472" right="0.70866141732283472" top="0.74803149606299213" bottom="0.74803149606299213" header="0.31496062992125984" footer="0.31496062992125984"/>
  <pageSetup scale="25" orientation="landscape" r:id="rId1"/>
  <headerFooter>
    <oddFooter>&amp;L&amp;"Arial,Normal"&amp;10Transition énergétique Québec&amp;R&amp;F
&amp;A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0</xdr:col>
                    <xdr:colOff>723900</xdr:colOff>
                    <xdr:row>27</xdr:row>
                    <xdr:rowOff>220980</xdr:rowOff>
                  </from>
                  <to>
                    <xdr:col>7</xdr:col>
                    <xdr:colOff>487680</xdr:colOff>
                    <xdr:row>29</xdr:row>
                    <xdr:rowOff>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0</xdr:col>
                    <xdr:colOff>723900</xdr:colOff>
                    <xdr:row>29</xdr:row>
                    <xdr:rowOff>22860</xdr:rowOff>
                  </from>
                  <to>
                    <xdr:col>5</xdr:col>
                    <xdr:colOff>198120</xdr:colOff>
                    <xdr:row>30</xdr:row>
                    <xdr:rowOff>7620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0</xdr:col>
                    <xdr:colOff>723900</xdr:colOff>
                    <xdr:row>30</xdr:row>
                    <xdr:rowOff>30480</xdr:rowOff>
                  </from>
                  <to>
                    <xdr:col>5</xdr:col>
                    <xdr:colOff>220980</xdr:colOff>
                    <xdr:row>31</xdr:row>
                    <xdr:rowOff>22860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0</xdr:col>
                    <xdr:colOff>723900</xdr:colOff>
                    <xdr:row>31</xdr:row>
                    <xdr:rowOff>45720</xdr:rowOff>
                  </from>
                  <to>
                    <xdr:col>5</xdr:col>
                    <xdr:colOff>350520</xdr:colOff>
                    <xdr:row>31</xdr:row>
                    <xdr:rowOff>198120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0</xdr:col>
                    <xdr:colOff>723900</xdr:colOff>
                    <xdr:row>32</xdr:row>
                    <xdr:rowOff>7620</xdr:rowOff>
                  </from>
                  <to>
                    <xdr:col>4</xdr:col>
                    <xdr:colOff>922020</xdr:colOff>
                    <xdr:row>33</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9">
    <tabColor rgb="FF99CC00"/>
    <pageSetUpPr fitToPage="1"/>
  </sheetPr>
  <dimension ref="A1:AL104"/>
  <sheetViews>
    <sheetView showZeros="0" zoomScaleNormal="100" zoomScaleSheetLayoutView="100" workbookViewId="0">
      <selection activeCell="B21" sqref="B21"/>
    </sheetView>
  </sheetViews>
  <sheetFormatPr baseColWidth="10" defaultColWidth="9.109375" defaultRowHeight="14.4"/>
  <cols>
    <col min="1" max="1" width="16.5546875" style="1" customWidth="1"/>
    <col min="2" max="2" width="18" style="1" customWidth="1"/>
    <col min="3" max="3" width="16" style="23" customWidth="1"/>
    <col min="4" max="4" width="18" style="23" customWidth="1"/>
    <col min="5" max="5" width="16" style="23" customWidth="1"/>
    <col min="6" max="6" width="17.44140625" style="23" customWidth="1"/>
    <col min="7" max="19" width="16" style="23" customWidth="1"/>
    <col min="20" max="20" width="18.5546875" style="23" customWidth="1"/>
    <col min="21" max="21" width="16" style="23" customWidth="1"/>
    <col min="22" max="22" width="18.88671875" style="23" customWidth="1"/>
    <col min="23" max="23" width="16" style="23" customWidth="1"/>
    <col min="24" max="24" width="18.5546875" style="23" customWidth="1"/>
    <col min="25" max="25" width="16" style="47" customWidth="1"/>
    <col min="26" max="26" width="23.44140625" style="49" customWidth="1"/>
    <col min="27" max="30" width="16" style="49" customWidth="1"/>
    <col min="31" max="31" width="16.33203125" style="49" customWidth="1"/>
    <col min="32" max="16384" width="9.109375" style="49"/>
  </cols>
  <sheetData>
    <row r="1" spans="1:33" s="1" customFormat="1" ht="117.75" customHeight="1">
      <c r="C1" s="382" t="s">
        <v>363</v>
      </c>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row>
    <row r="2" spans="1:33" s="1" customFormat="1" ht="18">
      <c r="C2" s="26"/>
      <c r="D2" s="125" t="s">
        <v>380</v>
      </c>
      <c r="E2" s="126"/>
      <c r="F2" s="127"/>
      <c r="G2" s="128"/>
      <c r="H2" s="128"/>
      <c r="I2" s="129"/>
      <c r="J2" s="128"/>
      <c r="K2" s="128"/>
      <c r="L2" s="128"/>
      <c r="M2" s="128"/>
      <c r="N2" s="128"/>
      <c r="O2" s="128"/>
      <c r="P2" s="26"/>
      <c r="Q2" s="26"/>
      <c r="R2" s="26"/>
      <c r="S2" s="26"/>
      <c r="T2" s="26"/>
      <c r="U2" s="26"/>
      <c r="V2" s="26"/>
      <c r="W2" s="26"/>
      <c r="X2" s="26"/>
      <c r="Y2" s="26"/>
      <c r="Z2" s="26"/>
      <c r="AA2" s="26"/>
      <c r="AB2" s="26"/>
      <c r="AC2" s="26"/>
      <c r="AD2" s="26"/>
      <c r="AE2" s="26"/>
    </row>
    <row r="3" spans="1:33" s="1" customFormat="1" ht="19.5" customHeight="1">
      <c r="C3" s="26"/>
      <c r="D3" s="233" t="s">
        <v>1059</v>
      </c>
      <c r="E3" s="227"/>
      <c r="F3" s="228"/>
      <c r="G3" s="233"/>
      <c r="H3" s="233"/>
      <c r="I3" s="251"/>
      <c r="J3" s="252"/>
      <c r="K3" s="252"/>
      <c r="L3" s="252"/>
      <c r="M3" s="252"/>
      <c r="N3" s="252"/>
      <c r="O3" s="252"/>
      <c r="P3" s="253"/>
      <c r="Q3" s="253"/>
      <c r="R3" s="253"/>
      <c r="S3" s="253"/>
      <c r="T3" s="26"/>
      <c r="U3" s="26"/>
      <c r="V3" s="26"/>
      <c r="W3" s="26"/>
      <c r="X3" s="26"/>
      <c r="Y3" s="26"/>
      <c r="Z3" s="26"/>
      <c r="AA3" s="26"/>
      <c r="AB3" s="26"/>
      <c r="AC3" s="26"/>
      <c r="AD3" s="26"/>
      <c r="AE3" s="26"/>
    </row>
    <row r="4" spans="1:33" s="1" customFormat="1" ht="15.6">
      <c r="C4" s="26"/>
      <c r="D4" s="82" t="s">
        <v>435</v>
      </c>
      <c r="E4" s="78"/>
      <c r="F4" s="79"/>
      <c r="G4" s="71"/>
      <c r="H4" s="71"/>
      <c r="I4" s="71"/>
      <c r="J4" s="71"/>
      <c r="K4" s="71"/>
      <c r="L4" s="71"/>
      <c r="M4" s="71"/>
      <c r="N4" s="71"/>
      <c r="O4" s="71"/>
      <c r="P4" s="26"/>
      <c r="Q4" s="26"/>
      <c r="R4" s="26"/>
      <c r="S4" s="26"/>
      <c r="T4" s="26"/>
      <c r="U4" s="26"/>
      <c r="V4" s="26"/>
      <c r="W4" s="26"/>
      <c r="X4" s="26"/>
      <c r="Y4" s="26"/>
      <c r="Z4" s="26"/>
      <c r="AA4" s="26"/>
      <c r="AB4" s="26"/>
      <c r="AC4" s="26"/>
      <c r="AD4" s="26"/>
      <c r="AE4" s="26"/>
    </row>
    <row r="5" spans="1:33" s="1" customFormat="1" ht="15.6">
      <c r="C5" s="26"/>
      <c r="D5" s="82" t="s">
        <v>372</v>
      </c>
      <c r="E5" s="78"/>
      <c r="F5" s="79"/>
      <c r="G5" s="71"/>
      <c r="H5" s="71"/>
      <c r="I5" s="71"/>
      <c r="J5" s="71"/>
      <c r="K5" s="71"/>
      <c r="L5" s="71"/>
      <c r="M5" s="71"/>
      <c r="N5" s="71"/>
      <c r="O5" s="71"/>
      <c r="P5" s="26"/>
      <c r="Q5" s="26"/>
      <c r="R5" s="26"/>
      <c r="S5" s="26"/>
      <c r="T5" s="26"/>
      <c r="U5" s="26"/>
      <c r="V5" s="26"/>
      <c r="W5" s="26"/>
      <c r="X5" s="26"/>
      <c r="Y5" s="26"/>
      <c r="Z5" s="26"/>
      <c r="AA5" s="26"/>
      <c r="AB5" s="26"/>
      <c r="AC5" s="26"/>
      <c r="AD5" s="26"/>
      <c r="AE5" s="26"/>
    </row>
    <row r="6" spans="1:33" s="1" customFormat="1" ht="15" thickBot="1">
      <c r="C6" s="26"/>
      <c r="D6" s="26"/>
      <c r="E6" s="26"/>
      <c r="F6" s="26"/>
      <c r="G6" s="26"/>
      <c r="H6" s="26"/>
      <c r="I6" s="26"/>
      <c r="J6" s="26"/>
      <c r="K6" s="26"/>
      <c r="L6" s="26"/>
      <c r="M6" s="26"/>
      <c r="N6" s="26"/>
      <c r="O6" s="26"/>
      <c r="P6" s="26"/>
      <c r="Q6" s="26"/>
      <c r="R6" s="26"/>
      <c r="S6" s="26"/>
      <c r="T6" s="26"/>
      <c r="U6" s="26"/>
      <c r="V6" s="26"/>
      <c r="W6" s="26"/>
      <c r="X6" s="26"/>
      <c r="Y6" s="26"/>
      <c r="Z6" s="26"/>
      <c r="AA6" s="26"/>
      <c r="AB6" s="26"/>
      <c r="AC6" s="548"/>
      <c r="AD6" s="26"/>
      <c r="AE6" s="26"/>
    </row>
    <row r="7" spans="1:33" ht="30.75" customHeight="1" thickTop="1">
      <c r="A7" s="563" t="s">
        <v>78</v>
      </c>
      <c r="B7" s="4" t="s">
        <v>13</v>
      </c>
      <c r="C7" s="556" t="s">
        <v>22</v>
      </c>
      <c r="D7" s="557"/>
      <c r="E7" s="556" t="s">
        <v>19</v>
      </c>
      <c r="F7" s="557"/>
      <c r="G7" s="556" t="s">
        <v>24</v>
      </c>
      <c r="H7" s="557"/>
      <c r="I7" s="556" t="s">
        <v>25</v>
      </c>
      <c r="J7" s="557"/>
      <c r="K7" s="556" t="s">
        <v>805</v>
      </c>
      <c r="L7" s="557"/>
      <c r="M7" s="556" t="s">
        <v>27</v>
      </c>
      <c r="N7" s="557"/>
      <c r="O7" s="558" t="s">
        <v>757</v>
      </c>
      <c r="P7" s="559"/>
      <c r="Q7" s="558" t="s">
        <v>758</v>
      </c>
      <c r="R7" s="559"/>
      <c r="S7" s="558" t="s">
        <v>412</v>
      </c>
      <c r="T7" s="559"/>
      <c r="U7" s="558" t="s">
        <v>624</v>
      </c>
      <c r="V7" s="559"/>
      <c r="W7" s="558" t="s">
        <v>625</v>
      </c>
      <c r="X7" s="559"/>
      <c r="Y7" s="556" t="s">
        <v>16</v>
      </c>
      <c r="Z7" s="557"/>
      <c r="AA7" s="556" t="s">
        <v>52</v>
      </c>
      <c r="AB7" s="557"/>
      <c r="AC7" s="556" t="s">
        <v>45</v>
      </c>
      <c r="AD7" s="557"/>
      <c r="AE7" s="4" t="s">
        <v>40</v>
      </c>
    </row>
    <row r="8" spans="1:33" ht="18" customHeight="1" thickBot="1">
      <c r="A8" s="563"/>
      <c r="B8" s="8" t="s">
        <v>36</v>
      </c>
      <c r="C8" s="7" t="s">
        <v>376</v>
      </c>
      <c r="D8" s="6" t="s">
        <v>20</v>
      </c>
      <c r="E8" s="7" t="s">
        <v>31</v>
      </c>
      <c r="F8" s="6" t="s">
        <v>20</v>
      </c>
      <c r="G8" s="7" t="s">
        <v>23</v>
      </c>
      <c r="H8" s="6" t="s">
        <v>20</v>
      </c>
      <c r="I8" s="7" t="s">
        <v>23</v>
      </c>
      <c r="J8" s="6" t="s">
        <v>20</v>
      </c>
      <c r="K8" s="7" t="s">
        <v>23</v>
      </c>
      <c r="L8" s="6" t="s">
        <v>20</v>
      </c>
      <c r="M8" s="7" t="s">
        <v>23</v>
      </c>
      <c r="N8" s="6" t="s">
        <v>20</v>
      </c>
      <c r="O8" s="7" t="s">
        <v>28</v>
      </c>
      <c r="P8" s="6" t="s">
        <v>20</v>
      </c>
      <c r="Q8" s="7" t="s">
        <v>28</v>
      </c>
      <c r="R8" s="6" t="s">
        <v>20</v>
      </c>
      <c r="S8" s="216" t="s">
        <v>626</v>
      </c>
      <c r="T8" s="6" t="s">
        <v>20</v>
      </c>
      <c r="U8" s="7" t="s">
        <v>628</v>
      </c>
      <c r="V8" s="6" t="s">
        <v>20</v>
      </c>
      <c r="W8" s="7" t="s">
        <v>628</v>
      </c>
      <c r="X8" s="6" t="s">
        <v>20</v>
      </c>
      <c r="Y8" s="7" t="s">
        <v>17</v>
      </c>
      <c r="Z8" s="6" t="s">
        <v>20</v>
      </c>
      <c r="AA8" s="7" t="s">
        <v>37</v>
      </c>
      <c r="AB8" s="6" t="s">
        <v>35</v>
      </c>
      <c r="AC8" s="7" t="s">
        <v>1060</v>
      </c>
      <c r="AD8" s="6" t="s">
        <v>793</v>
      </c>
      <c r="AE8" s="9" t="s">
        <v>43</v>
      </c>
    </row>
    <row r="9" spans="1:33" ht="17.25" customHeight="1" thickTop="1" thickBot="1">
      <c r="A9" s="243">
        <f>VALUE(CONCATENATE(LEFT(Annee_financiere,FIND("-",Annee_financiere)-1),"-",A22))</f>
        <v>42095</v>
      </c>
      <c r="B9" s="254"/>
      <c r="C9" s="255"/>
      <c r="D9" s="255"/>
      <c r="E9" s="255"/>
      <c r="F9" s="256"/>
      <c r="G9" s="255"/>
      <c r="H9" s="256"/>
      <c r="I9" s="255"/>
      <c r="J9" s="256"/>
      <c r="K9" s="420"/>
      <c r="L9" s="420"/>
      <c r="M9" s="255"/>
      <c r="N9" s="256"/>
      <c r="O9" s="255"/>
      <c r="P9" s="256"/>
      <c r="Q9" s="255"/>
      <c r="R9" s="256"/>
      <c r="S9" s="255"/>
      <c r="T9" s="256"/>
      <c r="U9" s="255"/>
      <c r="V9" s="256"/>
      <c r="W9" s="255"/>
      <c r="X9" s="256"/>
      <c r="Y9" s="99">
        <f t="shared" ref="Y9:Y21" si="0">C9*kWh_Élect_to_GJ+E9*m3_GazNat_to_GJ+G9*L_Mazout2_to_GJ+I9*L_Mazout6_to_GJ+K9*L_Mazout2_to_GJ+M9*L_Propane_to_GJ+O9*kg_Bois8_to_GJ+Q9*kg_Bois35_to_GJ+S9*lbs_vapeur_to_GJ+U9*MBTU_eaurefroidie_to_GJ+W9*MBTU_eauchaude_to_GJ</f>
        <v>0</v>
      </c>
      <c r="Z9" s="258">
        <f>D9+F9+H9+J9+N9+P9+R9+T9+V9+X9+L9</f>
        <v>0</v>
      </c>
      <c r="AA9" s="17" t="str">
        <f>IF(ISERROR(Y9/B9),"",Y9/B9)</f>
        <v/>
      </c>
      <c r="AB9" s="18" t="str">
        <f>IF(ISERROR(Z9/B9),"",Z9/B9)</f>
        <v/>
      </c>
      <c r="AC9" s="102">
        <f>(C9*kWh_Élect_to_kgGES+E9*IF(U_GNat="[m³]",m3_GazNat_to_kgGES,Conversion!$H$27)+G9*IF(U_Ma2="[l]",L_Mazout2_to_kgGES,Conversion!$H$29)+I9*IF(U_Ma6="[l]",L_Mazout6_to_kgGES,Conversion!$H$31)+K9*L_Mazout2_to_kgGES+M9*IF(U_Prop="[l]",L_Propane_to_kgGES,Conversion!$H$35)+O9*kg_Bois8_to_kgGES+Q9*kg_Bois35_to_kgGES+S9*lbs_vapeur_to_kgGES+U9*MBTU_eaurefroidie_to_kgGES+W9*MBTU_eauchaude_to_kgGES)/1000</f>
        <v>0</v>
      </c>
      <c r="AD9" s="103">
        <f>(IF(ISERROR(AC9/B9),0,(AC9/B9)))*1000</f>
        <v>0</v>
      </c>
      <c r="AE9" s="5">
        <f t="shared" ref="AE9:AE20" si="1">INDEX(plage_DJ,MATCH(A9,plage_date),3)</f>
        <v>351.6</v>
      </c>
      <c r="AG9" s="49">
        <v>12</v>
      </c>
    </row>
    <row r="10" spans="1:33" ht="17.25" customHeight="1" thickTop="1" thickBot="1">
      <c r="A10" s="244">
        <f>DATE(YEAR(A9),MONTH(A9)+1,DAY(A9))</f>
        <v>42125</v>
      </c>
      <c r="B10" s="254"/>
      <c r="C10" s="255"/>
      <c r="D10" s="256"/>
      <c r="E10" s="255"/>
      <c r="F10" s="256"/>
      <c r="G10" s="255"/>
      <c r="H10" s="256"/>
      <c r="I10" s="255"/>
      <c r="J10" s="256"/>
      <c r="K10" s="420"/>
      <c r="L10" s="420"/>
      <c r="M10" s="255"/>
      <c r="N10" s="256"/>
      <c r="O10" s="255"/>
      <c r="P10" s="256"/>
      <c r="Q10" s="255"/>
      <c r="R10" s="256"/>
      <c r="S10" s="255"/>
      <c r="T10" s="256"/>
      <c r="U10" s="255"/>
      <c r="V10" s="256"/>
      <c r="W10" s="255"/>
      <c r="X10" s="256"/>
      <c r="Y10" s="99">
        <f t="shared" si="0"/>
        <v>0</v>
      </c>
      <c r="Z10" s="258">
        <f t="shared" ref="Z10:Z20" si="2">D10+F10+H10+J10+N10+P10+R10+T10+V10+X10+L10</f>
        <v>0</v>
      </c>
      <c r="AA10" s="17" t="str">
        <f t="shared" ref="AA10:AA20" si="3">IF(ISERROR(Y10/B10),"",Y10/B10)</f>
        <v/>
      </c>
      <c r="AB10" s="18" t="str">
        <f t="shared" ref="AB10:AB20" si="4">IF(ISERROR(Z10/B10),"",Z10/B10)</f>
        <v/>
      </c>
      <c r="AC10" s="102">
        <f>(C10*kWh_Élect_to_kgGES+E10*IF(U_GNat="[m³]",m3_GazNat_to_kgGES,Conversion!$H$27)+G10*IF(U_Ma2="[l]",L_Mazout2_to_kgGES,Conversion!$H$29)+I10*IF(U_Ma6="[l]",L_Mazout6_to_kgGES,Conversion!$H$31)+K10*L_Mazout2_to_kgGES+M10*IF(U_Prop="[l]",L_Propane_to_kgGES,Conversion!$H$35)+O10*kg_Bois8_to_kgGES+Q10*kg_Bois35_to_kgGES+S10*lbs_vapeur_to_kgGES+U10*MBTU_eaurefroidie_to_kgGES+W10*MBTU_eauchaude_to_kgGES)/1000</f>
        <v>0</v>
      </c>
      <c r="AD10" s="103">
        <f t="shared" ref="AD10:AD20" si="5">(IF(ISERROR(AC10/B10),0,(AC10/B10)))*1000</f>
        <v>0</v>
      </c>
      <c r="AE10" s="5">
        <f t="shared" si="1"/>
        <v>73</v>
      </c>
      <c r="AF10" s="49">
        <f>SUM(AE9)</f>
        <v>351.6</v>
      </c>
      <c r="AG10" s="49">
        <v>11</v>
      </c>
    </row>
    <row r="11" spans="1:33" ht="17.25" customHeight="1" thickTop="1" thickBot="1">
      <c r="A11" s="244">
        <f t="shared" ref="A11:A20" si="6">DATE(YEAR(A10),MONTH(A10)+1,DAY(A10))</f>
        <v>42156</v>
      </c>
      <c r="B11" s="254"/>
      <c r="C11" s="255"/>
      <c r="D11" s="256"/>
      <c r="E11" s="255"/>
      <c r="F11" s="256"/>
      <c r="G11" s="255"/>
      <c r="H11" s="256"/>
      <c r="I11" s="255"/>
      <c r="J11" s="256"/>
      <c r="K11" s="420"/>
      <c r="L11" s="420"/>
      <c r="M11" s="255"/>
      <c r="N11" s="256"/>
      <c r="O11" s="255"/>
      <c r="P11" s="256"/>
      <c r="Q11" s="255"/>
      <c r="R11" s="256"/>
      <c r="S11" s="255"/>
      <c r="T11" s="256"/>
      <c r="U11" s="255"/>
      <c r="V11" s="256"/>
      <c r="W11" s="255"/>
      <c r="X11" s="256"/>
      <c r="Y11" s="99">
        <f t="shared" si="0"/>
        <v>0</v>
      </c>
      <c r="Z11" s="258">
        <f t="shared" si="2"/>
        <v>0</v>
      </c>
      <c r="AA11" s="17" t="str">
        <f t="shared" si="3"/>
        <v/>
      </c>
      <c r="AB11" s="18" t="str">
        <f t="shared" si="4"/>
        <v/>
      </c>
      <c r="AC11" s="102">
        <f>(C11*kWh_Élect_to_kgGES+E11*IF(U_GNat="[m³]",m3_GazNat_to_kgGES,Conversion!$H$27)+G11*IF(U_Ma2="[l]",L_Mazout2_to_kgGES,Conversion!$H$29)+I11*IF(U_Ma6="[l]",L_Mazout6_to_kgGES,Conversion!$H$31)+K11*L_Mazout2_to_kgGES+M11*IF(U_Prop="[l]",L_Propane_to_kgGES,Conversion!$H$35)+O11*kg_Bois8_to_kgGES+Q11*kg_Bois35_to_kgGES+S11*lbs_vapeur_to_kgGES+U11*MBTU_eaurefroidie_to_kgGES+W11*MBTU_eauchaude_to_kgGES)/1000</f>
        <v>0</v>
      </c>
      <c r="AD11" s="103">
        <f t="shared" si="5"/>
        <v>0</v>
      </c>
      <c r="AE11" s="5">
        <f t="shared" si="1"/>
        <v>40.1</v>
      </c>
      <c r="AF11" s="49">
        <f>SUM(AE9:AE10)</f>
        <v>424.6</v>
      </c>
      <c r="AG11" s="49">
        <v>10</v>
      </c>
    </row>
    <row r="12" spans="1:33" ht="17.25" customHeight="1" thickTop="1" thickBot="1">
      <c r="A12" s="244">
        <f t="shared" si="6"/>
        <v>42186</v>
      </c>
      <c r="B12" s="254"/>
      <c r="C12" s="255"/>
      <c r="D12" s="255"/>
      <c r="E12" s="255"/>
      <c r="F12" s="256"/>
      <c r="G12" s="255"/>
      <c r="H12" s="256"/>
      <c r="I12" s="255"/>
      <c r="J12" s="256"/>
      <c r="K12" s="420"/>
      <c r="L12" s="420"/>
      <c r="M12" s="255"/>
      <c r="N12" s="256"/>
      <c r="O12" s="255"/>
      <c r="P12" s="256"/>
      <c r="Q12" s="255"/>
      <c r="R12" s="256"/>
      <c r="S12" s="255"/>
      <c r="T12" s="256"/>
      <c r="U12" s="255"/>
      <c r="V12" s="256"/>
      <c r="W12" s="255"/>
      <c r="X12" s="256"/>
      <c r="Y12" s="99">
        <f t="shared" si="0"/>
        <v>0</v>
      </c>
      <c r="Z12" s="258">
        <f t="shared" si="2"/>
        <v>0</v>
      </c>
      <c r="AA12" s="17" t="str">
        <f t="shared" si="3"/>
        <v/>
      </c>
      <c r="AB12" s="18" t="str">
        <f t="shared" si="4"/>
        <v/>
      </c>
      <c r="AC12" s="102">
        <f>(C12*kWh_Élect_to_kgGES+E12*IF(U_GNat="[m³]",m3_GazNat_to_kgGES,Conversion!$H$27)+G12*IF(U_Ma2="[l]",L_Mazout2_to_kgGES,Conversion!$H$29)+I12*IF(U_Ma6="[l]",L_Mazout6_to_kgGES,Conversion!$H$31)+K12*L_Mazout2_to_kgGES+M12*IF(U_Prop="[l]",L_Propane_to_kgGES,Conversion!$H$35)+O12*kg_Bois8_to_kgGES+Q12*kg_Bois35_to_kgGES+S12*lbs_vapeur_to_kgGES+U12*MBTU_eaurefroidie_to_kgGES+W12*MBTU_eauchaude_to_kgGES)/1000</f>
        <v>0</v>
      </c>
      <c r="AD12" s="103">
        <f t="shared" si="5"/>
        <v>0</v>
      </c>
      <c r="AE12" s="5">
        <f t="shared" si="1"/>
        <v>1.1000000000000001</v>
      </c>
      <c r="AF12" s="49">
        <f>SUM(AE9:AE11)</f>
        <v>464.70000000000005</v>
      </c>
      <c r="AG12" s="49">
        <v>9</v>
      </c>
    </row>
    <row r="13" spans="1:33" ht="17.25" customHeight="1" thickTop="1" thickBot="1">
      <c r="A13" s="244">
        <f t="shared" si="6"/>
        <v>42217</v>
      </c>
      <c r="B13" s="254"/>
      <c r="C13" s="255"/>
      <c r="D13" s="256"/>
      <c r="E13" s="255"/>
      <c r="F13" s="256"/>
      <c r="G13" s="255"/>
      <c r="H13" s="256"/>
      <c r="I13" s="255"/>
      <c r="J13" s="256"/>
      <c r="K13" s="420"/>
      <c r="L13" s="420"/>
      <c r="M13" s="255"/>
      <c r="N13" s="256"/>
      <c r="O13" s="255"/>
      <c r="P13" s="256"/>
      <c r="Q13" s="255"/>
      <c r="R13" s="256"/>
      <c r="S13" s="255"/>
      <c r="T13" s="256"/>
      <c r="U13" s="255"/>
      <c r="V13" s="256"/>
      <c r="W13" s="255"/>
      <c r="X13" s="256"/>
      <c r="Y13" s="99">
        <f t="shared" si="0"/>
        <v>0</v>
      </c>
      <c r="Z13" s="258">
        <f t="shared" si="2"/>
        <v>0</v>
      </c>
      <c r="AA13" s="17" t="str">
        <f t="shared" si="3"/>
        <v/>
      </c>
      <c r="AB13" s="18" t="str">
        <f t="shared" si="4"/>
        <v/>
      </c>
      <c r="AC13" s="102">
        <f>(C13*kWh_Élect_to_kgGES+E13*IF(U_GNat="[m³]",m3_GazNat_to_kgGES,Conversion!$H$27)+G13*IF(U_Ma2="[l]",L_Mazout2_to_kgGES,Conversion!$H$29)+I13*IF(U_Ma6="[l]",L_Mazout6_to_kgGES,Conversion!$H$31)+K13*L_Mazout2_to_kgGES+M13*IF(U_Prop="[l]",L_Propane_to_kgGES,Conversion!$H$35)+O13*kg_Bois8_to_kgGES+Q13*kg_Bois35_to_kgGES+S13*lbs_vapeur_to_kgGES+U13*MBTU_eaurefroidie_to_kgGES+W13*MBTU_eauchaude_to_kgGES)/1000</f>
        <v>0</v>
      </c>
      <c r="AD13" s="103">
        <f t="shared" si="5"/>
        <v>0</v>
      </c>
      <c r="AE13" s="5">
        <f t="shared" si="1"/>
        <v>0.9</v>
      </c>
      <c r="AF13" s="49">
        <f>SUM(AE9:AE12)</f>
        <v>465.80000000000007</v>
      </c>
      <c r="AG13" s="49">
        <v>8</v>
      </c>
    </row>
    <row r="14" spans="1:33" ht="17.25" customHeight="1" thickTop="1" thickBot="1">
      <c r="A14" s="244">
        <f t="shared" si="6"/>
        <v>42248</v>
      </c>
      <c r="B14" s="254"/>
      <c r="C14" s="255"/>
      <c r="D14" s="256"/>
      <c r="E14" s="255"/>
      <c r="F14" s="256"/>
      <c r="G14" s="255"/>
      <c r="H14" s="256"/>
      <c r="I14" s="255"/>
      <c r="J14" s="256"/>
      <c r="K14" s="420"/>
      <c r="L14" s="420"/>
      <c r="M14" s="255"/>
      <c r="N14" s="256"/>
      <c r="O14" s="255"/>
      <c r="P14" s="256"/>
      <c r="Q14" s="255"/>
      <c r="R14" s="256"/>
      <c r="S14" s="255"/>
      <c r="T14" s="256"/>
      <c r="U14" s="255"/>
      <c r="V14" s="256"/>
      <c r="W14" s="255"/>
      <c r="X14" s="256"/>
      <c r="Y14" s="99">
        <f t="shared" si="0"/>
        <v>0</v>
      </c>
      <c r="Z14" s="258">
        <f t="shared" si="2"/>
        <v>0</v>
      </c>
      <c r="AA14" s="17" t="str">
        <f t="shared" si="3"/>
        <v/>
      </c>
      <c r="AB14" s="18" t="str">
        <f t="shared" si="4"/>
        <v/>
      </c>
      <c r="AC14" s="102">
        <f>(C14*kWh_Élect_to_kgGES+E14*IF(U_GNat="[m³]",m3_GazNat_to_kgGES,Conversion!$H$27)+G14*IF(U_Ma2="[l]",L_Mazout2_to_kgGES,Conversion!$H$29)+I14*IF(U_Ma6="[l]",L_Mazout6_to_kgGES,Conversion!$H$31)+K14*L_Mazout2_to_kgGES+M14*IF(U_Prop="[l]",L_Propane_to_kgGES,Conversion!$H$35)+O14*kg_Bois8_to_kgGES+Q14*kg_Bois35_to_kgGES+S14*lbs_vapeur_to_kgGES+U14*MBTU_eaurefroidie_to_kgGES+W14*MBTU_eauchaude_to_kgGES)/1000</f>
        <v>0</v>
      </c>
      <c r="AD14" s="103">
        <f t="shared" si="5"/>
        <v>0</v>
      </c>
      <c r="AE14" s="5">
        <f t="shared" si="1"/>
        <v>39.5</v>
      </c>
      <c r="AF14" s="49">
        <f>SUM(AE9:AE13)</f>
        <v>466.70000000000005</v>
      </c>
      <c r="AG14" s="49">
        <v>7</v>
      </c>
    </row>
    <row r="15" spans="1:33" ht="17.25" customHeight="1" thickTop="1" thickBot="1">
      <c r="A15" s="244">
        <f t="shared" si="6"/>
        <v>42278</v>
      </c>
      <c r="B15" s="254"/>
      <c r="C15" s="255"/>
      <c r="D15" s="256"/>
      <c r="E15" s="255"/>
      <c r="F15" s="256"/>
      <c r="G15" s="255"/>
      <c r="H15" s="256"/>
      <c r="I15" s="255"/>
      <c r="J15" s="256"/>
      <c r="K15" s="420"/>
      <c r="L15" s="420"/>
      <c r="M15" s="255"/>
      <c r="N15" s="256"/>
      <c r="O15" s="255"/>
      <c r="P15" s="256"/>
      <c r="Q15" s="255"/>
      <c r="R15" s="256"/>
      <c r="S15" s="255"/>
      <c r="T15" s="256"/>
      <c r="U15" s="255"/>
      <c r="V15" s="256"/>
      <c r="W15" s="255"/>
      <c r="X15" s="256"/>
      <c r="Y15" s="99">
        <f t="shared" si="0"/>
        <v>0</v>
      </c>
      <c r="Z15" s="258">
        <f t="shared" si="2"/>
        <v>0</v>
      </c>
      <c r="AA15" s="17" t="str">
        <f t="shared" si="3"/>
        <v/>
      </c>
      <c r="AB15" s="18" t="str">
        <f t="shared" si="4"/>
        <v/>
      </c>
      <c r="AC15" s="102">
        <f>(C15*kWh_Élect_to_kgGES+E15*IF(U_GNat="[m³]",m3_GazNat_to_kgGES,Conversion!$H$27)+G15*IF(U_Ma2="[l]",L_Mazout2_to_kgGES,Conversion!$H$29)+I15*IF(U_Ma6="[l]",L_Mazout6_to_kgGES,Conversion!$H$31)+K15*L_Mazout2_to_kgGES+M15*IF(U_Prop="[l]",L_Propane_to_kgGES,Conversion!$H$35)+O15*kg_Bois8_to_kgGES+Q15*kg_Bois35_to_kgGES+S15*lbs_vapeur_to_kgGES+U15*MBTU_eaurefroidie_to_kgGES+W15*MBTU_eauchaude_to_kgGES)/1000</f>
        <v>0</v>
      </c>
      <c r="AD15" s="103">
        <f t="shared" si="5"/>
        <v>0</v>
      </c>
      <c r="AE15" s="5">
        <f t="shared" si="1"/>
        <v>311.7</v>
      </c>
      <c r="AF15" s="49">
        <f>SUM(AE9:AE14)</f>
        <v>506.20000000000005</v>
      </c>
      <c r="AG15" s="49">
        <v>6</v>
      </c>
    </row>
    <row r="16" spans="1:33" ht="17.25" customHeight="1" thickTop="1" thickBot="1">
      <c r="A16" s="244">
        <f t="shared" si="6"/>
        <v>42309</v>
      </c>
      <c r="B16" s="254"/>
      <c r="C16" s="255"/>
      <c r="D16" s="256"/>
      <c r="E16" s="255"/>
      <c r="F16" s="256"/>
      <c r="G16" s="255"/>
      <c r="H16" s="256"/>
      <c r="I16" s="255"/>
      <c r="J16" s="256"/>
      <c r="K16" s="420"/>
      <c r="L16" s="420"/>
      <c r="M16" s="255"/>
      <c r="N16" s="256"/>
      <c r="O16" s="255"/>
      <c r="P16" s="256"/>
      <c r="Q16" s="255"/>
      <c r="R16" s="256"/>
      <c r="S16" s="255"/>
      <c r="T16" s="256"/>
      <c r="U16" s="255"/>
      <c r="V16" s="256"/>
      <c r="W16" s="255"/>
      <c r="X16" s="256"/>
      <c r="Y16" s="99">
        <f t="shared" si="0"/>
        <v>0</v>
      </c>
      <c r="Z16" s="258">
        <f t="shared" si="2"/>
        <v>0</v>
      </c>
      <c r="AA16" s="17" t="str">
        <f t="shared" si="3"/>
        <v/>
      </c>
      <c r="AB16" s="18" t="str">
        <f t="shared" si="4"/>
        <v/>
      </c>
      <c r="AC16" s="102">
        <f>(C16*kWh_Élect_to_kgGES+E16*IF(U_GNat="[m³]",m3_GazNat_to_kgGES,Conversion!$H$27)+G16*IF(U_Ma2="[l]",L_Mazout2_to_kgGES,Conversion!$H$29)+I16*IF(U_Ma6="[l]",L_Mazout6_to_kgGES,Conversion!$H$31)+K16*L_Mazout2_to_kgGES+M16*IF(U_Prop="[l]",L_Propane_to_kgGES,Conversion!$H$35)+O16*kg_Bois8_to_kgGES+Q16*kg_Bois35_to_kgGES+S16*lbs_vapeur_to_kgGES+U16*MBTU_eaurefroidie_to_kgGES+W16*MBTU_eauchaude_to_kgGES)/1000</f>
        <v>0</v>
      </c>
      <c r="AD16" s="103">
        <f t="shared" si="5"/>
        <v>0</v>
      </c>
      <c r="AE16" s="5">
        <f t="shared" si="1"/>
        <v>384.2</v>
      </c>
      <c r="AF16" s="49">
        <f>SUM(AE9:AE15)</f>
        <v>817.90000000000009</v>
      </c>
      <c r="AG16" s="49">
        <v>5</v>
      </c>
    </row>
    <row r="17" spans="1:38" ht="17.25" customHeight="1" thickTop="1" thickBot="1">
      <c r="A17" s="244">
        <f t="shared" si="6"/>
        <v>42339</v>
      </c>
      <c r="B17" s="254"/>
      <c r="C17" s="255"/>
      <c r="D17" s="256"/>
      <c r="E17" s="255"/>
      <c r="F17" s="256"/>
      <c r="G17" s="255"/>
      <c r="H17" s="256"/>
      <c r="I17" s="255"/>
      <c r="J17" s="256"/>
      <c r="K17" s="420"/>
      <c r="L17" s="420"/>
      <c r="M17" s="255"/>
      <c r="N17" s="256"/>
      <c r="O17" s="255"/>
      <c r="P17" s="256"/>
      <c r="Q17" s="255"/>
      <c r="R17" s="256"/>
      <c r="S17" s="255"/>
      <c r="T17" s="256"/>
      <c r="U17" s="255"/>
      <c r="V17" s="256"/>
      <c r="W17" s="255"/>
      <c r="X17" s="256"/>
      <c r="Y17" s="99">
        <f t="shared" si="0"/>
        <v>0</v>
      </c>
      <c r="Z17" s="258">
        <f t="shared" si="2"/>
        <v>0</v>
      </c>
      <c r="AA17" s="17" t="str">
        <f t="shared" si="3"/>
        <v/>
      </c>
      <c r="AB17" s="18" t="str">
        <f t="shared" si="4"/>
        <v/>
      </c>
      <c r="AC17" s="102">
        <f>(C17*kWh_Élect_to_kgGES+E17*IF(U_GNat="[m³]",m3_GazNat_to_kgGES,Conversion!$H$27)+G17*IF(U_Ma2="[l]",L_Mazout2_to_kgGES,Conversion!$H$29)+I17*IF(U_Ma6="[l]",L_Mazout6_to_kgGES,Conversion!$H$31)+K17*L_Mazout2_to_kgGES+M17*IF(U_Prop="[l]",L_Propane_to_kgGES,Conversion!$H$35)+O17*kg_Bois8_to_kgGES+Q17*kg_Bois35_to_kgGES+S17*lbs_vapeur_to_kgGES+U17*MBTU_eaurefroidie_to_kgGES+W17*MBTU_eauchaude_to_kgGES)/1000</f>
        <v>0</v>
      </c>
      <c r="AD17" s="103">
        <f t="shared" si="5"/>
        <v>0</v>
      </c>
      <c r="AE17" s="5">
        <f t="shared" si="1"/>
        <v>489.7</v>
      </c>
      <c r="AF17" s="49">
        <f>SUM(AE9:AE16)</f>
        <v>1202.1000000000001</v>
      </c>
      <c r="AG17" s="49">
        <v>4</v>
      </c>
    </row>
    <row r="18" spans="1:38" ht="17.25" customHeight="1" thickTop="1" thickBot="1">
      <c r="A18" s="244">
        <f t="shared" si="6"/>
        <v>42370</v>
      </c>
      <c r="B18" s="254"/>
      <c r="C18" s="255"/>
      <c r="D18" s="256"/>
      <c r="E18" s="255"/>
      <c r="F18" s="256"/>
      <c r="G18" s="255"/>
      <c r="H18" s="256"/>
      <c r="I18" s="255"/>
      <c r="J18" s="256"/>
      <c r="K18" s="420"/>
      <c r="L18" s="420"/>
      <c r="M18" s="255"/>
      <c r="N18" s="256"/>
      <c r="O18" s="255"/>
      <c r="P18" s="256"/>
      <c r="Q18" s="255"/>
      <c r="R18" s="256"/>
      <c r="S18" s="255"/>
      <c r="T18" s="256"/>
      <c r="U18" s="255"/>
      <c r="V18" s="256"/>
      <c r="W18" s="255"/>
      <c r="X18" s="256"/>
      <c r="Y18" s="99">
        <f t="shared" si="0"/>
        <v>0</v>
      </c>
      <c r="Z18" s="258">
        <f t="shared" si="2"/>
        <v>0</v>
      </c>
      <c r="AA18" s="17" t="str">
        <f t="shared" si="3"/>
        <v/>
      </c>
      <c r="AB18" s="18" t="str">
        <f t="shared" si="4"/>
        <v/>
      </c>
      <c r="AC18" s="102">
        <f>(C18*kWh_Élect_to_kgGES+E18*IF(U_GNat="[m³]",m3_GazNat_to_kgGES,Conversion!$H$27)+G18*IF(U_Ma2="[l]",L_Mazout2_to_kgGES,Conversion!$H$29)+I18*IF(U_Ma6="[l]",L_Mazout6_to_kgGES,Conversion!$H$31)+K18*L_Mazout2_to_kgGES+M18*IF(U_Prop="[l]",L_Propane_to_kgGES,Conversion!$H$35)+O18*kg_Bois8_to_kgGES+Q18*kg_Bois35_to_kgGES+S18*lbs_vapeur_to_kgGES+U18*MBTU_eaurefroidie_to_kgGES+W18*MBTU_eauchaude_to_kgGES)/1000</f>
        <v>0</v>
      </c>
      <c r="AD18" s="103">
        <f t="shared" si="5"/>
        <v>0</v>
      </c>
      <c r="AE18" s="5">
        <f t="shared" si="1"/>
        <v>723</v>
      </c>
      <c r="AF18" s="49">
        <f>SUM(AE9:AE17)</f>
        <v>1691.8000000000002</v>
      </c>
      <c r="AG18" s="49">
        <v>3</v>
      </c>
    </row>
    <row r="19" spans="1:38" ht="17.25" customHeight="1" thickTop="1" thickBot="1">
      <c r="A19" s="244">
        <f t="shared" si="6"/>
        <v>42401</v>
      </c>
      <c r="B19" s="254"/>
      <c r="C19" s="255"/>
      <c r="D19" s="256"/>
      <c r="E19" s="255"/>
      <c r="F19" s="256"/>
      <c r="G19" s="255"/>
      <c r="H19" s="256"/>
      <c r="I19" s="255"/>
      <c r="J19" s="256"/>
      <c r="K19" s="420"/>
      <c r="L19" s="420"/>
      <c r="M19" s="255"/>
      <c r="N19" s="256"/>
      <c r="O19" s="255"/>
      <c r="P19" s="256"/>
      <c r="Q19" s="255"/>
      <c r="R19" s="256"/>
      <c r="S19" s="255"/>
      <c r="T19" s="256"/>
      <c r="U19" s="255"/>
      <c r="V19" s="256"/>
      <c r="W19" s="255"/>
      <c r="X19" s="256"/>
      <c r="Y19" s="99">
        <f t="shared" si="0"/>
        <v>0</v>
      </c>
      <c r="Z19" s="258">
        <f t="shared" si="2"/>
        <v>0</v>
      </c>
      <c r="AA19" s="17" t="str">
        <f t="shared" si="3"/>
        <v/>
      </c>
      <c r="AB19" s="18" t="str">
        <f t="shared" si="4"/>
        <v/>
      </c>
      <c r="AC19" s="102">
        <f>(C19*kWh_Élect_to_kgGES+E19*IF(U_GNat="[m³]",m3_GazNat_to_kgGES,Conversion!$H$27)+G19*IF(U_Ma2="[l]",L_Mazout2_to_kgGES,Conversion!$H$29)+I19*IF(U_Ma6="[l]",L_Mazout6_to_kgGES,Conversion!$H$31)+K19*L_Mazout2_to_kgGES+M19*IF(U_Prop="[l]",L_Propane_to_kgGES,Conversion!$H$35)+O19*kg_Bois8_to_kgGES+Q19*kg_Bois35_to_kgGES+S19*lbs_vapeur_to_kgGES+U19*MBTU_eaurefroidie_to_kgGES+W19*MBTU_eauchaude_to_kgGES)/1000</f>
        <v>0</v>
      </c>
      <c r="AD19" s="103">
        <f t="shared" si="5"/>
        <v>0</v>
      </c>
      <c r="AE19" s="5">
        <f t="shared" si="1"/>
        <v>641.79999999999995</v>
      </c>
      <c r="AF19" s="49">
        <f>SUM(AE9:AE18)</f>
        <v>2414.8000000000002</v>
      </c>
      <c r="AG19" s="49">
        <v>2</v>
      </c>
    </row>
    <row r="20" spans="1:38" ht="17.25" customHeight="1" thickTop="1" thickBot="1">
      <c r="A20" s="245">
        <f t="shared" si="6"/>
        <v>42430</v>
      </c>
      <c r="B20" s="254"/>
      <c r="C20" s="255"/>
      <c r="D20" s="256"/>
      <c r="E20" s="255"/>
      <c r="F20" s="256"/>
      <c r="G20" s="255"/>
      <c r="H20" s="256"/>
      <c r="I20" s="255"/>
      <c r="J20" s="256"/>
      <c r="K20" s="420"/>
      <c r="L20" s="420"/>
      <c r="M20" s="255"/>
      <c r="N20" s="256"/>
      <c r="O20" s="255"/>
      <c r="P20" s="256"/>
      <c r="Q20" s="255"/>
      <c r="R20" s="256"/>
      <c r="S20" s="255"/>
      <c r="T20" s="256"/>
      <c r="U20" s="255"/>
      <c r="V20" s="256"/>
      <c r="W20" s="255"/>
      <c r="X20" s="256"/>
      <c r="Y20" s="99">
        <f t="shared" si="0"/>
        <v>0</v>
      </c>
      <c r="Z20" s="258">
        <f t="shared" si="2"/>
        <v>0</v>
      </c>
      <c r="AA20" s="17" t="str">
        <f t="shared" si="3"/>
        <v/>
      </c>
      <c r="AB20" s="18" t="str">
        <f t="shared" si="4"/>
        <v/>
      </c>
      <c r="AC20" s="102">
        <f>(C20*kWh_Élect_to_kgGES+E20*IF(U_GNat="[m³]",m3_GazNat_to_kgGES,Conversion!$H$27)+G20*IF(U_Ma2="[l]",L_Mazout2_to_kgGES,Conversion!$H$29)+I20*IF(U_Ma6="[l]",L_Mazout6_to_kgGES,Conversion!$H$31)+K20*L_Mazout2_to_kgGES+M20*IF(U_Prop="[l]",L_Propane_to_kgGES,Conversion!$H$35)+O20*kg_Bois8_to_kgGES+Q20*kg_Bois35_to_kgGES+S20*lbs_vapeur_to_kgGES+U20*MBTU_eaurefroidie_to_kgGES+W20*MBTU_eauchaude_to_kgGES)/1000</f>
        <v>0</v>
      </c>
      <c r="AD20" s="103">
        <f t="shared" si="5"/>
        <v>0</v>
      </c>
      <c r="AE20" s="5">
        <f t="shared" si="1"/>
        <v>554.79999999999995</v>
      </c>
      <c r="AF20" s="49">
        <f>SUM(AE9:AE19)</f>
        <v>3056.6000000000004</v>
      </c>
      <c r="AG20" s="49">
        <v>1</v>
      </c>
    </row>
    <row r="21" spans="1:38" ht="20.25" customHeight="1" thickTop="1">
      <c r="A21" s="3" t="s">
        <v>53</v>
      </c>
      <c r="B21" s="35">
        <f>IF(ISERROR(AVERAGE(B9:B20)),0,AVERAGE(B9:B20))</f>
        <v>0</v>
      </c>
      <c r="C21" s="35">
        <f>SUM(C9:C20)</f>
        <v>0</v>
      </c>
      <c r="D21" s="536">
        <f>SUM(D9:D20)</f>
        <v>0</v>
      </c>
      <c r="E21" s="35">
        <f t="shared" ref="E21:X21" si="7">SUM(E9:E20)</f>
        <v>0</v>
      </c>
      <c r="F21" s="536">
        <f t="shared" si="7"/>
        <v>0</v>
      </c>
      <c r="G21" s="35">
        <f t="shared" si="7"/>
        <v>0</v>
      </c>
      <c r="H21" s="536">
        <f t="shared" si="7"/>
        <v>0</v>
      </c>
      <c r="I21" s="35">
        <f t="shared" si="7"/>
        <v>0</v>
      </c>
      <c r="J21" s="536">
        <f t="shared" si="7"/>
        <v>0</v>
      </c>
      <c r="K21" s="35">
        <f t="shared" si="7"/>
        <v>0</v>
      </c>
      <c r="L21" s="536">
        <f t="shared" si="7"/>
        <v>0</v>
      </c>
      <c r="M21" s="35">
        <f t="shared" si="7"/>
        <v>0</v>
      </c>
      <c r="N21" s="536">
        <f t="shared" si="7"/>
        <v>0</v>
      </c>
      <c r="O21" s="35">
        <f t="shared" si="7"/>
        <v>0</v>
      </c>
      <c r="P21" s="536">
        <f t="shared" si="7"/>
        <v>0</v>
      </c>
      <c r="Q21" s="35">
        <f t="shared" si="7"/>
        <v>0</v>
      </c>
      <c r="R21" s="536">
        <f t="shared" si="7"/>
        <v>0</v>
      </c>
      <c r="S21" s="35">
        <f t="shared" si="7"/>
        <v>0</v>
      </c>
      <c r="T21" s="536">
        <f t="shared" si="7"/>
        <v>0</v>
      </c>
      <c r="U21" s="35">
        <f t="shared" si="7"/>
        <v>0</v>
      </c>
      <c r="V21" s="536">
        <f t="shared" si="7"/>
        <v>0</v>
      </c>
      <c r="W21" s="35">
        <f t="shared" si="7"/>
        <v>0</v>
      </c>
      <c r="X21" s="536">
        <f t="shared" si="7"/>
        <v>0</v>
      </c>
      <c r="Y21" s="263">
        <f t="shared" si="0"/>
        <v>0</v>
      </c>
      <c r="Z21" s="537">
        <f>D21+F21+H21+J21+L21+N21+P21+R21+T21+V21+X21+L21</f>
        <v>0</v>
      </c>
      <c r="AA21" s="265" t="str">
        <f>IF(ISERROR(Y21/B21),"",Y21/B21)</f>
        <v/>
      </c>
      <c r="AB21" s="266" t="str">
        <f>IF(ISERROR(Z21/B21),"",Z21/B21)</f>
        <v/>
      </c>
      <c r="AC21" s="263">
        <f>(C21*kWh_Élect_to_kgGES+E21*IF(U_GNat="[m³]",m3_GazNat_to_kgGES,Conversion!$H$27)+G21*IF(U_Ma2="[l]",L_Mazout2_to_kgGES,Conversion!$H$29)+I21*IF(U_Ma6="[l]",L_Mazout6_to_kgGES,Conversion!$H$31)+K21*L_Mazout2_to_kgGES+M21*IF(U_Prop="[l]",L_Propane_to_kgGES,Conversion!$H$35)+O21*kg_Bois8_to_kgGES+Q21*kg_Bois35_to_kgGES+S21*lbs_vapeur_to_kgGES+U21*MBTU_eaurefroidie_to_kgGES+W21*MBTU_eauchaude_to_kgGES)/1000</f>
        <v>0</v>
      </c>
      <c r="AD21" s="267">
        <f>(IF(ISERROR(AC21/B21),0,(AC21/B21)))*1000</f>
        <v>0</v>
      </c>
      <c r="AE21" s="268">
        <f>SUM(AE9:AE20)</f>
        <v>3611.4000000000005</v>
      </c>
    </row>
    <row r="22" spans="1:38">
      <c r="A22" s="27">
        <v>2015</v>
      </c>
      <c r="B22" s="27" t="s">
        <v>922</v>
      </c>
      <c r="C22" s="28" t="s">
        <v>923</v>
      </c>
      <c r="D22" s="28" t="s">
        <v>924</v>
      </c>
      <c r="E22" s="28" t="s">
        <v>925</v>
      </c>
      <c r="F22" s="28" t="s">
        <v>926</v>
      </c>
      <c r="G22" s="28" t="s">
        <v>927</v>
      </c>
      <c r="H22" s="28" t="s">
        <v>928</v>
      </c>
      <c r="I22" s="28" t="s">
        <v>929</v>
      </c>
      <c r="J22" s="28" t="s">
        <v>930</v>
      </c>
      <c r="K22" s="524"/>
      <c r="L22" s="524"/>
      <c r="M22" s="28" t="s">
        <v>931</v>
      </c>
      <c r="N22" s="28" t="s">
        <v>932</v>
      </c>
      <c r="O22" s="28" t="s">
        <v>933</v>
      </c>
      <c r="P22" s="28" t="s">
        <v>934</v>
      </c>
      <c r="Q22" s="28" t="s">
        <v>935</v>
      </c>
      <c r="R22" s="28" t="s">
        <v>936</v>
      </c>
      <c r="S22" s="28"/>
      <c r="T22" s="28"/>
      <c r="U22" s="28"/>
      <c r="V22" s="28"/>
      <c r="W22" s="28"/>
      <c r="X22" s="28"/>
      <c r="Y22" s="47" t="s">
        <v>937</v>
      </c>
      <c r="Z22" s="47" t="s">
        <v>938</v>
      </c>
      <c r="AA22" s="47" t="s">
        <v>939</v>
      </c>
      <c r="AB22" s="47" t="s">
        <v>940</v>
      </c>
      <c r="AC22" s="523" t="s">
        <v>941</v>
      </c>
      <c r="AD22" s="48" t="s">
        <v>942</v>
      </c>
      <c r="AE22" s="47" t="s">
        <v>943</v>
      </c>
    </row>
    <row r="23" spans="1:38" ht="15">
      <c r="A23" s="52" t="s">
        <v>352</v>
      </c>
      <c r="B23" s="49"/>
      <c r="C23" s="47"/>
      <c r="D23" s="47"/>
      <c r="E23" s="47"/>
      <c r="F23" s="47"/>
      <c r="G23" s="51"/>
      <c r="H23" s="50"/>
      <c r="I23" s="47"/>
      <c r="J23" s="47"/>
      <c r="K23" s="47"/>
      <c r="L23" s="47"/>
      <c r="M23" s="47"/>
      <c r="N23" s="47"/>
      <c r="O23" s="47"/>
      <c r="P23" s="47"/>
      <c r="Q23" s="47"/>
      <c r="R23" s="47"/>
      <c r="S23" s="47"/>
      <c r="T23" s="47"/>
      <c r="U23" s="47"/>
      <c r="V23" s="47"/>
      <c r="W23" s="47"/>
      <c r="X23" s="47"/>
      <c r="Z23" s="47"/>
      <c r="AA23" s="47"/>
      <c r="AB23" s="47"/>
      <c r="AC23" s="549"/>
      <c r="AD23" s="48"/>
      <c r="AE23" s="47"/>
    </row>
    <row r="24" spans="1:38">
      <c r="A24" s="25"/>
      <c r="B24" s="49"/>
      <c r="C24" s="47"/>
      <c r="D24" s="47"/>
      <c r="E24" s="47"/>
      <c r="F24" s="47"/>
      <c r="G24" s="47"/>
      <c r="I24" s="47"/>
      <c r="J24" s="47"/>
      <c r="K24" s="47"/>
      <c r="L24" s="47"/>
      <c r="M24" s="47"/>
      <c r="N24" s="47"/>
      <c r="O24" s="47"/>
      <c r="P24" s="47"/>
      <c r="Q24" s="47"/>
      <c r="R24" s="47"/>
      <c r="S24" s="47"/>
      <c r="T24" s="47"/>
      <c r="U24" s="47"/>
      <c r="V24" s="47"/>
      <c r="W24" s="47"/>
      <c r="X24" s="47"/>
      <c r="Z24" s="47"/>
      <c r="AA24" s="47"/>
      <c r="AB24" s="47"/>
      <c r="AC24" s="549"/>
      <c r="AD24" s="48"/>
      <c r="AE24" s="47"/>
    </row>
    <row r="25" spans="1:38" ht="18">
      <c r="A25" s="566" t="s">
        <v>804</v>
      </c>
      <c r="B25" s="567"/>
      <c r="C25" s="567"/>
      <c r="D25" s="567"/>
      <c r="E25" s="567"/>
      <c r="F25" s="567"/>
      <c r="G25" s="567"/>
      <c r="H25" s="567"/>
      <c r="I25" s="567"/>
      <c r="Z25" s="47"/>
      <c r="AA25" s="47">
        <f>Lim_bas</f>
        <v>0</v>
      </c>
      <c r="AB25" s="47">
        <f>Lim_haut</f>
        <v>0</v>
      </c>
      <c r="AC25" s="523"/>
      <c r="AD25" s="47"/>
      <c r="AE25" s="47"/>
    </row>
    <row r="26" spans="1:38" ht="19.8">
      <c r="A26" s="53"/>
      <c r="B26" s="23"/>
      <c r="Z26" s="47"/>
      <c r="AA26" s="47"/>
      <c r="AB26" s="47"/>
      <c r="AC26" s="47"/>
      <c r="AD26" s="47"/>
      <c r="AE26" s="47"/>
    </row>
    <row r="27" spans="1:38" ht="19.8">
      <c r="A27" s="53" t="s">
        <v>686</v>
      </c>
      <c r="S27" s="295"/>
      <c r="T27" s="295"/>
      <c r="U27" s="295"/>
      <c r="V27" s="295"/>
      <c r="W27" s="295"/>
      <c r="X27" s="295"/>
      <c r="Y27" s="296"/>
      <c r="Z27" s="296"/>
      <c r="AA27" s="296"/>
      <c r="AB27" s="296"/>
      <c r="AC27" s="296"/>
      <c r="AD27" s="296"/>
      <c r="AE27" s="296"/>
      <c r="AF27" s="297"/>
      <c r="AG27" s="297"/>
      <c r="AH27" s="297"/>
      <c r="AI27" s="297"/>
      <c r="AJ27" s="297"/>
      <c r="AK27" s="297"/>
      <c r="AL27" s="297"/>
    </row>
    <row r="28" spans="1:38" ht="19.8">
      <c r="A28" s="53"/>
      <c r="S28" s="295"/>
      <c r="T28" s="295"/>
      <c r="U28" s="295"/>
      <c r="V28" s="295"/>
      <c r="W28" s="295"/>
      <c r="X28" s="295"/>
      <c r="Y28" s="296"/>
      <c r="Z28" s="296"/>
      <c r="AA28" s="296"/>
      <c r="AB28" s="296"/>
      <c r="AC28" s="296"/>
      <c r="AD28" s="296"/>
      <c r="AE28" s="296"/>
      <c r="AF28" s="297"/>
      <c r="AG28" s="297"/>
      <c r="AH28" s="297"/>
      <c r="AI28" s="297"/>
      <c r="AJ28" s="297"/>
      <c r="AK28" s="297"/>
      <c r="AL28" s="297"/>
    </row>
    <row r="29" spans="1:38" s="231" customFormat="1" ht="15" thickBot="1">
      <c r="A29" s="232" t="s">
        <v>681</v>
      </c>
      <c r="B29" s="229"/>
      <c r="C29" s="229"/>
      <c r="D29" s="229"/>
      <c r="E29" s="229"/>
      <c r="F29" s="229"/>
      <c r="I29" s="230"/>
      <c r="S29" s="407"/>
      <c r="T29" s="407"/>
      <c r="U29" s="407"/>
      <c r="V29" s="407"/>
      <c r="W29" s="407"/>
      <c r="X29" s="407"/>
      <c r="Y29" s="407"/>
      <c r="Z29" s="407"/>
      <c r="AA29" s="407"/>
      <c r="AB29" s="407"/>
      <c r="AC29" s="407"/>
      <c r="AD29" s="407"/>
      <c r="AE29" s="407"/>
      <c r="AF29" s="407"/>
      <c r="AG29" s="407"/>
      <c r="AH29" s="407"/>
      <c r="AI29" s="407"/>
      <c r="AJ29" s="407"/>
      <c r="AK29" s="407"/>
      <c r="AL29" s="407"/>
    </row>
    <row r="30" spans="1:38" s="231" customFormat="1" ht="15.6" thickTop="1" thickBot="1">
      <c r="A30" s="232" t="s">
        <v>682</v>
      </c>
      <c r="B30" s="229"/>
      <c r="C30" s="229"/>
      <c r="D30" s="229"/>
      <c r="E30" s="229"/>
      <c r="F30" s="229"/>
      <c r="I30" s="230"/>
      <c r="S30" s="407"/>
      <c r="T30" s="407"/>
      <c r="U30" s="407"/>
      <c r="V30" s="407"/>
      <c r="W30" s="407"/>
      <c r="X30" s="407"/>
      <c r="Y30" s="407"/>
      <c r="Z30" s="407"/>
      <c r="AA30" s="407"/>
      <c r="AB30" s="407"/>
      <c r="AC30" s="407"/>
      <c r="AD30" s="407"/>
      <c r="AE30" s="407"/>
      <c r="AF30" s="407"/>
      <c r="AG30" s="407"/>
      <c r="AH30" s="407"/>
      <c r="AI30" s="407"/>
      <c r="AJ30" s="407"/>
      <c r="AK30" s="407"/>
      <c r="AL30" s="407"/>
    </row>
    <row r="31" spans="1:38" s="231" customFormat="1" ht="15.6" thickTop="1" thickBot="1">
      <c r="A31" s="232" t="s">
        <v>683</v>
      </c>
      <c r="B31" s="229"/>
      <c r="C31" s="229"/>
      <c r="D31" s="229"/>
      <c r="E31" s="229"/>
      <c r="F31" s="229"/>
      <c r="I31" s="230"/>
      <c r="S31" s="407"/>
      <c r="T31" s="407"/>
      <c r="U31" s="407"/>
      <c r="V31" s="407"/>
      <c r="W31" s="407"/>
      <c r="X31" s="407"/>
      <c r="Y31" s="407"/>
      <c r="Z31" s="407"/>
      <c r="AA31" s="407"/>
      <c r="AB31" s="407"/>
      <c r="AC31" s="407"/>
      <c r="AD31" s="407"/>
      <c r="AE31" s="407"/>
      <c r="AF31" s="407"/>
      <c r="AG31" s="407"/>
      <c r="AH31" s="407"/>
      <c r="AI31" s="407"/>
      <c r="AJ31" s="407"/>
      <c r="AK31" s="407"/>
      <c r="AL31" s="407"/>
    </row>
    <row r="32" spans="1:38" s="231" customFormat="1" ht="15.6" thickTop="1" thickBot="1">
      <c r="A32" s="232" t="s">
        <v>684</v>
      </c>
      <c r="B32" s="229"/>
      <c r="C32" s="229"/>
      <c r="D32" s="229"/>
      <c r="E32" s="229"/>
      <c r="F32" s="229"/>
      <c r="I32" s="230"/>
      <c r="S32" s="407"/>
      <c r="T32" s="407"/>
      <c r="U32" s="407"/>
      <c r="V32" s="407"/>
      <c r="W32" s="407"/>
      <c r="X32" s="407"/>
      <c r="Y32" s="407"/>
      <c r="Z32" s="407"/>
      <c r="AA32" s="407"/>
      <c r="AB32" s="407"/>
      <c r="AC32" s="407"/>
      <c r="AD32" s="407"/>
      <c r="AE32" s="407"/>
      <c r="AF32" s="407"/>
      <c r="AG32" s="407"/>
      <c r="AH32" s="407"/>
      <c r="AI32" s="407"/>
      <c r="AJ32" s="407"/>
      <c r="AK32" s="407"/>
      <c r="AL32" s="407"/>
    </row>
    <row r="33" spans="1:38" s="231" customFormat="1" ht="15.6" thickTop="1" thickBot="1">
      <c r="A33" s="232" t="s">
        <v>685</v>
      </c>
      <c r="B33" s="229"/>
      <c r="C33" s="229"/>
      <c r="D33" s="229"/>
      <c r="E33" s="229"/>
      <c r="F33" s="229"/>
      <c r="I33" s="230"/>
      <c r="S33" s="407"/>
      <c r="T33" s="407"/>
      <c r="U33" s="407"/>
      <c r="V33" s="407"/>
      <c r="W33" s="407"/>
      <c r="X33" s="407"/>
      <c r="Y33" s="407"/>
      <c r="Z33" s="407"/>
      <c r="AA33" s="407"/>
      <c r="AB33" s="407"/>
      <c r="AC33" s="407"/>
      <c r="AD33" s="407"/>
      <c r="AE33" s="407"/>
      <c r="AF33" s="407"/>
      <c r="AG33" s="407"/>
      <c r="AH33" s="407"/>
      <c r="AI33" s="407"/>
      <c r="AJ33" s="407"/>
      <c r="AK33" s="407"/>
      <c r="AL33" s="407"/>
    </row>
    <row r="34" spans="1:38" ht="30" customHeight="1" thickTop="1" thickBot="1">
      <c r="A34" s="23"/>
      <c r="B34" s="23"/>
      <c r="S34" s="295"/>
      <c r="T34" s="295"/>
      <c r="U34" s="295"/>
      <c r="V34" s="295"/>
      <c r="W34" s="295"/>
      <c r="X34" s="295"/>
      <c r="Y34" s="296"/>
      <c r="Z34" s="297"/>
      <c r="AA34" s="297"/>
      <c r="AB34" s="297"/>
      <c r="AC34" s="297"/>
      <c r="AD34" s="297"/>
      <c r="AE34" s="297"/>
      <c r="AF34" s="297"/>
      <c r="AG34" s="297"/>
      <c r="AH34" s="297"/>
      <c r="AI34" s="297"/>
      <c r="AJ34" s="297"/>
      <c r="AK34" s="297"/>
      <c r="AL34" s="297"/>
    </row>
    <row r="35" spans="1:38" ht="178.5" customHeight="1" thickTop="1">
      <c r="A35" s="556" t="s">
        <v>80</v>
      </c>
      <c r="B35" s="557"/>
      <c r="C35" s="564" t="s">
        <v>788</v>
      </c>
      <c r="D35" s="564"/>
      <c r="E35" s="564"/>
      <c r="F35" s="564"/>
      <c r="G35" s="564"/>
      <c r="H35" s="564"/>
      <c r="I35" s="564"/>
      <c r="J35" s="564"/>
      <c r="K35" s="564"/>
      <c r="L35" s="564"/>
      <c r="M35" s="564"/>
      <c r="N35" s="564"/>
      <c r="S35" s="295"/>
      <c r="T35" s="487"/>
      <c r="U35" s="487"/>
      <c r="V35" s="487"/>
      <c r="W35" s="487"/>
      <c r="X35" s="487"/>
      <c r="Y35" s="220"/>
      <c r="Z35" s="220"/>
      <c r="AA35" s="220"/>
      <c r="AB35" s="220"/>
      <c r="AC35" s="220"/>
      <c r="AD35" s="220"/>
      <c r="AE35" s="220"/>
      <c r="AF35" s="297"/>
      <c r="AG35" s="297"/>
      <c r="AH35" s="297"/>
      <c r="AI35" s="297"/>
      <c r="AJ35" s="297"/>
      <c r="AK35" s="297"/>
      <c r="AL35" s="297"/>
    </row>
    <row r="36" spans="1:38" ht="15" thickBot="1">
      <c r="A36" s="23"/>
      <c r="B36" s="23"/>
      <c r="S36" s="295"/>
      <c r="T36" s="487"/>
      <c r="U36" s="487"/>
      <c r="V36" s="487"/>
      <c r="W36" s="487"/>
      <c r="X36" s="487"/>
      <c r="Y36" s="220"/>
      <c r="Z36" s="220"/>
      <c r="AA36" s="220"/>
      <c r="AB36" s="220"/>
      <c r="AC36" s="220"/>
      <c r="AD36" s="220"/>
      <c r="AE36" s="220"/>
      <c r="AF36" s="297"/>
      <c r="AG36" s="297"/>
      <c r="AH36" s="297"/>
      <c r="AI36" s="297"/>
      <c r="AJ36" s="297"/>
      <c r="AK36" s="297"/>
      <c r="AL36" s="297"/>
    </row>
    <row r="37" spans="1:38" ht="44.4" thickTop="1" thickBot="1">
      <c r="B37" s="12" t="s">
        <v>64</v>
      </c>
      <c r="C37" s="12" t="s">
        <v>91</v>
      </c>
      <c r="D37" s="12" t="s">
        <v>338</v>
      </c>
      <c r="E37" s="12" t="s">
        <v>75</v>
      </c>
      <c r="F37" s="12"/>
      <c r="G37" s="12" t="s">
        <v>72</v>
      </c>
      <c r="H37" s="12" t="s">
        <v>71</v>
      </c>
      <c r="I37" s="12" t="s">
        <v>340</v>
      </c>
      <c r="J37" s="12" t="s">
        <v>339</v>
      </c>
      <c r="S37" s="295"/>
      <c r="T37" s="487"/>
      <c r="U37" s="487"/>
      <c r="V37" s="487"/>
      <c r="W37" s="487"/>
      <c r="X37" s="487"/>
      <c r="Y37" s="220"/>
      <c r="Z37" s="221" t="s">
        <v>54</v>
      </c>
      <c r="AA37" s="222">
        <f>((1-Facteur_variable)+Facteur_variable*DJC_tot_15_16/DJC_tot_09_10)*GJ_Tot_09_10+GJ_Ajust_NP_Cour_15_16</f>
        <v>0</v>
      </c>
      <c r="AB37" s="223" t="s">
        <v>306</v>
      </c>
      <c r="AC37" s="220"/>
      <c r="AD37" s="220"/>
      <c r="AE37" s="220"/>
      <c r="AF37" s="297"/>
      <c r="AG37" s="297"/>
      <c r="AH37" s="297"/>
      <c r="AI37" s="297"/>
      <c r="AJ37" s="297"/>
      <c r="AK37" s="297"/>
      <c r="AL37" s="297"/>
    </row>
    <row r="38" spans="1:38" ht="35.25" customHeight="1" thickTop="1">
      <c r="B38" s="36" t="s">
        <v>778</v>
      </c>
      <c r="C38" s="36"/>
      <c r="D38" s="36"/>
      <c r="E38" s="55"/>
      <c r="F38" s="54" t="str">
        <f>IF(D38="électrique","kWh",IF(D38="Gaz naturel","m³",IF(LEFT(D38,1)="R","1000 kg","l")))</f>
        <v>l</v>
      </c>
      <c r="G38" s="36"/>
      <c r="H38" s="37"/>
      <c r="I38" s="38">
        <f>IF(COUNTA(G38)=1,IF(C38="Réduction",-1,IF(C38="Augmentation",1,0))*E38*INDEX(Conversion!$A$24:$J$40,MATCH(D38,Conversion!$J$24:$J$40,0),9),0)</f>
        <v>0</v>
      </c>
      <c r="J38" s="38">
        <f t="shared" ref="J38:J44" si="8">IF(G38="Non",I38*L38,IF(G38="Oui",I38*K38,0))</f>
        <v>0</v>
      </c>
      <c r="K38" s="56" t="e">
        <f t="shared" ref="K38:K44" si="9">(DJC_tot_15_16-INDEX($A$9:$AF$20,MATCH(H38,$A$9:$A$20,0),24))/DJC_tot_15_16</f>
        <v>#N/A</v>
      </c>
      <c r="L38" s="56" t="e">
        <f t="shared" ref="L38:L44" si="10">INDEX($A$9:$AG$20,MATCH(H38,$A$9:$A$20,0),25)/12</f>
        <v>#N/A</v>
      </c>
      <c r="S38" s="295"/>
      <c r="T38" s="487"/>
      <c r="U38" s="487"/>
      <c r="V38" s="487"/>
      <c r="W38" s="487"/>
      <c r="X38" s="487"/>
      <c r="Y38" s="223"/>
      <c r="Z38" s="224" t="s">
        <v>55</v>
      </c>
      <c r="AA38" s="223">
        <f>GJ_Tot_15_16</f>
        <v>0</v>
      </c>
      <c r="AB38" s="223"/>
      <c r="AC38" s="220"/>
      <c r="AD38" s="220"/>
      <c r="AE38" s="220"/>
      <c r="AF38" s="297"/>
      <c r="AG38" s="297"/>
      <c r="AH38" s="297"/>
      <c r="AI38" s="297"/>
      <c r="AJ38" s="297"/>
      <c r="AK38" s="297"/>
      <c r="AL38" s="297"/>
    </row>
    <row r="39" spans="1:38" ht="35.25" customHeight="1">
      <c r="B39" s="36" t="s">
        <v>779</v>
      </c>
      <c r="C39" s="36"/>
      <c r="D39" s="36"/>
      <c r="E39" s="55"/>
      <c r="F39" s="54" t="str">
        <f t="shared" ref="F39:F44" si="11">IF(D39="électrique","kWh",IF(D39="Gaz naturel","m³",IF(LEFT(D39,1)="R","1000 kg","l")))</f>
        <v>l</v>
      </c>
      <c r="G39" s="36"/>
      <c r="H39" s="37"/>
      <c r="I39" s="38">
        <f>IF(COUNTA(G39)=1,IF(C39="Réduction",-1,IF(C39="Augmentation",1,0))*E39*INDEX(Conversion!$A$24:$J$40,MATCH(D39,Conversion!$J$24:$J$40,0),9),0)</f>
        <v>0</v>
      </c>
      <c r="J39" s="38">
        <f t="shared" si="8"/>
        <v>0</v>
      </c>
      <c r="K39" s="56" t="e">
        <f t="shared" si="9"/>
        <v>#N/A</v>
      </c>
      <c r="L39" s="56" t="e">
        <f t="shared" si="10"/>
        <v>#N/A</v>
      </c>
      <c r="S39" s="295"/>
      <c r="T39" s="487"/>
      <c r="U39" s="487"/>
      <c r="V39" s="487"/>
      <c r="W39" s="487"/>
      <c r="X39" s="487"/>
      <c r="Y39" s="223"/>
      <c r="Z39" s="224" t="s">
        <v>56</v>
      </c>
      <c r="AA39" s="223">
        <f>Sup_09_10</f>
        <v>0</v>
      </c>
      <c r="AB39" s="223"/>
      <c r="AC39" s="220"/>
      <c r="AD39" s="220"/>
      <c r="AE39" s="220"/>
      <c r="AF39" s="297"/>
      <c r="AG39" s="297"/>
      <c r="AH39" s="297"/>
      <c r="AI39" s="297"/>
      <c r="AJ39" s="297"/>
      <c r="AK39" s="297"/>
      <c r="AL39" s="297"/>
    </row>
    <row r="40" spans="1:38" ht="35.25" customHeight="1">
      <c r="B40" s="36" t="s">
        <v>780</v>
      </c>
      <c r="C40" s="36"/>
      <c r="D40" s="36"/>
      <c r="E40" s="55"/>
      <c r="F40" s="54" t="str">
        <f t="shared" si="11"/>
        <v>l</v>
      </c>
      <c r="G40" s="36"/>
      <c r="H40" s="37"/>
      <c r="I40" s="38">
        <f>IF(COUNTA(G40)=1,IF(C40="Réduction",-1,IF(C40="Augmentation",1,0))*E40*INDEX(Conversion!$A$24:$J$40,MATCH(D40,Conversion!$J$24:$J$40,0),9),0)</f>
        <v>0</v>
      </c>
      <c r="J40" s="38">
        <f t="shared" si="8"/>
        <v>0</v>
      </c>
      <c r="K40" s="56" t="e">
        <f t="shared" si="9"/>
        <v>#N/A</v>
      </c>
      <c r="L40" s="56" t="e">
        <f t="shared" si="10"/>
        <v>#N/A</v>
      </c>
      <c r="S40" s="295"/>
      <c r="T40" s="487"/>
      <c r="U40" s="487"/>
      <c r="V40" s="487"/>
      <c r="W40" s="487"/>
      <c r="X40" s="487"/>
      <c r="Y40" s="220"/>
      <c r="Z40" s="224" t="s">
        <v>57</v>
      </c>
      <c r="AA40" s="220">
        <f>Sup_15_16</f>
        <v>0</v>
      </c>
      <c r="AB40" s="223"/>
      <c r="AC40" s="220"/>
      <c r="AD40" s="220"/>
      <c r="AE40" s="220"/>
      <c r="AF40" s="297"/>
      <c r="AG40" s="297"/>
      <c r="AH40" s="297"/>
      <c r="AI40" s="297"/>
      <c r="AJ40" s="297"/>
      <c r="AK40" s="297"/>
      <c r="AL40" s="297"/>
    </row>
    <row r="41" spans="1:38" ht="35.25" customHeight="1">
      <c r="B41" s="36" t="s">
        <v>781</v>
      </c>
      <c r="C41" s="36"/>
      <c r="D41" s="36"/>
      <c r="E41" s="55"/>
      <c r="F41" s="54" t="str">
        <f t="shared" si="11"/>
        <v>l</v>
      </c>
      <c r="G41" s="36"/>
      <c r="H41" s="37"/>
      <c r="I41" s="38">
        <f>IF(COUNTA(G41)=1,IF(C41="Réduction",-1,IF(C41="Augmentation",1,0))*E41*INDEX(Conversion!$A$24:$J$40,MATCH(D41,Conversion!$J$24:$J$40,0),9),0)</f>
        <v>0</v>
      </c>
      <c r="J41" s="38">
        <f t="shared" si="8"/>
        <v>0</v>
      </c>
      <c r="K41" s="56" t="e">
        <f t="shared" si="9"/>
        <v>#N/A</v>
      </c>
      <c r="L41" s="56" t="e">
        <f t="shared" si="10"/>
        <v>#N/A</v>
      </c>
      <c r="S41" s="295"/>
      <c r="T41" s="487"/>
      <c r="U41" s="487"/>
      <c r="V41" s="487"/>
      <c r="W41" s="487"/>
      <c r="X41" s="487"/>
      <c r="Y41" s="220"/>
      <c r="Z41" s="220"/>
      <c r="AA41" s="225" t="e">
        <f>GJTotRef_Ajust_15_16/Sup_09_10</f>
        <v>#DIV/0!</v>
      </c>
      <c r="AB41" s="223" t="s">
        <v>307</v>
      </c>
      <c r="AC41" s="220"/>
      <c r="AD41" s="220"/>
      <c r="AE41" s="220"/>
      <c r="AF41" s="297"/>
      <c r="AG41" s="297"/>
      <c r="AH41" s="297"/>
      <c r="AI41" s="297"/>
      <c r="AJ41" s="297"/>
      <c r="AK41" s="297"/>
      <c r="AL41" s="297"/>
    </row>
    <row r="42" spans="1:38" ht="35.25" customHeight="1">
      <c r="B42" s="36" t="s">
        <v>782</v>
      </c>
      <c r="C42" s="36"/>
      <c r="D42" s="36"/>
      <c r="E42" s="55"/>
      <c r="F42" s="54" t="str">
        <f t="shared" si="11"/>
        <v>l</v>
      </c>
      <c r="G42" s="36"/>
      <c r="H42" s="37"/>
      <c r="I42" s="38">
        <f>IF(COUNTA(G42)=1,IF(C42="Réduction",-1,IF(C42="Augmentation",1,0))*E42*INDEX(Conversion!$A$24:$J$40,MATCH(D42,Conversion!$J$24:$J$40,0),9),0)</f>
        <v>0</v>
      </c>
      <c r="J42" s="38">
        <f t="shared" si="8"/>
        <v>0</v>
      </c>
      <c r="K42" s="56" t="e">
        <f t="shared" si="9"/>
        <v>#N/A</v>
      </c>
      <c r="L42" s="56" t="e">
        <f t="shared" si="10"/>
        <v>#N/A</v>
      </c>
      <c r="S42" s="295"/>
      <c r="T42" s="487"/>
      <c r="U42" s="487"/>
      <c r="V42" s="487"/>
      <c r="W42" s="487"/>
      <c r="X42" s="487"/>
      <c r="Y42" s="223"/>
      <c r="Z42" s="223"/>
      <c r="AA42" s="226">
        <f>J45</f>
        <v>0</v>
      </c>
      <c r="AB42" s="223" t="s">
        <v>308</v>
      </c>
      <c r="AC42" s="223"/>
      <c r="AD42" s="223"/>
      <c r="AE42" s="223"/>
      <c r="AF42" s="297"/>
      <c r="AG42" s="297"/>
      <c r="AH42" s="297"/>
      <c r="AI42" s="297"/>
      <c r="AJ42" s="297"/>
      <c r="AK42" s="297"/>
      <c r="AL42" s="297"/>
    </row>
    <row r="43" spans="1:38" ht="35.25" customHeight="1">
      <c r="B43" s="36" t="s">
        <v>783</v>
      </c>
      <c r="C43" s="36"/>
      <c r="D43" s="36"/>
      <c r="E43" s="55"/>
      <c r="F43" s="54" t="str">
        <f t="shared" si="11"/>
        <v>l</v>
      </c>
      <c r="G43" s="36"/>
      <c r="H43" s="37"/>
      <c r="I43" s="38">
        <f>IF(COUNTA(G43)=1,IF(C43="Réduction",-1,IF(C43="Augmentation",1,0))*E43*INDEX(Conversion!$A$24:$J$40,MATCH(D43,Conversion!$J$24:$J$40,0),9),0)</f>
        <v>0</v>
      </c>
      <c r="J43" s="38">
        <f t="shared" si="8"/>
        <v>0</v>
      </c>
      <c r="K43" s="56" t="e">
        <f t="shared" si="9"/>
        <v>#N/A</v>
      </c>
      <c r="L43" s="56" t="e">
        <f t="shared" si="10"/>
        <v>#N/A</v>
      </c>
      <c r="S43" s="295"/>
      <c r="T43" s="487"/>
      <c r="U43" s="487"/>
      <c r="V43" s="487"/>
      <c r="W43" s="487"/>
      <c r="X43" s="487"/>
      <c r="Y43" s="223"/>
      <c r="Z43" s="223"/>
      <c r="AA43" s="226">
        <f>I45</f>
        <v>0</v>
      </c>
      <c r="AB43" s="223" t="s">
        <v>309</v>
      </c>
      <c r="AC43" s="223"/>
      <c r="AD43" s="223"/>
      <c r="AE43" s="223"/>
      <c r="AF43" s="297"/>
      <c r="AG43" s="297"/>
      <c r="AH43" s="297"/>
      <c r="AI43" s="297"/>
      <c r="AJ43" s="297"/>
      <c r="AK43" s="297"/>
      <c r="AL43" s="297"/>
    </row>
    <row r="44" spans="1:38" ht="35.25" customHeight="1" thickBot="1">
      <c r="B44" s="36" t="s">
        <v>784</v>
      </c>
      <c r="C44" s="36"/>
      <c r="D44" s="36"/>
      <c r="E44" s="55"/>
      <c r="F44" s="54" t="str">
        <f t="shared" si="11"/>
        <v>l</v>
      </c>
      <c r="G44" s="36"/>
      <c r="H44" s="37"/>
      <c r="I44" s="38">
        <f>IF(COUNTA(G44)=1,IF(C44="Réduction",-1,IF(C44="Augmentation",1,0))*E44*INDEX(Conversion!$A$24:$J$40,MATCH(D44,Conversion!$J$24:$J$40,0),9),0)</f>
        <v>0</v>
      </c>
      <c r="J44" s="38">
        <f t="shared" si="8"/>
        <v>0</v>
      </c>
      <c r="K44" s="56" t="e">
        <f t="shared" si="9"/>
        <v>#N/A</v>
      </c>
      <c r="L44" s="56" t="e">
        <f t="shared" si="10"/>
        <v>#N/A</v>
      </c>
      <c r="S44" s="295"/>
      <c r="T44" s="487"/>
      <c r="U44" s="487"/>
      <c r="V44" s="487"/>
      <c r="W44" s="487"/>
      <c r="X44" s="487"/>
      <c r="Y44" s="223"/>
      <c r="Z44" s="223"/>
      <c r="AA44" s="223"/>
      <c r="AB44" s="223"/>
      <c r="AC44" s="223"/>
      <c r="AD44" s="223"/>
      <c r="AE44" s="223"/>
      <c r="AF44" s="297"/>
      <c r="AG44" s="297"/>
      <c r="AH44" s="297"/>
      <c r="AI44" s="297"/>
      <c r="AJ44" s="297"/>
      <c r="AK44" s="297"/>
      <c r="AL44" s="297"/>
    </row>
    <row r="45" spans="1:38" ht="25.5" customHeight="1" thickTop="1" thickBot="1">
      <c r="B45" s="21" t="s">
        <v>16</v>
      </c>
      <c r="C45" s="19"/>
      <c r="D45" s="19"/>
      <c r="E45" s="19"/>
      <c r="F45" s="19"/>
      <c r="G45" s="19"/>
      <c r="H45" s="19"/>
      <c r="I45" s="20">
        <f>SUM(I38:I44)</f>
        <v>0</v>
      </c>
      <c r="J45" s="20">
        <f>SUM(J38:J44)</f>
        <v>0</v>
      </c>
      <c r="S45" s="295"/>
      <c r="T45" s="487"/>
      <c r="U45" s="487"/>
      <c r="V45" s="487"/>
      <c r="W45" s="487"/>
      <c r="X45" s="487"/>
      <c r="Y45" s="223"/>
      <c r="Z45" s="223"/>
      <c r="AA45" s="223"/>
      <c r="AB45" s="223"/>
      <c r="AC45" s="223"/>
      <c r="AD45" s="223"/>
      <c r="AE45" s="223"/>
      <c r="AF45" s="297"/>
      <c r="AG45" s="297"/>
      <c r="AH45" s="297"/>
      <c r="AI45" s="297"/>
      <c r="AJ45" s="297"/>
      <c r="AK45" s="297"/>
      <c r="AL45" s="297"/>
    </row>
    <row r="46" spans="1:38" ht="15" thickTop="1">
      <c r="I46" s="1"/>
      <c r="J46" s="24"/>
      <c r="K46" s="24"/>
      <c r="L46" s="24"/>
      <c r="S46" s="295"/>
      <c r="T46" s="487"/>
      <c r="U46" s="487"/>
      <c r="V46" s="487"/>
      <c r="W46" s="487"/>
      <c r="X46" s="487"/>
      <c r="Y46" s="223"/>
      <c r="Z46" s="223"/>
      <c r="AA46" s="223"/>
      <c r="AB46" s="223"/>
      <c r="AC46" s="223"/>
      <c r="AD46" s="223"/>
      <c r="AE46" s="223"/>
      <c r="AF46" s="297"/>
      <c r="AG46" s="297"/>
      <c r="AH46" s="297"/>
      <c r="AI46" s="297"/>
      <c r="AJ46" s="297"/>
      <c r="AK46" s="297"/>
      <c r="AL46" s="297"/>
    </row>
    <row r="47" spans="1:38">
      <c r="S47" s="295"/>
      <c r="T47" s="487"/>
      <c r="U47" s="487"/>
      <c r="V47" s="487"/>
      <c r="W47" s="487"/>
      <c r="X47" s="487"/>
      <c r="Y47" s="223"/>
      <c r="Z47" s="223"/>
      <c r="AA47" s="223"/>
      <c r="AB47" s="223"/>
      <c r="AC47" s="223"/>
      <c r="AD47" s="223"/>
      <c r="AE47" s="223"/>
      <c r="AF47" s="297"/>
      <c r="AG47" s="297"/>
      <c r="AH47" s="297"/>
      <c r="AI47" s="297"/>
      <c r="AJ47" s="297"/>
      <c r="AK47" s="297"/>
      <c r="AL47" s="297"/>
    </row>
    <row r="48" spans="1:38">
      <c r="S48" s="295"/>
      <c r="T48" s="487"/>
      <c r="U48" s="487"/>
      <c r="V48" s="487"/>
      <c r="W48" s="487"/>
      <c r="X48" s="487"/>
      <c r="Y48" s="223"/>
      <c r="Z48" s="223"/>
      <c r="AA48" s="223"/>
      <c r="AB48" s="223"/>
      <c r="AC48" s="223"/>
      <c r="AD48" s="223"/>
      <c r="AE48" s="223"/>
      <c r="AF48" s="297"/>
      <c r="AG48" s="297"/>
      <c r="AH48" s="297"/>
      <c r="AI48" s="297"/>
      <c r="AJ48" s="297"/>
      <c r="AK48" s="297"/>
      <c r="AL48" s="297"/>
    </row>
    <row r="49" spans="1:38" ht="16.5" customHeight="1">
      <c r="S49" s="295"/>
      <c r="T49" s="487"/>
      <c r="U49" s="487"/>
      <c r="V49" s="487"/>
      <c r="W49" s="487"/>
      <c r="X49" s="487"/>
      <c r="Y49" s="223"/>
      <c r="Z49" s="223"/>
      <c r="AA49" s="223"/>
      <c r="AB49" s="223"/>
      <c r="AC49" s="223"/>
      <c r="AD49" s="223"/>
      <c r="AE49" s="223"/>
      <c r="AF49" s="297"/>
      <c r="AG49" s="297"/>
      <c r="AH49" s="297"/>
      <c r="AI49" s="297"/>
      <c r="AJ49" s="297"/>
      <c r="AK49" s="297"/>
      <c r="AL49" s="297"/>
    </row>
    <row r="50" spans="1:38">
      <c r="S50" s="295"/>
      <c r="T50" s="487"/>
      <c r="U50" s="487"/>
      <c r="V50" s="487"/>
      <c r="W50" s="487"/>
      <c r="X50" s="487"/>
      <c r="Y50" s="223"/>
      <c r="Z50" s="223"/>
      <c r="AA50" s="223"/>
      <c r="AB50" s="223"/>
      <c r="AC50" s="223"/>
      <c r="AD50" s="223"/>
      <c r="AE50" s="223"/>
      <c r="AF50" s="297"/>
      <c r="AG50" s="297"/>
      <c r="AH50" s="297"/>
      <c r="AI50" s="297"/>
      <c r="AJ50" s="297"/>
      <c r="AK50" s="297"/>
      <c r="AL50" s="297"/>
    </row>
    <row r="51" spans="1:38" ht="16.5" customHeight="1">
      <c r="S51" s="295"/>
      <c r="T51" s="487"/>
      <c r="U51" s="487"/>
      <c r="V51" s="487"/>
      <c r="W51" s="487"/>
      <c r="X51" s="487"/>
      <c r="Y51" s="223"/>
      <c r="Z51" s="223"/>
      <c r="AA51" s="223"/>
      <c r="AB51" s="223"/>
      <c r="AC51" s="223"/>
      <c r="AD51" s="223"/>
      <c r="AE51" s="223"/>
      <c r="AF51" s="297"/>
      <c r="AG51" s="297"/>
      <c r="AH51" s="297"/>
      <c r="AI51" s="297"/>
      <c r="AJ51" s="297"/>
      <c r="AK51" s="297"/>
      <c r="AL51" s="297"/>
    </row>
    <row r="52" spans="1:38">
      <c r="A52" s="29"/>
      <c r="B52" s="29"/>
      <c r="C52" s="30"/>
      <c r="D52" s="30"/>
      <c r="E52" s="30"/>
      <c r="F52" s="30"/>
      <c r="G52" s="30"/>
      <c r="H52" s="30"/>
      <c r="S52" s="295"/>
      <c r="T52" s="487"/>
      <c r="U52" s="487"/>
      <c r="V52" s="487"/>
      <c r="W52" s="487"/>
      <c r="X52" s="487"/>
      <c r="Y52" s="223"/>
      <c r="Z52" s="223"/>
      <c r="AA52" s="223"/>
      <c r="AB52" s="223"/>
      <c r="AC52" s="223"/>
      <c r="AD52" s="223"/>
      <c r="AE52" s="223"/>
      <c r="AF52" s="297"/>
      <c r="AG52" s="297"/>
      <c r="AH52" s="297"/>
      <c r="AI52" s="297"/>
      <c r="AJ52" s="297"/>
      <c r="AK52" s="297"/>
      <c r="AL52" s="297"/>
    </row>
    <row r="53" spans="1:38">
      <c r="A53" s="29"/>
      <c r="B53" s="29"/>
      <c r="C53" s="30"/>
      <c r="D53" s="30"/>
      <c r="E53" s="30"/>
      <c r="F53" s="30"/>
      <c r="G53" s="30"/>
      <c r="H53" s="30"/>
      <c r="S53" s="295"/>
      <c r="T53" s="487"/>
      <c r="U53" s="487"/>
      <c r="V53" s="487"/>
      <c r="W53" s="487"/>
      <c r="X53" s="487"/>
      <c r="Y53" s="223"/>
      <c r="Z53" s="223"/>
      <c r="AA53" s="223"/>
      <c r="AB53" s="223"/>
      <c r="AC53" s="223"/>
      <c r="AD53" s="223"/>
      <c r="AE53" s="223"/>
      <c r="AF53" s="297"/>
      <c r="AG53" s="297"/>
      <c r="AH53" s="297"/>
      <c r="AI53" s="297"/>
      <c r="AJ53" s="297"/>
      <c r="AK53" s="297"/>
      <c r="AL53" s="297"/>
    </row>
    <row r="54" spans="1:38">
      <c r="A54" s="29"/>
      <c r="B54" s="27"/>
      <c r="C54" s="28" t="s">
        <v>65</v>
      </c>
      <c r="D54" s="28" t="s">
        <v>70</v>
      </c>
      <c r="E54" s="28"/>
      <c r="F54" s="28"/>
      <c r="G54" s="28" t="s">
        <v>73</v>
      </c>
      <c r="H54" s="30"/>
      <c r="S54" s="295"/>
      <c r="T54" s="487"/>
      <c r="U54" s="487"/>
      <c r="V54" s="487"/>
      <c r="W54" s="487"/>
      <c r="X54" s="487"/>
      <c r="Y54" s="220"/>
      <c r="Z54" s="223"/>
      <c r="AA54" s="223"/>
      <c r="AB54" s="223"/>
      <c r="AC54" s="223"/>
      <c r="AD54" s="223"/>
      <c r="AE54" s="223"/>
      <c r="AF54" s="297"/>
      <c r="AG54" s="297"/>
      <c r="AH54" s="297"/>
      <c r="AI54" s="297"/>
      <c r="AJ54" s="297"/>
      <c r="AK54" s="297"/>
      <c r="AL54" s="297"/>
    </row>
    <row r="55" spans="1:38">
      <c r="A55" s="29"/>
      <c r="B55" s="27"/>
      <c r="C55" s="28" t="s">
        <v>66</v>
      </c>
      <c r="D55" s="28" t="s">
        <v>19</v>
      </c>
      <c r="E55" s="28"/>
      <c r="F55" s="28"/>
      <c r="G55" s="28" t="s">
        <v>74</v>
      </c>
      <c r="H55" s="30"/>
      <c r="S55" s="295"/>
      <c r="T55" s="487"/>
      <c r="U55" s="487"/>
      <c r="V55" s="487"/>
      <c r="W55" s="487"/>
      <c r="X55" s="487"/>
      <c r="Y55" s="220"/>
      <c r="Z55" s="223"/>
      <c r="AA55" s="223"/>
      <c r="AB55" s="223"/>
      <c r="AC55" s="223"/>
      <c r="AD55" s="223"/>
      <c r="AE55" s="223"/>
      <c r="AF55" s="297"/>
      <c r="AG55" s="297"/>
      <c r="AH55" s="297"/>
      <c r="AI55" s="297"/>
      <c r="AJ55" s="297"/>
      <c r="AK55" s="297"/>
      <c r="AL55" s="297"/>
    </row>
    <row r="56" spans="1:38">
      <c r="A56" s="29"/>
      <c r="B56" s="27"/>
      <c r="C56" s="28"/>
      <c r="D56" s="28" t="s">
        <v>67</v>
      </c>
      <c r="E56" s="28"/>
      <c r="F56" s="28"/>
      <c r="G56" s="28"/>
      <c r="H56" s="30"/>
      <c r="S56" s="295"/>
      <c r="T56" s="295"/>
      <c r="U56" s="295"/>
      <c r="V56" s="295"/>
      <c r="W56" s="295"/>
      <c r="X56" s="295"/>
      <c r="Y56" s="296"/>
      <c r="Z56" s="297"/>
      <c r="AA56" s="297"/>
      <c r="AB56" s="297"/>
      <c r="AC56" s="297"/>
      <c r="AD56" s="297"/>
      <c r="AE56" s="297"/>
      <c r="AF56" s="297"/>
      <c r="AG56" s="297"/>
      <c r="AH56" s="297"/>
      <c r="AI56" s="297"/>
      <c r="AJ56" s="297"/>
      <c r="AK56" s="297"/>
      <c r="AL56" s="297"/>
    </row>
    <row r="57" spans="1:38">
      <c r="A57" s="29"/>
      <c r="B57" s="27"/>
      <c r="C57" s="28"/>
      <c r="D57" s="28" t="s">
        <v>25</v>
      </c>
      <c r="E57" s="28"/>
      <c r="F57" s="28"/>
      <c r="G57" s="28"/>
      <c r="H57" s="30"/>
      <c r="S57" s="295"/>
      <c r="T57" s="295"/>
      <c r="U57" s="295"/>
      <c r="V57" s="295"/>
      <c r="W57" s="295"/>
      <c r="X57" s="295"/>
      <c r="Y57" s="296"/>
      <c r="Z57" s="297"/>
      <c r="AA57" s="297"/>
      <c r="AB57" s="297"/>
      <c r="AC57" s="297"/>
      <c r="AD57" s="297"/>
      <c r="AE57" s="297"/>
      <c r="AF57" s="297"/>
      <c r="AG57" s="297"/>
      <c r="AH57" s="297"/>
      <c r="AI57" s="297"/>
      <c r="AJ57" s="297"/>
      <c r="AK57" s="297"/>
      <c r="AL57" s="297"/>
    </row>
    <row r="58" spans="1:38">
      <c r="A58" s="29"/>
      <c r="B58" s="27"/>
      <c r="C58" s="28"/>
      <c r="D58" s="28" t="s">
        <v>27</v>
      </c>
      <c r="E58" s="28"/>
      <c r="F58" s="28"/>
      <c r="G58" s="28"/>
      <c r="H58" s="30"/>
      <c r="S58" s="295"/>
      <c r="T58" s="295"/>
      <c r="U58" s="295"/>
      <c r="V58" s="295"/>
      <c r="W58" s="295"/>
      <c r="X58" s="295"/>
      <c r="Y58" s="296"/>
      <c r="Z58" s="297"/>
      <c r="AA58" s="297"/>
      <c r="AB58" s="297"/>
      <c r="AC58" s="297"/>
      <c r="AD58" s="297"/>
      <c r="AE58" s="297"/>
      <c r="AF58" s="297"/>
      <c r="AG58" s="297"/>
      <c r="AH58" s="297"/>
      <c r="AI58" s="297"/>
      <c r="AJ58" s="297"/>
      <c r="AK58" s="297"/>
      <c r="AL58" s="297"/>
    </row>
    <row r="59" spans="1:38">
      <c r="A59" s="29"/>
      <c r="B59" s="27"/>
      <c r="C59" s="28"/>
      <c r="D59" s="28" t="s">
        <v>68</v>
      </c>
      <c r="E59" s="28"/>
      <c r="F59" s="28"/>
      <c r="G59" s="28"/>
      <c r="H59" s="30"/>
      <c r="S59" s="295"/>
      <c r="T59" s="295"/>
      <c r="U59" s="295"/>
      <c r="V59" s="295"/>
      <c r="W59" s="295"/>
      <c r="X59" s="295"/>
      <c r="Y59" s="296"/>
      <c r="Z59" s="297"/>
      <c r="AA59" s="297"/>
      <c r="AB59" s="297"/>
      <c r="AC59" s="297"/>
      <c r="AD59" s="297"/>
      <c r="AE59" s="297"/>
      <c r="AF59" s="297"/>
      <c r="AG59" s="297"/>
      <c r="AH59" s="297"/>
      <c r="AI59" s="297"/>
      <c r="AJ59" s="297"/>
      <c r="AK59" s="297"/>
      <c r="AL59" s="297"/>
    </row>
    <row r="60" spans="1:38">
      <c r="A60" s="29"/>
      <c r="B60" s="27"/>
      <c r="C60" s="28"/>
      <c r="D60" s="28" t="s">
        <v>69</v>
      </c>
      <c r="E60" s="28"/>
      <c r="F60" s="28"/>
      <c r="G60" s="28"/>
      <c r="H60" s="30"/>
      <c r="S60" s="295"/>
      <c r="T60" s="295"/>
      <c r="U60" s="295"/>
      <c r="V60" s="295"/>
      <c r="W60" s="295"/>
      <c r="X60" s="295"/>
      <c r="Y60" s="296"/>
      <c r="Z60" s="297"/>
      <c r="AA60" s="297"/>
      <c r="AB60" s="297"/>
      <c r="AC60" s="297"/>
      <c r="AD60" s="297"/>
      <c r="AE60" s="297"/>
      <c r="AF60" s="297"/>
      <c r="AG60" s="297"/>
      <c r="AH60" s="297"/>
      <c r="AI60" s="297"/>
      <c r="AJ60" s="297"/>
      <c r="AK60" s="297"/>
      <c r="AL60" s="297"/>
    </row>
    <row r="61" spans="1:38">
      <c r="A61" s="29"/>
      <c r="B61" s="27"/>
      <c r="C61" s="28"/>
      <c r="D61" s="28" t="s">
        <v>77</v>
      </c>
      <c r="E61" s="28"/>
      <c r="F61" s="28"/>
      <c r="G61" s="28"/>
      <c r="H61" s="30"/>
      <c r="S61" s="295"/>
      <c r="T61" s="295"/>
      <c r="U61" s="295"/>
      <c r="V61" s="295"/>
      <c r="W61" s="295"/>
      <c r="X61" s="295"/>
      <c r="Y61" s="296"/>
      <c r="Z61" s="297"/>
      <c r="AA61" s="297"/>
      <c r="AB61" s="297"/>
      <c r="AC61" s="297"/>
      <c r="AD61" s="297"/>
      <c r="AE61" s="297"/>
      <c r="AF61" s="297"/>
      <c r="AG61" s="297"/>
      <c r="AH61" s="297"/>
      <c r="AI61" s="297"/>
      <c r="AJ61" s="297"/>
      <c r="AK61" s="297"/>
      <c r="AL61" s="297"/>
    </row>
    <row r="62" spans="1:38">
      <c r="A62" s="29"/>
      <c r="B62" s="27"/>
      <c r="C62" s="28"/>
      <c r="D62" s="28"/>
      <c r="E62" s="28"/>
      <c r="F62" s="28"/>
      <c r="G62" s="28"/>
      <c r="H62" s="30"/>
      <c r="S62" s="295"/>
      <c r="T62" s="295"/>
      <c r="U62" s="295"/>
      <c r="V62" s="295"/>
      <c r="W62" s="295"/>
      <c r="X62" s="295"/>
      <c r="Y62" s="296"/>
      <c r="Z62" s="297"/>
      <c r="AA62" s="297"/>
      <c r="AB62" s="297"/>
      <c r="AC62" s="297"/>
      <c r="AD62" s="297"/>
      <c r="AE62" s="297"/>
      <c r="AF62" s="297"/>
      <c r="AG62" s="297"/>
      <c r="AH62" s="297"/>
      <c r="AI62" s="297"/>
      <c r="AJ62" s="297"/>
      <c r="AK62" s="297"/>
      <c r="AL62" s="297"/>
    </row>
    <row r="63" spans="1:38">
      <c r="A63" s="29"/>
      <c r="B63" s="29"/>
      <c r="C63" s="30"/>
      <c r="D63" s="30"/>
      <c r="E63" s="30"/>
      <c r="F63" s="30"/>
      <c r="G63" s="30"/>
      <c r="H63" s="30"/>
    </row>
    <row r="64" spans="1:38">
      <c r="A64" s="29"/>
      <c r="B64" s="29"/>
      <c r="C64" s="30"/>
      <c r="D64" s="30"/>
      <c r="E64" s="30"/>
      <c r="F64" s="30"/>
      <c r="G64" s="30"/>
      <c r="H64" s="30"/>
    </row>
    <row r="65" spans="1:25">
      <c r="A65" s="29"/>
      <c r="B65" s="29"/>
      <c r="C65" s="30"/>
      <c r="D65" s="30"/>
      <c r="E65" s="30"/>
      <c r="F65" s="30"/>
      <c r="G65" s="30"/>
      <c r="H65" s="30"/>
    </row>
    <row r="66" spans="1:25">
      <c r="A66" s="29"/>
      <c r="B66" s="29"/>
      <c r="C66" s="30"/>
      <c r="D66" s="30"/>
      <c r="E66" s="30"/>
      <c r="F66" s="30"/>
      <c r="G66" s="30"/>
      <c r="H66" s="30"/>
    </row>
    <row r="67" spans="1:25">
      <c r="A67" s="29"/>
      <c r="B67" s="29"/>
      <c r="C67" s="30"/>
      <c r="D67" s="30"/>
      <c r="E67" s="30"/>
      <c r="F67" s="30"/>
      <c r="G67" s="30"/>
      <c r="H67" s="30"/>
    </row>
    <row r="68" spans="1:25">
      <c r="A68" s="29"/>
      <c r="B68" s="29"/>
      <c r="C68" s="30"/>
      <c r="D68" s="30"/>
      <c r="E68" s="29"/>
      <c r="F68" s="29"/>
      <c r="G68" s="29"/>
      <c r="H68" s="29"/>
      <c r="I68" s="1"/>
      <c r="J68" s="1"/>
      <c r="K68" s="1"/>
      <c r="L68" s="1"/>
      <c r="M68" s="1"/>
      <c r="N68" s="1"/>
      <c r="O68" s="1"/>
      <c r="P68" s="1"/>
      <c r="Q68" s="1"/>
      <c r="R68" s="1"/>
      <c r="S68" s="1"/>
      <c r="T68" s="1"/>
      <c r="U68" s="1"/>
      <c r="V68" s="1"/>
      <c r="W68" s="1"/>
      <c r="X68" s="1"/>
      <c r="Y68" s="49"/>
    </row>
    <row r="69" spans="1:25">
      <c r="A69" s="29"/>
      <c r="B69" s="29"/>
      <c r="C69" s="30"/>
      <c r="D69" s="30"/>
      <c r="E69" s="29"/>
      <c r="F69" s="29"/>
      <c r="G69" s="29"/>
      <c r="H69" s="29"/>
      <c r="I69" s="1"/>
      <c r="J69" s="1"/>
      <c r="K69" s="1"/>
      <c r="L69" s="1"/>
      <c r="M69" s="1"/>
      <c r="N69" s="1"/>
      <c r="O69" s="1"/>
      <c r="P69" s="1"/>
      <c r="Q69" s="1"/>
      <c r="R69" s="1"/>
      <c r="S69" s="1"/>
      <c r="T69" s="1"/>
      <c r="U69" s="1"/>
      <c r="V69" s="1"/>
      <c r="W69" s="1"/>
      <c r="X69" s="1"/>
      <c r="Y69" s="49"/>
    </row>
    <row r="70" spans="1:25" ht="16.5" customHeight="1">
      <c r="E70" s="1"/>
      <c r="F70" s="1"/>
      <c r="G70" s="1"/>
      <c r="H70" s="1"/>
      <c r="I70" s="1"/>
      <c r="J70" s="1"/>
      <c r="K70" s="1"/>
      <c r="L70" s="1"/>
      <c r="M70" s="1"/>
      <c r="N70" s="1"/>
      <c r="O70" s="1"/>
      <c r="P70" s="1"/>
      <c r="Q70" s="1"/>
      <c r="R70" s="1"/>
      <c r="S70" s="1"/>
      <c r="T70" s="1"/>
      <c r="U70" s="1"/>
      <c r="V70" s="1"/>
      <c r="W70" s="1"/>
      <c r="X70" s="1"/>
      <c r="Y70" s="49"/>
    </row>
    <row r="71" spans="1:25">
      <c r="E71" s="1"/>
      <c r="F71" s="1"/>
      <c r="G71" s="1"/>
      <c r="H71" s="1"/>
      <c r="I71" s="1"/>
      <c r="J71" s="1"/>
      <c r="K71" s="1"/>
      <c r="L71" s="1"/>
      <c r="M71" s="1"/>
      <c r="N71" s="1"/>
      <c r="O71" s="1"/>
      <c r="P71" s="1"/>
      <c r="Q71" s="1"/>
      <c r="R71" s="1"/>
      <c r="S71" s="1"/>
      <c r="T71" s="1"/>
      <c r="U71" s="1"/>
      <c r="V71" s="1"/>
      <c r="W71" s="1"/>
      <c r="X71" s="1"/>
      <c r="Y71" s="49"/>
    </row>
    <row r="72" spans="1:25">
      <c r="E72" s="1"/>
      <c r="F72" s="1"/>
      <c r="G72" s="1"/>
      <c r="H72" s="1"/>
      <c r="I72" s="1"/>
      <c r="J72" s="1"/>
      <c r="K72" s="1"/>
      <c r="L72" s="1"/>
      <c r="M72" s="1"/>
      <c r="N72" s="1"/>
      <c r="O72" s="1"/>
      <c r="P72" s="1"/>
      <c r="Q72" s="1"/>
      <c r="R72" s="1"/>
      <c r="S72" s="1"/>
      <c r="T72" s="1"/>
      <c r="U72" s="1"/>
      <c r="V72" s="1"/>
      <c r="W72" s="1"/>
      <c r="X72" s="1"/>
      <c r="Y72" s="49"/>
    </row>
    <row r="73" spans="1:25">
      <c r="E73" s="1"/>
      <c r="F73" s="1"/>
      <c r="G73" s="1"/>
      <c r="H73" s="1"/>
      <c r="I73" s="1"/>
      <c r="J73" s="1"/>
      <c r="K73" s="1"/>
      <c r="L73" s="1"/>
      <c r="M73" s="1"/>
      <c r="N73" s="1"/>
      <c r="O73" s="1"/>
      <c r="P73" s="1"/>
      <c r="Q73" s="1"/>
      <c r="R73" s="1"/>
      <c r="S73" s="1"/>
      <c r="T73" s="1"/>
      <c r="U73" s="1"/>
      <c r="V73" s="1"/>
      <c r="W73" s="1"/>
      <c r="X73" s="1"/>
      <c r="Y73" s="49"/>
    </row>
    <row r="74" spans="1:25">
      <c r="E74" s="1"/>
      <c r="F74" s="1"/>
      <c r="G74" s="1"/>
      <c r="H74" s="1"/>
      <c r="I74" s="1"/>
      <c r="J74" s="1"/>
      <c r="K74" s="1"/>
      <c r="L74" s="1"/>
      <c r="M74" s="1"/>
      <c r="N74" s="1"/>
      <c r="O74" s="1"/>
      <c r="P74" s="1"/>
      <c r="Q74" s="1"/>
      <c r="R74" s="1"/>
      <c r="S74" s="1"/>
      <c r="T74" s="1"/>
      <c r="U74" s="1"/>
      <c r="V74" s="1"/>
      <c r="W74" s="1"/>
      <c r="X74" s="1"/>
      <c r="Y74" s="49"/>
    </row>
    <row r="75" spans="1:25">
      <c r="E75" s="1"/>
      <c r="F75" s="1"/>
      <c r="G75" s="1"/>
      <c r="H75" s="1"/>
      <c r="I75" s="1"/>
      <c r="J75" s="1"/>
      <c r="K75" s="1"/>
      <c r="L75" s="1"/>
      <c r="M75" s="1"/>
      <c r="N75" s="1"/>
      <c r="O75" s="1"/>
      <c r="P75" s="1"/>
      <c r="Q75" s="1"/>
      <c r="R75" s="1"/>
      <c r="S75" s="1"/>
      <c r="T75" s="1"/>
      <c r="U75" s="1"/>
      <c r="V75" s="1"/>
      <c r="W75" s="1"/>
      <c r="X75" s="1"/>
      <c r="Y75" s="49"/>
    </row>
    <row r="76" spans="1:25">
      <c r="E76" s="1"/>
      <c r="F76" s="1"/>
      <c r="G76" s="1"/>
      <c r="H76" s="1"/>
      <c r="I76" s="1"/>
      <c r="J76" s="1"/>
      <c r="K76" s="1"/>
      <c r="L76" s="1"/>
      <c r="M76" s="1"/>
      <c r="N76" s="1"/>
      <c r="O76" s="1"/>
      <c r="P76" s="1"/>
      <c r="Q76" s="1"/>
      <c r="R76" s="1"/>
      <c r="S76" s="1"/>
      <c r="T76" s="1"/>
      <c r="U76" s="1"/>
      <c r="V76" s="1"/>
      <c r="W76" s="1"/>
      <c r="X76" s="1"/>
      <c r="Y76" s="49"/>
    </row>
    <row r="77" spans="1:25">
      <c r="E77" s="1"/>
      <c r="F77" s="1"/>
      <c r="G77" s="1"/>
      <c r="H77" s="1"/>
      <c r="I77" s="1"/>
      <c r="J77" s="1"/>
      <c r="K77" s="1"/>
      <c r="L77" s="1"/>
      <c r="M77" s="1"/>
      <c r="N77" s="1"/>
      <c r="O77" s="1"/>
      <c r="P77" s="1"/>
      <c r="Q77" s="1"/>
      <c r="R77" s="1"/>
      <c r="S77" s="1"/>
      <c r="T77" s="1"/>
      <c r="U77" s="1"/>
      <c r="V77" s="1"/>
      <c r="W77" s="1"/>
      <c r="X77" s="1"/>
      <c r="Y77" s="49"/>
    </row>
    <row r="78" spans="1:25">
      <c r="E78" s="1"/>
      <c r="F78" s="1"/>
      <c r="G78" s="1"/>
      <c r="H78" s="1"/>
      <c r="I78" s="1"/>
      <c r="J78" s="1"/>
      <c r="K78" s="1"/>
      <c r="L78" s="1"/>
      <c r="M78" s="1"/>
      <c r="N78" s="1"/>
      <c r="O78" s="1"/>
      <c r="P78" s="1"/>
      <c r="Q78" s="1"/>
      <c r="R78" s="1"/>
      <c r="S78" s="1"/>
      <c r="T78" s="1"/>
      <c r="U78" s="1"/>
      <c r="V78" s="1"/>
      <c r="W78" s="1"/>
      <c r="X78" s="1"/>
      <c r="Y78" s="49"/>
    </row>
    <row r="79" spans="1:25">
      <c r="E79" s="1"/>
      <c r="F79" s="1"/>
      <c r="G79" s="1"/>
      <c r="H79" s="1"/>
      <c r="I79" s="1"/>
      <c r="J79" s="1"/>
      <c r="K79" s="1"/>
      <c r="L79" s="1"/>
      <c r="M79" s="1"/>
      <c r="N79" s="1"/>
      <c r="O79" s="1"/>
      <c r="P79" s="1"/>
      <c r="Q79" s="1"/>
      <c r="R79" s="1"/>
      <c r="S79" s="1"/>
      <c r="T79" s="1"/>
      <c r="U79" s="1"/>
      <c r="V79" s="1"/>
      <c r="W79" s="1"/>
      <c r="X79" s="1"/>
      <c r="Y79" s="49"/>
    </row>
    <row r="80" spans="1:25" ht="16.5" customHeight="1">
      <c r="E80" s="1"/>
      <c r="F80" s="1"/>
      <c r="G80" s="1"/>
      <c r="H80" s="1"/>
      <c r="I80" s="1"/>
      <c r="J80" s="1"/>
      <c r="K80" s="1"/>
      <c r="L80" s="1"/>
      <c r="M80" s="1"/>
      <c r="N80" s="1"/>
      <c r="O80" s="1"/>
      <c r="P80" s="1"/>
      <c r="Q80" s="1"/>
      <c r="R80" s="1"/>
      <c r="S80" s="1"/>
      <c r="T80" s="1"/>
      <c r="U80" s="1"/>
      <c r="V80" s="1"/>
      <c r="W80" s="1"/>
      <c r="X80" s="1"/>
      <c r="Y80" s="49"/>
    </row>
    <row r="81" spans="5:25">
      <c r="E81" s="1"/>
      <c r="F81" s="1"/>
      <c r="G81" s="1"/>
      <c r="H81" s="1"/>
      <c r="I81" s="1"/>
      <c r="J81" s="1"/>
      <c r="K81" s="1"/>
      <c r="L81" s="1"/>
      <c r="M81" s="1"/>
      <c r="N81" s="1"/>
      <c r="O81" s="1"/>
      <c r="P81" s="1"/>
      <c r="Q81" s="1"/>
      <c r="R81" s="1"/>
      <c r="S81" s="1"/>
      <c r="T81" s="1"/>
      <c r="U81" s="1"/>
      <c r="V81" s="1"/>
      <c r="W81" s="1"/>
      <c r="X81" s="1"/>
      <c r="Y81" s="49"/>
    </row>
    <row r="82" spans="5:25" ht="16.5" customHeight="1">
      <c r="E82" s="1"/>
      <c r="F82" s="1"/>
      <c r="G82" s="1"/>
      <c r="H82" s="1"/>
      <c r="I82" s="1"/>
      <c r="J82" s="1"/>
      <c r="K82" s="1"/>
      <c r="L82" s="1"/>
      <c r="M82" s="1"/>
      <c r="N82" s="1"/>
      <c r="O82" s="1"/>
      <c r="P82" s="1"/>
      <c r="Q82" s="1"/>
      <c r="R82" s="1"/>
      <c r="S82" s="1"/>
      <c r="T82" s="1"/>
      <c r="U82" s="1"/>
      <c r="V82" s="1"/>
      <c r="W82" s="1"/>
      <c r="X82" s="1"/>
      <c r="Y82" s="49"/>
    </row>
    <row r="83" spans="5:25">
      <c r="E83" s="1"/>
      <c r="F83" s="1"/>
      <c r="G83" s="1"/>
      <c r="H83" s="1"/>
      <c r="I83" s="1"/>
      <c r="J83" s="1"/>
      <c r="K83" s="1"/>
      <c r="L83" s="1"/>
      <c r="M83" s="1"/>
      <c r="N83" s="1"/>
      <c r="O83" s="1"/>
      <c r="P83" s="1"/>
      <c r="Q83" s="1"/>
      <c r="R83" s="1"/>
      <c r="S83" s="1"/>
      <c r="T83" s="1"/>
      <c r="U83" s="1"/>
      <c r="V83" s="1"/>
      <c r="W83" s="1"/>
      <c r="X83" s="1"/>
      <c r="Y83" s="49"/>
    </row>
    <row r="84" spans="5:25">
      <c r="E84" s="1"/>
      <c r="F84" s="1"/>
      <c r="G84" s="1"/>
      <c r="H84" s="1"/>
      <c r="I84" s="1"/>
      <c r="J84" s="1"/>
      <c r="K84" s="1"/>
      <c r="L84" s="1"/>
      <c r="M84" s="1"/>
      <c r="N84" s="1"/>
      <c r="O84" s="1"/>
      <c r="P84" s="1"/>
      <c r="Q84" s="1"/>
      <c r="R84" s="1"/>
      <c r="S84" s="1"/>
      <c r="T84" s="1"/>
      <c r="U84" s="1"/>
      <c r="V84" s="1"/>
      <c r="W84" s="1"/>
      <c r="X84" s="1"/>
      <c r="Y84" s="49"/>
    </row>
    <row r="85" spans="5:25">
      <c r="E85" s="1"/>
      <c r="F85" s="1"/>
      <c r="G85" s="1"/>
      <c r="H85" s="1"/>
      <c r="I85" s="1"/>
      <c r="J85" s="1"/>
      <c r="K85" s="1"/>
      <c r="L85" s="1"/>
      <c r="M85" s="1"/>
      <c r="N85" s="1"/>
      <c r="O85" s="1"/>
      <c r="P85" s="1"/>
      <c r="Q85" s="1"/>
      <c r="R85" s="1"/>
      <c r="S85" s="1"/>
      <c r="T85" s="1"/>
      <c r="U85" s="1"/>
      <c r="V85" s="1"/>
      <c r="W85" s="1"/>
      <c r="X85" s="1"/>
      <c r="Y85" s="49"/>
    </row>
    <row r="86" spans="5:25">
      <c r="E86" s="1"/>
      <c r="F86" s="1"/>
      <c r="G86" s="1"/>
      <c r="H86" s="1"/>
      <c r="I86" s="1"/>
      <c r="J86" s="1"/>
      <c r="K86" s="1"/>
      <c r="L86" s="1"/>
      <c r="M86" s="1"/>
      <c r="N86" s="1"/>
      <c r="O86" s="1"/>
      <c r="P86" s="1"/>
      <c r="Q86" s="1"/>
      <c r="R86" s="1"/>
      <c r="S86" s="1"/>
      <c r="T86" s="1"/>
      <c r="U86" s="1"/>
      <c r="V86" s="1"/>
      <c r="W86" s="1"/>
      <c r="X86" s="1"/>
      <c r="Y86" s="49"/>
    </row>
    <row r="87" spans="5:25">
      <c r="E87" s="1"/>
      <c r="F87" s="1"/>
      <c r="G87" s="1"/>
      <c r="H87" s="1"/>
      <c r="I87" s="1"/>
      <c r="J87" s="1"/>
      <c r="K87" s="1"/>
      <c r="L87" s="1"/>
      <c r="M87" s="1"/>
      <c r="N87" s="1"/>
      <c r="O87" s="1"/>
      <c r="P87" s="1"/>
      <c r="Q87" s="1"/>
      <c r="R87" s="1"/>
      <c r="S87" s="1"/>
      <c r="T87" s="1"/>
      <c r="U87" s="1"/>
      <c r="V87" s="1"/>
      <c r="W87" s="1"/>
      <c r="X87" s="1"/>
      <c r="Y87" s="49"/>
    </row>
    <row r="88" spans="5:25">
      <c r="E88" s="1"/>
      <c r="F88" s="1"/>
      <c r="G88" s="1"/>
      <c r="H88" s="1"/>
      <c r="I88" s="1"/>
      <c r="J88" s="1"/>
      <c r="K88" s="1"/>
      <c r="L88" s="1"/>
      <c r="M88" s="1"/>
      <c r="N88" s="1"/>
      <c r="O88" s="1"/>
      <c r="P88" s="1"/>
      <c r="Q88" s="1"/>
      <c r="R88" s="1"/>
      <c r="S88" s="1"/>
      <c r="T88" s="1"/>
      <c r="U88" s="1"/>
      <c r="V88" s="1"/>
      <c r="W88" s="1"/>
      <c r="X88" s="1"/>
      <c r="Y88" s="49"/>
    </row>
    <row r="89" spans="5:25">
      <c r="E89" s="1"/>
      <c r="F89" s="1"/>
      <c r="G89" s="1"/>
      <c r="H89" s="1"/>
      <c r="I89" s="1"/>
      <c r="J89" s="1"/>
      <c r="K89" s="1"/>
      <c r="L89" s="1"/>
      <c r="M89" s="1"/>
      <c r="N89" s="1"/>
      <c r="O89" s="1"/>
      <c r="P89" s="1"/>
      <c r="Q89" s="1"/>
      <c r="R89" s="1"/>
      <c r="S89" s="1"/>
      <c r="T89" s="1"/>
      <c r="U89" s="1"/>
      <c r="V89" s="1"/>
      <c r="W89" s="1"/>
      <c r="X89" s="1"/>
      <c r="Y89" s="49"/>
    </row>
    <row r="90" spans="5:25">
      <c r="E90" s="1"/>
      <c r="F90" s="1"/>
      <c r="G90" s="1"/>
      <c r="H90" s="1"/>
      <c r="I90" s="1"/>
      <c r="J90" s="1"/>
      <c r="K90" s="1"/>
      <c r="L90" s="1"/>
      <c r="M90" s="1"/>
      <c r="N90" s="1"/>
      <c r="O90" s="1"/>
      <c r="P90" s="1"/>
      <c r="Q90" s="1"/>
      <c r="R90" s="1"/>
      <c r="S90" s="1"/>
      <c r="T90" s="1"/>
      <c r="U90" s="1"/>
      <c r="V90" s="1"/>
      <c r="W90" s="1"/>
      <c r="X90" s="1"/>
      <c r="Y90" s="49"/>
    </row>
    <row r="91" spans="5:25">
      <c r="E91" s="1"/>
      <c r="F91" s="1"/>
      <c r="G91" s="1"/>
      <c r="H91" s="1"/>
      <c r="I91" s="1"/>
      <c r="J91" s="1"/>
      <c r="K91" s="1"/>
      <c r="L91" s="1"/>
      <c r="M91" s="1"/>
      <c r="N91" s="1"/>
      <c r="O91" s="1"/>
      <c r="P91" s="1"/>
      <c r="Q91" s="1"/>
      <c r="R91" s="1"/>
      <c r="S91" s="1"/>
      <c r="T91" s="1"/>
      <c r="U91" s="1"/>
      <c r="V91" s="1"/>
      <c r="W91" s="1"/>
      <c r="X91" s="1"/>
      <c r="Y91" s="49"/>
    </row>
    <row r="92" spans="5:25">
      <c r="E92" s="1"/>
      <c r="F92" s="1"/>
      <c r="G92" s="1"/>
      <c r="H92" s="1"/>
      <c r="I92" s="1"/>
      <c r="J92" s="1"/>
      <c r="K92" s="1"/>
      <c r="L92" s="1"/>
      <c r="M92" s="1"/>
      <c r="N92" s="1"/>
      <c r="O92" s="1"/>
      <c r="P92" s="1"/>
      <c r="Q92" s="1"/>
      <c r="R92" s="1"/>
      <c r="S92" s="1"/>
      <c r="T92" s="1"/>
      <c r="U92" s="1"/>
      <c r="V92" s="1"/>
      <c r="W92" s="1"/>
      <c r="X92" s="1"/>
      <c r="Y92" s="49"/>
    </row>
    <row r="93" spans="5:25">
      <c r="E93" s="1"/>
      <c r="F93" s="1"/>
      <c r="G93" s="1"/>
      <c r="H93" s="1"/>
      <c r="I93" s="1"/>
      <c r="J93" s="1"/>
      <c r="K93" s="1"/>
      <c r="L93" s="1"/>
      <c r="M93" s="1"/>
      <c r="N93" s="1"/>
      <c r="O93" s="1"/>
      <c r="P93" s="1"/>
      <c r="Q93" s="1"/>
      <c r="R93" s="1"/>
      <c r="S93" s="1"/>
      <c r="T93" s="1"/>
      <c r="U93" s="1"/>
      <c r="V93" s="1"/>
      <c r="W93" s="1"/>
      <c r="X93" s="1"/>
      <c r="Y93" s="49"/>
    </row>
    <row r="94" spans="5:25">
      <c r="E94" s="1"/>
      <c r="F94" s="1"/>
      <c r="G94" s="1"/>
      <c r="H94" s="1"/>
      <c r="I94" s="1"/>
      <c r="J94" s="1"/>
      <c r="K94" s="1"/>
      <c r="L94" s="1"/>
      <c r="M94" s="1"/>
      <c r="N94" s="1"/>
      <c r="O94" s="1"/>
      <c r="P94" s="1"/>
      <c r="Q94" s="1"/>
      <c r="R94" s="1"/>
      <c r="S94" s="1"/>
      <c r="T94" s="1"/>
      <c r="U94" s="1"/>
      <c r="V94" s="1"/>
      <c r="W94" s="1"/>
      <c r="X94" s="1"/>
      <c r="Y94" s="49"/>
    </row>
    <row r="95" spans="5:25">
      <c r="E95" s="1"/>
      <c r="F95" s="1"/>
      <c r="G95" s="1"/>
      <c r="H95" s="1"/>
      <c r="I95" s="1"/>
      <c r="J95" s="1"/>
      <c r="K95" s="1"/>
      <c r="L95" s="1"/>
      <c r="M95" s="1"/>
      <c r="N95" s="1"/>
      <c r="O95" s="1"/>
      <c r="P95" s="1"/>
      <c r="Q95" s="1"/>
      <c r="R95" s="1"/>
      <c r="S95" s="1"/>
      <c r="T95" s="1"/>
      <c r="U95" s="1"/>
      <c r="V95" s="1"/>
      <c r="W95" s="1"/>
      <c r="X95" s="1"/>
      <c r="Y95" s="49"/>
    </row>
    <row r="96" spans="5:25">
      <c r="E96" s="1"/>
      <c r="F96" s="1"/>
      <c r="G96" s="1"/>
      <c r="H96" s="1"/>
      <c r="I96" s="1"/>
      <c r="J96" s="1"/>
      <c r="K96" s="1"/>
      <c r="L96" s="1"/>
      <c r="M96" s="1"/>
      <c r="N96" s="1"/>
      <c r="O96" s="1"/>
      <c r="P96" s="1"/>
      <c r="Q96" s="1"/>
      <c r="R96" s="1"/>
      <c r="S96" s="1"/>
      <c r="T96" s="1"/>
      <c r="U96" s="1"/>
      <c r="V96" s="1"/>
      <c r="W96" s="1"/>
      <c r="X96" s="1"/>
      <c r="Y96" s="49"/>
    </row>
    <row r="97" spans="5:25">
      <c r="E97" s="1"/>
      <c r="F97" s="1"/>
      <c r="G97" s="1"/>
      <c r="H97" s="1"/>
      <c r="I97" s="1"/>
      <c r="J97" s="1"/>
      <c r="K97" s="1"/>
      <c r="L97" s="1"/>
      <c r="M97" s="1"/>
      <c r="N97" s="1"/>
      <c r="O97" s="1"/>
      <c r="P97" s="1"/>
      <c r="Q97" s="1"/>
      <c r="R97" s="1"/>
      <c r="S97" s="1"/>
      <c r="T97" s="1"/>
      <c r="U97" s="1"/>
      <c r="V97" s="1"/>
      <c r="W97" s="1"/>
      <c r="X97" s="1"/>
      <c r="Y97" s="49"/>
    </row>
    <row r="98" spans="5:25">
      <c r="E98" s="1"/>
      <c r="F98" s="1"/>
      <c r="G98" s="1"/>
      <c r="H98" s="1"/>
      <c r="I98" s="1"/>
      <c r="J98" s="1"/>
      <c r="K98" s="1"/>
      <c r="L98" s="1"/>
      <c r="M98" s="1"/>
      <c r="N98" s="1"/>
      <c r="O98" s="1"/>
      <c r="P98" s="1"/>
      <c r="Q98" s="1"/>
      <c r="R98" s="1"/>
      <c r="S98" s="1"/>
      <c r="T98" s="1"/>
      <c r="U98" s="1"/>
      <c r="V98" s="1"/>
      <c r="W98" s="1"/>
      <c r="X98" s="1"/>
      <c r="Y98" s="49"/>
    </row>
    <row r="99" spans="5:25">
      <c r="E99" s="1"/>
      <c r="F99" s="1"/>
      <c r="G99" s="1"/>
      <c r="H99" s="1"/>
      <c r="I99" s="1"/>
      <c r="J99" s="1"/>
      <c r="K99" s="1"/>
      <c r="L99" s="1"/>
      <c r="M99" s="1"/>
      <c r="N99" s="1"/>
      <c r="O99" s="1"/>
      <c r="P99" s="1"/>
      <c r="Q99" s="1"/>
      <c r="R99" s="1"/>
      <c r="S99" s="1"/>
      <c r="T99" s="1"/>
      <c r="U99" s="1"/>
      <c r="V99" s="1"/>
      <c r="W99" s="1"/>
      <c r="X99" s="1"/>
      <c r="Y99" s="49"/>
    </row>
    <row r="100" spans="5:25">
      <c r="E100" s="1"/>
      <c r="F100" s="1"/>
      <c r="G100" s="1"/>
      <c r="H100" s="1"/>
      <c r="I100" s="1"/>
      <c r="J100" s="1"/>
      <c r="K100" s="1"/>
      <c r="L100" s="1"/>
      <c r="M100" s="1"/>
      <c r="N100" s="1"/>
      <c r="O100" s="1"/>
      <c r="P100" s="1"/>
      <c r="Q100" s="1"/>
      <c r="R100" s="1"/>
      <c r="S100" s="1"/>
      <c r="T100" s="1"/>
      <c r="U100" s="1"/>
      <c r="V100" s="1"/>
      <c r="W100" s="1"/>
      <c r="X100" s="1"/>
      <c r="Y100" s="49"/>
    </row>
    <row r="101" spans="5:25">
      <c r="E101" s="1"/>
      <c r="F101" s="1"/>
      <c r="G101" s="1"/>
      <c r="H101" s="1"/>
      <c r="I101" s="1"/>
      <c r="J101" s="1"/>
      <c r="K101" s="1"/>
      <c r="L101" s="1"/>
      <c r="M101" s="1"/>
      <c r="N101" s="1"/>
      <c r="O101" s="1"/>
      <c r="P101" s="1"/>
      <c r="Q101" s="1"/>
      <c r="R101" s="1"/>
      <c r="S101" s="1"/>
      <c r="T101" s="1"/>
      <c r="U101" s="1"/>
      <c r="V101" s="1"/>
      <c r="W101" s="1"/>
      <c r="X101" s="1"/>
      <c r="Y101" s="49"/>
    </row>
    <row r="102" spans="5:25">
      <c r="E102" s="1"/>
      <c r="F102" s="1"/>
      <c r="G102" s="1"/>
      <c r="H102" s="1"/>
      <c r="I102" s="1"/>
      <c r="J102" s="1"/>
      <c r="K102" s="1"/>
      <c r="L102" s="1"/>
      <c r="M102" s="1"/>
      <c r="N102" s="1"/>
      <c r="O102" s="1"/>
      <c r="P102" s="1"/>
      <c r="Q102" s="1"/>
      <c r="R102" s="1"/>
      <c r="S102" s="1"/>
      <c r="T102" s="1"/>
      <c r="U102" s="1"/>
      <c r="V102" s="1"/>
      <c r="W102" s="1"/>
      <c r="X102" s="1"/>
      <c r="Y102" s="49"/>
    </row>
    <row r="103" spans="5:25">
      <c r="E103" s="1"/>
      <c r="F103" s="1"/>
      <c r="G103" s="1"/>
      <c r="H103" s="1"/>
      <c r="I103" s="1"/>
      <c r="J103" s="1"/>
      <c r="K103" s="1"/>
      <c r="L103" s="1"/>
      <c r="M103" s="1"/>
      <c r="N103" s="1"/>
      <c r="O103" s="1"/>
      <c r="P103" s="1"/>
      <c r="Q103" s="1"/>
      <c r="R103" s="1"/>
      <c r="S103" s="1"/>
      <c r="T103" s="1"/>
      <c r="U103" s="1"/>
      <c r="V103" s="1"/>
      <c r="W103" s="1"/>
      <c r="X103" s="1"/>
      <c r="Y103" s="49"/>
    </row>
    <row r="104" spans="5:25">
      <c r="E104" s="1"/>
      <c r="F104" s="1"/>
      <c r="G104" s="1"/>
      <c r="H104" s="1"/>
      <c r="I104" s="1"/>
      <c r="J104" s="1"/>
      <c r="K104" s="1"/>
      <c r="L104" s="1"/>
      <c r="M104" s="1"/>
      <c r="N104" s="1"/>
      <c r="O104" s="1"/>
      <c r="P104" s="1"/>
      <c r="Q104" s="1"/>
      <c r="R104" s="1"/>
      <c r="S104" s="1"/>
      <c r="T104" s="1"/>
      <c r="U104" s="1"/>
      <c r="V104" s="1"/>
      <c r="W104" s="1"/>
      <c r="X104" s="1"/>
      <c r="Y104" s="49"/>
    </row>
  </sheetData>
  <mergeCells count="18">
    <mergeCell ref="A25:I25"/>
    <mergeCell ref="A35:B35"/>
    <mergeCell ref="C35:N35"/>
    <mergeCell ref="M7:N7"/>
    <mergeCell ref="O7:P7"/>
    <mergeCell ref="A7:A8"/>
    <mergeCell ref="C7:D7"/>
    <mergeCell ref="E7:F7"/>
    <mergeCell ref="G7:H7"/>
    <mergeCell ref="I7:J7"/>
    <mergeCell ref="K7:L7"/>
    <mergeCell ref="Y7:Z7"/>
    <mergeCell ref="AA7:AB7"/>
    <mergeCell ref="AC7:AD7"/>
    <mergeCell ref="Q7:R7"/>
    <mergeCell ref="S7:T7"/>
    <mergeCell ref="U7:V7"/>
    <mergeCell ref="W7:X7"/>
  </mergeCells>
  <conditionalFormatting sqref="A25">
    <cfRule type="cellIs" dxfId="32" priority="4" stopIfTrue="1" operator="greaterThan">
      <formula>$AB$25</formula>
    </cfRule>
    <cfRule type="cellIs" dxfId="31" priority="5" stopIfTrue="1" operator="lessThan">
      <formula>$AA$25</formula>
    </cfRule>
  </conditionalFormatting>
  <conditionalFormatting sqref="AA21">
    <cfRule type="cellIs" dxfId="30" priority="1" stopIfTrue="1" operator="greaterThan">
      <formula>Lim_haut</formula>
    </cfRule>
    <cfRule type="cellIs" dxfId="29" priority="2" stopIfTrue="1" operator="lessThan">
      <formula>Lim_bas</formula>
    </cfRule>
  </conditionalFormatting>
  <dataValidations count="6">
    <dataValidation type="list" allowBlank="1" showInputMessage="1" showErrorMessage="1" sqref="D45">
      <formula1>$D$54:$D$60</formula1>
    </dataValidation>
    <dataValidation type="list" allowBlank="1" showInputMessage="1" showErrorMessage="1" sqref="C38:C44">
      <formula1>$C$54:$C$55</formula1>
    </dataValidation>
    <dataValidation type="list" allowBlank="1" showInputMessage="1" showErrorMessage="1" sqref="H38:H44">
      <formula1>$A$9:$A$20</formula1>
    </dataValidation>
    <dataValidation type="list" allowBlank="1" showInputMessage="1" showErrorMessage="1" sqref="G38:G44">
      <formula1>$G$54:$G$55</formula1>
    </dataValidation>
    <dataValidation type="list" allowBlank="1" showInputMessage="1" showErrorMessage="1" sqref="D38:D44">
      <formula1>$D$54:$D$61</formula1>
    </dataValidation>
    <dataValidation type="whole" errorStyle="warning" allowBlank="1" showInputMessage="1" showErrorMessage="1" errorTitle="TEST" error="la valeur entrée semble suspecte" sqref="AA9:AA20">
      <formula1>0.15/12</formula1>
      <formula2>4.06/12</formula2>
    </dataValidation>
  </dataValidations>
  <hyperlinks>
    <hyperlink ref="A7" location="Résumé!A1" display="Résumé!A1"/>
  </hyperlinks>
  <pageMargins left="0.70866141732283472" right="0.70866141732283472" top="0.74803149606299213" bottom="0.74803149606299213" header="0.31496062992125984" footer="0.31496062992125984"/>
  <pageSetup scale="25" orientation="landscape" r:id="rId1"/>
  <headerFooter>
    <oddFooter>&amp;L&amp;"Arial,Normal"&amp;10Transition énergétique Québec&amp;R&amp;F
&amp;A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0</xdr:col>
                    <xdr:colOff>723900</xdr:colOff>
                    <xdr:row>27</xdr:row>
                    <xdr:rowOff>220980</xdr:rowOff>
                  </from>
                  <to>
                    <xdr:col>7</xdr:col>
                    <xdr:colOff>487680</xdr:colOff>
                    <xdr:row>29</xdr:row>
                    <xdr:rowOff>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0</xdr:col>
                    <xdr:colOff>723900</xdr:colOff>
                    <xdr:row>29</xdr:row>
                    <xdr:rowOff>22860</xdr:rowOff>
                  </from>
                  <to>
                    <xdr:col>5</xdr:col>
                    <xdr:colOff>198120</xdr:colOff>
                    <xdr:row>30</xdr:row>
                    <xdr:rowOff>7620</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0</xdr:col>
                    <xdr:colOff>723900</xdr:colOff>
                    <xdr:row>30</xdr:row>
                    <xdr:rowOff>30480</xdr:rowOff>
                  </from>
                  <to>
                    <xdr:col>5</xdr:col>
                    <xdr:colOff>220980</xdr:colOff>
                    <xdr:row>31</xdr:row>
                    <xdr:rowOff>22860</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0</xdr:col>
                    <xdr:colOff>723900</xdr:colOff>
                    <xdr:row>31</xdr:row>
                    <xdr:rowOff>45720</xdr:rowOff>
                  </from>
                  <to>
                    <xdr:col>5</xdr:col>
                    <xdr:colOff>350520</xdr:colOff>
                    <xdr:row>31</xdr:row>
                    <xdr:rowOff>198120</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0</xdr:col>
                    <xdr:colOff>723900</xdr:colOff>
                    <xdr:row>32</xdr:row>
                    <xdr:rowOff>7620</xdr:rowOff>
                  </from>
                  <to>
                    <xdr:col>4</xdr:col>
                    <xdr:colOff>922020</xdr:colOff>
                    <xdr:row>33</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hase xmlns="a091097b-8ae3-4832-a2b2-51f9a78aeacd">1</Phase>
    <Sujet xmlns="a091097b-8ae3-4832-a2b2-51f9a78aeacd">Gaz Métro-1, Document 19 - Fichier Excel : TEQ – Processus de collecte de données énergétiques pour les bâtiments</Sujet>
    <Confidentiel xmlns="a091097b-8ae3-4832-a2b2-51f9a78aeacd">3</Confidentiel>
    <Projet xmlns="a091097b-8ae3-4832-a2b2-51f9a78aeacd">983</Projet>
    <Provenance xmlns="a091097b-8ae3-4832-a2b2-51f9a78aeacd">1</Provenance>
    <Hidden_UploadedAt xmlns="a091097b-8ae3-4832-a2b2-51f9a78aeacd">2023-05-23T17:07:07+00:00</Hidden_UploadedAt>
    <Accés_x0020_restreint xmlns="a091097b-8ae3-4832-a2b2-51f9a78aeacd">false</Accés_x0020_restreint>
    <Précision_x0020_de_x0020_document xmlns="a091097b-8ae3-4832-a2b2-51f9a78aeacd" xsi:nil="true"/>
    <Déposant xmlns="a091097b-8ae3-4832-a2b2-51f9a78aeacd">70</Déposant>
    <Sous-catégorie xmlns="a091097b-8ae3-4832-a2b2-51f9a78aeacd" xsi:nil="true"/>
    <Copie_x0020_papier_x0020_reçue xmlns="a091097b-8ae3-4832-a2b2-51f9a78aeacd">false</Copie_x0020_papier_x0020_reçue>
    <Cote_x0020_de_x0020_déposant xmlns="a091097b-8ae3-4832-a2b2-51f9a78aeacd">Gaz Métro-1, Document 19</Cote_x0020_de_x0020_déposant>
    <Inscrit_x0020_au_x0020_plumitif xmlns="a091097b-8ae3-4832-a2b2-51f9a78aeacd">true</Inscrit_x0020_au_x0020_plumitif>
    <Numéro_x0020_plumitif xmlns="a091097b-8ae3-4832-a2b2-51f9a78aeacd" xsi:nil="true"/>
    <Hidden_UploadedBy xmlns="a091097b-8ae3-4832-a2b2-51f9a78aeacd" xsi:nil="true"/>
    <Hidden_ApprovedBy xmlns="a091097b-8ae3-4832-a2b2-51f9a78aeacd" xsi:nil="true"/>
    <Statut xmlns="a091097b-8ae3-4832-a2b2-51f9a78aeacd" xsi:nil="true"/>
    <Catégorie_x0020_de_x0020_document xmlns="a091097b-8ae3-4832-a2b2-51f9a78aeacd">2</Catégorie_x0020_de_x0020_document>
    <Date_x0020_de_x0020_confidentialité_x0020_relevée xmlns="a091097b-8ae3-4832-a2b2-51f9a78aeacd" xsi:nil="true"/>
    <Hidden_ApprovedAt xmlns="a091097b-8ae3-4832-a2b2-51f9a78aeacd">2023-05-23T17:07:07+00:00</Hidden_ApprovedAt>
    <Cote_x0020_de_x0020_piéce xmlns="a091097b-8ae3-4832-a2b2-51f9a78aeacd">B-0222</Cote_x0020_de_x0020_piéce>
    <Diffusable_x0020_sur_x0020_le_x0020_Web xmlns="a091097b-8ae3-4832-a2b2-51f9a78aeacd">true</Diffusable_x0020_sur_x0020_le_x0020_Web>
    <Date_x0020_de_x0020_réception_x0020_copie_x0020_papier xmlns="a091097b-8ae3-4832-a2b2-51f9a78aeacd" xsi:nil="true"/>
    <Ne_x0020_pas_x0020_envoyer_x0020_d_x0027_alerte xmlns="a091097b-8ae3-4832-a2b2-51f9a78aeacd">true</Ne_x0020_pas_x0020_envoyer_x0020_d_x0027_alerte>
    <_dlc_DocId xmlns="a84ed267-86d5-4fa1-a3cb-2fed497fe84f">W2HFWTQUJJY6-1914211019-6721</_dlc_DocId>
    <_dlc_DocIdUrl xmlns="a84ed267-86d5-4fa1-a3cb-2fed497fe84f">
      <Url>http://s10mtlweb:8081/983/_layouts/15/DocIdRedir.aspx?ID=W2HFWTQUJJY6-1914211019-6721</Url>
      <Description>W2HFWTQUJJY6-1914211019-6721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de projet" ma:contentTypeID="0x010100F6681E3BDF397F418586AC591ADC81BB00761A95451C335C4EB05B510B491C3495" ma:contentTypeVersion="0" ma:contentTypeDescription="" ma:contentTypeScope="" ma:versionID="907206ed1d535bcc9812c9730edecb59">
  <xsd:schema xmlns:xsd="http://www.w3.org/2001/XMLSchema" xmlns:xs="http://www.w3.org/2001/XMLSchema" xmlns:p="http://schemas.microsoft.com/office/2006/metadata/properties" xmlns:ns2="a091097b-8ae3-4832-a2b2-51f9a78aeacd" xmlns:ns3="a84ed267-86d5-4fa1-a3cb-2fed497fe84f" targetNamespace="http://schemas.microsoft.com/office/2006/metadata/properties" ma:root="true" ma:fieldsID="663505895dd3e9454e27c51c13596f08" ns2:_="" ns3:_="">
    <xsd:import namespace="a091097b-8ae3-4832-a2b2-51f9a78aeacd"/>
    <xsd:import namespace="a84ed267-86d5-4fa1-a3cb-2fed497fe84f"/>
    <xsd:element name="properties">
      <xsd:complexType>
        <xsd:sequence>
          <xsd:element name="documentManagement">
            <xsd:complexType>
              <xsd:all>
                <xsd:element ref="ns2:Projet"/>
                <xsd:element ref="ns2:Provenance" minOccurs="0"/>
                <xsd:element ref="ns2:Déposant"/>
                <xsd:element ref="ns2:Catégorie_x0020_de_x0020_document" minOccurs="0"/>
                <xsd:element ref="ns2:Sous-catégorie" minOccurs="0"/>
                <xsd:element ref="ns2:Phase"/>
                <xsd:element ref="ns2:Précision_x0020_de_x0020_document" minOccurs="0"/>
                <xsd:element ref="ns2:Sujet" minOccurs="0"/>
                <xsd:element ref="ns2:Cote_x0020_de_x0020_déposant" minOccurs="0"/>
                <xsd:element ref="ns2:Accés_x0020_restreint" minOccurs="0"/>
                <xsd:element ref="ns2:Cote_x0020_de_x0020_piéce" minOccurs="0"/>
                <xsd:element ref="ns2:Inscrit_x0020_au_x0020_plumitif" minOccurs="0"/>
                <xsd:element ref="ns2:Numéro_x0020_plumitif" minOccurs="0"/>
                <xsd:element ref="ns2:Diffusable_x0020_sur_x0020_le_x0020_Web" minOccurs="0"/>
                <xsd:element ref="ns2:Ne_x0020_pas_x0020_envoyer_x0020_d_x0027_alerte" minOccurs="0"/>
                <xsd:element ref="ns2:Confidentiel"/>
                <xsd:element ref="ns2:Date_x0020_de_x0020_confidentialité_x0020_relevée" minOccurs="0"/>
                <xsd:element ref="ns2:Copie_x0020_papier_x0020_reçue" minOccurs="0"/>
                <xsd:element ref="ns2:Date_x0020_de_x0020_réception_x0020_copie_x0020_papier" minOccurs="0"/>
                <xsd:element ref="ns3:_dlc_DocId" minOccurs="0"/>
                <xsd:element ref="ns3:_dlc_DocIdUrl" minOccurs="0"/>
                <xsd:element ref="ns3:_dlc_DocIdPersistId" minOccurs="0"/>
                <xsd:element ref="ns2:Hidden_UploadedBy" minOccurs="0"/>
                <xsd:element ref="ns2:Hidden_UploadedAt" minOccurs="0"/>
                <xsd:element ref="ns2:Hidden_ApprovedBy" minOccurs="0"/>
                <xsd:element ref="ns2:Hidden_ApprovedAt" minOccurs="0"/>
                <xsd:element ref="ns2:Statu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1097b-8ae3-4832-a2b2-51f9a78aeacd" elementFormDefault="qualified">
    <xsd:import namespace="http://schemas.microsoft.com/office/2006/documentManagement/types"/>
    <xsd:import namespace="http://schemas.microsoft.com/office/infopath/2007/PartnerControls"/>
    <xsd:element name="Projet" ma:index="1" ma:displayName="Projet" ma:list="{CE87CB4F-F3B1-42AD-9CE0-0125D6B4080B}" ma:internalName="Projet" ma:readOnly="false" ma:showField="Num_x00e9_ro_x0020_du_x0020_proj" ma:web="{76ddd5ea-d475-414e-8091-4675c7a4bd1a}">
      <xsd:simpleType>
        <xsd:restriction base="dms:Lookup"/>
      </xsd:simpleType>
    </xsd:element>
    <xsd:element name="Provenance" ma:index="2" nillable="true" ma:displayName="Provenance" ma:indexed="true" ma:list="{3A1A4597-1672-4F84-9DE7-FBA0AEBF9CE3}" ma:internalName="Provenance" ma:showField="Title" ma:web="{76ddd5ea-d475-414e-8091-4675c7a4bd1a}">
      <xsd:simpleType>
        <xsd:restriction base="dms:Lookup"/>
      </xsd:simpleType>
    </xsd:element>
    <xsd:element name="Déposant" ma:index="3" ma:displayName="Déposant" ma:list="{A2D4550E-DC70-4FE1-8010-4C446E5D8D2C}" ma:internalName="D_x00e9_posant" ma:showField="Title" ma:web="{76ddd5ea-d475-414e-8091-4675c7a4bd1a}">
      <xsd:simpleType>
        <xsd:restriction base="dms:Lookup"/>
      </xsd:simpleType>
    </xsd:element>
    <xsd:element name="Catégorie_x0020_de_x0020_document" ma:index="4" nillable="true" ma:displayName="Catégorie de document" ma:list="{F7545102-6201-4483-9929-E858F36BE31E}" ma:internalName="Cat_x00e9_gorie_x0020_de_x0020_document" ma:showField="Title" ma:web="{76ddd5ea-d475-414e-8091-4675c7a4bd1a}">
      <xsd:simpleType>
        <xsd:restriction base="dms:Lookup"/>
      </xsd:simpleType>
    </xsd:element>
    <xsd:element name="Sous-catégorie" ma:index="5" nillable="true" ma:displayName="Sous-catégorie" ma:list="{8F61632E-9A95-48F5-95F9-D05D88255F44}" ma:internalName="Sous_x002d_cat_x00e9_gorie" ma:showField="Title" ma:web="{76ddd5ea-d475-414e-8091-4675c7a4bd1a}">
      <xsd:simpleType>
        <xsd:restriction base="dms:Lookup"/>
      </xsd:simpleType>
    </xsd:element>
    <xsd:element name="Phase" ma:index="6" ma:displayName="Phase" ma:list="{1721197D-7382-4457-968B-EC653058772A}" ma:internalName="Phase" ma:showField="Title" ma:web="{76ddd5ea-d475-414e-8091-4675c7a4bd1a}">
      <xsd:simpleType>
        <xsd:restriction base="dms:Lookup"/>
      </xsd:simpleType>
    </xsd:element>
    <xsd:element name="Précision_x0020_de_x0020_document" ma:index="7" nillable="true" ma:displayName="Précisions de document" ma:hidden="true" ma:list="{CD8F73AF-CF7D-4F56-B7C5-E37D10A86459}" ma:internalName="Pr_x00e9_cision_x0020_de_x0020_document" ma:readOnly="false" ma:showField="Title" ma:web="{76ddd5ea-d475-414e-8091-4675c7a4bd1a}">
      <xsd:simpleType>
        <xsd:restriction base="dms:Lookup"/>
      </xsd:simpleType>
    </xsd:element>
    <xsd:element name="Sujet" ma:index="8" nillable="true" ma:displayName="Sujet" ma:internalName="Sujet">
      <xsd:simpleType>
        <xsd:restriction base="dms:Note">
          <xsd:maxLength value="255"/>
        </xsd:restriction>
      </xsd:simpleType>
    </xsd:element>
    <xsd:element name="Cote_x0020_de_x0020_déposant" ma:index="9" nillable="true" ma:displayName="Cote déposant" ma:internalName="Cote_x0020_de_x0020_d_x00e9_posant">
      <xsd:simpleType>
        <xsd:restriction base="dms:Text">
          <xsd:maxLength value="255"/>
        </xsd:restriction>
      </xsd:simpleType>
    </xsd:element>
    <xsd:element name="Accés_x0020_restreint" ma:index="10" nillable="true" ma:displayName="Accès restreint" ma:default="0" ma:internalName="Acc_x00e9_s_x0020_restreint">
      <xsd:simpleType>
        <xsd:restriction base="dms:Boolean"/>
      </xsd:simpleType>
    </xsd:element>
    <xsd:element name="Cote_x0020_de_x0020_piéce" ma:index="11" nillable="true" ma:displayName="Cote de pièce" ma:indexed="true" ma:internalName="Cote_x0020_de_x0020_pi_x00e9_ce">
      <xsd:simpleType>
        <xsd:restriction base="dms:Text">
          <xsd:maxLength value="255"/>
        </xsd:restriction>
      </xsd:simpleType>
    </xsd:element>
    <xsd:element name="Inscrit_x0020_au_x0020_plumitif" ma:index="12" nillable="true" ma:displayName="Inscrit au plumitif" ma:default="1" ma:internalName="Inscrit_x0020_au_x0020_plumitif">
      <xsd:simpleType>
        <xsd:restriction base="dms:Boolean"/>
      </xsd:simpleType>
    </xsd:element>
    <xsd:element name="Numéro_x0020_plumitif" ma:index="13" nillable="true" ma:displayName="Numéro plumitif" ma:decimals="0" ma:internalName="Num_x00e9_ro_x0020_plumitif">
      <xsd:simpleType>
        <xsd:restriction base="dms:Number">
          <xsd:maxInclusive value="9999"/>
          <xsd:minInclusive value="1"/>
        </xsd:restriction>
      </xsd:simpleType>
    </xsd:element>
    <xsd:element name="Diffusable_x0020_sur_x0020_le_x0020_Web" ma:index="14" nillable="true" ma:displayName="Diffusable sur le Web" ma:default="1" ma:internalName="Diffusable_x0020_sur_x0020_le_x0020_Web">
      <xsd:simpleType>
        <xsd:restriction base="dms:Boolean"/>
      </xsd:simpleType>
    </xsd:element>
    <xsd:element name="Ne_x0020_pas_x0020_envoyer_x0020_d_x0027_alerte" ma:index="15" nillable="true" ma:displayName="Ne pas envoyer d'alerte" ma:default="1" ma:internalName="Ne_x0020_pas_x0020_envoyer_x0020_d_x0027_alerte">
      <xsd:simpleType>
        <xsd:restriction base="dms:Boolean"/>
      </xsd:simpleType>
    </xsd:element>
    <xsd:element name="Confidentiel" ma:index="16" ma:displayName="Confidentiel" ma:list="{79B26B89-E55A-4B03-BEFA-7EE3A90275CF}" ma:internalName="Confidentiel" ma:showField="Title" ma:web="{76ddd5ea-d475-414e-8091-4675c7a4bd1a}">
      <xsd:simpleType>
        <xsd:restriction base="dms:Lookup"/>
      </xsd:simpleType>
    </xsd:element>
    <xsd:element name="Date_x0020_de_x0020_confidentialité_x0020_relevée" ma:index="17" nillable="true" ma:displayName="Date de confidentialité relevée" ma:format="DateOnly" ma:internalName="Date_x0020_de_x0020_confidentialit_x00e9__x0020_relev_x00e9_e">
      <xsd:simpleType>
        <xsd:restriction base="dms:DateTime"/>
      </xsd:simpleType>
    </xsd:element>
    <xsd:element name="Copie_x0020_papier_x0020_reçue" ma:index="18" nillable="true" ma:displayName="Copie papier reçue" ma:default="0" ma:internalName="Copie_x0020_papier_x0020_re_x00e7_ue">
      <xsd:simpleType>
        <xsd:restriction base="dms:Boolean"/>
      </xsd:simpleType>
    </xsd:element>
    <xsd:element name="Date_x0020_de_x0020_réception_x0020_copie_x0020_papier" ma:index="19" nillable="true" ma:displayName="Date de réception copie papier" ma:format="DateOnly" ma:internalName="Date_x0020_de_x0020_r_x00e9_ception_x0020_copie_x0020_papier">
      <xsd:simpleType>
        <xsd:restriction base="dms:DateTime"/>
      </xsd:simpleType>
    </xsd:element>
    <xsd:element name="Hidden_UploadedBy" ma:index="33" nillable="true" ma:displayName="Hidden_UploadedBy" ma:hidden="true" ma:internalName="Hidden_UploadedBy" ma:readOnly="false">
      <xsd:simpleType>
        <xsd:restriction base="dms:Text">
          <xsd:maxLength value="100"/>
        </xsd:restriction>
      </xsd:simpleType>
    </xsd:element>
    <xsd:element name="Hidden_UploadedAt" ma:index="34" nillable="true" ma:displayName="Hidden_UploadedAt" ma:default="[today]" ma:format="DateTime" ma:hidden="true" ma:internalName="Hidden_UploadedAt" ma:readOnly="false">
      <xsd:simpleType>
        <xsd:restriction base="dms:DateTime"/>
      </xsd:simpleType>
    </xsd:element>
    <xsd:element name="Hidden_ApprovedBy" ma:index="35" nillable="true" ma:displayName="Hidden_ApprovedBy" ma:hidden="true" ma:internalName="Hidden_ApprovedBy" ma:readOnly="false">
      <xsd:simpleType>
        <xsd:restriction base="dms:Text">
          <xsd:maxLength value="100"/>
        </xsd:restriction>
      </xsd:simpleType>
    </xsd:element>
    <xsd:element name="Hidden_ApprovedAt" ma:index="36" nillable="true" ma:displayName="Hidden_ApprovedAt" ma:default="[today]" ma:format="DateTime" ma:hidden="true" ma:internalName="Hidden_ApprovedAt" ma:readOnly="false">
      <xsd:simpleType>
        <xsd:restriction base="dms:DateTime"/>
      </xsd:simpleType>
    </xsd:element>
    <xsd:element name="Statut" ma:index="37" nillable="true" ma:displayName="Statut" ma:hidden="true" ma:internalName="Statut" ma:readOnly="false">
      <xsd:simpleType>
        <xsd:restriction base="dms:Text">
          <xsd:maxLength value="10"/>
        </xsd:restriction>
      </xsd:simpleType>
    </xsd:element>
  </xsd:schema>
  <xsd:schema xmlns:xsd="http://www.w3.org/2001/XMLSchema" xmlns:xs="http://www.w3.org/2001/XMLSchema" xmlns:dms="http://schemas.microsoft.com/office/2006/documentManagement/types" xmlns:pc="http://schemas.microsoft.com/office/infopath/2007/PartnerControls" targetNamespace="a84ed267-86d5-4fa1-a3cb-2fed497fe84f" elementFormDefault="qualified">
    <xsd:import namespace="http://schemas.microsoft.com/office/2006/documentManagement/types"/>
    <xsd:import namespace="http://schemas.microsoft.com/office/infopath/2007/PartnerControls"/>
    <xsd:element name="_dlc_DocId" ma:index="22" nillable="true" ma:displayName="Valeur d’ID de document" ma:description="Valeur de l’ID de document affecté à cet élément." ma:internalName="_dlc_DocId" ma:readOnly="true">
      <xsd:simpleType>
        <xsd:restriction base="dms:Text"/>
      </xsd:simpleType>
    </xsd:element>
    <xsd:element name="_dlc_DocIdUrl" ma:index="23"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Conserver l’ID" ma:description="Conserver l’ID lors de l’ajout."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91B1DF5-13DC-4AE9-A85C-7D8E4923B125}"/>
</file>

<file path=customXml/itemProps2.xml><?xml version="1.0" encoding="utf-8"?>
<ds:datastoreItem xmlns:ds="http://schemas.openxmlformats.org/officeDocument/2006/customXml" ds:itemID="{8A869C90-6DA3-4154-8366-1869B51656A2}"/>
</file>

<file path=customXml/itemProps3.xml><?xml version="1.0" encoding="utf-8"?>
<ds:datastoreItem xmlns:ds="http://schemas.openxmlformats.org/officeDocument/2006/customXml" ds:itemID="{3B07B127-56ED-4C98-B8CC-F9F6DC0CE28C}"/>
</file>

<file path=customXml/itemProps4.xml><?xml version="1.0" encoding="utf-8"?>
<ds:datastoreItem xmlns:ds="http://schemas.openxmlformats.org/officeDocument/2006/customXml" ds:itemID="{39CAE018-6480-4366-B211-419367722C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20</vt:i4>
      </vt:variant>
      <vt:variant>
        <vt:lpstr>Plages nommées</vt:lpstr>
      </vt:variant>
      <vt:variant>
        <vt:i4>603</vt:i4>
      </vt:variant>
    </vt:vector>
  </HeadingPairs>
  <TitlesOfParts>
    <vt:vector size="623" baseType="lpstr">
      <vt:lpstr>PROCESSUS TYPIQUE</vt:lpstr>
      <vt:lpstr>1. IDENTITÉ</vt:lpstr>
      <vt:lpstr>2009-2010</vt:lpstr>
      <vt:lpstr>2010-2011</vt:lpstr>
      <vt:lpstr>2011-2012</vt:lpstr>
      <vt:lpstr>2012-2013</vt:lpstr>
      <vt:lpstr>2013-2014</vt:lpstr>
      <vt:lpstr>2014-2015</vt:lpstr>
      <vt:lpstr>2015-2016</vt:lpstr>
      <vt:lpstr>2016-2017</vt:lpstr>
      <vt:lpstr>2017-2018</vt:lpstr>
      <vt:lpstr>2018-2019</vt:lpstr>
      <vt:lpstr>2019-2020</vt:lpstr>
      <vt:lpstr>2020-2021</vt:lpstr>
      <vt:lpstr>DJ 18 MTL</vt:lpstr>
      <vt:lpstr>RÉSUMÉ</vt:lpstr>
      <vt:lpstr>Conversion</vt:lpstr>
      <vt:lpstr>ListeMO</vt:lpstr>
      <vt:lpstr>Transition</vt:lpstr>
      <vt:lpstr>Validation</vt:lpstr>
      <vt:lpstr>ANNÉE</vt:lpstr>
      <vt:lpstr>ANNEE_EE</vt:lpstr>
      <vt:lpstr>ANNEE_EE_BAT</vt:lpstr>
      <vt:lpstr>ANNEE_EE_BATIMENT</vt:lpstr>
      <vt:lpstr>Annee_financiere</vt:lpstr>
      <vt:lpstr>Annee_valid</vt:lpstr>
      <vt:lpstr>autre_type</vt:lpstr>
      <vt:lpstr>BAT_ANNEE_EE</vt:lpstr>
      <vt:lpstr>Bois20_1000kg_09_10</vt:lpstr>
      <vt:lpstr>Bois20_1000kg_10_11</vt:lpstr>
      <vt:lpstr>Bois20_1000kg_11_12</vt:lpstr>
      <vt:lpstr>Bois20_1000kg_12_13</vt:lpstr>
      <vt:lpstr>Bois20_1000kg_13_14</vt:lpstr>
      <vt:lpstr>Bois20_1000kg_14_15</vt:lpstr>
      <vt:lpstr>Bois20_1000kg_15_16</vt:lpstr>
      <vt:lpstr>'2014-2015'!Bois20_1000kg_16_17</vt:lpstr>
      <vt:lpstr>'2015-2016'!Bois20_1000kg_16_17</vt:lpstr>
      <vt:lpstr>Bois20_1000kg_16_17</vt:lpstr>
      <vt:lpstr>Bois20_1000kg_17_18</vt:lpstr>
      <vt:lpstr>Bois20_1000kg_18_19</vt:lpstr>
      <vt:lpstr>Bois20_1000kg_19_20</vt:lpstr>
      <vt:lpstr>Bois20_1000kg_20_21</vt:lpstr>
      <vt:lpstr>Bois20_CAD_09_10</vt:lpstr>
      <vt:lpstr>Bois20_CAD_10_11</vt:lpstr>
      <vt:lpstr>Bois20_CAD_11_12</vt:lpstr>
      <vt:lpstr>Bois20_CAD_12_13</vt:lpstr>
      <vt:lpstr>Bois20_CAD_13_14</vt:lpstr>
      <vt:lpstr>Bois20_CAD_14_15</vt:lpstr>
      <vt:lpstr>Bois20_CAD_15_16</vt:lpstr>
      <vt:lpstr>'2014-2015'!Bois20_CAD_16_17</vt:lpstr>
      <vt:lpstr>'2015-2016'!Bois20_CAD_16_17</vt:lpstr>
      <vt:lpstr>Bois20_CAD_16_17</vt:lpstr>
      <vt:lpstr>Bois20_CAD_17_18</vt:lpstr>
      <vt:lpstr>Bois20_CAD_18_19</vt:lpstr>
      <vt:lpstr>Bois20_CAD_19_20</vt:lpstr>
      <vt:lpstr>Bois20_CAD_20_21</vt:lpstr>
      <vt:lpstr>Bois45_1000kg_09_10</vt:lpstr>
      <vt:lpstr>Bois45_1000kg_10_11</vt:lpstr>
      <vt:lpstr>Bois45_1000kg_11_12</vt:lpstr>
      <vt:lpstr>Bois45_1000kg_12_13</vt:lpstr>
      <vt:lpstr>Bois45_1000kg_13_14</vt:lpstr>
      <vt:lpstr>Bois45_1000kg_14_15</vt:lpstr>
      <vt:lpstr>Bois45_1000kg_15_16</vt:lpstr>
      <vt:lpstr>'2014-2015'!Bois45_1000kg_16_17</vt:lpstr>
      <vt:lpstr>'2015-2016'!Bois45_1000kg_16_17</vt:lpstr>
      <vt:lpstr>Bois45_1000kg_16_17</vt:lpstr>
      <vt:lpstr>Bois45_1000kg_17_18</vt:lpstr>
      <vt:lpstr>Bois45_1000kg_18_19</vt:lpstr>
      <vt:lpstr>Bois45_1000kg_19_20</vt:lpstr>
      <vt:lpstr>Bois45_1000kg_20_21</vt:lpstr>
      <vt:lpstr>Bois45_CAD_09_10</vt:lpstr>
      <vt:lpstr>Bois45_CAD_10_11</vt:lpstr>
      <vt:lpstr>Bois45_CAD_11_12</vt:lpstr>
      <vt:lpstr>Bois45_CAD_12_13</vt:lpstr>
      <vt:lpstr>Bois45_CAD_13_14</vt:lpstr>
      <vt:lpstr>Bois45_CAD_14_15</vt:lpstr>
      <vt:lpstr>Bois45_CAD_15_16</vt:lpstr>
      <vt:lpstr>'2014-2015'!Bois45_CAD_16_17</vt:lpstr>
      <vt:lpstr>'2015-2016'!Bois45_CAD_16_17</vt:lpstr>
      <vt:lpstr>Bois45_CAD_16_17</vt:lpstr>
      <vt:lpstr>Bois45_CAD_17_18</vt:lpstr>
      <vt:lpstr>Bois45_CAD_18_19</vt:lpstr>
      <vt:lpstr>Bois45_CAD_19_20</vt:lpstr>
      <vt:lpstr>Bois45_CAD_20_21</vt:lpstr>
      <vt:lpstr>CAD_m²_09_10</vt:lpstr>
      <vt:lpstr>CAD_m²_10_11</vt:lpstr>
      <vt:lpstr>CAD_m²_11_12</vt:lpstr>
      <vt:lpstr>CAD_m²_12_13</vt:lpstr>
      <vt:lpstr>CAD_m²_13_14</vt:lpstr>
      <vt:lpstr>CAD_m²_14_15</vt:lpstr>
      <vt:lpstr>CAD_m²_15_16</vt:lpstr>
      <vt:lpstr>'2014-2015'!CAD_m²_16_17</vt:lpstr>
      <vt:lpstr>'2015-2016'!CAD_m²_16_17</vt:lpstr>
      <vt:lpstr>CAD_m²_16_17</vt:lpstr>
      <vt:lpstr>CAD_m²_17_18</vt:lpstr>
      <vt:lpstr>CAD_m²_18_19</vt:lpstr>
      <vt:lpstr>CAD_m²_19_20</vt:lpstr>
      <vt:lpstr>CAD_m²_20_21</vt:lpstr>
      <vt:lpstr>CAD_Tot_09_10</vt:lpstr>
      <vt:lpstr>CAD_Tot_10_11</vt:lpstr>
      <vt:lpstr>CAD_Tot_11_12</vt:lpstr>
      <vt:lpstr>CAD_Tot_12_13</vt:lpstr>
      <vt:lpstr>CAD_Tot_13_14</vt:lpstr>
      <vt:lpstr>CAD_Tot_14_15</vt:lpstr>
      <vt:lpstr>CAD_Tot_15_16</vt:lpstr>
      <vt:lpstr>'2014-2015'!CAD_Tot_16_17</vt:lpstr>
      <vt:lpstr>'2015-2016'!CAD_Tot_16_17</vt:lpstr>
      <vt:lpstr>CAD_Tot_16_17</vt:lpstr>
      <vt:lpstr>CAD_Tot_17_18</vt:lpstr>
      <vt:lpstr>CAD_Tot_18_19</vt:lpstr>
      <vt:lpstr>CAD_Tot_19_20</vt:lpstr>
      <vt:lpstr>CAD_Tot_20_21</vt:lpstr>
      <vt:lpstr>Dies_09_10</vt:lpstr>
      <vt:lpstr>Dies_10_11</vt:lpstr>
      <vt:lpstr>Dies_11_12</vt:lpstr>
      <vt:lpstr>Dies_12_13</vt:lpstr>
      <vt:lpstr>Dies_13_14</vt:lpstr>
      <vt:lpstr>Dies_14_15</vt:lpstr>
      <vt:lpstr>Dies_15_16</vt:lpstr>
      <vt:lpstr>'2014-2015'!Dies_16_17</vt:lpstr>
      <vt:lpstr>'2015-2016'!Dies_16_17</vt:lpstr>
      <vt:lpstr>Dies_16_17</vt:lpstr>
      <vt:lpstr>Dies_17_18</vt:lpstr>
      <vt:lpstr>Dies_18_19</vt:lpstr>
      <vt:lpstr>Dies_19_20</vt:lpstr>
      <vt:lpstr>Dies_20_21</vt:lpstr>
      <vt:lpstr>Dies_CAD_09_10</vt:lpstr>
      <vt:lpstr>Dies_CAD_10_11</vt:lpstr>
      <vt:lpstr>Dies_CAD_11_12</vt:lpstr>
      <vt:lpstr>Dies_CAD_12_13</vt:lpstr>
      <vt:lpstr>Dies_CAD_13_14</vt:lpstr>
      <vt:lpstr>Dies_CAD_14_15</vt:lpstr>
      <vt:lpstr>Dies_CAD_15_16</vt:lpstr>
      <vt:lpstr>'2014-2015'!Dies_CAD_16_17</vt:lpstr>
      <vt:lpstr>'2015-2016'!Dies_CAD_16_17</vt:lpstr>
      <vt:lpstr>Dies_CAD_16_17</vt:lpstr>
      <vt:lpstr>Dies_CAD_17_18</vt:lpstr>
      <vt:lpstr>Dies_CAD_18_19</vt:lpstr>
      <vt:lpstr>Dies_CAD_19_20</vt:lpstr>
      <vt:lpstr>Dies_CAD_20_21</vt:lpstr>
      <vt:lpstr>DJC_tot_09_10</vt:lpstr>
      <vt:lpstr>DJC_tot_10_11</vt:lpstr>
      <vt:lpstr>DJC_tot_11_12</vt:lpstr>
      <vt:lpstr>DJC_tot_12_13</vt:lpstr>
      <vt:lpstr>DJC_tot_13_14</vt:lpstr>
      <vt:lpstr>DJC_tot_14_15</vt:lpstr>
      <vt:lpstr>DJC_tot_15_16</vt:lpstr>
      <vt:lpstr>'2014-2015'!DJC_tot_16_17</vt:lpstr>
      <vt:lpstr>'2015-2016'!DJC_tot_16_17</vt:lpstr>
      <vt:lpstr>DJC_tot_16_17</vt:lpstr>
      <vt:lpstr>DJC_tot_17_18</vt:lpstr>
      <vt:lpstr>DJC_tot_18_19</vt:lpstr>
      <vt:lpstr>DJC_tot_19_20</vt:lpstr>
      <vt:lpstr>DJC_tot_20_21</vt:lpstr>
      <vt:lpstr>EauChaude_CAD_09_10</vt:lpstr>
      <vt:lpstr>EauChaude_CAD_10_11</vt:lpstr>
      <vt:lpstr>EauChaude_CAD_11_12</vt:lpstr>
      <vt:lpstr>EauChaude_CAD_12_13</vt:lpstr>
      <vt:lpstr>EauChaude_CAD_13_14</vt:lpstr>
      <vt:lpstr>EauChaude_CAD_14_15</vt:lpstr>
      <vt:lpstr>EauChaude_CAD_15_16</vt:lpstr>
      <vt:lpstr>'2014-2015'!EauChaude_CAD_16_17</vt:lpstr>
      <vt:lpstr>'2015-2016'!EauChaude_CAD_16_17</vt:lpstr>
      <vt:lpstr>EauChaude_CAD_16_17</vt:lpstr>
      <vt:lpstr>EauChaude_CAD_17_18</vt:lpstr>
      <vt:lpstr>EauChaude_CAD_18_19</vt:lpstr>
      <vt:lpstr>EauChaude_CAD_19_20</vt:lpstr>
      <vt:lpstr>EauChaude_CAD_20_21</vt:lpstr>
      <vt:lpstr>EauChaude_MBTU_09_10</vt:lpstr>
      <vt:lpstr>EauChaude_MBTU_10_11</vt:lpstr>
      <vt:lpstr>EauChaude_MBTU_11_12</vt:lpstr>
      <vt:lpstr>EauChaude_MBTU_12_13</vt:lpstr>
      <vt:lpstr>EauChaude_MBTU_13_14</vt:lpstr>
      <vt:lpstr>EauChaude_MBTU_14_15</vt:lpstr>
      <vt:lpstr>EauChaude_MBTU_15_16</vt:lpstr>
      <vt:lpstr>'2014-2015'!EauChaude_MBTU_16_17</vt:lpstr>
      <vt:lpstr>'2015-2016'!EauChaude_MBTU_16_17</vt:lpstr>
      <vt:lpstr>EauChaude_MBTU_16_17</vt:lpstr>
      <vt:lpstr>EauChaude_MBTU_17_18</vt:lpstr>
      <vt:lpstr>EauChaude_MBTU_18_19</vt:lpstr>
      <vt:lpstr>EauChaude_MBTU_19_20</vt:lpstr>
      <vt:lpstr>EauChaude_MBTU_20_21</vt:lpstr>
      <vt:lpstr>EauRefroidie_CAD_09_10</vt:lpstr>
      <vt:lpstr>EauRefroidie_CAD_10_11</vt:lpstr>
      <vt:lpstr>EauRefroidie_CAD_11_12</vt:lpstr>
      <vt:lpstr>EauRefroidie_CAD_12_13</vt:lpstr>
      <vt:lpstr>EauRefroidie_CAD_13_14</vt:lpstr>
      <vt:lpstr>EauRefroidie_CAD_14_15</vt:lpstr>
      <vt:lpstr>EauRefroidie_CAD_15_16</vt:lpstr>
      <vt:lpstr>'2014-2015'!EauRefroidie_CAD_16_17</vt:lpstr>
      <vt:lpstr>'2015-2016'!EauRefroidie_CAD_16_17</vt:lpstr>
      <vt:lpstr>EauRefroidie_CAD_16_17</vt:lpstr>
      <vt:lpstr>EauRefroidie_CAD_17_18</vt:lpstr>
      <vt:lpstr>EauRefroidie_CAD_18_19</vt:lpstr>
      <vt:lpstr>EauRefroidie_CAD_19_20</vt:lpstr>
      <vt:lpstr>EauRefroidie_CAD_20_21</vt:lpstr>
      <vt:lpstr>EauRefroidie_MBTU_09_10</vt:lpstr>
      <vt:lpstr>EauRefroidie_MBTU_10_11</vt:lpstr>
      <vt:lpstr>EauRefroidie_MBTU_11_12</vt:lpstr>
      <vt:lpstr>EauRefroidie_MBTU_12_13</vt:lpstr>
      <vt:lpstr>EauRefroidie_MBTU_13_14</vt:lpstr>
      <vt:lpstr>EauRefroidie_MBTU_14_15</vt:lpstr>
      <vt:lpstr>EauRefroidie_MBTU_15_16</vt:lpstr>
      <vt:lpstr>'2014-2015'!EauRefroidie_MBTU_16_17</vt:lpstr>
      <vt:lpstr>'2015-2016'!EauRefroidie_MBTU_16_17</vt:lpstr>
      <vt:lpstr>EauRefroidie_MBTU_16_17</vt:lpstr>
      <vt:lpstr>EauRefroidie_MBTU_17_18</vt:lpstr>
      <vt:lpstr>EauRefroidie_MBTU_18_19</vt:lpstr>
      <vt:lpstr>EauRefroidie_MBTU_19_20</vt:lpstr>
      <vt:lpstr>EauRefroidie_MBTU_20_21</vt:lpstr>
      <vt:lpstr>Elec_CAD_09_10</vt:lpstr>
      <vt:lpstr>Elec_CAD_10_11</vt:lpstr>
      <vt:lpstr>Elec_CAD_11_12</vt:lpstr>
      <vt:lpstr>Elec_CAD_12_13</vt:lpstr>
      <vt:lpstr>Elec_CAD_13_14</vt:lpstr>
      <vt:lpstr>Elec_CAD_14_15</vt:lpstr>
      <vt:lpstr>Elec_CAD_15_16</vt:lpstr>
      <vt:lpstr>'2014-2015'!Elec_CAD_16_17</vt:lpstr>
      <vt:lpstr>'2015-2016'!Elec_CAD_16_17</vt:lpstr>
      <vt:lpstr>Elec_CAD_16_17</vt:lpstr>
      <vt:lpstr>Elec_CAD_17_18</vt:lpstr>
      <vt:lpstr>Elec_CAD_18_19</vt:lpstr>
      <vt:lpstr>Elec_CAD_19_20</vt:lpstr>
      <vt:lpstr>Elec_CAD_20_21</vt:lpstr>
      <vt:lpstr>Elec_kWh_09_10</vt:lpstr>
      <vt:lpstr>Elec_kWh_10_11</vt:lpstr>
      <vt:lpstr>Elec_kWh_11_12</vt:lpstr>
      <vt:lpstr>Elec_kWh_12_13</vt:lpstr>
      <vt:lpstr>Elec_kWh_13_14</vt:lpstr>
      <vt:lpstr>Elec_kWh_14_15</vt:lpstr>
      <vt:lpstr>Elec_kWh_15_16</vt:lpstr>
      <vt:lpstr>'2014-2015'!Elec_kWh_16_17</vt:lpstr>
      <vt:lpstr>'2015-2016'!Elec_kWh_16_17</vt:lpstr>
      <vt:lpstr>Elec_kWh_16_17</vt:lpstr>
      <vt:lpstr>Elec_kWh_17_18</vt:lpstr>
      <vt:lpstr>Elec_kWh_18_19</vt:lpstr>
      <vt:lpstr>Elec_kWh_19_20</vt:lpstr>
      <vt:lpstr>Elec_kWh_20_21</vt:lpstr>
      <vt:lpstr>Facteur_variable</vt:lpstr>
      <vt:lpstr>GES_ton_09_10</vt:lpstr>
      <vt:lpstr>GES_ton_10_11</vt:lpstr>
      <vt:lpstr>GES_ton_11_12</vt:lpstr>
      <vt:lpstr>GES_ton_12_13</vt:lpstr>
      <vt:lpstr>GES_ton_13_14</vt:lpstr>
      <vt:lpstr>GES_ton_14_15</vt:lpstr>
      <vt:lpstr>GES_ton_15_16</vt:lpstr>
      <vt:lpstr>'2014-2015'!GES_ton_16_17</vt:lpstr>
      <vt:lpstr>'2015-2016'!GES_ton_16_17</vt:lpstr>
      <vt:lpstr>GES_ton_16_17</vt:lpstr>
      <vt:lpstr>GES_ton_17_18</vt:lpstr>
      <vt:lpstr>GES_ton_18_19</vt:lpstr>
      <vt:lpstr>GES_ton_19_20</vt:lpstr>
      <vt:lpstr>GES_ton_20_21</vt:lpstr>
      <vt:lpstr>GES_ton_m²_09_10</vt:lpstr>
      <vt:lpstr>GES_ton_m²_10_11</vt:lpstr>
      <vt:lpstr>GES_ton_m²_11_12</vt:lpstr>
      <vt:lpstr>GES_ton_m²_12_13</vt:lpstr>
      <vt:lpstr>GES_ton_m²_13_14</vt:lpstr>
      <vt:lpstr>GES_ton_m²_14_15</vt:lpstr>
      <vt:lpstr>GES_ton_m²_15_16</vt:lpstr>
      <vt:lpstr>'2014-2015'!GES_ton_m²_16_17</vt:lpstr>
      <vt:lpstr>'2015-2016'!GES_ton_m²_16_17</vt:lpstr>
      <vt:lpstr>GES_ton_m²_16_17</vt:lpstr>
      <vt:lpstr>GES_ton_m²_17_18</vt:lpstr>
      <vt:lpstr>GES_ton_m²_18_19</vt:lpstr>
      <vt:lpstr>GES_ton_m²_19_20</vt:lpstr>
      <vt:lpstr>GES_ton_m²_20_21</vt:lpstr>
      <vt:lpstr>GJ_Ajust_NP_annuel_10_11</vt:lpstr>
      <vt:lpstr>GJ_Ajust_NP_annuel_11_12</vt:lpstr>
      <vt:lpstr>GJ_Ajust_NP_annuel_12_13</vt:lpstr>
      <vt:lpstr>GJ_Ajust_NP_annuel_13_14</vt:lpstr>
      <vt:lpstr>'2014-2015'!GJ_Ajust_NP_annuel_16_17</vt:lpstr>
      <vt:lpstr>'2015-2016'!GJ_Ajust_NP_annuel_16_17</vt:lpstr>
      <vt:lpstr>GJ_Ajust_NP_annuel_16_17</vt:lpstr>
      <vt:lpstr>GJ_Ajust_NP_annuel_17_18</vt:lpstr>
      <vt:lpstr>GJ_Ajust_NP_annuel_18_19</vt:lpstr>
      <vt:lpstr>GJ_Ajust_NP_annuel_19_20</vt:lpstr>
      <vt:lpstr>GJ_Ajust_NP_annuel_20_21</vt:lpstr>
      <vt:lpstr>GJ_Ajust_NP_Cour_10_11</vt:lpstr>
      <vt:lpstr>GJ_Ajust_NP_Cour_11_12</vt:lpstr>
      <vt:lpstr>GJ_Ajust_NP_Cour_12_13</vt:lpstr>
      <vt:lpstr>GJ_Ajust_NP_Cour_13_14</vt:lpstr>
      <vt:lpstr>GJ_Ajust_NP_Cour_14_15</vt:lpstr>
      <vt:lpstr>GJ_Ajust_NP_Cour_15_16</vt:lpstr>
      <vt:lpstr>'2014-2015'!GJ_Ajust_NP_Cour_16_17</vt:lpstr>
      <vt:lpstr>'2015-2016'!GJ_Ajust_NP_Cour_16_17</vt:lpstr>
      <vt:lpstr>GJ_Ajust_NP_Cour_16_17</vt:lpstr>
      <vt:lpstr>GJ_Ajust_NP_Cour_17_18</vt:lpstr>
      <vt:lpstr>GJ_Ajust_NP_Cour_18_19</vt:lpstr>
      <vt:lpstr>GJ_Ajust_NP_Cour_19_20</vt:lpstr>
      <vt:lpstr>GJ_Ajust_NP_Cour_20_21</vt:lpstr>
      <vt:lpstr>GJ_Tot_09_10</vt:lpstr>
      <vt:lpstr>GJ_Tot_10_11</vt:lpstr>
      <vt:lpstr>GJ_Tot_11_12</vt:lpstr>
      <vt:lpstr>GJ_Tot_12_13</vt:lpstr>
      <vt:lpstr>GJ_Tot_13_14</vt:lpstr>
      <vt:lpstr>GJ_Tot_14_15</vt:lpstr>
      <vt:lpstr>GJ_Tot_15_16</vt:lpstr>
      <vt:lpstr>'2014-2015'!GJ_Tot_16_17</vt:lpstr>
      <vt:lpstr>'2015-2016'!GJ_Tot_16_17</vt:lpstr>
      <vt:lpstr>GJ_Tot_16_17</vt:lpstr>
      <vt:lpstr>GJ_Tot_17_18</vt:lpstr>
      <vt:lpstr>GJ_Tot_18_19</vt:lpstr>
      <vt:lpstr>GJ_Tot_19_20</vt:lpstr>
      <vt:lpstr>GJ_Tot_20_21</vt:lpstr>
      <vt:lpstr>GJm²_09_10</vt:lpstr>
      <vt:lpstr>GJm²_10_11</vt:lpstr>
      <vt:lpstr>GJm²_11_12</vt:lpstr>
      <vt:lpstr>GJm²_12_13</vt:lpstr>
      <vt:lpstr>GJm²_13_14</vt:lpstr>
      <vt:lpstr>GJm²_14_15</vt:lpstr>
      <vt:lpstr>GJm²_15_16</vt:lpstr>
      <vt:lpstr>'2014-2015'!GJm²_16_17</vt:lpstr>
      <vt:lpstr>'2015-2016'!GJm²_16_17</vt:lpstr>
      <vt:lpstr>GJm²_16_17</vt:lpstr>
      <vt:lpstr>GJm²_17_18</vt:lpstr>
      <vt:lpstr>GJm²_18_19</vt:lpstr>
      <vt:lpstr>GJm²_19_20</vt:lpstr>
      <vt:lpstr>GJm²_20_21</vt:lpstr>
      <vt:lpstr>GJTotRef_Ajust_10_11</vt:lpstr>
      <vt:lpstr>GJTotRef_Ajust_11_12</vt:lpstr>
      <vt:lpstr>GJTotRef_Ajust_12_13</vt:lpstr>
      <vt:lpstr>GJTotRef_Ajust_13_14</vt:lpstr>
      <vt:lpstr>GJTotRef_Ajust_14_15</vt:lpstr>
      <vt:lpstr>GJTotRef_Ajust_15_16</vt:lpstr>
      <vt:lpstr>'2014-2015'!GJTotRef_Ajust_16_17</vt:lpstr>
      <vt:lpstr>'2015-2016'!GJTotRef_Ajust_16_17</vt:lpstr>
      <vt:lpstr>GJTotRef_Ajust_16_17</vt:lpstr>
      <vt:lpstr>GJTotRef_Ajust_17_18</vt:lpstr>
      <vt:lpstr>GJTotRef_Ajust_18_19</vt:lpstr>
      <vt:lpstr>GJTotRef_Ajust_19_20</vt:lpstr>
      <vt:lpstr>GJTotRef_Ajust_20_21</vt:lpstr>
      <vt:lpstr>GJTotRef_Ajust_m²_11_12</vt:lpstr>
      <vt:lpstr>GJTotRef_Ajust_m²_12_13</vt:lpstr>
      <vt:lpstr>GJTotRef_Ajust_m²_13_14</vt:lpstr>
      <vt:lpstr>GJTotRef_Ajust_m²_14_15</vt:lpstr>
      <vt:lpstr>GJTotRef_Ajust_m²_15_16</vt:lpstr>
      <vt:lpstr>'2014-2015'!GJTotRef_Ajust_m²_16_17</vt:lpstr>
      <vt:lpstr>'2015-2016'!GJTotRef_Ajust_m²_16_17</vt:lpstr>
      <vt:lpstr>GJTotRef_Ajust_m²_16_17</vt:lpstr>
      <vt:lpstr>GJTotRef_Ajust_m²_17_18</vt:lpstr>
      <vt:lpstr>GJTotRef_Ajust_m²_18_19</vt:lpstr>
      <vt:lpstr>GJTotRef_Ajust_m²_19_20</vt:lpstr>
      <vt:lpstr>GJTotRef_Ajust_m²_20_21</vt:lpstr>
      <vt:lpstr>GN_CAD_09_10</vt:lpstr>
      <vt:lpstr>GN_CAD_10_11</vt:lpstr>
      <vt:lpstr>GN_CAD_11_12</vt:lpstr>
      <vt:lpstr>GN_CAD_12_13</vt:lpstr>
      <vt:lpstr>GN_CAD_13_14</vt:lpstr>
      <vt:lpstr>GN_CAD_14_15</vt:lpstr>
      <vt:lpstr>GN_CAD_15_16</vt:lpstr>
      <vt:lpstr>'2014-2015'!GN_CAD_16_17</vt:lpstr>
      <vt:lpstr>'2015-2016'!GN_CAD_16_17</vt:lpstr>
      <vt:lpstr>GN_CAD_16_17</vt:lpstr>
      <vt:lpstr>GN_CAD_17_18</vt:lpstr>
      <vt:lpstr>GN_CAD_18_19</vt:lpstr>
      <vt:lpstr>GN_CAD_19_20</vt:lpstr>
      <vt:lpstr>GN_CAD_20_21</vt:lpstr>
      <vt:lpstr>GN_m³_09_10</vt:lpstr>
      <vt:lpstr>GN_m³_10_11</vt:lpstr>
      <vt:lpstr>GN_m³_11_12</vt:lpstr>
      <vt:lpstr>GN_m³_12_13</vt:lpstr>
      <vt:lpstr>GN_m³_13_14</vt:lpstr>
      <vt:lpstr>GN_m³_14_15</vt:lpstr>
      <vt:lpstr>GN_m³_15_16</vt:lpstr>
      <vt:lpstr>'2014-2015'!GN_m³_16_17</vt:lpstr>
      <vt:lpstr>'2015-2016'!GN_m³_16_17</vt:lpstr>
      <vt:lpstr>GN_m³_16_17</vt:lpstr>
      <vt:lpstr>GN_m³_17_18</vt:lpstr>
      <vt:lpstr>GN_m³_18_19</vt:lpstr>
      <vt:lpstr>GN_m³_19_20</vt:lpstr>
      <vt:lpstr>GN_m³_20_21</vt:lpstr>
      <vt:lpstr>RÉSUMÉ!Impression_des_titres</vt:lpstr>
      <vt:lpstr>kg_Bois35_to_GJ</vt:lpstr>
      <vt:lpstr>kg_Bois35_to_kgGES</vt:lpstr>
      <vt:lpstr>kg_Bois8_to_GJ</vt:lpstr>
      <vt:lpstr>kg_Bois8_to_kgGES</vt:lpstr>
      <vt:lpstr>kWh_Élect_to_GJ</vt:lpstr>
      <vt:lpstr>kWh_Élect_to_kgGES</vt:lpstr>
      <vt:lpstr>L_Mazout2_to_GJ</vt:lpstr>
      <vt:lpstr>L_Mazout2_to_kgGES</vt:lpstr>
      <vt:lpstr>L_Mazout6_to_GJ</vt:lpstr>
      <vt:lpstr>L_Mazout6_to_kgGES</vt:lpstr>
      <vt:lpstr>L_Propane_to_GJ</vt:lpstr>
      <vt:lpstr>L_Propane_to_kgGES</vt:lpstr>
      <vt:lpstr>lbs_vapeur_to_GJ</vt:lpstr>
      <vt:lpstr>lbs_vapeur_to_kgGES</vt:lpstr>
      <vt:lpstr>Lim_bas</vt:lpstr>
      <vt:lpstr>Lim_haut</vt:lpstr>
      <vt:lpstr>m3_GazNat_to_GJ</vt:lpstr>
      <vt:lpstr>m3_GazNat_to_kgGES</vt:lpstr>
      <vt:lpstr>Ma2_CAD_09_10</vt:lpstr>
      <vt:lpstr>Ma2_CAD_10_11</vt:lpstr>
      <vt:lpstr>Ma2_CAD_11_12</vt:lpstr>
      <vt:lpstr>Ma2_CAD_12_13</vt:lpstr>
      <vt:lpstr>Ma2_CAD_13_14</vt:lpstr>
      <vt:lpstr>Ma2_CAD_14_15</vt:lpstr>
      <vt:lpstr>Ma2_CAD_15_16</vt:lpstr>
      <vt:lpstr>'2014-2015'!Ma2_CAD_16_17</vt:lpstr>
      <vt:lpstr>'2015-2016'!Ma2_CAD_16_17</vt:lpstr>
      <vt:lpstr>Ma2_CAD_16_17</vt:lpstr>
      <vt:lpstr>Ma2_CAD_17_18</vt:lpstr>
      <vt:lpstr>Ma2_CAD_18_19</vt:lpstr>
      <vt:lpstr>Ma2_CAD_19_20</vt:lpstr>
      <vt:lpstr>Ma2_CAD_20_21</vt:lpstr>
      <vt:lpstr>Ma2_l_09_10</vt:lpstr>
      <vt:lpstr>Ma2_l_10_11</vt:lpstr>
      <vt:lpstr>Ma2_l_11_12</vt:lpstr>
      <vt:lpstr>Ma2_l_12_13</vt:lpstr>
      <vt:lpstr>Ma2_l_13_14</vt:lpstr>
      <vt:lpstr>Ma2_l_14_15</vt:lpstr>
      <vt:lpstr>Ma2_l_15_16</vt:lpstr>
      <vt:lpstr>'2014-2015'!Ma2_l_16_17</vt:lpstr>
      <vt:lpstr>'2015-2016'!Ma2_l_16_17</vt:lpstr>
      <vt:lpstr>Ma2_l_16_17</vt:lpstr>
      <vt:lpstr>Ma2_l_17_18</vt:lpstr>
      <vt:lpstr>Ma2_l_18_19</vt:lpstr>
      <vt:lpstr>Ma2_l_19_20</vt:lpstr>
      <vt:lpstr>Ma2_l_20_21</vt:lpstr>
      <vt:lpstr>Ma6_CAD_09_10</vt:lpstr>
      <vt:lpstr>Ma6_CAD_10_11</vt:lpstr>
      <vt:lpstr>Ma6_CAD_11_12</vt:lpstr>
      <vt:lpstr>Ma6_CAD_12_13</vt:lpstr>
      <vt:lpstr>Ma6_CAD_13_14</vt:lpstr>
      <vt:lpstr>Ma6_CAD_14_15</vt:lpstr>
      <vt:lpstr>Ma6_CAD_15_16</vt:lpstr>
      <vt:lpstr>'2014-2015'!Ma6_CAD_16_17</vt:lpstr>
      <vt:lpstr>'2015-2016'!Ma6_CAD_16_17</vt:lpstr>
      <vt:lpstr>Ma6_CAD_16_17</vt:lpstr>
      <vt:lpstr>Ma6_CAD_17_18</vt:lpstr>
      <vt:lpstr>Ma6_CAD_18_19</vt:lpstr>
      <vt:lpstr>Ma6_CAD_19_20</vt:lpstr>
      <vt:lpstr>Ma6_CAD_20_21</vt:lpstr>
      <vt:lpstr>Ma6_l_09_10</vt:lpstr>
      <vt:lpstr>Ma6_l_10_11</vt:lpstr>
      <vt:lpstr>Ma6_l_11_12</vt:lpstr>
      <vt:lpstr>Ma6_l_12_13</vt:lpstr>
      <vt:lpstr>Ma6_l_13_14</vt:lpstr>
      <vt:lpstr>Ma6_l_14_15</vt:lpstr>
      <vt:lpstr>Ma6_l_15_16</vt:lpstr>
      <vt:lpstr>'2014-2015'!Ma6_l_16_17</vt:lpstr>
      <vt:lpstr>'2015-2016'!Ma6_l_16_17</vt:lpstr>
      <vt:lpstr>Ma6_l_16_17</vt:lpstr>
      <vt:lpstr>Ma6_l_17_18</vt:lpstr>
      <vt:lpstr>Ma6_l_18_19</vt:lpstr>
      <vt:lpstr>Ma6_l_19_20</vt:lpstr>
      <vt:lpstr>Ma6_l_20_21</vt:lpstr>
      <vt:lpstr>MBTU_eauchaude_to_GJ</vt:lpstr>
      <vt:lpstr>MBTU_eauchaude_to_kgGES</vt:lpstr>
      <vt:lpstr>MBTU_eaurefroidie_to_GJ</vt:lpstr>
      <vt:lpstr>MBTU_eaurefroidie_to_kgGES</vt:lpstr>
      <vt:lpstr>nb_bât_09_10</vt:lpstr>
      <vt:lpstr>nb_bât_10_11</vt:lpstr>
      <vt:lpstr>nb_bât_11_12</vt:lpstr>
      <vt:lpstr>nb_bât_12_13</vt:lpstr>
      <vt:lpstr>nb_bât_13_14</vt:lpstr>
      <vt:lpstr>nb_bât_14_15</vt:lpstr>
      <vt:lpstr>nb_bât_15_16</vt:lpstr>
      <vt:lpstr>'2014-2015'!nb_bât_16_17</vt:lpstr>
      <vt:lpstr>'2015-2016'!nb_bât_16_17</vt:lpstr>
      <vt:lpstr>nb_bât_16_17</vt:lpstr>
      <vt:lpstr>nb_bât_17_18</vt:lpstr>
      <vt:lpstr>nb_bât_18_19</vt:lpstr>
      <vt:lpstr>nb_bât_19_20</vt:lpstr>
      <vt:lpstr>nb_bât_20_21</vt:lpstr>
      <vt:lpstr>plage_date</vt:lpstr>
      <vt:lpstr>plage_DJ</vt:lpstr>
      <vt:lpstr>Prop_CAD_09_10</vt:lpstr>
      <vt:lpstr>Prop_CAD_10_11</vt:lpstr>
      <vt:lpstr>Prop_CAD_11_12</vt:lpstr>
      <vt:lpstr>Prop_CAD_12_13</vt:lpstr>
      <vt:lpstr>Prop_CAD_13_14</vt:lpstr>
      <vt:lpstr>Prop_CAD_14_15</vt:lpstr>
      <vt:lpstr>Prop_CAD_15_16</vt:lpstr>
      <vt:lpstr>'2014-2015'!Prop_CAD_16_17</vt:lpstr>
      <vt:lpstr>'2015-2016'!Prop_CAD_16_17</vt:lpstr>
      <vt:lpstr>Prop_CAD_16_17</vt:lpstr>
      <vt:lpstr>Prop_CAD_17_18</vt:lpstr>
      <vt:lpstr>Prop_CAD_18_19</vt:lpstr>
      <vt:lpstr>Prop_CAD_19_20</vt:lpstr>
      <vt:lpstr>Prop_CAD_20_21</vt:lpstr>
      <vt:lpstr>Prop_l_09_10</vt:lpstr>
      <vt:lpstr>Prop_l_10_11</vt:lpstr>
      <vt:lpstr>Prop_l_11_12</vt:lpstr>
      <vt:lpstr>Prop_l_12_13</vt:lpstr>
      <vt:lpstr>Prop_l_13_14</vt:lpstr>
      <vt:lpstr>Prop_l_14_15</vt:lpstr>
      <vt:lpstr>Prop_l_15_16</vt:lpstr>
      <vt:lpstr>'2014-2015'!Prop_l_16_17</vt:lpstr>
      <vt:lpstr>'2015-2016'!Prop_l_16_17</vt:lpstr>
      <vt:lpstr>Prop_l_16_17</vt:lpstr>
      <vt:lpstr>Prop_l_17_18</vt:lpstr>
      <vt:lpstr>Prop_l_18_19</vt:lpstr>
      <vt:lpstr>Prop_l_19_20</vt:lpstr>
      <vt:lpstr>Prop_l_20_21</vt:lpstr>
      <vt:lpstr>rng_Années_résumé</vt:lpstr>
      <vt:lpstr>rng_MEE</vt:lpstr>
      <vt:lpstr>Sup_09_10</vt:lpstr>
      <vt:lpstr>Sup_10_11</vt:lpstr>
      <vt:lpstr>Sup_11_12</vt:lpstr>
      <vt:lpstr>Sup_12_13</vt:lpstr>
      <vt:lpstr>Sup_13_14</vt:lpstr>
      <vt:lpstr>Sup_14_15</vt:lpstr>
      <vt:lpstr>Sup_15_16</vt:lpstr>
      <vt:lpstr>'2014-2015'!Sup_16_17</vt:lpstr>
      <vt:lpstr>'2015-2016'!Sup_16_17</vt:lpstr>
      <vt:lpstr>Sup_16_17</vt:lpstr>
      <vt:lpstr>Sup_17_18</vt:lpstr>
      <vt:lpstr>Sup_18_19</vt:lpstr>
      <vt:lpstr>Sup_19_20</vt:lpstr>
      <vt:lpstr>Sup_20_21</vt:lpstr>
      <vt:lpstr>'2009-2010'!U_Bois20</vt:lpstr>
      <vt:lpstr>'2010-2011'!U_Bois20</vt:lpstr>
      <vt:lpstr>'2011-2012'!U_Bois20</vt:lpstr>
      <vt:lpstr>'2012-2013'!U_Bois20</vt:lpstr>
      <vt:lpstr>'2013-2014'!U_Bois20</vt:lpstr>
      <vt:lpstr>'2014-2015'!U_Bois20</vt:lpstr>
      <vt:lpstr>'2015-2016'!U_Bois20</vt:lpstr>
      <vt:lpstr>'2016-2017'!U_Bois20</vt:lpstr>
      <vt:lpstr>'2017-2018'!U_Bois20</vt:lpstr>
      <vt:lpstr>'2018-2019'!U_Bois20</vt:lpstr>
      <vt:lpstr>'2019-2020'!U_Bois20</vt:lpstr>
      <vt:lpstr>'2020-2021'!U_Bois20</vt:lpstr>
      <vt:lpstr>'2009-2010'!U_Bois45</vt:lpstr>
      <vt:lpstr>'2010-2011'!U_Bois45</vt:lpstr>
      <vt:lpstr>'2011-2012'!U_Bois45</vt:lpstr>
      <vt:lpstr>'2012-2013'!U_Bois45</vt:lpstr>
      <vt:lpstr>'2013-2014'!U_Bois45</vt:lpstr>
      <vt:lpstr>'2014-2015'!U_Bois45</vt:lpstr>
      <vt:lpstr>'2015-2016'!U_Bois45</vt:lpstr>
      <vt:lpstr>'2016-2017'!U_Bois45</vt:lpstr>
      <vt:lpstr>'2017-2018'!U_Bois45</vt:lpstr>
      <vt:lpstr>'2018-2019'!U_Bois45</vt:lpstr>
      <vt:lpstr>'2019-2020'!U_Bois45</vt:lpstr>
      <vt:lpstr>'2020-2021'!U_Bois45</vt:lpstr>
      <vt:lpstr>'2014-2015'!U_Dies</vt:lpstr>
      <vt:lpstr>'2015-2016'!U_Dies</vt:lpstr>
      <vt:lpstr>U_Dies</vt:lpstr>
      <vt:lpstr>'2009-2010'!U_GNat</vt:lpstr>
      <vt:lpstr>'2010-2011'!U_GNat</vt:lpstr>
      <vt:lpstr>'2011-2012'!U_GNat</vt:lpstr>
      <vt:lpstr>'2012-2013'!U_GNat</vt:lpstr>
      <vt:lpstr>'2013-2014'!U_GNat</vt:lpstr>
      <vt:lpstr>'2014-2015'!U_GNat</vt:lpstr>
      <vt:lpstr>'2015-2016'!U_GNat</vt:lpstr>
      <vt:lpstr>'2016-2017'!U_GNat</vt:lpstr>
      <vt:lpstr>'2017-2018'!U_GNat</vt:lpstr>
      <vt:lpstr>'2018-2019'!U_GNat</vt:lpstr>
      <vt:lpstr>'2019-2020'!U_GNat</vt:lpstr>
      <vt:lpstr>'2020-2021'!U_GNat</vt:lpstr>
      <vt:lpstr>'2014-2015'!U_Ma2</vt:lpstr>
      <vt:lpstr>'2015-2016'!U_Ma2</vt:lpstr>
      <vt:lpstr>'2016-2017'!U_Ma2</vt:lpstr>
      <vt:lpstr>U_Ma2</vt:lpstr>
      <vt:lpstr>'2009-2010'!U_Ma6</vt:lpstr>
      <vt:lpstr>'2010-2011'!U_Ma6</vt:lpstr>
      <vt:lpstr>'2011-2012'!U_Ma6</vt:lpstr>
      <vt:lpstr>'2012-2013'!U_Ma6</vt:lpstr>
      <vt:lpstr>'2013-2014'!U_Ma6</vt:lpstr>
      <vt:lpstr>'2014-2015'!U_Ma6</vt:lpstr>
      <vt:lpstr>'2015-2016'!U_Ma6</vt:lpstr>
      <vt:lpstr>'2016-2017'!U_Ma6</vt:lpstr>
      <vt:lpstr>'2017-2018'!U_Ma6</vt:lpstr>
      <vt:lpstr>'2018-2019'!U_Ma6</vt:lpstr>
      <vt:lpstr>'2019-2020'!U_Ma6</vt:lpstr>
      <vt:lpstr>'2020-2021'!U_Ma6</vt:lpstr>
      <vt:lpstr>'2009-2010'!U_Prop</vt:lpstr>
      <vt:lpstr>'2010-2011'!U_Prop</vt:lpstr>
      <vt:lpstr>'2011-2012'!U_Prop</vt:lpstr>
      <vt:lpstr>'2012-2013'!U_Prop</vt:lpstr>
      <vt:lpstr>'2013-2014'!U_Prop</vt:lpstr>
      <vt:lpstr>'2014-2015'!U_Prop</vt:lpstr>
      <vt:lpstr>'2015-2016'!U_Prop</vt:lpstr>
      <vt:lpstr>'2016-2017'!U_Prop</vt:lpstr>
      <vt:lpstr>'2017-2018'!U_Prop</vt:lpstr>
      <vt:lpstr>'2018-2019'!U_Prop</vt:lpstr>
      <vt:lpstr>'2019-2020'!U_Prop</vt:lpstr>
      <vt:lpstr>'2020-2021'!U_Prop</vt:lpstr>
      <vt:lpstr>Vapeur_CAD_09_10</vt:lpstr>
      <vt:lpstr>Vapeur_CAD_10_11</vt:lpstr>
      <vt:lpstr>Vapeur_CAD_11_12</vt:lpstr>
      <vt:lpstr>Vapeur_CAD_12_13</vt:lpstr>
      <vt:lpstr>Vapeur_CAD_13_14</vt:lpstr>
      <vt:lpstr>Vapeur_CAD_14_15</vt:lpstr>
      <vt:lpstr>Vapeur_CAD_15_16</vt:lpstr>
      <vt:lpstr>'2014-2015'!Vapeur_CAD_16_17</vt:lpstr>
      <vt:lpstr>'2015-2016'!Vapeur_CAD_16_17</vt:lpstr>
      <vt:lpstr>Vapeur_CAD_16_17</vt:lpstr>
      <vt:lpstr>Vapeur_CAD_17_18</vt:lpstr>
      <vt:lpstr>Vapeur_CAD_18_19</vt:lpstr>
      <vt:lpstr>Vapeur_CAD_19_20</vt:lpstr>
      <vt:lpstr>Vapeur_CAD_20_21</vt:lpstr>
      <vt:lpstr>Vapeur_Lbs_09_10</vt:lpstr>
      <vt:lpstr>Vapeur_Lbs_10_11</vt:lpstr>
      <vt:lpstr>Vapeur_Lbs_11_12</vt:lpstr>
      <vt:lpstr>Vapeur_Lbs_12_13</vt:lpstr>
      <vt:lpstr>Vapeur_Lbs_13_14</vt:lpstr>
      <vt:lpstr>Vapeur_Lbs_14_15</vt:lpstr>
      <vt:lpstr>Vapeur_Lbs_15_16</vt:lpstr>
      <vt:lpstr>'2014-2015'!Vapeur_Lbs_16_17</vt:lpstr>
      <vt:lpstr>'2015-2016'!Vapeur_Lbs_16_17</vt:lpstr>
      <vt:lpstr>Vapeur_Lbs_16_17</vt:lpstr>
      <vt:lpstr>Vapeur_Lbs_17_18</vt:lpstr>
      <vt:lpstr>Vapeur_Lbs_18_19</vt:lpstr>
      <vt:lpstr>Vapeur_Lbs_19_20</vt:lpstr>
      <vt:lpstr>Vapeur_Lbs_20_21</vt:lpstr>
      <vt:lpstr>'1. IDENTITÉ'!Zone_d_impression</vt:lpstr>
      <vt:lpstr>'2009-2010'!Zone_d_impression</vt:lpstr>
      <vt:lpstr>'2010-2011'!Zone_d_impression</vt:lpstr>
      <vt:lpstr>'2011-2012'!Zone_d_impression</vt:lpstr>
      <vt:lpstr>'2012-2013'!Zone_d_impression</vt:lpstr>
      <vt:lpstr>'2013-2014'!Zone_d_impression</vt:lpstr>
      <vt:lpstr>'2014-2015'!Zone_d_impression</vt:lpstr>
      <vt:lpstr>'2015-2016'!Zone_d_impression</vt:lpstr>
      <vt:lpstr>'2016-2017'!Zone_d_impression</vt:lpstr>
      <vt:lpstr>'2017-2018'!Zone_d_impression</vt:lpstr>
      <vt:lpstr>'2018-2019'!Zone_d_impression</vt:lpstr>
      <vt:lpstr>'2019-2020'!Zone_d_impression</vt:lpstr>
      <vt:lpstr>'2020-2021'!Zone_d_impression</vt:lpstr>
      <vt:lpstr>Conversion!Zone_d_impression</vt:lpstr>
      <vt:lpstr>'DJ 18 MTL'!Zone_d_impression</vt:lpstr>
      <vt:lpstr>'PROCESSUS TYPIQUE'!Zone_d_impression</vt:lpstr>
      <vt:lpstr>RÉSUMÉ!Zone_d_impression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Gaz Métro-1, Document 19 - Fichier Excel : TEQ – Processus de collecte de données énergétiques pour les bâtiments</dc:subject>
  <dc:creator>AA</dc:creator>
  <cp:lastModifiedBy>Bérubé Mireille</cp:lastModifiedBy>
  <cp:lastPrinted>2019-10-02T17:42:20Z</cp:lastPrinted>
  <dcterms:created xsi:type="dcterms:W3CDTF">2012-02-27T19:05:29Z</dcterms:created>
  <dcterms:modified xsi:type="dcterms:W3CDTF">2019-10-02T17:44:24Z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AD_02_03" linkTarget="Prop_CAD_02_03">
    <vt:lpwstr>#REF!</vt:lpwstr>
  </property>
  <property fmtid="{D5CDD505-2E9C-101B-9397-08002B2CF9AE}" pid="3" name="l_02_03" linkTarget="Prop_l_02_03">
    <vt:lpwstr>#REF!</vt:lpwstr>
  </property>
  <property fmtid="{D5CDD505-2E9C-101B-9397-08002B2CF9AE}" pid="4" name="CAD_03_04" linkTarget="Prop_CAD_03_04">
    <vt:lpwstr>#REF!</vt:lpwstr>
  </property>
  <property fmtid="{D5CDD505-2E9C-101B-9397-08002B2CF9AE}" pid="5" name="l_03_04" linkTarget="Prop_l_03_04">
    <vt:lpwstr>#REF!</vt:lpwstr>
  </property>
  <property fmtid="{D5CDD505-2E9C-101B-9397-08002B2CF9AE}" pid="6" name="CAD_04_05" linkTarget="Prop_CAD_04_05">
    <vt:lpwstr>#REF!</vt:lpwstr>
  </property>
  <property fmtid="{D5CDD505-2E9C-101B-9397-08002B2CF9AE}" pid="7" name="l_04_05" linkTarget="Prop_l_04_05">
    <vt:lpwstr>#REF!</vt:lpwstr>
  </property>
  <property fmtid="{D5CDD505-2E9C-101B-9397-08002B2CF9AE}" pid="8" name="CAD_05_06" linkTarget="Prop_CAD_05_06">
    <vt:lpwstr>#REF!</vt:lpwstr>
  </property>
  <property fmtid="{D5CDD505-2E9C-101B-9397-08002B2CF9AE}" pid="9" name="CAD_06_07" linkTarget="Prop_CAD_06_07">
    <vt:lpwstr>#REF!</vt:lpwstr>
  </property>
  <property fmtid="{D5CDD505-2E9C-101B-9397-08002B2CF9AE}" pid="10" name="CAD_07_08" linkTarget="Prop_CAD_07_08">
    <vt:lpwstr>#REF!</vt:lpwstr>
  </property>
  <property fmtid="{D5CDD505-2E9C-101B-9397-08002B2CF9AE}" pid="11" name="CAD_08_09" linkTarget="Prop_CAD_08_09">
    <vt:lpwstr>#REF!</vt:lpwstr>
  </property>
  <property fmtid="{D5CDD505-2E9C-101B-9397-08002B2CF9AE}" pid="12" name="CAD_09_10" linkTarget="Prop_CAD_09_10">
    <vt:r8>0</vt:r8>
  </property>
  <property fmtid="{D5CDD505-2E9C-101B-9397-08002B2CF9AE}" pid="13" name="CAD_10_11" linkTarget="Prop_CAD_10_11">
    <vt:r8>0</vt:r8>
  </property>
  <property fmtid="{D5CDD505-2E9C-101B-9397-08002B2CF9AE}" pid="14" name="CAD_11_12" linkTarget="Prop_CAD_11_12">
    <vt:r8>0</vt:r8>
  </property>
  <property fmtid="{D5CDD505-2E9C-101B-9397-08002B2CF9AE}" pid="15" name="CAD_12_13" linkTarget="Prop_CAD_12_13">
    <vt:r8>0</vt:r8>
  </property>
  <property fmtid="{D5CDD505-2E9C-101B-9397-08002B2CF9AE}" pid="16" name="CAD_13_14" linkTarget="Prop_CAD_13_14">
    <vt:r8>0</vt:r8>
  </property>
  <property fmtid="{D5CDD505-2E9C-101B-9397-08002B2CF9AE}" pid="17" name="CAD_14_15" linkTarget="Prop_CAD_14_15">
    <vt:r8>0</vt:r8>
  </property>
  <property fmtid="{D5CDD505-2E9C-101B-9397-08002B2CF9AE}" pid="18" name="CAD_15_16" linkTarget="Prop_CAD_15_16">
    <vt:r8>0</vt:r8>
  </property>
  <property fmtid="{D5CDD505-2E9C-101B-9397-08002B2CF9AE}" pid="19" name="CAD_16_17" linkTarget="Prop_CAD_16_17">
    <vt:r8>0</vt:r8>
  </property>
  <property fmtid="{D5CDD505-2E9C-101B-9397-08002B2CF9AE}" pid="20" name="CAD_17_18" linkTarget="Prop_CAD_17_18">
    <vt:r8>0</vt:r8>
  </property>
  <property fmtid="{D5CDD505-2E9C-101B-9397-08002B2CF9AE}" pid="21" name="CAD_18_19" linkTarget="Prop_CAD_18_19">
    <vt:r8>0</vt:r8>
  </property>
  <property fmtid="{D5CDD505-2E9C-101B-9397-08002B2CF9AE}" pid="22" name="CAD_19_20" linkTarget="Prop_CAD_19_20">
    <vt:r8>0</vt:r8>
  </property>
  <property fmtid="{D5CDD505-2E9C-101B-9397-08002B2CF9AE}" pid="23" name="CAD_20_21" linkTarget="Prop_CAD_20_21">
    <vt:r8>0</vt:r8>
  </property>
  <property fmtid="{D5CDD505-2E9C-101B-9397-08002B2CF9AE}" pid="24" name="l_05_06" linkTarget="Prop_l_05_06">
    <vt:lpwstr>#REF!</vt:lpwstr>
  </property>
  <property fmtid="{D5CDD505-2E9C-101B-9397-08002B2CF9AE}" pid="25" name="l_06_07" linkTarget="Prop_l_06_07">
    <vt:lpwstr>#REF!</vt:lpwstr>
  </property>
  <property fmtid="{D5CDD505-2E9C-101B-9397-08002B2CF9AE}" pid="26" name="l_07_08" linkTarget="Prop_l_07_08">
    <vt:lpwstr>#REF!</vt:lpwstr>
  </property>
  <property fmtid="{D5CDD505-2E9C-101B-9397-08002B2CF9AE}" pid="27" name="l_08_09" linkTarget="Prop_l_08_09">
    <vt:lpwstr>#REF!</vt:lpwstr>
  </property>
  <property fmtid="{D5CDD505-2E9C-101B-9397-08002B2CF9AE}" pid="28" name="l_09_10" linkTarget="Prop_l_09_10">
    <vt:r8>0</vt:r8>
  </property>
  <property fmtid="{D5CDD505-2E9C-101B-9397-08002B2CF9AE}" pid="29" name="l_10_11" linkTarget="Prop_l_10_11">
    <vt:r8>0</vt:r8>
  </property>
  <property fmtid="{D5CDD505-2E9C-101B-9397-08002B2CF9AE}" pid="30" name="l_11_12" linkTarget="Prop_l_11_12">
    <vt:r8>0</vt:r8>
  </property>
  <property fmtid="{D5CDD505-2E9C-101B-9397-08002B2CF9AE}" pid="31" name="l_12_13" linkTarget="Prop_l_12_13">
    <vt:r8>0</vt:r8>
  </property>
  <property fmtid="{D5CDD505-2E9C-101B-9397-08002B2CF9AE}" pid="32" name="l_13_14" linkTarget="Prop_l_13_14">
    <vt:r8>0</vt:r8>
  </property>
  <property fmtid="{D5CDD505-2E9C-101B-9397-08002B2CF9AE}" pid="33" name="l_14_15" linkTarget="Prop_l_14_15">
    <vt:r8>0</vt:r8>
  </property>
  <property fmtid="{D5CDD505-2E9C-101B-9397-08002B2CF9AE}" pid="34" name="l_15_16" linkTarget="Prop_l_15_16">
    <vt:r8>0</vt:r8>
  </property>
  <property fmtid="{D5CDD505-2E9C-101B-9397-08002B2CF9AE}" pid="35" name="l_16_17" linkTarget="Prop_l_16_17">
    <vt:r8>0</vt:r8>
  </property>
  <property fmtid="{D5CDD505-2E9C-101B-9397-08002B2CF9AE}" pid="36" name="l_17_18" linkTarget="Prop_l_17_18">
    <vt:r8>0</vt:r8>
  </property>
  <property fmtid="{D5CDD505-2E9C-101B-9397-08002B2CF9AE}" pid="37" name="l_18_19" linkTarget="Prop_l_18_19">
    <vt:r8>0</vt:r8>
  </property>
  <property fmtid="{D5CDD505-2E9C-101B-9397-08002B2CF9AE}" pid="38" name="l_19_20" linkTarget="Prop_l_19_20">
    <vt:r8>0</vt:r8>
  </property>
  <property fmtid="{D5CDD505-2E9C-101B-9397-08002B2CF9AE}" pid="39" name="l_20_21" linkTarget="Prop_l_20_21">
    <vt:r8>0</vt:r8>
  </property>
  <property fmtid="{D5CDD505-2E9C-101B-9397-08002B2CF9AE}" pid="40" name="CAD_21_22" linkTarget="Prop_CAD_21_22">
    <vt:r8>0</vt:r8>
  </property>
  <property fmtid="{D5CDD505-2E9C-101B-9397-08002B2CF9AE}" pid="41" name="l_21_22" linkTarget="Prop_l_21_22">
    <vt:r8>0</vt:r8>
  </property>
  <property fmtid="{D5CDD505-2E9C-101B-9397-08002B2CF9AE}" pid="42" name="ContentTypeId">
    <vt:lpwstr>0x010100F6681E3BDF397F418586AC591ADC81BB00761A95451C335C4EB05B510B491C3495</vt:lpwstr>
  </property>
  <property fmtid="{D5CDD505-2E9C-101B-9397-08002B2CF9AE}" pid="44" name="Order">
    <vt:r8>4679400</vt:r8>
  </property>
  <property fmtid="{D5CDD505-2E9C-101B-9397-08002B2CF9AE}" pid="45" name="_dlc_DocIdItemGuid">
    <vt:lpwstr>caaa45b8-fe70-471c-9569-c1ba93a0302e</vt:lpwstr>
  </property>
</Properties>
</file>