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esquec\Desktop\"/>
    </mc:Choice>
  </mc:AlternateContent>
  <bookViews>
    <workbookView xWindow="-108" yWindow="-108" windowWidth="23256" windowHeight="12720" firstSheet="1" activeTab="4"/>
  </bookViews>
  <sheets>
    <sheet name="Tableau 1 (rentabilité)" sheetId="1" r:id="rId1"/>
    <sheet name="Tableau 2 (Tx de participation)" sheetId="7" r:id="rId2"/>
    <sheet name="Coût marginal groupes électro." sheetId="5" r:id="rId3"/>
    <sheet name="Harmonisation" sheetId="6" r:id="rId4"/>
    <sheet name="Tableau 4" sheetId="15" r:id="rId5"/>
    <sheet name="Appui global moyen " sheetId="14" r:id="rId6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J19" i="14" l="1"/>
  <c r="G9" i="14"/>
  <c r="H9" i="14" s="1"/>
  <c r="H10" i="14"/>
  <c r="G10" i="14"/>
  <c r="I11" i="14"/>
  <c r="H11" i="14"/>
  <c r="G11" i="14"/>
  <c r="K12" i="14"/>
  <c r="I12" i="14"/>
  <c r="H12" i="14"/>
  <c r="G12" i="14"/>
  <c r="L13" i="14"/>
  <c r="K13" i="14"/>
  <c r="I13" i="14"/>
  <c r="H13" i="14"/>
  <c r="G13" i="14"/>
  <c r="D8" i="14"/>
  <c r="G8" i="14" s="1"/>
  <c r="C8" i="14"/>
  <c r="C14" i="14" s="1"/>
  <c r="C19" i="15"/>
  <c r="C18" i="15"/>
  <c r="C17" i="15"/>
  <c r="C20" i="15"/>
  <c r="C16" i="15"/>
  <c r="C15" i="15"/>
  <c r="D10" i="15"/>
  <c r="D20" i="15" s="1"/>
  <c r="D9" i="15"/>
  <c r="D19" i="15" s="1"/>
  <c r="D8" i="15"/>
  <c r="E8" i="15" s="1"/>
  <c r="E18" i="15" s="1"/>
  <c r="D7" i="15"/>
  <c r="E7" i="15" s="1"/>
  <c r="E17" i="15" s="1"/>
  <c r="D6" i="15"/>
  <c r="D16" i="15" s="1"/>
  <c r="D5" i="15"/>
  <c r="D15" i="15" s="1"/>
  <c r="D8" i="5"/>
  <c r="D10" i="5" s="1"/>
  <c r="O6" i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N24" i="1"/>
  <c r="C8" i="5"/>
  <c r="E6" i="15" l="1"/>
  <c r="E16" i="15" s="1"/>
  <c r="K11" i="14"/>
  <c r="K14" i="14" s="1"/>
  <c r="I10" i="14"/>
  <c r="I14" i="14" s="1"/>
  <c r="M13" i="14"/>
  <c r="M14" i="14" s="1"/>
  <c r="L12" i="14"/>
  <c r="L14" i="14" s="1"/>
  <c r="H14" i="14"/>
  <c r="G14" i="14"/>
  <c r="D14" i="14"/>
  <c r="E10" i="15"/>
  <c r="F10" i="15" s="1"/>
  <c r="F20" i="15" s="1"/>
  <c r="D18" i="15"/>
  <c r="I6" i="15"/>
  <c r="I16" i="15" s="1"/>
  <c r="D17" i="15"/>
  <c r="C21" i="15"/>
  <c r="C23" i="15" s="1"/>
  <c r="C24" i="15" s="1"/>
  <c r="J6" i="15"/>
  <c r="J16" i="15" s="1"/>
  <c r="G10" i="15"/>
  <c r="G20" i="15" s="1"/>
  <c r="F6" i="15"/>
  <c r="F16" i="15" s="1"/>
  <c r="F7" i="15"/>
  <c r="F17" i="15" s="1"/>
  <c r="I7" i="15"/>
  <c r="I17" i="15" s="1"/>
  <c r="I8" i="15"/>
  <c r="I18" i="15" s="1"/>
  <c r="F8" i="15"/>
  <c r="F18" i="15" s="1"/>
  <c r="E5" i="15"/>
  <c r="E15" i="15" s="1"/>
  <c r="E9" i="15"/>
  <c r="E19" i="15" s="1"/>
  <c r="C10" i="5"/>
  <c r="H10" i="15" l="1"/>
  <c r="H20" i="15" s="1"/>
  <c r="E20" i="15"/>
  <c r="I10" i="15"/>
  <c r="I20" i="15" s="1"/>
  <c r="H21" i="14"/>
  <c r="H19" i="14"/>
  <c r="L21" i="14"/>
  <c r="L19" i="14"/>
  <c r="M21" i="14"/>
  <c r="M19" i="14"/>
  <c r="K21" i="14"/>
  <c r="K19" i="14"/>
  <c r="G21" i="14"/>
  <c r="G19" i="14"/>
  <c r="I21" i="14"/>
  <c r="O21" i="14" s="1"/>
  <c r="I19" i="14"/>
  <c r="O14" i="14"/>
  <c r="D21" i="15"/>
  <c r="D23" i="15" s="1"/>
  <c r="D24" i="15" s="1"/>
  <c r="H8" i="15"/>
  <c r="H18" i="15" s="1"/>
  <c r="G8" i="15"/>
  <c r="G18" i="15" s="1"/>
  <c r="J10" i="15"/>
  <c r="J20" i="15" s="1"/>
  <c r="H7" i="15"/>
  <c r="H17" i="15" s="1"/>
  <c r="G7" i="15"/>
  <c r="G17" i="15" s="1"/>
  <c r="F9" i="15"/>
  <c r="F19" i="15" s="1"/>
  <c r="I9" i="15"/>
  <c r="I19" i="15" s="1"/>
  <c r="J8" i="15"/>
  <c r="J18" i="15" s="1"/>
  <c r="L6" i="15"/>
  <c r="L16" i="15" s="1"/>
  <c r="K6" i="15"/>
  <c r="K16" i="15" s="1"/>
  <c r="E21" i="15"/>
  <c r="E23" i="15" s="1"/>
  <c r="E24" i="15" s="1"/>
  <c r="F5" i="15"/>
  <c r="F15" i="15" s="1"/>
  <c r="I5" i="15"/>
  <c r="I15" i="15" s="1"/>
  <c r="J7" i="15"/>
  <c r="J17" i="15" s="1"/>
  <c r="H6" i="15"/>
  <c r="H16" i="15" s="1"/>
  <c r="G6" i="15"/>
  <c r="G16" i="15" s="1"/>
  <c r="E7" i="7"/>
  <c r="F7" i="7" s="1"/>
  <c r="F13" i="7"/>
  <c r="G7" i="6"/>
  <c r="F12" i="7"/>
  <c r="F11" i="7"/>
  <c r="F10" i="7"/>
  <c r="F9" i="7"/>
  <c r="F8" i="7"/>
  <c r="D13" i="6"/>
  <c r="D15" i="6"/>
  <c r="D16" i="6"/>
  <c r="D11" i="6"/>
  <c r="O19" i="14" l="1"/>
  <c r="O20" i="14"/>
  <c r="L7" i="15"/>
  <c r="L17" i="15" s="1"/>
  <c r="K7" i="15"/>
  <c r="K17" i="15" s="1"/>
  <c r="L8" i="15"/>
  <c r="L18" i="15" s="1"/>
  <c r="K8" i="15"/>
  <c r="K18" i="15" s="1"/>
  <c r="L10" i="15"/>
  <c r="L20" i="15" s="1"/>
  <c r="K10" i="15"/>
  <c r="K20" i="15" s="1"/>
  <c r="H5" i="15"/>
  <c r="G5" i="15"/>
  <c r="G15" i="15" s="1"/>
  <c r="H9" i="15"/>
  <c r="H19" i="15" s="1"/>
  <c r="G9" i="15"/>
  <c r="G19" i="15" s="1"/>
  <c r="J5" i="15"/>
  <c r="J15" i="15" s="1"/>
  <c r="M6" i="15"/>
  <c r="M16" i="15" s="1"/>
  <c r="J9" i="15"/>
  <c r="J19" i="15" s="1"/>
  <c r="D18" i="6"/>
  <c r="N12" i="1"/>
  <c r="H15" i="15" l="1"/>
  <c r="H21" i="15" s="1"/>
  <c r="H23" i="15" s="1"/>
  <c r="H24" i="15" s="1"/>
  <c r="L9" i="15"/>
  <c r="L19" i="15" s="1"/>
  <c r="K9" i="15"/>
  <c r="K19" i="15" s="1"/>
  <c r="L5" i="15"/>
  <c r="L15" i="15" s="1"/>
  <c r="J21" i="15"/>
  <c r="J23" i="15" s="1"/>
  <c r="J24" i="15" s="1"/>
  <c r="K5" i="15"/>
  <c r="K15" i="15" s="1"/>
  <c r="M7" i="15"/>
  <c r="M17" i="15" s="1"/>
  <c r="I21" i="15"/>
  <c r="I23" i="15" s="1"/>
  <c r="I24" i="15" s="1"/>
  <c r="G21" i="15"/>
  <c r="G23" i="15" s="1"/>
  <c r="G24" i="15" s="1"/>
  <c r="M10" i="15"/>
  <c r="M20" i="15" s="1"/>
  <c r="M8" i="15"/>
  <c r="M18" i="15" s="1"/>
  <c r="N6" i="15"/>
  <c r="N16" i="15" s="1"/>
  <c r="F21" i="15"/>
  <c r="F23" i="15" s="1"/>
  <c r="F24" i="15" s="1"/>
  <c r="O2" i="1"/>
  <c r="O24" i="1" s="1"/>
  <c r="N8" i="15" l="1"/>
  <c r="N18" i="15" s="1"/>
  <c r="K21" i="15"/>
  <c r="K23" i="15" s="1"/>
  <c r="K24" i="15" s="1"/>
  <c r="M9" i="15"/>
  <c r="M19" i="15" s="1"/>
  <c r="N7" i="15"/>
  <c r="N17" i="15" s="1"/>
  <c r="L21" i="15"/>
  <c r="L23" i="15" s="1"/>
  <c r="L24" i="15" s="1"/>
  <c r="M5" i="15"/>
  <c r="M15" i="15" s="1"/>
  <c r="O6" i="15"/>
  <c r="O16" i="15" s="1"/>
  <c r="N10" i="15"/>
  <c r="N20" i="15" s="1"/>
  <c r="P2" i="1"/>
  <c r="O12" i="1"/>
  <c r="O10" i="15" l="1"/>
  <c r="O20" i="15" s="1"/>
  <c r="O7" i="15"/>
  <c r="O17" i="15" s="1"/>
  <c r="M21" i="15"/>
  <c r="M23" i="15" s="1"/>
  <c r="M24" i="15" s="1"/>
  <c r="N5" i="15"/>
  <c r="N15" i="15" s="1"/>
  <c r="N9" i="15"/>
  <c r="N19" i="15" s="1"/>
  <c r="O8" i="15"/>
  <c r="O18" i="15" s="1"/>
  <c r="P6" i="15"/>
  <c r="P16" i="15" s="1"/>
  <c r="Q6" i="15"/>
  <c r="Q16" i="15" s="1"/>
  <c r="Q2" i="1"/>
  <c r="P12" i="1"/>
  <c r="N17" i="1"/>
  <c r="X7" i="1"/>
  <c r="P10" i="15" l="1"/>
  <c r="P20" i="15" s="1"/>
  <c r="Q10" i="15"/>
  <c r="Q20" i="15" s="1"/>
  <c r="O9" i="15"/>
  <c r="O19" i="15" s="1"/>
  <c r="P7" i="15"/>
  <c r="P17" i="15" s="1"/>
  <c r="Q7" i="15"/>
  <c r="Q17" i="15" s="1"/>
  <c r="N21" i="15"/>
  <c r="N23" i="15" s="1"/>
  <c r="N24" i="15" s="1"/>
  <c r="O5" i="15"/>
  <c r="O15" i="15" s="1"/>
  <c r="P8" i="15"/>
  <c r="P18" i="15" s="1"/>
  <c r="Q8" i="15"/>
  <c r="Q18" i="15" s="1"/>
  <c r="R2" i="1"/>
  <c r="Q12" i="1"/>
  <c r="Q5" i="15" l="1"/>
  <c r="Q15" i="15" s="1"/>
  <c r="P5" i="15"/>
  <c r="P9" i="15"/>
  <c r="P19" i="15" s="1"/>
  <c r="Q9" i="15"/>
  <c r="Q19" i="15" s="1"/>
  <c r="S2" i="1"/>
  <c r="R12" i="1"/>
  <c r="Y7" i="1"/>
  <c r="N10" i="1"/>
  <c r="P15" i="15" l="1"/>
  <c r="P21" i="15" s="1"/>
  <c r="P23" i="15" s="1"/>
  <c r="P24" i="15" s="1"/>
  <c r="O21" i="15"/>
  <c r="O23" i="15" s="1"/>
  <c r="O24" i="15" s="1"/>
  <c r="Q21" i="15"/>
  <c r="Q23" i="15" s="1"/>
  <c r="Q24" i="15" s="1"/>
  <c r="T2" i="1"/>
  <c r="S12" i="1"/>
  <c r="Z7" i="1"/>
  <c r="U2" i="1" l="1"/>
  <c r="T12" i="1"/>
  <c r="AA7" i="1"/>
  <c r="V2" i="1" l="1"/>
  <c r="U12" i="1"/>
  <c r="AB7" i="1"/>
  <c r="W2" i="1" l="1"/>
  <c r="V12" i="1"/>
  <c r="AC7" i="1"/>
  <c r="X2" i="1" l="1"/>
  <c r="W12" i="1"/>
  <c r="AD7" i="1"/>
  <c r="N20" i="1"/>
  <c r="Y2" i="1" l="1"/>
  <c r="X12" i="1"/>
  <c r="O17" i="1"/>
  <c r="O20" i="1"/>
  <c r="AE7" i="1"/>
  <c r="P24" i="1"/>
  <c r="O10" i="1"/>
  <c r="N3" i="1"/>
  <c r="Z2" i="1" l="1"/>
  <c r="Y12" i="1"/>
  <c r="O3" i="1"/>
  <c r="P17" i="1"/>
  <c r="AF7" i="1"/>
  <c r="Q24" i="1"/>
  <c r="P10" i="1"/>
  <c r="P20" i="1"/>
  <c r="W7" i="1"/>
  <c r="V7" i="1"/>
  <c r="U7" i="1"/>
  <c r="T7" i="1"/>
  <c r="S7" i="1"/>
  <c r="R7" i="1"/>
  <c r="Q7" i="1"/>
  <c r="P7" i="1"/>
  <c r="O7" i="1"/>
  <c r="O21" i="1" s="1"/>
  <c r="N7" i="1"/>
  <c r="N21" i="1" s="1"/>
  <c r="AG7" i="1" l="1"/>
  <c r="AA2" i="1"/>
  <c r="Z12" i="1"/>
  <c r="P21" i="1"/>
  <c r="Q17" i="1"/>
  <c r="Q13" i="1"/>
  <c r="O13" i="1"/>
  <c r="P13" i="1"/>
  <c r="N13" i="1"/>
  <c r="Q10" i="1"/>
  <c r="Q20" i="1"/>
  <c r="Q21" i="1" s="1"/>
  <c r="P3" i="1"/>
  <c r="AH7" i="1" l="1"/>
  <c r="AI7" i="1"/>
  <c r="AB2" i="1"/>
  <c r="AA12" i="1"/>
  <c r="N11" i="1"/>
  <c r="AC2" i="1" l="1"/>
  <c r="AB12" i="1"/>
  <c r="N26" i="1"/>
  <c r="O11" i="1"/>
  <c r="O26" i="1" l="1"/>
  <c r="AD2" i="1"/>
  <c r="AC12" i="1"/>
  <c r="P11" i="1"/>
  <c r="R24" i="1"/>
  <c r="AE2" i="1" l="1"/>
  <c r="AD12" i="1"/>
  <c r="P26" i="1"/>
  <c r="R17" i="1"/>
  <c r="R13" i="1"/>
  <c r="R10" i="1"/>
  <c r="R20" i="1"/>
  <c r="R21" i="1" s="1"/>
  <c r="Q3" i="1"/>
  <c r="Q11" i="1"/>
  <c r="S24" i="1"/>
  <c r="AF2" i="1" l="1"/>
  <c r="AE12" i="1"/>
  <c r="Q26" i="1"/>
  <c r="S17" i="1"/>
  <c r="S13" i="1"/>
  <c r="S10" i="1"/>
  <c r="S20" i="1"/>
  <c r="S21" i="1" s="1"/>
  <c r="R3" i="1"/>
  <c r="R11" i="1"/>
  <c r="R26" i="1" s="1"/>
  <c r="T24" i="1"/>
  <c r="AG2" i="1" l="1"/>
  <c r="AH2" i="1" s="1"/>
  <c r="AF12" i="1"/>
  <c r="T17" i="1"/>
  <c r="T13" i="1"/>
  <c r="T10" i="1"/>
  <c r="T20" i="1"/>
  <c r="T21" i="1" s="1"/>
  <c r="S3" i="1"/>
  <c r="S11" i="1"/>
  <c r="U24" i="1"/>
  <c r="AH20" i="1" l="1"/>
  <c r="AH21" i="1" s="1"/>
  <c r="AH12" i="1"/>
  <c r="AH13" i="1" s="1"/>
  <c r="AH10" i="1"/>
  <c r="AH11" i="1" s="1"/>
  <c r="AH24" i="1"/>
  <c r="AI2" i="1"/>
  <c r="AH17" i="1"/>
  <c r="AG12" i="1"/>
  <c r="S26" i="1"/>
  <c r="U17" i="1"/>
  <c r="U13" i="1"/>
  <c r="U10" i="1"/>
  <c r="U20" i="1"/>
  <c r="U21" i="1" s="1"/>
  <c r="T3" i="1"/>
  <c r="T11" i="1"/>
  <c r="V24" i="1"/>
  <c r="AI17" i="1" l="1"/>
  <c r="AI3" i="1"/>
  <c r="AI12" i="1"/>
  <c r="AI13" i="1" s="1"/>
  <c r="AI24" i="1"/>
  <c r="AI10" i="1"/>
  <c r="AI11" i="1" s="1"/>
  <c r="AI20" i="1"/>
  <c r="AI21" i="1" s="1"/>
  <c r="AH3" i="1"/>
  <c r="AH26" i="1"/>
  <c r="T26" i="1"/>
  <c r="V17" i="1"/>
  <c r="V13" i="1"/>
  <c r="V10" i="1"/>
  <c r="V20" i="1"/>
  <c r="V21" i="1" s="1"/>
  <c r="U3" i="1"/>
  <c r="U11" i="1"/>
  <c r="AI26" i="1" l="1"/>
  <c r="U26" i="1"/>
  <c r="W13" i="1"/>
  <c r="H13" i="1" s="1"/>
  <c r="W24" i="1"/>
  <c r="W17" i="1"/>
  <c r="H17" i="1" s="1"/>
  <c r="W3" i="1"/>
  <c r="W10" i="1"/>
  <c r="W20" i="1"/>
  <c r="W21" i="1" s="1"/>
  <c r="H21" i="1" s="1"/>
  <c r="V3" i="1"/>
  <c r="V11" i="1"/>
  <c r="V26" i="1" s="1"/>
  <c r="H24" i="1" l="1"/>
  <c r="X13" i="1"/>
  <c r="I13" i="1" s="1"/>
  <c r="X24" i="1"/>
  <c r="I24" i="1" s="1"/>
  <c r="X17" i="1"/>
  <c r="I17" i="1" s="1"/>
  <c r="X10" i="1"/>
  <c r="X11" i="1" s="1"/>
  <c r="X3" i="1"/>
  <c r="X20" i="1"/>
  <c r="X21" i="1" s="1"/>
  <c r="I21" i="1" s="1"/>
  <c r="W11" i="1"/>
  <c r="I11" i="1" l="1"/>
  <c r="W26" i="1"/>
  <c r="H11" i="1"/>
  <c r="Y13" i="1"/>
  <c r="J13" i="1" s="1"/>
  <c r="Y24" i="1"/>
  <c r="J24" i="1" s="1"/>
  <c r="X26" i="1"/>
  <c r="I26" i="1" s="1"/>
  <c r="Y17" i="1"/>
  <c r="J17" i="1" s="1"/>
  <c r="Y10" i="1"/>
  <c r="Y11" i="1" s="1"/>
  <c r="J11" i="1" s="1"/>
  <c r="Y20" i="1"/>
  <c r="Y21" i="1" s="1"/>
  <c r="J21" i="1" s="1"/>
  <c r="Y3" i="1"/>
  <c r="H26" i="1" l="1"/>
  <c r="Z13" i="1"/>
  <c r="Z24" i="1"/>
  <c r="Y26" i="1"/>
  <c r="J26" i="1" s="1"/>
  <c r="Z17" i="1"/>
  <c r="Z20" i="1"/>
  <c r="Z21" i="1" s="1"/>
  <c r="Z10" i="1"/>
  <c r="Z11" i="1" s="1"/>
  <c r="AA13" i="1" l="1"/>
  <c r="AA24" i="1"/>
  <c r="Z3" i="1"/>
  <c r="Z26" i="1"/>
  <c r="AA17" i="1"/>
  <c r="AA10" i="1"/>
  <c r="AA11" i="1" s="1"/>
  <c r="AA20" i="1"/>
  <c r="AA21" i="1" s="1"/>
  <c r="AB24" i="1"/>
  <c r="AA26" i="1" l="1"/>
  <c r="AA3" i="1"/>
  <c r="AB13" i="1"/>
  <c r="AB17" i="1"/>
  <c r="AB10" i="1"/>
  <c r="AB11" i="1" s="1"/>
  <c r="AB20" i="1"/>
  <c r="AB21" i="1" s="1"/>
  <c r="AB3" i="1"/>
  <c r="AC13" i="1" l="1"/>
  <c r="AC24" i="1"/>
  <c r="AB26" i="1"/>
  <c r="AC17" i="1"/>
  <c r="AC10" i="1"/>
  <c r="AC11" i="1" s="1"/>
  <c r="AC20" i="1"/>
  <c r="AC21" i="1" s="1"/>
  <c r="AD13" i="1" l="1"/>
  <c r="AD24" i="1"/>
  <c r="AC26" i="1"/>
  <c r="AC3" i="1"/>
  <c r="AD17" i="1"/>
  <c r="AD20" i="1"/>
  <c r="AD21" i="1" s="1"/>
  <c r="AD10" i="1"/>
  <c r="AD11" i="1" s="1"/>
  <c r="AE13" i="1" l="1"/>
  <c r="AE24" i="1"/>
  <c r="AD26" i="1"/>
  <c r="AD3" i="1"/>
  <c r="AE17" i="1"/>
  <c r="AE10" i="1"/>
  <c r="AE11" i="1" s="1"/>
  <c r="AE20" i="1"/>
  <c r="AE21" i="1" s="1"/>
  <c r="AF13" i="1" l="1"/>
  <c r="AF24" i="1"/>
  <c r="AE3" i="1"/>
  <c r="AE26" i="1"/>
  <c r="AF17" i="1"/>
  <c r="AF10" i="1"/>
  <c r="AF11" i="1" s="1"/>
  <c r="AF20" i="1"/>
  <c r="AF21" i="1" s="1"/>
  <c r="AG13" i="1" l="1"/>
  <c r="AG24" i="1"/>
  <c r="AF26" i="1"/>
  <c r="AF3" i="1"/>
  <c r="AG17" i="1"/>
  <c r="AG3" i="1"/>
  <c r="AG20" i="1"/>
  <c r="AG21" i="1" s="1"/>
  <c r="AG10" i="1"/>
  <c r="AG11" i="1" s="1"/>
  <c r="K24" i="1" l="1"/>
  <c r="L24" i="1"/>
  <c r="M24" i="1"/>
  <c r="K21" i="1"/>
  <c r="L21" i="1"/>
  <c r="M21" i="1"/>
  <c r="K17" i="1"/>
  <c r="L17" i="1"/>
  <c r="M17" i="1"/>
  <c r="K13" i="1"/>
  <c r="L13" i="1"/>
  <c r="M13" i="1"/>
  <c r="K11" i="1"/>
  <c r="M11" i="1"/>
  <c r="L11" i="1"/>
  <c r="AG26" i="1"/>
  <c r="K26" i="1" l="1"/>
  <c r="L26" i="1"/>
  <c r="M26" i="1"/>
</calcChain>
</file>

<file path=xl/sharedStrings.xml><?xml version="1.0" encoding="utf-8"?>
<sst xmlns="http://schemas.openxmlformats.org/spreadsheetml/2006/main" count="166" uniqueCount="129">
  <si>
    <t>Inflation</t>
  </si>
  <si>
    <t>Taux d'actualisation</t>
  </si>
  <si>
    <t>Appui financier</t>
  </si>
  <si>
    <t>Revenu marginal</t>
  </si>
  <si>
    <t>$/kW</t>
  </si>
  <si>
    <t>heures</t>
  </si>
  <si>
    <t>¢2021/kWh</t>
  </si>
  <si>
    <t>% déplacé</t>
  </si>
  <si>
    <t>¢/kWh</t>
  </si>
  <si>
    <t>Coûts évités</t>
  </si>
  <si>
    <t>Impact de l'Option</t>
  </si>
  <si>
    <t>énergie (GWh)</t>
  </si>
  <si>
    <t>puissance (MW)</t>
  </si>
  <si>
    <t>Coûts évités de fourniture</t>
  </si>
  <si>
    <t>M$</t>
  </si>
  <si>
    <t>Gain net (M$)</t>
  </si>
  <si>
    <t>$2020-kW</t>
  </si>
  <si>
    <t>¢2020/kWh</t>
  </si>
  <si>
    <t>Réserve</t>
  </si>
  <si>
    <t>VAN 
10 ans</t>
  </si>
  <si>
    <t>VAN 
20 ans</t>
  </si>
  <si>
    <t>$2021/kW</t>
  </si>
  <si>
    <t>Perte de revenus</t>
  </si>
  <si>
    <t>10 ans</t>
  </si>
  <si>
    <t>20 ans</t>
  </si>
  <si>
    <t>Coûts d'exploitation</t>
  </si>
  <si>
    <t>M$2021</t>
  </si>
  <si>
    <t>Coûs d'exploitation</t>
  </si>
  <si>
    <t>Puissance - long terme</t>
  </si>
  <si>
    <t>Puissance - court terme</t>
  </si>
  <si>
    <t>Énergie - long terme</t>
  </si>
  <si>
    <t>Énergie - court terme</t>
  </si>
  <si>
    <t>Année long terme (puis.)</t>
  </si>
  <si>
    <t>Année long terme (éner.)</t>
  </si>
  <si>
    <t>Option de GDP</t>
  </si>
  <si>
    <t>Heures d'interruption</t>
  </si>
  <si>
    <t>Paramètres économiques</t>
  </si>
  <si>
    <t>Tarif M (énergie)</t>
  </si>
  <si>
    <t>Énergie -  écart p/hp</t>
  </si>
  <si>
    <t>OÉI</t>
  </si>
  <si>
    <t>option 1</t>
  </si>
  <si>
    <t>Prime variable 20-40 heures</t>
  </si>
  <si>
    <t>Prime variable 40-100 heures</t>
  </si>
  <si>
    <t>Prime variable 0-20 heures (c/kWh)</t>
  </si>
  <si>
    <t>Prime fixe ($/kW)</t>
  </si>
  <si>
    <t>Compensation fixe</t>
  </si>
  <si>
    <t>Compensation 0-20 heures (c/kWh)</t>
  </si>
  <si>
    <t>Compensation 20-40 heures</t>
  </si>
  <si>
    <t>Compensation 40-100 heures</t>
  </si>
  <si>
    <t>Compensation totale</t>
  </si>
  <si>
    <t>2000+</t>
  </si>
  <si>
    <t>Compensation par tranche</t>
  </si>
  <si>
    <t>Effacement (kW)</t>
  </si>
  <si>
    <t>Total</t>
  </si>
  <si>
    <t>Tarif M</t>
  </si>
  <si>
    <t xml:space="preserve">De 50 à 250 </t>
  </si>
  <si>
    <t xml:space="preserve">De 250 à 500 </t>
  </si>
  <si>
    <t>De 500 à 1 000</t>
  </si>
  <si>
    <t>De 1 000 à 2 000</t>
  </si>
  <si>
    <t>2 000 et plus</t>
  </si>
  <si>
    <t>Total des abonnements</t>
  </si>
  <si>
    <t>Participants</t>
  </si>
  <si>
    <t>Taux de participation</t>
  </si>
  <si>
    <t>Participation</t>
  </si>
  <si>
    <t>Tarif LG</t>
  </si>
  <si>
    <t>0-50</t>
  </si>
  <si>
    <t>50-200</t>
  </si>
  <si>
    <t>Crédit hivernal</t>
  </si>
  <si>
    <t>Compensation variable ($/kWh)</t>
  </si>
  <si>
    <t>Compensation totale ($/kW)</t>
  </si>
  <si>
    <t>Moyenne (par kW)</t>
  </si>
  <si>
    <t>Par kWh (50 heures)</t>
  </si>
  <si>
    <t>Tarif G et G9</t>
  </si>
  <si>
    <t xml:space="preserve">De 1 799 et plus </t>
  </si>
  <si>
    <t xml:space="preserve">Total </t>
  </si>
  <si>
    <t>De 15 à 49</t>
  </si>
  <si>
    <t>De 50 à 199</t>
  </si>
  <si>
    <t>De 200 à 599</t>
  </si>
  <si>
    <t>De 600 à 1199</t>
  </si>
  <si>
    <t>De 1 200 à 1799</t>
  </si>
  <si>
    <t>De 0 à 14</t>
  </si>
  <si>
    <t>Abonnement</t>
  </si>
  <si>
    <t>Année d'adhésion</t>
  </si>
  <si>
    <t>Horizon d'analyse</t>
  </si>
  <si>
    <t>Puissance maximale appelée</t>
  </si>
  <si>
    <t>Crédit</t>
  </si>
  <si>
    <t xml:space="preserve"> Crédit = 85 $/kW</t>
  </si>
  <si>
    <t xml:space="preserve"> Crédit = 75 $/kW</t>
  </si>
  <si>
    <t xml:space="preserve"> Crédit = 70 $/kW</t>
  </si>
  <si>
    <t xml:space="preserve"> Crédit = 65 $/kW</t>
  </si>
  <si>
    <t xml:space="preserve"> Crédit = 60 $/kW</t>
  </si>
  <si>
    <t xml:space="preserve"> Crédit = 90 $/kW</t>
  </si>
  <si>
    <t>Sources: B-0117 et B-0102, p. 8</t>
  </si>
  <si>
    <t>Crédit moyen ($/kW)</t>
  </si>
  <si>
    <t>Niveau d'effacement (kW)</t>
  </si>
  <si>
    <t>Appui minimal énoncé ($/kW)</t>
  </si>
  <si>
    <t>438 (p)</t>
  </si>
  <si>
    <t>304 (p)</t>
  </si>
  <si>
    <t>1309 (p)</t>
  </si>
  <si>
    <t>5279 (p)</t>
  </si>
  <si>
    <t>150 (np #13)</t>
  </si>
  <si>
    <t>350 (np #20)</t>
  </si>
  <si>
    <t>200-600</t>
  </si>
  <si>
    <t>600-1200</t>
  </si>
  <si>
    <t>1200-2000</t>
  </si>
  <si>
    <t>De 0 à 50</t>
  </si>
  <si>
    <t>Tableau 1</t>
  </si>
  <si>
    <t>Scénario de base</t>
  </si>
  <si>
    <t>Facteur de conversion (kWh/L diesel)</t>
  </si>
  <si>
    <t>Prix du mazout ($/L)</t>
  </si>
  <si>
    <t>% efficacité des groupes électrogènes</t>
  </si>
  <si>
    <t>Source: B-0098, réponse 2.6</t>
  </si>
  <si>
    <t xml:space="preserve">Crédit électricité </t>
  </si>
  <si>
    <t>Coût de génération (c/kWh)</t>
  </si>
  <si>
    <t>Durée d'interruption (heures par hiver)</t>
  </si>
  <si>
    <t>Coût d'exploitation ($/kW-hiver)</t>
  </si>
  <si>
    <t>Nombre d'heures d'effacement</t>
  </si>
  <si>
    <t>Tableau 4</t>
  </si>
  <si>
    <t>Tableau 2</t>
  </si>
  <si>
    <t>r</t>
  </si>
  <si>
    <t>Source: B-0106, Tableua R-4.1-A</t>
  </si>
  <si>
    <t>Appui financier ($/kW)</t>
  </si>
  <si>
    <t>Effacement propre à la strate (kW)</t>
  </si>
  <si>
    <t>Coût  total ($)</t>
  </si>
  <si>
    <t>Crédit moyen selon le niveau d'effacement</t>
  </si>
  <si>
    <t>Répartition de l'effacement entre les strates</t>
  </si>
  <si>
    <t>Calcul de l'appui financier moyen</t>
  </si>
  <si>
    <t>Adhésion</t>
  </si>
  <si>
    <t>Scénario défavorable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</si>
</sst>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)\ _$_ ;_ * \(#,##0.00\)\ _$_ ;_ * &quot;-&quot;??_)\ _$_ ;_ @_ "/>
    <numFmt numFmtId="165" formatCode="_ * #,##0_)\ _$_ ;_ * \(#,##0\)\ _$_ ;_ * &quot;-&quot;??_)\ _$_ ;_ @_ "/>
    <numFmt numFmtId="166" formatCode="0.000%"/>
    <numFmt numFmtId="167" formatCode="_ * #,##0.0_)\ _$_ ;_ * \(#,##0.0\)\ _$_ ;_ * &quot;-&quot;??_)\ _$_ ;_ @_ "/>
    <numFmt numFmtId="168" formatCode="#,##0.0_);\(#,##0.0\)"/>
    <numFmt numFmtId="169" formatCode="0.00_);\(0.00\)"/>
    <numFmt numFmtId="170" formatCode="0_);\(0\)"/>
    <numFmt numFmtId="171" formatCode="0.0_);\(0.0\)"/>
    <numFmt numFmtId="172" formatCode="0.000_);\(0.000\)"/>
    <numFmt numFmtId="173" formatCode="0.0%"/>
    <numFmt numFmtId="174" formatCode="0.0"/>
    <numFmt numFmtId="175" formatCode="_-* #,##0.0_-;\-* #,##0.0_-;_-* &quot;-&quot;?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left" indent="1"/>
    </xf>
    <xf numFmtId="0" fontId="0" fillId="0" borderId="5" xfId="0" applyBorder="1"/>
    <xf numFmtId="0" fontId="2" fillId="0" borderId="5" xfId="0" applyFont="1" applyBorder="1" applyAlignment="1">
      <alignment horizontal="left" indent="1"/>
    </xf>
    <xf numFmtId="0" fontId="0" fillId="0" borderId="7" xfId="0" applyBorder="1"/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9" fontId="0" fillId="0" borderId="0" xfId="0" applyNumberFormat="1" applyBorder="1" applyAlignment="1">
      <alignment horizontal="right" indent="1"/>
    </xf>
    <xf numFmtId="170" fontId="4" fillId="0" borderId="0" xfId="1" applyNumberFormat="1" applyFont="1" applyBorder="1" applyAlignment="1">
      <alignment horizontal="right" indent="1"/>
    </xf>
    <xf numFmtId="170" fontId="4" fillId="0" borderId="6" xfId="1" applyNumberFormat="1" applyFont="1" applyBorder="1" applyAlignment="1">
      <alignment horizontal="right" indent="1"/>
    </xf>
    <xf numFmtId="169" fontId="4" fillId="0" borderId="0" xfId="0" applyNumberFormat="1" applyFont="1" applyBorder="1" applyAlignment="1">
      <alignment horizontal="right" indent="1"/>
    </xf>
    <xf numFmtId="169" fontId="4" fillId="0" borderId="6" xfId="0" applyNumberFormat="1" applyFont="1" applyBorder="1" applyAlignment="1">
      <alignment horizontal="right" indent="1"/>
    </xf>
    <xf numFmtId="169" fontId="2" fillId="0" borderId="0" xfId="1" applyNumberFormat="1" applyFont="1" applyBorder="1" applyAlignment="1">
      <alignment horizontal="right" indent="1"/>
    </xf>
    <xf numFmtId="170" fontId="4" fillId="0" borderId="0" xfId="1" quotePrefix="1" applyNumberFormat="1" applyFont="1" applyBorder="1" applyAlignment="1">
      <alignment horizontal="right" indent="1"/>
    </xf>
    <xf numFmtId="170" fontId="4" fillId="0" borderId="6" xfId="1" quotePrefix="1" applyNumberFormat="1" applyFont="1" applyBorder="1" applyAlignment="1">
      <alignment horizontal="right" indent="1"/>
    </xf>
    <xf numFmtId="170" fontId="2" fillId="0" borderId="0" xfId="1" applyNumberFormat="1" applyFont="1" applyBorder="1" applyAlignment="1">
      <alignment horizontal="right" indent="1"/>
    </xf>
    <xf numFmtId="170" fontId="5" fillId="0" borderId="0" xfId="1" quotePrefix="1" applyNumberFormat="1" applyFont="1" applyBorder="1" applyAlignment="1">
      <alignment horizontal="right" indent="1"/>
    </xf>
    <xf numFmtId="170" fontId="5" fillId="0" borderId="6" xfId="1" quotePrefix="1" applyNumberFormat="1" applyFont="1" applyBorder="1" applyAlignment="1">
      <alignment horizontal="right" indent="1"/>
    </xf>
    <xf numFmtId="169" fontId="4" fillId="0" borderId="0" xfId="1" quotePrefix="1" applyNumberFormat="1" applyFont="1" applyBorder="1" applyAlignment="1">
      <alignment horizontal="right" indent="1"/>
    </xf>
    <xf numFmtId="169" fontId="4" fillId="0" borderId="6" xfId="1" quotePrefix="1" applyNumberFormat="1" applyFon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170" fontId="2" fillId="0" borderId="6" xfId="1" applyNumberFormat="1" applyFont="1" applyBorder="1" applyAlignment="1">
      <alignment horizontal="right" indent="1"/>
    </xf>
    <xf numFmtId="169" fontId="0" fillId="0" borderId="0" xfId="1" applyNumberFormat="1" applyFont="1" applyBorder="1" applyAlignment="1">
      <alignment horizontal="right" indent="1"/>
    </xf>
    <xf numFmtId="169" fontId="0" fillId="0" borderId="6" xfId="1" applyNumberFormat="1" applyFont="1" applyBorder="1" applyAlignment="1">
      <alignment horizontal="right" indent="1"/>
    </xf>
    <xf numFmtId="170" fontId="0" fillId="0" borderId="11" xfId="0" applyNumberFormat="1" applyBorder="1" applyAlignment="1">
      <alignment horizontal="right" indent="1"/>
    </xf>
    <xf numFmtId="170" fontId="0" fillId="0" borderId="8" xfId="0" applyNumberFormat="1" applyBorder="1" applyAlignment="1">
      <alignment horizontal="right" indent="1"/>
    </xf>
    <xf numFmtId="170" fontId="2" fillId="2" borderId="9" xfId="0" applyNumberFormat="1" applyFont="1" applyFill="1" applyBorder="1" applyAlignment="1">
      <alignment horizontal="right" indent="1"/>
    </xf>
    <xf numFmtId="170" fontId="2" fillId="2" borderId="2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justify" vertical="center" wrapText="1"/>
    </xf>
    <xf numFmtId="168" fontId="2" fillId="0" borderId="0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170" fontId="4" fillId="0" borderId="14" xfId="1" applyNumberFormat="1" applyFont="1" applyBorder="1" applyAlignment="1">
      <alignment horizontal="right" indent="1"/>
    </xf>
    <xf numFmtId="169" fontId="4" fillId="0" borderId="14" xfId="0" applyNumberFormat="1" applyFont="1" applyBorder="1" applyAlignment="1">
      <alignment horizontal="right" indent="1"/>
    </xf>
    <xf numFmtId="170" fontId="4" fillId="0" borderId="14" xfId="1" quotePrefix="1" applyNumberFormat="1" applyFont="1" applyBorder="1" applyAlignment="1">
      <alignment horizontal="right" indent="1"/>
    </xf>
    <xf numFmtId="170" fontId="5" fillId="0" borderId="14" xfId="1" quotePrefix="1" applyNumberFormat="1" applyFont="1" applyBorder="1" applyAlignment="1">
      <alignment horizontal="right" indent="1"/>
    </xf>
    <xf numFmtId="169" fontId="4" fillId="0" borderId="14" xfId="1" quotePrefix="1" applyNumberFormat="1" applyFont="1" applyBorder="1" applyAlignment="1">
      <alignment horizontal="right" indent="1"/>
    </xf>
    <xf numFmtId="169" fontId="0" fillId="0" borderId="14" xfId="0" applyNumberFormat="1" applyBorder="1" applyAlignment="1">
      <alignment horizontal="right" indent="1"/>
    </xf>
    <xf numFmtId="170" fontId="2" fillId="0" borderId="14" xfId="1" applyNumberFormat="1" applyFont="1" applyBorder="1" applyAlignment="1">
      <alignment horizontal="right" indent="1"/>
    </xf>
    <xf numFmtId="169" fontId="0" fillId="0" borderId="14" xfId="1" applyNumberFormat="1" applyFont="1" applyBorder="1" applyAlignment="1">
      <alignment horizontal="right" indent="1"/>
    </xf>
    <xf numFmtId="170" fontId="0" fillId="0" borderId="15" xfId="0" applyNumberFormat="1" applyBorder="1" applyAlignment="1">
      <alignment horizontal="right" indent="1"/>
    </xf>
    <xf numFmtId="170" fontId="2" fillId="2" borderId="12" xfId="0" applyNumberFormat="1" applyFont="1" applyFill="1" applyBorder="1" applyAlignment="1">
      <alignment horizontal="right" indent="1"/>
    </xf>
    <xf numFmtId="169" fontId="2" fillId="0" borderId="6" xfId="1" applyNumberFormat="1" applyFont="1" applyBorder="1" applyAlignment="1">
      <alignment horizontal="right" indent="1"/>
    </xf>
    <xf numFmtId="170" fontId="2" fillId="2" borderId="2" xfId="1" applyNumberFormat="1" applyFont="1" applyFill="1" applyBorder="1" applyAlignment="1">
      <alignment horizontal="right" indent="1"/>
    </xf>
    <xf numFmtId="171" fontId="4" fillId="0" borderId="0" xfId="0" applyNumberFormat="1" applyFont="1" applyBorder="1" applyAlignment="1">
      <alignment horizontal="right" indent="1"/>
    </xf>
    <xf numFmtId="171" fontId="0" fillId="0" borderId="0" xfId="0" applyNumberFormat="1" applyBorder="1" applyAlignment="1">
      <alignment horizontal="right" indent="1"/>
    </xf>
    <xf numFmtId="171" fontId="2" fillId="0" borderId="0" xfId="1" applyNumberFormat="1" applyFont="1" applyBorder="1" applyAlignment="1">
      <alignment horizontal="right" indent="1"/>
    </xf>
    <xf numFmtId="171" fontId="0" fillId="0" borderId="0" xfId="1" applyNumberFormat="1" applyFont="1" applyBorder="1" applyAlignment="1">
      <alignment horizontal="right" indent="1"/>
    </xf>
    <xf numFmtId="171" fontId="0" fillId="0" borderId="11" xfId="0" applyNumberFormat="1" applyBorder="1" applyAlignment="1">
      <alignment horizontal="right" indent="1"/>
    </xf>
    <xf numFmtId="167" fontId="3" fillId="0" borderId="0" xfId="1" applyNumberFormat="1" applyFont="1"/>
    <xf numFmtId="0" fontId="0" fillId="0" borderId="10" xfId="0" applyBorder="1" applyAlignment="1">
      <alignment horizontal="right"/>
    </xf>
    <xf numFmtId="164" fontId="3" fillId="0" borderId="10" xfId="1" applyFont="1" applyBorder="1"/>
    <xf numFmtId="0" fontId="0" fillId="0" borderId="0" xfId="0" applyBorder="1" applyAlignment="1">
      <alignment horizontal="right"/>
    </xf>
    <xf numFmtId="164" fontId="3" fillId="0" borderId="0" xfId="1" applyFont="1" applyBorder="1"/>
    <xf numFmtId="0" fontId="0" fillId="0" borderId="11" xfId="0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>
      <alignment horizontal="center"/>
    </xf>
    <xf numFmtId="165" fontId="3" fillId="0" borderId="10" xfId="1" applyNumberFormat="1" applyFont="1" applyBorder="1"/>
    <xf numFmtId="165" fontId="3" fillId="0" borderId="0" xfId="1" applyNumberFormat="1" applyFont="1" applyBorder="1"/>
    <xf numFmtId="9" fontId="3" fillId="0" borderId="0" xfId="2" applyFont="1" applyBorder="1" applyAlignment="1">
      <alignment horizontal="center"/>
    </xf>
    <xf numFmtId="167" fontId="3" fillId="0" borderId="11" xfId="1" applyNumberFormat="1" applyFont="1" applyBorder="1"/>
    <xf numFmtId="9" fontId="3" fillId="0" borderId="1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9" xfId="0" applyBorder="1" applyAlignment="1">
      <alignment horizontal="right"/>
    </xf>
    <xf numFmtId="164" fontId="3" fillId="0" borderId="9" xfId="1" applyFont="1" applyBorder="1"/>
    <xf numFmtId="0" fontId="0" fillId="0" borderId="2" xfId="0" applyBorder="1"/>
    <xf numFmtId="9" fontId="3" fillId="0" borderId="11" xfId="0" applyNumberFormat="1" applyFont="1" applyBorder="1" applyAlignment="1">
      <alignment horizontal="center"/>
    </xf>
    <xf numFmtId="167" fontId="3" fillId="0" borderId="0" xfId="1" applyNumberFormat="1" applyFont="1" applyBorder="1"/>
    <xf numFmtId="167" fontId="3" fillId="0" borderId="10" xfId="1" applyNumberFormat="1" applyFont="1" applyBorder="1"/>
    <xf numFmtId="17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1" fontId="0" fillId="0" borderId="0" xfId="0" applyNumberFormat="1"/>
    <xf numFmtId="174" fontId="2" fillId="0" borderId="0" xfId="0" applyNumberFormat="1" applyFont="1"/>
    <xf numFmtId="0" fontId="0" fillId="0" borderId="16" xfId="0" applyBorder="1"/>
    <xf numFmtId="0" fontId="2" fillId="0" borderId="16" xfId="0" applyFont="1" applyBorder="1"/>
    <xf numFmtId="174" fontId="2" fillId="0" borderId="16" xfId="0" applyNumberFormat="1" applyFont="1" applyBorder="1"/>
    <xf numFmtId="0" fontId="2" fillId="0" borderId="0" xfId="0" applyFont="1" applyBorder="1"/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6" xfId="0" applyBorder="1" applyAlignment="1">
      <alignment horizontal="center"/>
    </xf>
    <xf numFmtId="1" fontId="0" fillId="0" borderId="16" xfId="0" applyNumberFormat="1" applyBorder="1"/>
    <xf numFmtId="0" fontId="0" fillId="0" borderId="0" xfId="0" applyBorder="1" applyAlignment="1">
      <alignment horizontal="center"/>
    </xf>
    <xf numFmtId="165" fontId="2" fillId="2" borderId="9" xfId="1" applyNumberFormat="1" applyFont="1" applyFill="1" applyBorder="1" applyAlignment="1">
      <alignment horizontal="right" inden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 applyFont="1" applyBorder="1" applyAlignment="1">
      <alignment horizontal="center" wrapText="1"/>
    </xf>
    <xf numFmtId="173" fontId="0" fillId="0" borderId="21" xfId="2" applyNumberFormat="1" applyFont="1" applyBorder="1" applyAlignment="1">
      <alignment horizontal="center"/>
    </xf>
    <xf numFmtId="0" fontId="0" fillId="0" borderId="22" xfId="0" applyBorder="1"/>
    <xf numFmtId="173" fontId="0" fillId="0" borderId="23" xfId="2" applyNumberFormat="1" applyFont="1" applyBorder="1" applyAlignment="1">
      <alignment horizontal="center"/>
    </xf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7" fontId="8" fillId="0" borderId="9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11" xfId="0" applyFont="1" applyBorder="1"/>
    <xf numFmtId="0" fontId="9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1" fontId="0" fillId="0" borderId="0" xfId="0" applyNumberFormat="1" applyBorder="1"/>
    <xf numFmtId="175" fontId="0" fillId="0" borderId="0" xfId="0" applyNumberFormat="1"/>
    <xf numFmtId="0" fontId="0" fillId="0" borderId="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1" xfId="0" applyFont="1" applyFill="1" applyBorder="1"/>
    <xf numFmtId="0" fontId="2" fillId="0" borderId="9" xfId="0" applyFont="1" applyBorder="1"/>
    <xf numFmtId="0" fontId="0" fillId="0" borderId="9" xfId="0" applyBorder="1"/>
    <xf numFmtId="174" fontId="10" fillId="0" borderId="0" xfId="0" applyNumberFormat="1" applyFont="1" applyAlignment="1">
      <alignment horizontal="center"/>
    </xf>
    <xf numFmtId="174" fontId="10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6" xfId="0" applyFill="1" applyBorder="1"/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righ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Border="1"/>
    <xf numFmtId="1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174" fontId="0" fillId="0" borderId="0" xfId="0" applyNumberFormat="1" applyAlignment="1">
      <alignment horizontal="center"/>
    </xf>
    <xf numFmtId="174" fontId="2" fillId="3" borderId="11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0" xfId="0" applyFont="1"/>
    <xf numFmtId="0" fontId="0" fillId="0" borderId="10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8"/>
  <sheetViews>
    <sheetView showGridLines="0" zoomScaleNormal="100" workbookViewId="0"/>
  </sheetViews>
  <sheetFormatPr baseColWidth="10" defaultColWidth="11.44140625" defaultRowHeight="13.2" outlineLevelRow="1" outlineLevelCol="1" x14ac:dyDescent="0.25"/>
  <cols>
    <col min="6" max="6" width="9.6640625" customWidth="1"/>
    <col min="7" max="7" width="24.109375" customWidth="1"/>
    <col min="8" max="13" width="9.5546875" customWidth="1"/>
    <col min="14" max="18" width="9.33203125" customWidth="1"/>
    <col min="19" max="21" width="9.33203125" customWidth="1" outlineLevel="1"/>
    <col min="22" max="22" width="9.33203125" customWidth="1"/>
    <col min="23" max="26" width="9.33203125" customWidth="1" outlineLevel="1"/>
    <col min="27" max="27" width="9.33203125" customWidth="1"/>
    <col min="28" max="31" width="9.33203125" customWidth="1" outlineLevel="1"/>
    <col min="32" max="33" width="9.33203125" customWidth="1"/>
  </cols>
  <sheetData>
    <row r="2" spans="2:35" hidden="1" outlineLevel="1" x14ac:dyDescent="0.25">
      <c r="N2" s="1">
        <v>2021</v>
      </c>
      <c r="O2" s="1">
        <f>N2+1</f>
        <v>2022</v>
      </c>
      <c r="P2" s="1">
        <f t="shared" ref="P2:W2" si="0">O2+1</f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>W2+1</f>
        <v>2031</v>
      </c>
      <c r="Y2" s="1">
        <f>X2+1</f>
        <v>2032</v>
      </c>
      <c r="Z2" s="1">
        <f t="shared" ref="Z2" si="1">Y2+1</f>
        <v>2033</v>
      </c>
      <c r="AA2" s="1">
        <f t="shared" ref="AA2" si="2">Z2+1</f>
        <v>2034</v>
      </c>
      <c r="AB2" s="1">
        <f t="shared" ref="AB2" si="3">AA2+1</f>
        <v>2035</v>
      </c>
      <c r="AC2" s="1">
        <f t="shared" ref="AC2" si="4">AB2+1</f>
        <v>2036</v>
      </c>
      <c r="AD2" s="1">
        <f t="shared" ref="AD2" si="5">AC2+1</f>
        <v>2037</v>
      </c>
      <c r="AE2" s="1">
        <f t="shared" ref="AE2" si="6">AD2+1</f>
        <v>2038</v>
      </c>
      <c r="AF2" s="1">
        <f t="shared" ref="AF2" si="7">AE2+1</f>
        <v>2039</v>
      </c>
      <c r="AG2" s="1">
        <f t="shared" ref="AG2" si="8">AF2+1</f>
        <v>2040</v>
      </c>
      <c r="AH2" s="1">
        <f>AG2+1</f>
        <v>2041</v>
      </c>
      <c r="AI2" s="1">
        <f t="shared" ref="AI2" si="9">AH2+1</f>
        <v>2042</v>
      </c>
    </row>
    <row r="3" spans="2:35" ht="26.4" collapsed="1" x14ac:dyDescent="0.25">
      <c r="G3" s="4"/>
      <c r="H3" s="15" t="s">
        <v>19</v>
      </c>
      <c r="I3" s="15" t="s">
        <v>19</v>
      </c>
      <c r="J3" s="15" t="s">
        <v>19</v>
      </c>
      <c r="K3" s="16" t="s">
        <v>20</v>
      </c>
      <c r="L3" s="16" t="s">
        <v>20</v>
      </c>
      <c r="M3" s="16" t="s">
        <v>20</v>
      </c>
      <c r="N3" s="15" t="str">
        <f t="shared" ref="N3:AI3" si="10">CONCATENATE(N2,"-",O2)</f>
        <v>2021-2022</v>
      </c>
      <c r="O3" s="15" t="str">
        <f t="shared" si="10"/>
        <v>2022-2023</v>
      </c>
      <c r="P3" s="15" t="str">
        <f t="shared" si="10"/>
        <v>2023-2024</v>
      </c>
      <c r="Q3" s="15" t="str">
        <f t="shared" si="10"/>
        <v>2024-2025</v>
      </c>
      <c r="R3" s="15" t="str">
        <f t="shared" si="10"/>
        <v>2025-2026</v>
      </c>
      <c r="S3" s="15" t="str">
        <f t="shared" si="10"/>
        <v>2026-2027</v>
      </c>
      <c r="T3" s="15" t="str">
        <f t="shared" si="10"/>
        <v>2027-2028</v>
      </c>
      <c r="U3" s="15" t="str">
        <f t="shared" si="10"/>
        <v>2028-2029</v>
      </c>
      <c r="V3" s="15" t="str">
        <f t="shared" si="10"/>
        <v>2029-2030</v>
      </c>
      <c r="W3" s="40" t="str">
        <f t="shared" si="10"/>
        <v>2030-2031</v>
      </c>
      <c r="X3" s="40" t="str">
        <f t="shared" si="10"/>
        <v>2031-2032</v>
      </c>
      <c r="Y3" s="40" t="str">
        <f t="shared" si="10"/>
        <v>2032-2033</v>
      </c>
      <c r="Z3" s="40" t="str">
        <f t="shared" si="10"/>
        <v>2033-2034</v>
      </c>
      <c r="AA3" s="40" t="str">
        <f t="shared" si="10"/>
        <v>2034-2035</v>
      </c>
      <c r="AB3" s="40" t="str">
        <f t="shared" si="10"/>
        <v>2035-2036</v>
      </c>
      <c r="AC3" s="15" t="str">
        <f t="shared" si="10"/>
        <v>2036-2037</v>
      </c>
      <c r="AD3" s="15" t="str">
        <f t="shared" si="10"/>
        <v>2037-2038</v>
      </c>
      <c r="AE3" s="15" t="str">
        <f t="shared" si="10"/>
        <v>2038-2039</v>
      </c>
      <c r="AF3" s="15" t="str">
        <f t="shared" si="10"/>
        <v>2039-2040</v>
      </c>
      <c r="AG3" s="16" t="str">
        <f t="shared" si="10"/>
        <v>2040-2041</v>
      </c>
      <c r="AH3" s="16" t="str">
        <f t="shared" si="10"/>
        <v>2041-2042</v>
      </c>
      <c r="AI3" s="16" t="str">
        <f t="shared" si="10"/>
        <v>2042-</v>
      </c>
    </row>
    <row r="4" spans="2:35" x14ac:dyDescent="0.25">
      <c r="B4" s="152" t="s">
        <v>9</v>
      </c>
      <c r="C4" s="153"/>
      <c r="D4" s="153"/>
      <c r="E4" s="154"/>
      <c r="G4" s="146" t="s">
        <v>127</v>
      </c>
      <c r="H4" s="150">
        <v>2021</v>
      </c>
      <c r="I4" s="150">
        <v>2022</v>
      </c>
      <c r="J4" s="150">
        <v>2023</v>
      </c>
      <c r="K4" s="150">
        <v>2021</v>
      </c>
      <c r="L4" s="150">
        <v>2022</v>
      </c>
      <c r="M4" s="150">
        <v>2023</v>
      </c>
      <c r="N4" s="6"/>
      <c r="O4" s="6"/>
      <c r="P4" s="6"/>
      <c r="Q4" s="6"/>
      <c r="R4" s="6"/>
      <c r="S4" s="6"/>
      <c r="T4" s="6"/>
      <c r="U4" s="6"/>
      <c r="V4" s="6"/>
      <c r="W4" s="41"/>
      <c r="X4" s="41"/>
      <c r="Y4" s="41"/>
      <c r="Z4" s="41"/>
      <c r="AA4" s="41"/>
      <c r="AB4" s="41"/>
      <c r="AC4" s="6"/>
      <c r="AD4" s="6"/>
      <c r="AE4" s="6"/>
      <c r="AF4" s="6"/>
      <c r="AG4" s="7"/>
      <c r="AH4" s="7"/>
      <c r="AI4" s="7"/>
    </row>
    <row r="5" spans="2:35" x14ac:dyDescent="0.25">
      <c r="B5" s="5"/>
      <c r="C5" s="61" t="s">
        <v>29</v>
      </c>
      <c r="D5" s="62">
        <v>20</v>
      </c>
      <c r="E5" s="7" t="s">
        <v>16</v>
      </c>
      <c r="G5" s="8" t="s">
        <v>10</v>
      </c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42"/>
      <c r="X5" s="42"/>
      <c r="Y5" s="42"/>
      <c r="Z5" s="42"/>
      <c r="AA5" s="42"/>
      <c r="AB5" s="42"/>
      <c r="AC5" s="9"/>
      <c r="AD5" s="9"/>
      <c r="AE5" s="9"/>
      <c r="AF5" s="9"/>
      <c r="AG5" s="10"/>
      <c r="AH5" s="10"/>
      <c r="AI5" s="10"/>
    </row>
    <row r="6" spans="2:35" x14ac:dyDescent="0.25">
      <c r="B6" s="12"/>
      <c r="C6" s="63" t="s">
        <v>28</v>
      </c>
      <c r="D6" s="64">
        <v>116</v>
      </c>
      <c r="E6" s="10" t="s">
        <v>16</v>
      </c>
      <c r="G6" s="11" t="s">
        <v>12</v>
      </c>
      <c r="H6" s="17"/>
      <c r="I6" s="17"/>
      <c r="J6" s="17"/>
      <c r="K6" s="30"/>
      <c r="L6" s="17"/>
      <c r="M6" s="17"/>
      <c r="N6" s="18">
        <v>1E-3</v>
      </c>
      <c r="O6" s="18">
        <f>N6</f>
        <v>1E-3</v>
      </c>
      <c r="P6" s="18">
        <f t="shared" ref="P6:AI6" si="11">O6</f>
        <v>1E-3</v>
      </c>
      <c r="Q6" s="18">
        <f t="shared" si="11"/>
        <v>1E-3</v>
      </c>
      <c r="R6" s="18">
        <f t="shared" si="11"/>
        <v>1E-3</v>
      </c>
      <c r="S6" s="18">
        <f t="shared" si="11"/>
        <v>1E-3</v>
      </c>
      <c r="T6" s="18">
        <f t="shared" si="11"/>
        <v>1E-3</v>
      </c>
      <c r="U6" s="18">
        <f t="shared" si="11"/>
        <v>1E-3</v>
      </c>
      <c r="V6" s="18">
        <f t="shared" si="11"/>
        <v>1E-3</v>
      </c>
      <c r="W6" s="18">
        <f t="shared" si="11"/>
        <v>1E-3</v>
      </c>
      <c r="X6" s="18">
        <f t="shared" si="11"/>
        <v>1E-3</v>
      </c>
      <c r="Y6" s="18">
        <f t="shared" si="11"/>
        <v>1E-3</v>
      </c>
      <c r="Z6" s="18">
        <f t="shared" si="11"/>
        <v>1E-3</v>
      </c>
      <c r="AA6" s="18">
        <f t="shared" si="11"/>
        <v>1E-3</v>
      </c>
      <c r="AB6" s="18">
        <f t="shared" si="11"/>
        <v>1E-3</v>
      </c>
      <c r="AC6" s="18">
        <f t="shared" si="11"/>
        <v>1E-3</v>
      </c>
      <c r="AD6" s="18">
        <f t="shared" si="11"/>
        <v>1E-3</v>
      </c>
      <c r="AE6" s="18">
        <f t="shared" si="11"/>
        <v>1E-3</v>
      </c>
      <c r="AF6" s="18">
        <f t="shared" si="11"/>
        <v>1E-3</v>
      </c>
      <c r="AG6" s="18">
        <f t="shared" si="11"/>
        <v>1E-3</v>
      </c>
      <c r="AH6" s="18">
        <f t="shared" si="11"/>
        <v>1E-3</v>
      </c>
      <c r="AI6" s="18">
        <f t="shared" si="11"/>
        <v>1E-3</v>
      </c>
    </row>
    <row r="7" spans="2:35" x14ac:dyDescent="0.25">
      <c r="B7" s="14"/>
      <c r="C7" s="65" t="s">
        <v>32</v>
      </c>
      <c r="D7" s="66">
        <v>2026</v>
      </c>
      <c r="E7" s="67"/>
      <c r="G7" s="11" t="s">
        <v>11</v>
      </c>
      <c r="H7" s="17"/>
      <c r="I7" s="17"/>
      <c r="J7" s="17"/>
      <c r="K7" s="30"/>
      <c r="L7" s="17"/>
      <c r="M7" s="17"/>
      <c r="N7" s="18">
        <f t="shared" ref="N7:AI7" si="12">$D$18*N6/1000*(1-$D$19)</f>
        <v>2.5000000000000001E-5</v>
      </c>
      <c r="O7" s="18">
        <f t="shared" si="12"/>
        <v>2.5000000000000001E-5</v>
      </c>
      <c r="P7" s="18">
        <f t="shared" si="12"/>
        <v>2.5000000000000001E-5</v>
      </c>
      <c r="Q7" s="18">
        <f t="shared" si="12"/>
        <v>2.5000000000000001E-5</v>
      </c>
      <c r="R7" s="18">
        <f t="shared" si="12"/>
        <v>2.5000000000000001E-5</v>
      </c>
      <c r="S7" s="18">
        <f t="shared" si="12"/>
        <v>2.5000000000000001E-5</v>
      </c>
      <c r="T7" s="18">
        <f t="shared" si="12"/>
        <v>2.5000000000000001E-5</v>
      </c>
      <c r="U7" s="18">
        <f t="shared" si="12"/>
        <v>2.5000000000000001E-5</v>
      </c>
      <c r="V7" s="18">
        <f t="shared" si="12"/>
        <v>2.5000000000000001E-5</v>
      </c>
      <c r="W7" s="43">
        <f t="shared" si="12"/>
        <v>2.5000000000000001E-5</v>
      </c>
      <c r="X7" s="43">
        <f t="shared" si="12"/>
        <v>2.5000000000000001E-5</v>
      </c>
      <c r="Y7" s="43">
        <f t="shared" si="12"/>
        <v>2.5000000000000001E-5</v>
      </c>
      <c r="Z7" s="43">
        <f t="shared" si="12"/>
        <v>2.5000000000000001E-5</v>
      </c>
      <c r="AA7" s="43">
        <f t="shared" si="12"/>
        <v>2.5000000000000001E-5</v>
      </c>
      <c r="AB7" s="43">
        <f t="shared" si="12"/>
        <v>2.5000000000000001E-5</v>
      </c>
      <c r="AC7" s="18">
        <f t="shared" si="12"/>
        <v>2.5000000000000001E-5</v>
      </c>
      <c r="AD7" s="18">
        <f t="shared" si="12"/>
        <v>2.5000000000000001E-5</v>
      </c>
      <c r="AE7" s="18">
        <f t="shared" si="12"/>
        <v>2.5000000000000001E-5</v>
      </c>
      <c r="AF7" s="18">
        <f t="shared" si="12"/>
        <v>2.5000000000000001E-5</v>
      </c>
      <c r="AG7" s="19">
        <f t="shared" si="12"/>
        <v>2.5000000000000001E-5</v>
      </c>
      <c r="AH7" s="19">
        <f t="shared" si="12"/>
        <v>2.5000000000000001E-5</v>
      </c>
      <c r="AI7" s="19">
        <f t="shared" si="12"/>
        <v>2.5000000000000001E-5</v>
      </c>
    </row>
    <row r="8" spans="2:35" x14ac:dyDescent="0.25">
      <c r="B8" s="5"/>
      <c r="C8" s="61" t="s">
        <v>31</v>
      </c>
      <c r="D8" s="81">
        <v>4.5</v>
      </c>
      <c r="E8" s="7" t="s">
        <v>17</v>
      </c>
      <c r="G8" s="12"/>
      <c r="H8" s="17"/>
      <c r="I8" s="17"/>
      <c r="J8" s="17"/>
      <c r="K8" s="30"/>
      <c r="L8" s="17"/>
      <c r="M8" s="17"/>
      <c r="N8" s="20"/>
      <c r="O8" s="20"/>
      <c r="P8" s="55"/>
      <c r="Q8" s="55"/>
      <c r="R8" s="20"/>
      <c r="S8" s="20"/>
      <c r="T8" s="20"/>
      <c r="U8" s="20"/>
      <c r="V8" s="20"/>
      <c r="W8" s="44"/>
      <c r="X8" s="44"/>
      <c r="Y8" s="44"/>
      <c r="Z8" s="44"/>
      <c r="AA8" s="44"/>
      <c r="AB8" s="44"/>
      <c r="AC8" s="20"/>
      <c r="AD8" s="20"/>
      <c r="AE8" s="20"/>
      <c r="AF8" s="20"/>
      <c r="AG8" s="21"/>
      <c r="AH8" s="21"/>
      <c r="AI8" s="21"/>
    </row>
    <row r="9" spans="2:35" x14ac:dyDescent="0.25">
      <c r="B9" s="12"/>
      <c r="C9" s="63" t="s">
        <v>38</v>
      </c>
      <c r="D9" s="80">
        <v>1.3260000000000001</v>
      </c>
      <c r="E9" s="10" t="s">
        <v>17</v>
      </c>
      <c r="G9" s="8" t="s">
        <v>13</v>
      </c>
      <c r="H9" s="17"/>
      <c r="I9" s="17"/>
      <c r="J9" s="17"/>
      <c r="K9" s="30"/>
      <c r="L9" s="17"/>
      <c r="M9" s="17"/>
      <c r="N9" s="20"/>
      <c r="O9" s="20"/>
      <c r="P9" s="55"/>
      <c r="Q9" s="55"/>
      <c r="R9" s="20"/>
      <c r="S9" s="20"/>
      <c r="T9" s="20"/>
      <c r="U9" s="20"/>
      <c r="V9" s="20"/>
      <c r="W9" s="44"/>
      <c r="X9" s="44"/>
      <c r="Y9" s="44"/>
      <c r="Z9" s="44"/>
      <c r="AA9" s="44"/>
      <c r="AB9" s="44"/>
      <c r="AC9" s="20"/>
      <c r="AD9" s="20"/>
      <c r="AE9" s="20"/>
      <c r="AF9" s="20"/>
      <c r="AG9" s="21"/>
      <c r="AH9" s="21"/>
      <c r="AI9" s="21"/>
    </row>
    <row r="10" spans="2:35" x14ac:dyDescent="0.25">
      <c r="B10" s="12"/>
      <c r="C10" s="63" t="s">
        <v>30</v>
      </c>
      <c r="D10" s="80">
        <v>8.4</v>
      </c>
      <c r="E10" s="10" t="s">
        <v>17</v>
      </c>
      <c r="G10" s="11" t="s">
        <v>4</v>
      </c>
      <c r="H10" s="22"/>
      <c r="I10" s="22"/>
      <c r="J10" s="22"/>
      <c r="K10" s="53"/>
      <c r="L10" s="22"/>
      <c r="M10" s="22"/>
      <c r="N10" s="23">
        <f t="shared" ref="N10:AI10" si="13">IF(N2&lt;$D$7,$D$5,$D$6)*(1+$D$23)^(N2-2020)*(1-$D$25)</f>
        <v>16.931999999999999</v>
      </c>
      <c r="O10" s="23">
        <f t="shared" si="13"/>
        <v>17.27064</v>
      </c>
      <c r="P10" s="23">
        <f t="shared" si="13"/>
        <v>17.616052799999999</v>
      </c>
      <c r="Q10" s="23">
        <f t="shared" si="13"/>
        <v>17.968373855999999</v>
      </c>
      <c r="R10" s="23">
        <f t="shared" si="13"/>
        <v>18.327741333120002</v>
      </c>
      <c r="S10" s="23">
        <f t="shared" si="13"/>
        <v>108.42691772673791</v>
      </c>
      <c r="T10" s="23">
        <f t="shared" si="13"/>
        <v>110.59545608127266</v>
      </c>
      <c r="U10" s="23">
        <f t="shared" si="13"/>
        <v>112.80736520289813</v>
      </c>
      <c r="V10" s="23">
        <f t="shared" si="13"/>
        <v>115.06351250695609</v>
      </c>
      <c r="W10" s="45">
        <f t="shared" si="13"/>
        <v>117.3647827570952</v>
      </c>
      <c r="X10" s="45">
        <f t="shared" si="13"/>
        <v>119.71207841223709</v>
      </c>
      <c r="Y10" s="45">
        <f t="shared" si="13"/>
        <v>122.10631998048184</v>
      </c>
      <c r="Z10" s="45">
        <f t="shared" si="13"/>
        <v>124.54844638009148</v>
      </c>
      <c r="AA10" s="45">
        <f t="shared" si="13"/>
        <v>127.03941530769332</v>
      </c>
      <c r="AB10" s="45">
        <f t="shared" si="13"/>
        <v>129.58020361384717</v>
      </c>
      <c r="AC10" s="23">
        <f t="shared" si="13"/>
        <v>132.17180768612414</v>
      </c>
      <c r="AD10" s="23">
        <f t="shared" si="13"/>
        <v>134.81524383984663</v>
      </c>
      <c r="AE10" s="23">
        <f t="shared" si="13"/>
        <v>137.51154871664352</v>
      </c>
      <c r="AF10" s="23">
        <f t="shared" si="13"/>
        <v>140.2617796909764</v>
      </c>
      <c r="AG10" s="24">
        <f t="shared" si="13"/>
        <v>143.06701528479593</v>
      </c>
      <c r="AH10" s="24">
        <f t="shared" si="13"/>
        <v>145.92835559049183</v>
      </c>
      <c r="AI10" s="24">
        <f t="shared" si="13"/>
        <v>148.84692270230167</v>
      </c>
    </row>
    <row r="11" spans="2:35" x14ac:dyDescent="0.25">
      <c r="B11" s="14"/>
      <c r="C11" s="65" t="s">
        <v>33</v>
      </c>
      <c r="D11" s="66">
        <v>2027</v>
      </c>
      <c r="E11" s="67"/>
      <c r="G11" s="13" t="s">
        <v>14</v>
      </c>
      <c r="H11" s="25">
        <f>NPV($D$24,N11:W11)*(1+$D$24)</f>
        <v>4.847478656245788E-4</v>
      </c>
      <c r="I11" s="25">
        <f>NPV($D$24,O11:X11)*(1+$D$24)</f>
        <v>5.6862714874841153E-4</v>
      </c>
      <c r="J11" s="25">
        <f>NPV($D$24,P11:Y11)*(1+$D$24)</f>
        <v>6.5779827788824932E-4</v>
      </c>
      <c r="K11" s="31">
        <f>NPV($D$24,N11:AG11)*(1+$D$24)</f>
        <v>1.1433993451888057E-3</v>
      </c>
      <c r="L11" s="31">
        <f>NPV($D$24,O11:AH11)*(1+$D$24)</f>
        <v>1.2404516579039232E-3</v>
      </c>
      <c r="M11" s="31">
        <f>NPV($D$24,P11:AI11)*(1+$D$24)</f>
        <v>1.3430592772268712E-3</v>
      </c>
      <c r="N11" s="26">
        <f t="shared" ref="N11:AI11" si="14">N10*N6/1000</f>
        <v>1.6932E-5</v>
      </c>
      <c r="O11" s="26">
        <f t="shared" si="14"/>
        <v>1.727064E-5</v>
      </c>
      <c r="P11" s="26">
        <f t="shared" si="14"/>
        <v>1.7616052800000001E-5</v>
      </c>
      <c r="Q11" s="26">
        <f t="shared" si="14"/>
        <v>1.7968373855999999E-5</v>
      </c>
      <c r="R11" s="26">
        <f t="shared" si="14"/>
        <v>1.8327741333120002E-5</v>
      </c>
      <c r="S11" s="26">
        <f t="shared" si="14"/>
        <v>1.0842691772673791E-4</v>
      </c>
      <c r="T11" s="26">
        <f t="shared" si="14"/>
        <v>1.1059545608127266E-4</v>
      </c>
      <c r="U11" s="26">
        <f t="shared" si="14"/>
        <v>1.1280736520289812E-4</v>
      </c>
      <c r="V11" s="26">
        <f t="shared" si="14"/>
        <v>1.150635125069561E-4</v>
      </c>
      <c r="W11" s="46">
        <f t="shared" si="14"/>
        <v>1.1736478275709521E-4</v>
      </c>
      <c r="X11" s="46">
        <f t="shared" si="14"/>
        <v>1.1971207841223709E-4</v>
      </c>
      <c r="Y11" s="46">
        <f t="shared" si="14"/>
        <v>1.2210631998048183E-4</v>
      </c>
      <c r="Z11" s="46">
        <f t="shared" si="14"/>
        <v>1.2454844638009149E-4</v>
      </c>
      <c r="AA11" s="46">
        <f t="shared" si="14"/>
        <v>1.2703941530769333E-4</v>
      </c>
      <c r="AB11" s="46">
        <f t="shared" si="14"/>
        <v>1.2958020361384718E-4</v>
      </c>
      <c r="AC11" s="26">
        <f t="shared" si="14"/>
        <v>1.3217180768612414E-4</v>
      </c>
      <c r="AD11" s="26">
        <f t="shared" si="14"/>
        <v>1.3481524383984663E-4</v>
      </c>
      <c r="AE11" s="26">
        <f t="shared" si="14"/>
        <v>1.3751154871664354E-4</v>
      </c>
      <c r="AF11" s="26">
        <f t="shared" si="14"/>
        <v>1.4026177969097639E-4</v>
      </c>
      <c r="AG11" s="27">
        <f t="shared" si="14"/>
        <v>1.4306701528479592E-4</v>
      </c>
      <c r="AH11" s="27">
        <f t="shared" si="14"/>
        <v>1.4592835559049184E-4</v>
      </c>
      <c r="AI11" s="27">
        <f t="shared" si="14"/>
        <v>1.4884692270230169E-4</v>
      </c>
    </row>
    <row r="12" spans="2:35" x14ac:dyDescent="0.25">
      <c r="B12" s="9"/>
      <c r="C12" s="63"/>
      <c r="D12" s="68"/>
      <c r="E12" s="9"/>
      <c r="G12" s="11" t="s">
        <v>8</v>
      </c>
      <c r="H12" s="22"/>
      <c r="I12" s="22"/>
      <c r="J12" s="22"/>
      <c r="K12" s="53"/>
      <c r="L12" s="53"/>
      <c r="M12" s="53"/>
      <c r="N12" s="28">
        <f>IF(N2&lt;$D$11,$D$8+$D$9/2,$D$10)*(1+$D$23)^(N2-2020)</f>
        <v>5.2662599999999999</v>
      </c>
      <c r="O12" s="28">
        <f t="shared" ref="O12:AI12" si="15">IF(O2&lt;$D$11,$D$8+$D$9/2,$D$10)*(1+$D$23)^(O2-2020)</f>
        <v>5.3715852000000002</v>
      </c>
      <c r="P12" s="28">
        <f t="shared" si="15"/>
        <v>5.4790169039999999</v>
      </c>
      <c r="Q12" s="28">
        <f t="shared" si="15"/>
        <v>5.5885972420800005</v>
      </c>
      <c r="R12" s="28">
        <f t="shared" si="15"/>
        <v>5.7003691869216002</v>
      </c>
      <c r="S12" s="28">
        <f t="shared" si="15"/>
        <v>5.8143765706600323</v>
      </c>
      <c r="T12" s="28">
        <f t="shared" si="15"/>
        <v>9.6489596082539517</v>
      </c>
      <c r="U12" s="28">
        <f t="shared" si="15"/>
        <v>9.8419388004190314</v>
      </c>
      <c r="V12" s="28">
        <f t="shared" si="15"/>
        <v>10.038777576427412</v>
      </c>
      <c r="W12" s="47">
        <f t="shared" si="15"/>
        <v>10.23955312795596</v>
      </c>
      <c r="X12" s="47">
        <f t="shared" si="15"/>
        <v>10.444344190515077</v>
      </c>
      <c r="Y12" s="47">
        <f t="shared" si="15"/>
        <v>10.653231074325381</v>
      </c>
      <c r="Z12" s="47">
        <f t="shared" si="15"/>
        <v>10.866295695811887</v>
      </c>
      <c r="AA12" s="47">
        <f t="shared" si="15"/>
        <v>11.083621609728127</v>
      </c>
      <c r="AB12" s="47">
        <f t="shared" si="15"/>
        <v>11.305294041922686</v>
      </c>
      <c r="AC12" s="28">
        <f t="shared" si="15"/>
        <v>11.531399922761141</v>
      </c>
      <c r="AD12" s="28">
        <f t="shared" si="15"/>
        <v>11.762027921216365</v>
      </c>
      <c r="AE12" s="28">
        <f t="shared" si="15"/>
        <v>11.997268479640692</v>
      </c>
      <c r="AF12" s="28">
        <f t="shared" si="15"/>
        <v>12.237213849233505</v>
      </c>
      <c r="AG12" s="29">
        <f t="shared" si="15"/>
        <v>12.481958126218176</v>
      </c>
      <c r="AH12" s="29">
        <f t="shared" si="15"/>
        <v>12.731597288742538</v>
      </c>
      <c r="AI12" s="29">
        <f t="shared" si="15"/>
        <v>12.98622923451739</v>
      </c>
    </row>
    <row r="13" spans="2:35" x14ac:dyDescent="0.25">
      <c r="B13" s="152" t="s">
        <v>3</v>
      </c>
      <c r="C13" s="153"/>
      <c r="D13" s="153"/>
      <c r="E13" s="154"/>
      <c r="G13" s="13" t="s">
        <v>14</v>
      </c>
      <c r="H13" s="25">
        <f>NPV($D$24,N13:W13)*(1+$D$24)</f>
        <v>1.4338456869283623E-5</v>
      </c>
      <c r="I13" s="25">
        <f>NPV($D$24,O13:X13)*(1+$D$24)</f>
        <v>1.5358027183534294E-5</v>
      </c>
      <c r="J13" s="25">
        <f>NPV($D$24,P13:Y13)*(1+$D$24)</f>
        <v>1.643369097740684E-5</v>
      </c>
      <c r="K13" s="31">
        <f>NPV($D$24,N13:AG13)*(1+$D$24)</f>
        <v>2.870455685977881E-5</v>
      </c>
      <c r="L13" s="31">
        <f>NPV($D$24,O13:AH13)*(1+$D$24)</f>
        <v>3.0011449173839387E-5</v>
      </c>
      <c r="M13" s="31">
        <f>NPV($D$24,P13:AI13)*(1+$D$24)</f>
        <v>3.1380181407518037E-5</v>
      </c>
      <c r="N13" s="26">
        <f t="shared" ref="N13:AI13" si="16">N12*N7/100</f>
        <v>1.3165649999999999E-6</v>
      </c>
      <c r="O13" s="26">
        <f t="shared" si="16"/>
        <v>1.3428963E-6</v>
      </c>
      <c r="P13" s="26">
        <f t="shared" si="16"/>
        <v>1.369754226E-6</v>
      </c>
      <c r="Q13" s="26">
        <f t="shared" si="16"/>
        <v>1.3971493105200002E-6</v>
      </c>
      <c r="R13" s="26">
        <f t="shared" si="16"/>
        <v>1.4250922967304E-6</v>
      </c>
      <c r="S13" s="26">
        <f t="shared" si="16"/>
        <v>1.4535941426650082E-6</v>
      </c>
      <c r="T13" s="26">
        <f t="shared" si="16"/>
        <v>2.4122399020634877E-6</v>
      </c>
      <c r="U13" s="26">
        <f t="shared" si="16"/>
        <v>2.460484700104758E-6</v>
      </c>
      <c r="V13" s="26">
        <f t="shared" si="16"/>
        <v>2.5096943941068533E-6</v>
      </c>
      <c r="W13" s="46">
        <f t="shared" si="16"/>
        <v>2.5598882819889902E-6</v>
      </c>
      <c r="X13" s="46">
        <f t="shared" si="16"/>
        <v>2.6110860476287697E-6</v>
      </c>
      <c r="Y13" s="46">
        <f t="shared" si="16"/>
        <v>2.6633077685813452E-6</v>
      </c>
      <c r="Z13" s="46">
        <f t="shared" si="16"/>
        <v>2.7165739239529721E-6</v>
      </c>
      <c r="AA13" s="46">
        <f t="shared" si="16"/>
        <v>2.7709054024320316E-6</v>
      </c>
      <c r="AB13" s="46">
        <f t="shared" si="16"/>
        <v>2.8263235104806712E-6</v>
      </c>
      <c r="AC13" s="26">
        <f t="shared" si="16"/>
        <v>2.8828499806902855E-6</v>
      </c>
      <c r="AD13" s="26">
        <f t="shared" si="16"/>
        <v>2.9405069803040916E-6</v>
      </c>
      <c r="AE13" s="26">
        <f t="shared" si="16"/>
        <v>2.9993171199101735E-6</v>
      </c>
      <c r="AF13" s="26">
        <f t="shared" si="16"/>
        <v>3.0593034623083765E-6</v>
      </c>
      <c r="AG13" s="27">
        <f t="shared" si="16"/>
        <v>3.1204895315545438E-6</v>
      </c>
      <c r="AH13" s="27">
        <f t="shared" si="16"/>
        <v>3.1828993221856348E-6</v>
      </c>
      <c r="AI13" s="27">
        <f t="shared" si="16"/>
        <v>3.2465573086293477E-6</v>
      </c>
    </row>
    <row r="14" spans="2:35" x14ac:dyDescent="0.25">
      <c r="B14" s="75"/>
      <c r="C14" s="76" t="s">
        <v>37</v>
      </c>
      <c r="D14" s="77">
        <v>4.4400000000000004</v>
      </c>
      <c r="E14" s="78" t="s">
        <v>6</v>
      </c>
      <c r="G14" s="12"/>
      <c r="H14" s="17"/>
      <c r="I14" s="17"/>
      <c r="J14" s="17"/>
      <c r="K14" s="30"/>
      <c r="L14" s="30"/>
      <c r="M14" s="30"/>
      <c r="N14" s="17"/>
      <c r="O14" s="17"/>
      <c r="P14" s="56"/>
      <c r="Q14" s="56"/>
      <c r="R14" s="17"/>
      <c r="S14" s="17"/>
      <c r="T14" s="17"/>
      <c r="U14" s="17"/>
      <c r="V14" s="17"/>
      <c r="W14" s="48"/>
      <c r="X14" s="48"/>
      <c r="Y14" s="48"/>
      <c r="Z14" s="48"/>
      <c r="AA14" s="48"/>
      <c r="AB14" s="48"/>
      <c r="AC14" s="17"/>
      <c r="AD14" s="17"/>
      <c r="AE14" s="17"/>
      <c r="AF14" s="17"/>
      <c r="AG14" s="30"/>
      <c r="AH14" s="30"/>
      <c r="AI14" s="30"/>
    </row>
    <row r="15" spans="2:35" x14ac:dyDescent="0.25">
      <c r="B15" s="9"/>
      <c r="C15" s="63"/>
      <c r="D15" s="64"/>
      <c r="E15" s="9"/>
      <c r="G15" s="8" t="s">
        <v>2</v>
      </c>
      <c r="H15" s="25"/>
      <c r="I15" s="25"/>
      <c r="J15" s="25"/>
      <c r="K15" s="31"/>
      <c r="L15" s="31"/>
      <c r="M15" s="31"/>
      <c r="N15" s="25"/>
      <c r="O15" s="25"/>
      <c r="P15" s="57"/>
      <c r="Q15" s="57"/>
      <c r="R15" s="25"/>
      <c r="S15" s="25"/>
      <c r="T15" s="25"/>
      <c r="U15" s="25"/>
      <c r="V15" s="25"/>
      <c r="W15" s="49"/>
      <c r="X15" s="49"/>
      <c r="Y15" s="49"/>
      <c r="Z15" s="49"/>
      <c r="AA15" s="49"/>
      <c r="AB15" s="49"/>
      <c r="AC15" s="25"/>
      <c r="AD15" s="25"/>
      <c r="AE15" s="25"/>
      <c r="AF15" s="25"/>
      <c r="AG15" s="31"/>
      <c r="AH15" s="31"/>
      <c r="AI15" s="31"/>
    </row>
    <row r="16" spans="2:35" x14ac:dyDescent="0.25">
      <c r="B16" s="152" t="s">
        <v>34</v>
      </c>
      <c r="C16" s="153"/>
      <c r="D16" s="153"/>
      <c r="E16" s="154"/>
      <c r="G16" s="11" t="s">
        <v>4</v>
      </c>
      <c r="H16" s="22"/>
      <c r="I16" s="22"/>
      <c r="J16" s="22"/>
      <c r="K16" s="53"/>
      <c r="L16" s="53"/>
      <c r="M16" s="53"/>
      <c r="N16" s="23">
        <f>-$D$17</f>
        <v>-60</v>
      </c>
      <c r="O16" s="23">
        <f t="shared" ref="O16:AI16" si="17">-$D$17</f>
        <v>-60</v>
      </c>
      <c r="P16" s="23">
        <f t="shared" si="17"/>
        <v>-60</v>
      </c>
      <c r="Q16" s="23">
        <f t="shared" si="17"/>
        <v>-60</v>
      </c>
      <c r="R16" s="23">
        <f t="shared" si="17"/>
        <v>-60</v>
      </c>
      <c r="S16" s="23">
        <f t="shared" si="17"/>
        <v>-60</v>
      </c>
      <c r="T16" s="23">
        <f t="shared" si="17"/>
        <v>-60</v>
      </c>
      <c r="U16" s="23">
        <f t="shared" si="17"/>
        <v>-60</v>
      </c>
      <c r="V16" s="23">
        <f t="shared" si="17"/>
        <v>-60</v>
      </c>
      <c r="W16" s="23">
        <f t="shared" si="17"/>
        <v>-60</v>
      </c>
      <c r="X16" s="23">
        <f t="shared" si="17"/>
        <v>-60</v>
      </c>
      <c r="Y16" s="23">
        <f t="shared" si="17"/>
        <v>-60</v>
      </c>
      <c r="Z16" s="23">
        <f t="shared" si="17"/>
        <v>-60</v>
      </c>
      <c r="AA16" s="23">
        <f t="shared" si="17"/>
        <v>-60</v>
      </c>
      <c r="AB16" s="23">
        <f t="shared" si="17"/>
        <v>-60</v>
      </c>
      <c r="AC16" s="23">
        <f t="shared" si="17"/>
        <v>-60</v>
      </c>
      <c r="AD16" s="23">
        <f t="shared" si="17"/>
        <v>-60</v>
      </c>
      <c r="AE16" s="23">
        <f t="shared" si="17"/>
        <v>-60</v>
      </c>
      <c r="AF16" s="23">
        <f t="shared" si="17"/>
        <v>-60</v>
      </c>
      <c r="AG16" s="23">
        <f t="shared" si="17"/>
        <v>-60</v>
      </c>
      <c r="AH16" s="23">
        <f t="shared" si="17"/>
        <v>-60</v>
      </c>
      <c r="AI16" s="23">
        <f t="shared" si="17"/>
        <v>-60</v>
      </c>
    </row>
    <row r="17" spans="2:35" x14ac:dyDescent="0.25">
      <c r="B17" s="5"/>
      <c r="C17" s="61" t="s">
        <v>2</v>
      </c>
      <c r="D17" s="69">
        <v>60</v>
      </c>
      <c r="E17" s="7" t="s">
        <v>21</v>
      </c>
      <c r="G17" s="13" t="s">
        <v>14</v>
      </c>
      <c r="H17" s="25">
        <f>NPV($D$24,N17:W17)*(1+$D$24)</f>
        <v>-4.8891071733667916E-4</v>
      </c>
      <c r="I17" s="25">
        <f>NPV($D$24,O17:X17)*(1+$D$24)</f>
        <v>-4.8891071733667916E-4</v>
      </c>
      <c r="J17" s="25">
        <f>NPV($D$24,P17:Y17)*(1+$D$24)</f>
        <v>-4.8891071733667916E-4</v>
      </c>
      <c r="K17" s="31">
        <f>NPV($D$24,N17:AG17)*(1+$D$24)</f>
        <v>-7.9274309546398551E-4</v>
      </c>
      <c r="L17" s="31">
        <f>NPV($D$24,O17:AH17)*(1+$D$24)</f>
        <v>-7.9274309546398551E-4</v>
      </c>
      <c r="M17" s="31">
        <f>NPV($D$24,P17:AI17)*(1+$D$24)</f>
        <v>-7.9274309546398551E-4</v>
      </c>
      <c r="N17" s="26">
        <f t="shared" ref="N17:AI17" si="18">N16*N6/1000</f>
        <v>-5.9999999999999995E-5</v>
      </c>
      <c r="O17" s="26">
        <f t="shared" si="18"/>
        <v>-5.9999999999999995E-5</v>
      </c>
      <c r="P17" s="26">
        <f t="shared" si="18"/>
        <v>-5.9999999999999995E-5</v>
      </c>
      <c r="Q17" s="26">
        <f t="shared" si="18"/>
        <v>-5.9999999999999995E-5</v>
      </c>
      <c r="R17" s="26">
        <f t="shared" si="18"/>
        <v>-5.9999999999999995E-5</v>
      </c>
      <c r="S17" s="26">
        <f t="shared" si="18"/>
        <v>-5.9999999999999995E-5</v>
      </c>
      <c r="T17" s="26">
        <f t="shared" si="18"/>
        <v>-5.9999999999999995E-5</v>
      </c>
      <c r="U17" s="26">
        <f t="shared" si="18"/>
        <v>-5.9999999999999995E-5</v>
      </c>
      <c r="V17" s="26">
        <f t="shared" si="18"/>
        <v>-5.9999999999999995E-5</v>
      </c>
      <c r="W17" s="46">
        <f t="shared" si="18"/>
        <v>-5.9999999999999995E-5</v>
      </c>
      <c r="X17" s="46">
        <f t="shared" si="18"/>
        <v>-5.9999999999999995E-5</v>
      </c>
      <c r="Y17" s="46">
        <f t="shared" si="18"/>
        <v>-5.9999999999999995E-5</v>
      </c>
      <c r="Z17" s="46">
        <f t="shared" si="18"/>
        <v>-5.9999999999999995E-5</v>
      </c>
      <c r="AA17" s="46">
        <f t="shared" si="18"/>
        <v>-5.9999999999999995E-5</v>
      </c>
      <c r="AB17" s="46">
        <f t="shared" si="18"/>
        <v>-5.9999999999999995E-5</v>
      </c>
      <c r="AC17" s="26">
        <f t="shared" si="18"/>
        <v>-5.9999999999999995E-5</v>
      </c>
      <c r="AD17" s="26">
        <f t="shared" si="18"/>
        <v>-5.9999999999999995E-5</v>
      </c>
      <c r="AE17" s="26">
        <f t="shared" si="18"/>
        <v>-5.9999999999999995E-5</v>
      </c>
      <c r="AF17" s="26">
        <f t="shared" si="18"/>
        <v>-5.9999999999999995E-5</v>
      </c>
      <c r="AG17" s="27">
        <f t="shared" si="18"/>
        <v>-5.9999999999999995E-5</v>
      </c>
      <c r="AH17" s="27">
        <f t="shared" si="18"/>
        <v>-5.9999999999999995E-5</v>
      </c>
      <c r="AI17" s="27">
        <f t="shared" si="18"/>
        <v>-5.9999999999999995E-5</v>
      </c>
    </row>
    <row r="18" spans="2:35" x14ac:dyDescent="0.25">
      <c r="B18" s="12"/>
      <c r="C18" s="63" t="s">
        <v>35</v>
      </c>
      <c r="D18" s="70">
        <v>50</v>
      </c>
      <c r="E18" s="10" t="s">
        <v>5</v>
      </c>
      <c r="G18" s="8"/>
      <c r="H18" s="25"/>
      <c r="I18" s="25"/>
      <c r="J18" s="25"/>
      <c r="K18" s="31"/>
      <c r="L18" s="31"/>
      <c r="M18" s="31"/>
      <c r="N18" s="25"/>
      <c r="O18" s="25"/>
      <c r="P18" s="57"/>
      <c r="Q18" s="57"/>
      <c r="R18" s="25"/>
      <c r="S18" s="25"/>
      <c r="T18" s="25"/>
      <c r="U18" s="25"/>
      <c r="V18" s="25"/>
      <c r="W18" s="49"/>
      <c r="X18" s="49"/>
      <c r="Y18" s="49"/>
      <c r="Z18" s="49"/>
      <c r="AA18" s="49"/>
      <c r="AB18" s="49"/>
      <c r="AC18" s="25"/>
      <c r="AD18" s="25"/>
      <c r="AE18" s="25"/>
      <c r="AF18" s="25"/>
      <c r="AG18" s="31"/>
      <c r="AH18" s="31"/>
      <c r="AI18" s="31"/>
    </row>
    <row r="19" spans="2:35" x14ac:dyDescent="0.25">
      <c r="B19" s="12"/>
      <c r="C19" s="63" t="s">
        <v>7</v>
      </c>
      <c r="D19" s="71">
        <v>0.5</v>
      </c>
      <c r="E19" s="10"/>
      <c r="G19" s="8" t="s">
        <v>22</v>
      </c>
      <c r="H19" s="22"/>
      <c r="I19" s="22"/>
      <c r="J19" s="22"/>
      <c r="K19" s="53"/>
      <c r="L19" s="53"/>
      <c r="M19" s="53"/>
      <c r="N19" s="32"/>
      <c r="O19" s="32"/>
      <c r="P19" s="58"/>
      <c r="Q19" s="58"/>
      <c r="R19" s="32"/>
      <c r="S19" s="32"/>
      <c r="T19" s="32"/>
      <c r="U19" s="32"/>
      <c r="V19" s="32"/>
      <c r="W19" s="50"/>
      <c r="X19" s="50"/>
      <c r="Y19" s="50"/>
      <c r="Z19" s="50"/>
      <c r="AA19" s="50"/>
      <c r="AB19" s="50"/>
      <c r="AC19" s="32"/>
      <c r="AD19" s="32"/>
      <c r="AE19" s="32"/>
      <c r="AF19" s="32"/>
      <c r="AG19" s="33"/>
      <c r="AH19" s="33"/>
      <c r="AI19" s="33"/>
    </row>
    <row r="20" spans="2:35" x14ac:dyDescent="0.25">
      <c r="B20" s="14"/>
      <c r="C20" s="65" t="s">
        <v>25</v>
      </c>
      <c r="D20" s="72">
        <v>0</v>
      </c>
      <c r="E20" s="67" t="s">
        <v>26</v>
      </c>
      <c r="G20" s="11" t="s">
        <v>8</v>
      </c>
      <c r="H20" s="22"/>
      <c r="I20" s="22"/>
      <c r="J20" s="22"/>
      <c r="K20" s="53"/>
      <c r="L20" s="53"/>
      <c r="M20" s="53"/>
      <c r="N20" s="28">
        <f t="shared" ref="N20:AI20" si="19">-$D$14*(1+$D$23)^(N2-2021)</f>
        <v>-4.4400000000000004</v>
      </c>
      <c r="O20" s="28">
        <f t="shared" si="19"/>
        <v>-4.5288000000000004</v>
      </c>
      <c r="P20" s="28">
        <f t="shared" si="19"/>
        <v>-4.6193759999999999</v>
      </c>
      <c r="Q20" s="28">
        <f t="shared" si="19"/>
        <v>-4.7117635199999999</v>
      </c>
      <c r="R20" s="28">
        <f t="shared" si="19"/>
        <v>-4.8059987904000003</v>
      </c>
      <c r="S20" s="28">
        <f t="shared" si="19"/>
        <v>-4.9021187662080008</v>
      </c>
      <c r="T20" s="28">
        <f t="shared" si="19"/>
        <v>-5.0001611415321605</v>
      </c>
      <c r="U20" s="28">
        <f t="shared" si="19"/>
        <v>-5.1001643643628025</v>
      </c>
      <c r="V20" s="28">
        <f t="shared" si="19"/>
        <v>-5.2021676516500595</v>
      </c>
      <c r="W20" s="47">
        <f t="shared" si="19"/>
        <v>-5.3062110046830604</v>
      </c>
      <c r="X20" s="47">
        <f t="shared" si="19"/>
        <v>-5.4123352247767222</v>
      </c>
      <c r="Y20" s="47">
        <f t="shared" si="19"/>
        <v>-5.5205819292722556</v>
      </c>
      <c r="Z20" s="47">
        <f t="shared" si="19"/>
        <v>-5.6309935678577014</v>
      </c>
      <c r="AA20" s="47">
        <f t="shared" si="19"/>
        <v>-5.7436134392148555</v>
      </c>
      <c r="AB20" s="47">
        <f t="shared" si="19"/>
        <v>-5.8584857079991526</v>
      </c>
      <c r="AC20" s="28">
        <f t="shared" si="19"/>
        <v>-5.975655422159134</v>
      </c>
      <c r="AD20" s="28">
        <f t="shared" si="19"/>
        <v>-6.0951685306023178</v>
      </c>
      <c r="AE20" s="28">
        <f t="shared" si="19"/>
        <v>-6.2170719012143651</v>
      </c>
      <c r="AF20" s="28">
        <f t="shared" si="19"/>
        <v>-6.3414133392386516</v>
      </c>
      <c r="AG20" s="29">
        <f t="shared" si="19"/>
        <v>-6.4682416060234242</v>
      </c>
      <c r="AH20" s="29">
        <f t="shared" si="19"/>
        <v>-6.5976064381438935</v>
      </c>
      <c r="AI20" s="29">
        <f t="shared" si="19"/>
        <v>-6.7295585669067703</v>
      </c>
    </row>
    <row r="21" spans="2:35" x14ac:dyDescent="0.25">
      <c r="C21" s="2"/>
      <c r="D21" s="60"/>
      <c r="G21" s="13" t="s">
        <v>14</v>
      </c>
      <c r="H21" s="25">
        <f>NPV($D$24,N21:W21)*(1+$D$24)</f>
        <v>-9.8273445787642266E-6</v>
      </c>
      <c r="I21" s="25">
        <f>NPV($D$24,O21:X21)*(1+$D$24)</f>
        <v>-1.0023891470339511E-5</v>
      </c>
      <c r="J21" s="25">
        <f>NPV($D$24,P21:Y21)*(1+$D$24)</f>
        <v>-1.0224369299746303E-5</v>
      </c>
      <c r="K21" s="31">
        <f>NPV($D$24,N21:AG21)*(1+$D$24)</f>
        <v>-1.7271962220897586E-5</v>
      </c>
      <c r="L21" s="31">
        <f>NPV($D$24,O21:AH21)*(1+$D$24)</f>
        <v>-1.7617401465315538E-5</v>
      </c>
      <c r="M21" s="31">
        <f>NPV($D$24,P21:AI21)*(1+$D$24)</f>
        <v>-1.796974949462185E-5</v>
      </c>
      <c r="N21" s="26">
        <f t="shared" ref="N21:AI21" si="20">N20*N7/100</f>
        <v>-1.1100000000000002E-6</v>
      </c>
      <c r="O21" s="26">
        <f t="shared" si="20"/>
        <v>-1.1322000000000001E-6</v>
      </c>
      <c r="P21" s="26">
        <f t="shared" si="20"/>
        <v>-1.1548440000000001E-6</v>
      </c>
      <c r="Q21" s="26">
        <f t="shared" si="20"/>
        <v>-1.17794088E-6</v>
      </c>
      <c r="R21" s="26">
        <f t="shared" si="20"/>
        <v>-1.2014996976000001E-6</v>
      </c>
      <c r="S21" s="26">
        <f t="shared" si="20"/>
        <v>-1.2255296915520001E-6</v>
      </c>
      <c r="T21" s="26">
        <f t="shared" si="20"/>
        <v>-1.2500402853830404E-6</v>
      </c>
      <c r="U21" s="26">
        <f t="shared" si="20"/>
        <v>-1.2750410910907009E-6</v>
      </c>
      <c r="V21" s="26">
        <f t="shared" si="20"/>
        <v>-1.300541912912515E-6</v>
      </c>
      <c r="W21" s="46">
        <f t="shared" si="20"/>
        <v>-1.3265527511707652E-6</v>
      </c>
      <c r="X21" s="46">
        <f t="shared" si="20"/>
        <v>-1.3530838061941805E-6</v>
      </c>
      <c r="Y21" s="46">
        <f t="shared" si="20"/>
        <v>-1.3801454823180638E-6</v>
      </c>
      <c r="Z21" s="46">
        <f t="shared" si="20"/>
        <v>-1.4077483919644253E-6</v>
      </c>
      <c r="AA21" s="46">
        <f t="shared" si="20"/>
        <v>-1.4359033598037141E-6</v>
      </c>
      <c r="AB21" s="46">
        <f t="shared" si="20"/>
        <v>-1.4646214269997883E-6</v>
      </c>
      <c r="AC21" s="26">
        <f t="shared" si="20"/>
        <v>-1.4939138555397836E-6</v>
      </c>
      <c r="AD21" s="26">
        <f t="shared" si="20"/>
        <v>-1.5237921326505795E-6</v>
      </c>
      <c r="AE21" s="26">
        <f t="shared" si="20"/>
        <v>-1.5542679753035915E-6</v>
      </c>
      <c r="AF21" s="26">
        <f t="shared" si="20"/>
        <v>-1.5853533348096629E-6</v>
      </c>
      <c r="AG21" s="27">
        <f t="shared" si="20"/>
        <v>-1.6170604015058561E-6</v>
      </c>
      <c r="AH21" s="27">
        <f t="shared" si="20"/>
        <v>-1.6494016095359735E-6</v>
      </c>
      <c r="AI21" s="27">
        <f t="shared" si="20"/>
        <v>-1.6823896417266926E-6</v>
      </c>
    </row>
    <row r="22" spans="2:35" outlineLevel="1" x14ac:dyDescent="0.25">
      <c r="B22" s="152" t="s">
        <v>36</v>
      </c>
      <c r="C22" s="153"/>
      <c r="D22" s="153"/>
      <c r="E22" s="154"/>
      <c r="G22" s="12"/>
      <c r="H22" s="17"/>
      <c r="I22" s="17"/>
      <c r="J22" s="17"/>
      <c r="K22" s="30"/>
      <c r="L22" s="30"/>
      <c r="M22" s="30"/>
      <c r="N22" s="17"/>
      <c r="O22" s="17"/>
      <c r="P22" s="56"/>
      <c r="Q22" s="56"/>
      <c r="R22" s="17"/>
      <c r="S22" s="17"/>
      <c r="T22" s="17"/>
      <c r="U22" s="17"/>
      <c r="V22" s="17"/>
      <c r="W22" s="48"/>
      <c r="X22" s="48"/>
      <c r="Y22" s="48"/>
      <c r="Z22" s="48"/>
      <c r="AA22" s="48"/>
      <c r="AB22" s="48"/>
      <c r="AC22" s="17"/>
      <c r="AD22" s="17"/>
      <c r="AE22" s="17"/>
      <c r="AF22" s="17"/>
      <c r="AG22" s="30"/>
      <c r="AH22" s="30"/>
      <c r="AI22" s="30"/>
    </row>
    <row r="23" spans="2:35" outlineLevel="1" x14ac:dyDescent="0.25">
      <c r="B23" s="5"/>
      <c r="C23" s="61" t="s">
        <v>0</v>
      </c>
      <c r="D23" s="73">
        <v>0.02</v>
      </c>
      <c r="E23" s="7"/>
      <c r="G23" s="8" t="s">
        <v>27</v>
      </c>
      <c r="H23" s="25"/>
      <c r="I23" s="25"/>
      <c r="J23" s="25"/>
      <c r="K23" s="31"/>
      <c r="L23" s="31"/>
      <c r="M23" s="31"/>
      <c r="N23" s="25"/>
      <c r="O23" s="25"/>
      <c r="P23" s="57"/>
      <c r="Q23" s="57"/>
      <c r="R23" s="25"/>
      <c r="S23" s="25"/>
      <c r="T23" s="25"/>
      <c r="U23" s="25"/>
      <c r="V23" s="25"/>
      <c r="W23" s="49"/>
      <c r="X23" s="49"/>
      <c r="Y23" s="49"/>
      <c r="Z23" s="49"/>
      <c r="AA23" s="49"/>
      <c r="AB23" s="49"/>
      <c r="AC23" s="25"/>
      <c r="AD23" s="25"/>
      <c r="AE23" s="25"/>
      <c r="AF23" s="25"/>
      <c r="AG23" s="31"/>
      <c r="AH23" s="31"/>
      <c r="AI23" s="31"/>
    </row>
    <row r="24" spans="2:35" outlineLevel="1" x14ac:dyDescent="0.25">
      <c r="B24" s="12"/>
      <c r="C24" s="63" t="s">
        <v>1</v>
      </c>
      <c r="D24" s="74">
        <v>4.8719999999999999E-2</v>
      </c>
      <c r="E24" s="10"/>
      <c r="G24" s="13" t="s">
        <v>14</v>
      </c>
      <c r="H24" s="25">
        <f>NPV($D$24,N24:W24)*(1+$D$24)</f>
        <v>0</v>
      </c>
      <c r="I24" s="25">
        <f>NPV($D$24,O24:X24)*(1+$D$24)</f>
        <v>0</v>
      </c>
      <c r="J24" s="25">
        <f>NPV($D$24,P24:Y24)*(1+$D$24)</f>
        <v>0</v>
      </c>
      <c r="K24" s="31">
        <f>NPV($D$24,N24:AG24)*(1+$D$24)</f>
        <v>0</v>
      </c>
      <c r="L24" s="31">
        <f>NPV($D$24,O24:AH24)*(1+$D$24)</f>
        <v>0</v>
      </c>
      <c r="M24" s="31">
        <f>NPV($D$24,P24:AI24)*(1+$D$24)</f>
        <v>0</v>
      </c>
      <c r="N24" s="23">
        <f t="shared" ref="N24:AI24" si="21">-$D$20*(1+$D$23)^(N2-2021)</f>
        <v>0</v>
      </c>
      <c r="O24" s="23">
        <f t="shared" si="21"/>
        <v>0</v>
      </c>
      <c r="P24" s="23">
        <f t="shared" si="21"/>
        <v>0</v>
      </c>
      <c r="Q24" s="23">
        <f t="shared" si="21"/>
        <v>0</v>
      </c>
      <c r="R24" s="23">
        <f t="shared" si="21"/>
        <v>0</v>
      </c>
      <c r="S24" s="23">
        <f t="shared" si="21"/>
        <v>0</v>
      </c>
      <c r="T24" s="23">
        <f t="shared" si="21"/>
        <v>0</v>
      </c>
      <c r="U24" s="23">
        <f t="shared" si="21"/>
        <v>0</v>
      </c>
      <c r="V24" s="23">
        <f t="shared" si="21"/>
        <v>0</v>
      </c>
      <c r="W24" s="45">
        <f t="shared" si="21"/>
        <v>0</v>
      </c>
      <c r="X24" s="45">
        <f t="shared" si="21"/>
        <v>0</v>
      </c>
      <c r="Y24" s="45">
        <f t="shared" si="21"/>
        <v>0</v>
      </c>
      <c r="Z24" s="45">
        <f t="shared" si="21"/>
        <v>0</v>
      </c>
      <c r="AA24" s="45">
        <f t="shared" si="21"/>
        <v>0</v>
      </c>
      <c r="AB24" s="45">
        <f t="shared" si="21"/>
        <v>0</v>
      </c>
      <c r="AC24" s="23">
        <f t="shared" si="21"/>
        <v>0</v>
      </c>
      <c r="AD24" s="23">
        <f t="shared" si="21"/>
        <v>0</v>
      </c>
      <c r="AE24" s="23">
        <f t="shared" si="21"/>
        <v>0</v>
      </c>
      <c r="AF24" s="23">
        <f t="shared" si="21"/>
        <v>0</v>
      </c>
      <c r="AG24" s="24">
        <f t="shared" si="21"/>
        <v>0</v>
      </c>
      <c r="AH24" s="24">
        <f t="shared" si="21"/>
        <v>0</v>
      </c>
      <c r="AI24" s="24">
        <f t="shared" si="21"/>
        <v>0</v>
      </c>
    </row>
    <row r="25" spans="2:35" x14ac:dyDescent="0.25">
      <c r="B25" s="14"/>
      <c r="C25" s="65" t="s">
        <v>18</v>
      </c>
      <c r="D25" s="79">
        <v>0.17</v>
      </c>
      <c r="E25" s="67"/>
      <c r="G25" s="14"/>
      <c r="H25" s="34"/>
      <c r="I25" s="34"/>
      <c r="J25" s="34"/>
      <c r="K25" s="35"/>
      <c r="L25" s="35"/>
      <c r="M25" s="35"/>
      <c r="N25" s="34"/>
      <c r="O25" s="34"/>
      <c r="P25" s="59"/>
      <c r="Q25" s="59"/>
      <c r="R25" s="34"/>
      <c r="S25" s="34"/>
      <c r="T25" s="34"/>
      <c r="U25" s="34"/>
      <c r="V25" s="34"/>
      <c r="W25" s="51"/>
      <c r="X25" s="51"/>
      <c r="Y25" s="51"/>
      <c r="Z25" s="51"/>
      <c r="AA25" s="51"/>
      <c r="AB25" s="51"/>
      <c r="AC25" s="34"/>
      <c r="AD25" s="34"/>
      <c r="AE25" s="34"/>
      <c r="AF25" s="34"/>
      <c r="AG25" s="35"/>
      <c r="AH25" s="35"/>
      <c r="AI25" s="35"/>
    </row>
    <row r="26" spans="2:35" x14ac:dyDescent="0.25">
      <c r="G26" s="3" t="s">
        <v>15</v>
      </c>
      <c r="H26" s="98">
        <f>NPV($D$24,N26:W26)*(1+$D$24)*1000000</f>
        <v>0.34826057841892011</v>
      </c>
      <c r="I26" s="98">
        <f t="shared" ref="I26:J26" si="22">NPV($D$24,O26:X26)*(1+$D$24)*1000000</f>
        <v>85.050567124927014</v>
      </c>
      <c r="J26" s="98">
        <f t="shared" si="22"/>
        <v>175.09688222923066</v>
      </c>
      <c r="K26" s="54">
        <f>NPV($D$24,N26:AG26)*(1+$D$24)*1000000</f>
        <v>362.08884436370136</v>
      </c>
      <c r="L26" s="54">
        <f>NPV($D$24,O26:AH26)*(1+$D$24)*1000000</f>
        <v>460.10261014846117</v>
      </c>
      <c r="M26" s="54">
        <f>NPV($D$24,P26:AI26)*(1+$D$24)*1000000</f>
        <v>563.72661367578166</v>
      </c>
      <c r="N26" s="36">
        <f t="shared" ref="N26:AI26" si="23">N11+N13+N17+N21+N24</f>
        <v>-4.2861434999999998E-5</v>
      </c>
      <c r="O26" s="36">
        <f t="shared" si="23"/>
        <v>-4.2518663699999997E-5</v>
      </c>
      <c r="P26" s="36">
        <f t="shared" si="23"/>
        <v>-4.2169036973999988E-5</v>
      </c>
      <c r="Q26" s="36">
        <f t="shared" si="23"/>
        <v>-4.1812417713480002E-5</v>
      </c>
      <c r="R26" s="36">
        <f t="shared" si="23"/>
        <v>-4.1448666067749594E-5</v>
      </c>
      <c r="S26" s="36">
        <f t="shared" si="23"/>
        <v>4.865498217785093E-5</v>
      </c>
      <c r="T26" s="36">
        <f t="shared" si="23"/>
        <v>5.1757655697953113E-5</v>
      </c>
      <c r="U26" s="36">
        <f t="shared" si="23"/>
        <v>5.3992808811912187E-5</v>
      </c>
      <c r="V26" s="36">
        <f t="shared" si="23"/>
        <v>5.6272664988150441E-5</v>
      </c>
      <c r="W26" s="52">
        <f t="shared" si="23"/>
        <v>5.8598118287913444E-5</v>
      </c>
      <c r="X26" s="52">
        <f t="shared" si="23"/>
        <v>6.097008065367169E-5</v>
      </c>
      <c r="Y26" s="52">
        <f t="shared" si="23"/>
        <v>6.338948226674512E-5</v>
      </c>
      <c r="Z26" s="52">
        <f t="shared" si="23"/>
        <v>6.5857271912080041E-5</v>
      </c>
      <c r="AA26" s="52">
        <f t="shared" si="23"/>
        <v>6.8374417350321667E-5</v>
      </c>
      <c r="AB26" s="52">
        <f t="shared" si="23"/>
        <v>7.0941905697328086E-5</v>
      </c>
      <c r="AC26" s="36">
        <f t="shared" si="23"/>
        <v>7.3560743811274638E-5</v>
      </c>
      <c r="AD26" s="36">
        <f t="shared" si="23"/>
        <v>7.6231958687500149E-5</v>
      </c>
      <c r="AE26" s="36">
        <f t="shared" si="23"/>
        <v>7.8956597861250125E-5</v>
      </c>
      <c r="AF26" s="36">
        <f t="shared" si="23"/>
        <v>8.1735729818475106E-5</v>
      </c>
      <c r="AG26" s="37">
        <f t="shared" si="23"/>
        <v>8.4570444414844618E-5</v>
      </c>
      <c r="AH26" s="37">
        <f t="shared" si="23"/>
        <v>8.7461853303141506E-5</v>
      </c>
      <c r="AI26" s="37">
        <f t="shared" si="23"/>
        <v>9.041109036920436E-5</v>
      </c>
    </row>
    <row r="27" spans="2:35" x14ac:dyDescent="0.25">
      <c r="H27" s="82"/>
      <c r="I27" s="82"/>
      <c r="J27" s="82"/>
      <c r="K27" s="82"/>
      <c r="L27" s="82"/>
      <c r="M27" s="82"/>
    </row>
    <row r="29" spans="2:35" x14ac:dyDescent="0.25">
      <c r="G29" s="83" t="s">
        <v>106</v>
      </c>
    </row>
    <row r="30" spans="2:35" ht="15.6" x14ac:dyDescent="0.25">
      <c r="G30" s="111" t="s">
        <v>83</v>
      </c>
      <c r="H30" s="151" t="s">
        <v>23</v>
      </c>
      <c r="I30" s="151"/>
      <c r="J30" s="151"/>
      <c r="K30" s="151" t="s">
        <v>24</v>
      </c>
      <c r="L30" s="151"/>
      <c r="M30" s="151"/>
      <c r="Y30" s="38"/>
      <c r="Z30" s="39"/>
    </row>
    <row r="31" spans="2:35" ht="15.6" x14ac:dyDescent="0.25">
      <c r="G31" s="111" t="s">
        <v>82</v>
      </c>
      <c r="H31" s="116">
        <v>2021</v>
      </c>
      <c r="I31" s="116">
        <v>2022</v>
      </c>
      <c r="J31" s="116">
        <v>2023</v>
      </c>
      <c r="K31" s="116">
        <v>2021</v>
      </c>
      <c r="L31" s="116">
        <v>2022</v>
      </c>
      <c r="M31" s="116">
        <v>2023</v>
      </c>
    </row>
    <row r="32" spans="2:35" ht="15.6" x14ac:dyDescent="0.25">
      <c r="G32" s="112" t="s">
        <v>91</v>
      </c>
      <c r="H32" s="113">
        <v>-244.10709808992067</v>
      </c>
      <c r="I32" s="113">
        <v>-159.40479154341259</v>
      </c>
      <c r="J32" s="113">
        <v>-69.358476439108927</v>
      </c>
      <c r="K32" s="113">
        <v>-34.28270336829155</v>
      </c>
      <c r="L32" s="113">
        <v>63.731062416468319</v>
      </c>
      <c r="M32" s="114">
        <v>167.35506594378879</v>
      </c>
    </row>
    <row r="33" spans="7:33" ht="15.6" x14ac:dyDescent="0.25">
      <c r="G33" s="112" t="s">
        <v>86</v>
      </c>
      <c r="H33" s="113">
        <v>-203.36453831186421</v>
      </c>
      <c r="I33" s="113">
        <v>-118.66223176535608</v>
      </c>
      <c r="J33" s="113">
        <v>-28.615916661052434</v>
      </c>
      <c r="K33" s="113">
        <v>31.779221253707057</v>
      </c>
      <c r="L33" s="113">
        <v>129.79298703846695</v>
      </c>
      <c r="M33" s="114">
        <v>233.41699056578739</v>
      </c>
    </row>
    <row r="34" spans="7:33" ht="15.6" x14ac:dyDescent="0.25">
      <c r="G34" s="112" t="s">
        <v>87</v>
      </c>
      <c r="H34" s="113">
        <v>-121.87941875575089</v>
      </c>
      <c r="I34" s="113">
        <v>-37.177112209242793</v>
      </c>
      <c r="J34" s="113">
        <v>52.869202895060873</v>
      </c>
      <c r="K34" s="113">
        <v>163.90307049770487</v>
      </c>
      <c r="L34" s="113">
        <v>261.91683628246471</v>
      </c>
      <c r="M34" s="114">
        <v>365.54083980978521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7:33" ht="15.6" x14ac:dyDescent="0.25">
      <c r="G35" s="112" t="s">
        <v>88</v>
      </c>
      <c r="H35" s="113">
        <v>-81.136858977694416</v>
      </c>
      <c r="I35" s="113">
        <v>3.5654475688137066</v>
      </c>
      <c r="J35" s="115">
        <v>93.611762673117383</v>
      </c>
      <c r="K35" s="113">
        <v>229.96499511970347</v>
      </c>
      <c r="L35" s="113">
        <v>327.97876090446334</v>
      </c>
      <c r="M35" s="114">
        <v>431.60276443178384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7:33" ht="15.6" x14ac:dyDescent="0.25">
      <c r="G36" s="112" t="s">
        <v>89</v>
      </c>
      <c r="H36" s="113">
        <v>-40.394299199637828</v>
      </c>
      <c r="I36" s="113">
        <v>44.308007346870269</v>
      </c>
      <c r="J36" s="115">
        <v>134.35432245117397</v>
      </c>
      <c r="K36" s="113">
        <v>296.02691974170227</v>
      </c>
      <c r="L36" s="113">
        <v>394.04068552646208</v>
      </c>
      <c r="M36" s="114">
        <v>497.66468905378264</v>
      </c>
    </row>
    <row r="37" spans="7:33" ht="15.6" x14ac:dyDescent="0.25">
      <c r="G37" s="112" t="s">
        <v>90</v>
      </c>
      <c r="H37" s="113">
        <v>0.34826057841892011</v>
      </c>
      <c r="I37" s="113">
        <v>85.050567124927014</v>
      </c>
      <c r="J37" s="115">
        <v>175.09688222923066</v>
      </c>
      <c r="K37" s="113">
        <v>362.08884436370136</v>
      </c>
      <c r="L37" s="113">
        <v>460.10261014846117</v>
      </c>
      <c r="M37" s="114">
        <v>563.72661367578166</v>
      </c>
    </row>
    <row r="55" hidden="1" outlineLevel="1" x14ac:dyDescent="0.25"/>
    <row r="56" hidden="1" outlineLevel="1" x14ac:dyDescent="0.25"/>
    <row r="57" hidden="1" outlineLevel="1" x14ac:dyDescent="0.25"/>
    <row r="58" collapsed="1" x14ac:dyDescent="0.25"/>
  </sheetData>
  <mergeCells count="6">
    <mergeCell ref="K30:M30"/>
    <mergeCell ref="B16:E16"/>
    <mergeCell ref="B22:E22"/>
    <mergeCell ref="B4:E4"/>
    <mergeCell ref="B13:E13"/>
    <mergeCell ref="H30:J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4"/>
  <sheetViews>
    <sheetView workbookViewId="0">
      <selection activeCell="B16" sqref="B16"/>
    </sheetView>
  </sheetViews>
  <sheetFormatPr baseColWidth="10" defaultColWidth="8.88671875" defaultRowHeight="13.2" x14ac:dyDescent="0.25"/>
  <cols>
    <col min="2" max="2" width="14.44140625" customWidth="1"/>
    <col min="3" max="4" width="15.5546875" customWidth="1"/>
    <col min="5" max="6" width="19" customWidth="1"/>
  </cols>
  <sheetData>
    <row r="4" spans="2:6" ht="13.8" thickBot="1" x14ac:dyDescent="0.3">
      <c r="B4" s="83" t="s">
        <v>118</v>
      </c>
    </row>
    <row r="5" spans="2:6" ht="13.8" thickBot="1" x14ac:dyDescent="0.3">
      <c r="B5" s="99"/>
      <c r="C5" s="100"/>
      <c r="D5" s="155" t="s">
        <v>63</v>
      </c>
      <c r="E5" s="155"/>
      <c r="F5" s="156"/>
    </row>
    <row r="6" spans="2:6" ht="39.75" customHeight="1" thickBot="1" x14ac:dyDescent="0.3">
      <c r="B6" s="106"/>
      <c r="C6" s="108" t="s">
        <v>84</v>
      </c>
      <c r="D6" s="107" t="s">
        <v>61</v>
      </c>
      <c r="E6" s="108" t="s">
        <v>60</v>
      </c>
      <c r="F6" s="109" t="s">
        <v>62</v>
      </c>
    </row>
    <row r="7" spans="2:6" x14ac:dyDescent="0.25">
      <c r="B7" s="101" t="s">
        <v>72</v>
      </c>
      <c r="C7" s="9"/>
      <c r="D7" s="110">
        <v>422</v>
      </c>
      <c r="E7" s="102">
        <f>11757+4510</f>
        <v>16267</v>
      </c>
      <c r="F7" s="103">
        <f t="shared" ref="F7:F13" si="0">D7/E7</f>
        <v>2.5942091350587077E-2</v>
      </c>
    </row>
    <row r="8" spans="2:6" x14ac:dyDescent="0.25">
      <c r="B8" s="101" t="s">
        <v>54</v>
      </c>
      <c r="C8" s="9" t="s">
        <v>55</v>
      </c>
      <c r="D8" s="97">
        <v>351</v>
      </c>
      <c r="E8" s="97">
        <v>25040</v>
      </c>
      <c r="F8" s="103">
        <f>D8/E8</f>
        <v>1.4017571884984025E-2</v>
      </c>
    </row>
    <row r="9" spans="2:6" x14ac:dyDescent="0.25">
      <c r="B9" s="101"/>
      <c r="C9" s="9" t="s">
        <v>56</v>
      </c>
      <c r="D9" s="97">
        <v>198</v>
      </c>
      <c r="E9" s="97">
        <v>4449</v>
      </c>
      <c r="F9" s="103">
        <f t="shared" si="0"/>
        <v>4.4504383007417395E-2</v>
      </c>
    </row>
    <row r="10" spans="2:6" x14ac:dyDescent="0.25">
      <c r="B10" s="101"/>
      <c r="C10" s="9" t="s">
        <v>57</v>
      </c>
      <c r="D10" s="97">
        <v>130</v>
      </c>
      <c r="E10" s="97">
        <v>2058</v>
      </c>
      <c r="F10" s="103">
        <f t="shared" si="0"/>
        <v>6.3168124392614183E-2</v>
      </c>
    </row>
    <row r="11" spans="2:6" x14ac:dyDescent="0.25">
      <c r="B11" s="101"/>
      <c r="C11" s="9" t="s">
        <v>58</v>
      </c>
      <c r="D11" s="97">
        <v>92</v>
      </c>
      <c r="E11" s="97">
        <v>962</v>
      </c>
      <c r="F11" s="103">
        <f t="shared" si="0"/>
        <v>9.5634095634095639E-2</v>
      </c>
    </row>
    <row r="12" spans="2:6" x14ac:dyDescent="0.25">
      <c r="B12" s="101"/>
      <c r="C12" s="9" t="s">
        <v>59</v>
      </c>
      <c r="D12" s="97">
        <v>38</v>
      </c>
      <c r="E12" s="97">
        <v>375</v>
      </c>
      <c r="F12" s="103">
        <f t="shared" si="0"/>
        <v>0.10133333333333333</v>
      </c>
    </row>
    <row r="13" spans="2:6" ht="13.8" thickBot="1" x14ac:dyDescent="0.3">
      <c r="B13" s="104" t="s">
        <v>64</v>
      </c>
      <c r="C13" s="89"/>
      <c r="D13" s="95">
        <v>33</v>
      </c>
      <c r="E13" s="95">
        <v>108</v>
      </c>
      <c r="F13" s="105">
        <f t="shared" si="0"/>
        <v>0.30555555555555558</v>
      </c>
    </row>
    <row r="14" spans="2:6" x14ac:dyDescent="0.25">
      <c r="B14" s="83" t="s">
        <v>92</v>
      </c>
      <c r="D14" s="83"/>
      <c r="E14" s="83"/>
    </row>
  </sheetData>
  <mergeCells count="1">
    <mergeCell ref="D5:F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workbookViewId="0">
      <selection activeCell="D3" sqref="D3"/>
    </sheetView>
  </sheetViews>
  <sheetFormatPr baseColWidth="10" defaultColWidth="8.88671875" defaultRowHeight="13.2" x14ac:dyDescent="0.25"/>
  <cols>
    <col min="2" max="2" width="39.44140625" customWidth="1"/>
    <col min="3" max="4" width="12.5546875" style="84" customWidth="1"/>
  </cols>
  <sheetData>
    <row r="3" spans="2:4" ht="26.4" x14ac:dyDescent="0.25">
      <c r="B3" s="146"/>
      <c r="C3" s="147" t="s">
        <v>107</v>
      </c>
      <c r="D3" s="148" t="s">
        <v>128</v>
      </c>
    </row>
    <row r="4" spans="2:4" x14ac:dyDescent="0.25">
      <c r="B4" s="12" t="s">
        <v>108</v>
      </c>
      <c r="C4" s="97">
        <v>10.7</v>
      </c>
      <c r="D4" s="124">
        <v>10.7</v>
      </c>
    </row>
    <row r="5" spans="2:4" x14ac:dyDescent="0.25">
      <c r="B5" s="12" t="s">
        <v>109</v>
      </c>
      <c r="C5" s="97">
        <v>0.8</v>
      </c>
      <c r="D5" s="124">
        <v>1.2</v>
      </c>
    </row>
    <row r="6" spans="2:4" x14ac:dyDescent="0.25">
      <c r="B6" s="12" t="s">
        <v>110</v>
      </c>
      <c r="C6" s="97">
        <v>0.3</v>
      </c>
      <c r="D6" s="124">
        <v>0.3</v>
      </c>
    </row>
    <row r="7" spans="2:4" x14ac:dyDescent="0.25">
      <c r="B7" s="12" t="s">
        <v>112</v>
      </c>
      <c r="C7" s="97">
        <v>4.4999999999999998E-2</v>
      </c>
      <c r="D7" s="124">
        <v>4.4999999999999998E-2</v>
      </c>
    </row>
    <row r="8" spans="2:4" x14ac:dyDescent="0.25">
      <c r="B8" s="12" t="s">
        <v>113</v>
      </c>
      <c r="C8" s="125">
        <f>(C5/C4)/C6-C7</f>
        <v>0.2042211838006231</v>
      </c>
      <c r="D8" s="126">
        <f>(D5/D4)/D6-D7</f>
        <v>0.32883177570093458</v>
      </c>
    </row>
    <row r="9" spans="2:4" x14ac:dyDescent="0.25">
      <c r="B9" s="12" t="s">
        <v>114</v>
      </c>
      <c r="C9" s="97">
        <v>50</v>
      </c>
      <c r="D9" s="124">
        <v>80</v>
      </c>
    </row>
    <row r="10" spans="2:4" x14ac:dyDescent="0.25">
      <c r="B10" s="14" t="s">
        <v>115</v>
      </c>
      <c r="C10" s="127">
        <f>C8*C9</f>
        <v>10.211059190031154</v>
      </c>
      <c r="D10" s="128">
        <f>D8*D9</f>
        <v>26.306542056074768</v>
      </c>
    </row>
    <row r="11" spans="2:4" x14ac:dyDescent="0.25">
      <c r="B11" s="149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0"/>
  <sheetViews>
    <sheetView workbookViewId="0">
      <selection activeCell="F21" sqref="F21"/>
    </sheetView>
  </sheetViews>
  <sheetFormatPr baseColWidth="10" defaultColWidth="8.88671875" defaultRowHeight="13.2" x14ac:dyDescent="0.25"/>
  <cols>
    <col min="3" max="3" width="29.6640625" customWidth="1"/>
    <col min="4" max="4" width="15.109375" bestFit="1" customWidth="1"/>
    <col min="6" max="6" width="27.33203125" bestFit="1" customWidth="1"/>
    <col min="7" max="7" width="12.44140625" customWidth="1"/>
  </cols>
  <sheetData>
    <row r="2" spans="3:7" x14ac:dyDescent="0.25">
      <c r="E2" s="83"/>
    </row>
    <row r="3" spans="3:7" x14ac:dyDescent="0.25">
      <c r="C3" s="85"/>
      <c r="D3" s="85"/>
    </row>
    <row r="4" spans="3:7" x14ac:dyDescent="0.25">
      <c r="C4" s="118" t="s">
        <v>39</v>
      </c>
      <c r="D4" s="86" t="s">
        <v>40</v>
      </c>
      <c r="F4" s="130" t="s">
        <v>67</v>
      </c>
      <c r="G4" s="131"/>
    </row>
    <row r="5" spans="3:7" x14ac:dyDescent="0.25">
      <c r="C5" t="s">
        <v>44</v>
      </c>
      <c r="D5" s="144">
        <v>13.169</v>
      </c>
      <c r="F5" t="s">
        <v>68</v>
      </c>
      <c r="G5">
        <v>0.5</v>
      </c>
    </row>
    <row r="6" spans="3:7" x14ac:dyDescent="0.25">
      <c r="C6" t="s">
        <v>43</v>
      </c>
      <c r="D6" s="144">
        <v>20.260000000000002</v>
      </c>
      <c r="F6" t="s">
        <v>116</v>
      </c>
      <c r="G6">
        <v>50</v>
      </c>
    </row>
    <row r="7" spans="3:7" x14ac:dyDescent="0.25">
      <c r="C7" t="s">
        <v>41</v>
      </c>
      <c r="D7" s="144">
        <v>25.324999999999999</v>
      </c>
      <c r="F7" s="129" t="s">
        <v>69</v>
      </c>
      <c r="G7" s="129">
        <f>G5*G6</f>
        <v>25</v>
      </c>
    </row>
    <row r="8" spans="3:7" x14ac:dyDescent="0.25">
      <c r="C8" t="s">
        <v>42</v>
      </c>
      <c r="D8" s="144">
        <v>30.39</v>
      </c>
    </row>
    <row r="9" spans="3:7" x14ac:dyDescent="0.25">
      <c r="C9" t="s">
        <v>116</v>
      </c>
      <c r="D9" s="144">
        <v>50</v>
      </c>
    </row>
    <row r="10" spans="3:7" x14ac:dyDescent="0.25">
      <c r="D10" s="144"/>
    </row>
    <row r="11" spans="3:7" x14ac:dyDescent="0.25">
      <c r="C11" t="s">
        <v>45</v>
      </c>
      <c r="D11" s="144">
        <f>D5</f>
        <v>13.169</v>
      </c>
    </row>
    <row r="12" spans="3:7" x14ac:dyDescent="0.25">
      <c r="D12" s="144"/>
    </row>
    <row r="13" spans="3:7" x14ac:dyDescent="0.25">
      <c r="C13" t="s">
        <v>46</v>
      </c>
      <c r="D13" s="144">
        <f>MIN(D9,20)*D6/100</f>
        <v>4.0520000000000005</v>
      </c>
    </row>
    <row r="14" spans="3:7" x14ac:dyDescent="0.25">
      <c r="D14" s="144"/>
    </row>
    <row r="15" spans="3:7" x14ac:dyDescent="0.25">
      <c r="C15" t="s">
        <v>47</v>
      </c>
      <c r="D15" s="144">
        <f>MIN(MAX((D9-20),0),20)*D7/100</f>
        <v>5.0650000000000004</v>
      </c>
    </row>
    <row r="16" spans="3:7" x14ac:dyDescent="0.25">
      <c r="C16" t="s">
        <v>48</v>
      </c>
      <c r="D16" s="144">
        <f>MIN(MAX(D9-40,0),60)*D8/100</f>
        <v>3.0389999999999997</v>
      </c>
    </row>
    <row r="17" spans="3:4" x14ac:dyDescent="0.25">
      <c r="D17" s="144"/>
    </row>
    <row r="18" spans="3:4" x14ac:dyDescent="0.25">
      <c r="C18" s="129" t="s">
        <v>49</v>
      </c>
      <c r="D18" s="145">
        <f>SUM(D11:D16)</f>
        <v>25.325000000000003</v>
      </c>
    </row>
    <row r="30" spans="3:4" x14ac:dyDescent="0.25">
      <c r="D30" s="117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"/>
  <sheetViews>
    <sheetView tabSelected="1" topLeftCell="A19" workbookViewId="0">
      <selection activeCell="H30" sqref="H30"/>
    </sheetView>
  </sheetViews>
  <sheetFormatPr baseColWidth="10" defaultColWidth="8.88671875" defaultRowHeight="13.2" x14ac:dyDescent="0.25"/>
  <cols>
    <col min="2" max="2" width="28.5546875" customWidth="1"/>
    <col min="3" max="3" width="18.6640625" customWidth="1"/>
    <col min="4" max="4" width="11.88671875" customWidth="1"/>
  </cols>
  <sheetData>
    <row r="2" spans="2:17" x14ac:dyDescent="0.25">
      <c r="B2" s="92" t="s">
        <v>124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ht="13.8" thickBot="1" x14ac:dyDescent="0.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2:17" x14ac:dyDescent="0.25">
      <c r="B4" s="92" t="s">
        <v>85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 x14ac:dyDescent="0.25">
      <c r="B5" s="142" t="s">
        <v>65</v>
      </c>
      <c r="C5" s="83">
        <v>75</v>
      </c>
      <c r="D5">
        <f>C5</f>
        <v>75</v>
      </c>
      <c r="E5">
        <f t="shared" ref="E5:P10" si="0">D5</f>
        <v>75</v>
      </c>
      <c r="F5">
        <f t="shared" si="0"/>
        <v>75</v>
      </c>
      <c r="G5">
        <f t="shared" si="0"/>
        <v>75</v>
      </c>
      <c r="H5">
        <f t="shared" ref="H5:H10" si="1">F5</f>
        <v>75</v>
      </c>
      <c r="I5">
        <f t="shared" ref="I5:I10" si="2">E5</f>
        <v>75</v>
      </c>
      <c r="J5">
        <f t="shared" si="0"/>
        <v>75</v>
      </c>
      <c r="K5">
        <f t="shared" si="0"/>
        <v>75</v>
      </c>
      <c r="L5">
        <f t="shared" ref="L5:L10" si="3">J5</f>
        <v>75</v>
      </c>
      <c r="M5">
        <f t="shared" si="0"/>
        <v>75</v>
      </c>
      <c r="N5">
        <f t="shared" si="0"/>
        <v>75</v>
      </c>
      <c r="O5">
        <f t="shared" si="0"/>
        <v>75</v>
      </c>
      <c r="P5">
        <f t="shared" si="0"/>
        <v>75</v>
      </c>
      <c r="Q5">
        <f t="shared" ref="Q5:Q10" si="4">O5</f>
        <v>75</v>
      </c>
    </row>
    <row r="6" spans="2:17" x14ac:dyDescent="0.25">
      <c r="B6" s="142" t="s">
        <v>66</v>
      </c>
      <c r="C6" s="83">
        <v>65</v>
      </c>
      <c r="D6">
        <f t="shared" ref="D6:O10" si="5">C6</f>
        <v>65</v>
      </c>
      <c r="E6">
        <f t="shared" si="5"/>
        <v>65</v>
      </c>
      <c r="F6">
        <f t="shared" si="0"/>
        <v>65</v>
      </c>
      <c r="G6">
        <f t="shared" si="0"/>
        <v>65</v>
      </c>
      <c r="H6">
        <f t="shared" si="1"/>
        <v>65</v>
      </c>
      <c r="I6">
        <f t="shared" si="2"/>
        <v>65</v>
      </c>
      <c r="J6">
        <f t="shared" si="5"/>
        <v>65</v>
      </c>
      <c r="K6">
        <f t="shared" si="0"/>
        <v>65</v>
      </c>
      <c r="L6">
        <f t="shared" si="3"/>
        <v>65</v>
      </c>
      <c r="M6">
        <f t="shared" si="5"/>
        <v>65</v>
      </c>
      <c r="N6">
        <f t="shared" si="5"/>
        <v>65</v>
      </c>
      <c r="O6">
        <f t="shared" si="5"/>
        <v>65</v>
      </c>
      <c r="P6">
        <f t="shared" si="0"/>
        <v>65</v>
      </c>
      <c r="Q6">
        <f t="shared" si="4"/>
        <v>65</v>
      </c>
    </row>
    <row r="7" spans="2:17" x14ac:dyDescent="0.25">
      <c r="B7" s="142" t="s">
        <v>102</v>
      </c>
      <c r="C7" s="83">
        <v>55</v>
      </c>
      <c r="D7">
        <f t="shared" si="5"/>
        <v>55</v>
      </c>
      <c r="E7">
        <f t="shared" si="5"/>
        <v>55</v>
      </c>
      <c r="F7">
        <f t="shared" si="0"/>
        <v>55</v>
      </c>
      <c r="G7">
        <f t="shared" si="0"/>
        <v>55</v>
      </c>
      <c r="H7">
        <f t="shared" si="1"/>
        <v>55</v>
      </c>
      <c r="I7">
        <f t="shared" si="2"/>
        <v>55</v>
      </c>
      <c r="J7">
        <f t="shared" si="5"/>
        <v>55</v>
      </c>
      <c r="K7">
        <f t="shared" si="0"/>
        <v>55</v>
      </c>
      <c r="L7">
        <f t="shared" si="3"/>
        <v>55</v>
      </c>
      <c r="M7">
        <f t="shared" si="5"/>
        <v>55</v>
      </c>
      <c r="N7">
        <f t="shared" si="5"/>
        <v>55</v>
      </c>
      <c r="O7">
        <f t="shared" si="5"/>
        <v>55</v>
      </c>
      <c r="P7">
        <f t="shared" si="0"/>
        <v>55</v>
      </c>
      <c r="Q7">
        <f t="shared" si="4"/>
        <v>55</v>
      </c>
    </row>
    <row r="8" spans="2:17" x14ac:dyDescent="0.25">
      <c r="B8" s="142" t="s">
        <v>103</v>
      </c>
      <c r="C8" s="83">
        <v>45</v>
      </c>
      <c r="D8">
        <f t="shared" si="5"/>
        <v>45</v>
      </c>
      <c r="E8">
        <f t="shared" si="5"/>
        <v>45</v>
      </c>
      <c r="F8">
        <f t="shared" si="0"/>
        <v>45</v>
      </c>
      <c r="G8">
        <f t="shared" si="0"/>
        <v>45</v>
      </c>
      <c r="H8">
        <f t="shared" si="1"/>
        <v>45</v>
      </c>
      <c r="I8">
        <f t="shared" si="2"/>
        <v>45</v>
      </c>
      <c r="J8">
        <f t="shared" si="5"/>
        <v>45</v>
      </c>
      <c r="K8">
        <f t="shared" si="0"/>
        <v>45</v>
      </c>
      <c r="L8">
        <f t="shared" si="3"/>
        <v>45</v>
      </c>
      <c r="M8">
        <f t="shared" si="5"/>
        <v>45</v>
      </c>
      <c r="N8">
        <f t="shared" si="5"/>
        <v>45</v>
      </c>
      <c r="O8">
        <f t="shared" si="5"/>
        <v>45</v>
      </c>
      <c r="P8">
        <f t="shared" si="0"/>
        <v>45</v>
      </c>
      <c r="Q8">
        <f t="shared" si="4"/>
        <v>45</v>
      </c>
    </row>
    <row r="9" spans="2:17" x14ac:dyDescent="0.25">
      <c r="B9" s="142" t="s">
        <v>104</v>
      </c>
      <c r="C9" s="83">
        <v>35</v>
      </c>
      <c r="D9">
        <f t="shared" si="5"/>
        <v>35</v>
      </c>
      <c r="E9">
        <f t="shared" si="5"/>
        <v>35</v>
      </c>
      <c r="F9">
        <f t="shared" si="0"/>
        <v>35</v>
      </c>
      <c r="G9">
        <f t="shared" si="0"/>
        <v>35</v>
      </c>
      <c r="H9">
        <f t="shared" si="1"/>
        <v>35</v>
      </c>
      <c r="I9">
        <f t="shared" si="2"/>
        <v>35</v>
      </c>
      <c r="J9">
        <f t="shared" si="5"/>
        <v>35</v>
      </c>
      <c r="K9">
        <f t="shared" si="0"/>
        <v>35</v>
      </c>
      <c r="L9">
        <f t="shared" si="3"/>
        <v>35</v>
      </c>
      <c r="M9">
        <f t="shared" si="5"/>
        <v>35</v>
      </c>
      <c r="N9">
        <f t="shared" si="5"/>
        <v>35</v>
      </c>
      <c r="O9">
        <f t="shared" si="5"/>
        <v>35</v>
      </c>
      <c r="P9">
        <f t="shared" si="0"/>
        <v>35</v>
      </c>
      <c r="Q9">
        <f t="shared" si="4"/>
        <v>35</v>
      </c>
    </row>
    <row r="10" spans="2:17" x14ac:dyDescent="0.25">
      <c r="B10" s="142" t="s">
        <v>50</v>
      </c>
      <c r="C10" s="83">
        <v>35</v>
      </c>
      <c r="D10">
        <f t="shared" si="5"/>
        <v>35</v>
      </c>
      <c r="E10">
        <f t="shared" si="5"/>
        <v>35</v>
      </c>
      <c r="F10">
        <f t="shared" si="0"/>
        <v>35</v>
      </c>
      <c r="G10">
        <f t="shared" si="0"/>
        <v>35</v>
      </c>
      <c r="H10">
        <f t="shared" si="1"/>
        <v>35</v>
      </c>
      <c r="I10">
        <f t="shared" si="2"/>
        <v>35</v>
      </c>
      <c r="J10">
        <f t="shared" si="5"/>
        <v>35</v>
      </c>
      <c r="K10">
        <f t="shared" si="0"/>
        <v>35</v>
      </c>
      <c r="L10">
        <f t="shared" si="3"/>
        <v>35</v>
      </c>
      <c r="M10">
        <f t="shared" si="5"/>
        <v>35</v>
      </c>
      <c r="N10">
        <f t="shared" si="5"/>
        <v>35</v>
      </c>
      <c r="O10">
        <f t="shared" si="5"/>
        <v>35</v>
      </c>
      <c r="P10">
        <f t="shared" si="0"/>
        <v>35</v>
      </c>
      <c r="Q10">
        <f t="shared" si="4"/>
        <v>35</v>
      </c>
    </row>
    <row r="12" spans="2:17" x14ac:dyDescent="0.25">
      <c r="B12" s="83" t="s">
        <v>52</v>
      </c>
      <c r="C12" s="83">
        <v>50</v>
      </c>
      <c r="D12" s="83">
        <v>150</v>
      </c>
      <c r="E12" s="83">
        <v>250</v>
      </c>
      <c r="F12" s="83">
        <v>304</v>
      </c>
      <c r="G12" s="83">
        <v>350</v>
      </c>
      <c r="H12" s="83">
        <v>438</v>
      </c>
      <c r="I12" s="83">
        <v>500</v>
      </c>
      <c r="J12" s="83">
        <v>1000</v>
      </c>
      <c r="K12" s="83">
        <v>1309</v>
      </c>
      <c r="L12" s="83">
        <v>1500</v>
      </c>
      <c r="M12" s="83">
        <v>2000</v>
      </c>
      <c r="N12" s="83">
        <v>3000</v>
      </c>
      <c r="O12" s="83">
        <v>5000</v>
      </c>
      <c r="P12" s="83">
        <v>5279</v>
      </c>
      <c r="Q12" s="83">
        <v>10000</v>
      </c>
    </row>
    <row r="13" spans="2:17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2:17" x14ac:dyDescent="0.25">
      <c r="B14" s="83" t="s">
        <v>51</v>
      </c>
    </row>
    <row r="15" spans="2:17" x14ac:dyDescent="0.25">
      <c r="B15" s="142" t="s">
        <v>65</v>
      </c>
      <c r="C15">
        <f>MIN(C$12,50)*C5</f>
        <v>3750</v>
      </c>
      <c r="D15">
        <f t="shared" ref="D15:Q15" si="6">MIN(D$12,50)*D5</f>
        <v>3750</v>
      </c>
      <c r="E15">
        <f t="shared" si="6"/>
        <v>3750</v>
      </c>
      <c r="F15">
        <f t="shared" si="6"/>
        <v>3750</v>
      </c>
      <c r="G15">
        <f t="shared" si="6"/>
        <v>3750</v>
      </c>
      <c r="H15">
        <f t="shared" si="6"/>
        <v>3750</v>
      </c>
      <c r="I15">
        <f t="shared" si="6"/>
        <v>3750</v>
      </c>
      <c r="J15">
        <f t="shared" si="6"/>
        <v>3750</v>
      </c>
      <c r="K15">
        <f t="shared" si="6"/>
        <v>3750</v>
      </c>
      <c r="L15">
        <f t="shared" si="6"/>
        <v>3750</v>
      </c>
      <c r="M15">
        <f t="shared" si="6"/>
        <v>3750</v>
      </c>
      <c r="N15">
        <f t="shared" si="6"/>
        <v>3750</v>
      </c>
      <c r="O15">
        <f t="shared" si="6"/>
        <v>3750</v>
      </c>
      <c r="P15">
        <f t="shared" si="6"/>
        <v>3750</v>
      </c>
      <c r="Q15">
        <f t="shared" si="6"/>
        <v>3750</v>
      </c>
    </row>
    <row r="16" spans="2:17" x14ac:dyDescent="0.25">
      <c r="B16" s="142" t="s">
        <v>66</v>
      </c>
      <c r="C16">
        <f>MIN(MAX(C$12-50,0),150)*C6</f>
        <v>0</v>
      </c>
      <c r="D16">
        <f t="shared" ref="D16:Q16" si="7">MIN(MAX(D$12-50,0),150)*D6</f>
        <v>6500</v>
      </c>
      <c r="E16">
        <f t="shared" si="7"/>
        <v>9750</v>
      </c>
      <c r="F16">
        <f t="shared" si="7"/>
        <v>9750</v>
      </c>
      <c r="G16">
        <f t="shared" si="7"/>
        <v>9750</v>
      </c>
      <c r="H16">
        <f t="shared" si="7"/>
        <v>9750</v>
      </c>
      <c r="I16">
        <f t="shared" si="7"/>
        <v>9750</v>
      </c>
      <c r="J16">
        <f t="shared" si="7"/>
        <v>9750</v>
      </c>
      <c r="K16">
        <f t="shared" si="7"/>
        <v>9750</v>
      </c>
      <c r="L16">
        <f t="shared" si="7"/>
        <v>9750</v>
      </c>
      <c r="M16">
        <f t="shared" si="7"/>
        <v>9750</v>
      </c>
      <c r="N16">
        <f t="shared" si="7"/>
        <v>9750</v>
      </c>
      <c r="O16">
        <f t="shared" si="7"/>
        <v>9750</v>
      </c>
      <c r="P16">
        <f t="shared" si="7"/>
        <v>9750</v>
      </c>
      <c r="Q16">
        <f t="shared" si="7"/>
        <v>9750</v>
      </c>
    </row>
    <row r="17" spans="2:17" x14ac:dyDescent="0.25">
      <c r="B17" s="142" t="s">
        <v>102</v>
      </c>
      <c r="C17">
        <f>MIN(MAX(C$12-200,0),400)*C7</f>
        <v>0</v>
      </c>
      <c r="D17">
        <f t="shared" ref="D17:Q17" si="8">MIN(MAX(D$12-200,0),400)*D7</f>
        <v>0</v>
      </c>
      <c r="E17">
        <f t="shared" si="8"/>
        <v>2750</v>
      </c>
      <c r="F17">
        <f t="shared" si="8"/>
        <v>5720</v>
      </c>
      <c r="G17">
        <f t="shared" si="8"/>
        <v>8250</v>
      </c>
      <c r="H17">
        <f t="shared" si="8"/>
        <v>13090</v>
      </c>
      <c r="I17">
        <f t="shared" si="8"/>
        <v>16500</v>
      </c>
      <c r="J17">
        <f t="shared" si="8"/>
        <v>22000</v>
      </c>
      <c r="K17">
        <f t="shared" si="8"/>
        <v>22000</v>
      </c>
      <c r="L17">
        <f t="shared" si="8"/>
        <v>22000</v>
      </c>
      <c r="M17">
        <f t="shared" si="8"/>
        <v>22000</v>
      </c>
      <c r="N17">
        <f t="shared" si="8"/>
        <v>22000</v>
      </c>
      <c r="O17">
        <f t="shared" si="8"/>
        <v>22000</v>
      </c>
      <c r="P17">
        <f t="shared" si="8"/>
        <v>22000</v>
      </c>
      <c r="Q17">
        <f t="shared" si="8"/>
        <v>22000</v>
      </c>
    </row>
    <row r="18" spans="2:17" x14ac:dyDescent="0.25">
      <c r="B18" s="142" t="s">
        <v>103</v>
      </c>
      <c r="C18">
        <f>MIN(MAX(C$12-600,0),600)*C8</f>
        <v>0</v>
      </c>
      <c r="D18">
        <f t="shared" ref="D18:Q18" si="9">MIN(MAX(D$12-600,0),600)*D8</f>
        <v>0</v>
      </c>
      <c r="E18">
        <f t="shared" si="9"/>
        <v>0</v>
      </c>
      <c r="F18">
        <f t="shared" si="9"/>
        <v>0</v>
      </c>
      <c r="G18">
        <f t="shared" si="9"/>
        <v>0</v>
      </c>
      <c r="H18">
        <f t="shared" si="9"/>
        <v>0</v>
      </c>
      <c r="I18">
        <f t="shared" si="9"/>
        <v>0</v>
      </c>
      <c r="J18">
        <f t="shared" si="9"/>
        <v>18000</v>
      </c>
      <c r="K18">
        <f t="shared" si="9"/>
        <v>27000</v>
      </c>
      <c r="L18">
        <f t="shared" si="9"/>
        <v>27000</v>
      </c>
      <c r="M18">
        <f t="shared" si="9"/>
        <v>27000</v>
      </c>
      <c r="N18">
        <f t="shared" si="9"/>
        <v>27000</v>
      </c>
      <c r="O18">
        <f t="shared" si="9"/>
        <v>27000</v>
      </c>
      <c r="P18">
        <f t="shared" si="9"/>
        <v>27000</v>
      </c>
      <c r="Q18">
        <f t="shared" si="9"/>
        <v>27000</v>
      </c>
    </row>
    <row r="19" spans="2:17" x14ac:dyDescent="0.25">
      <c r="B19" s="142" t="s">
        <v>104</v>
      </c>
      <c r="C19">
        <f>MIN(MAX(C$12-1200,0),800)*C9</f>
        <v>0</v>
      </c>
      <c r="D19">
        <f t="shared" ref="D19:Q19" si="10">MIN(MAX(D$12-1200,0),800)*D9</f>
        <v>0</v>
      </c>
      <c r="E19">
        <f t="shared" si="10"/>
        <v>0</v>
      </c>
      <c r="F19">
        <f t="shared" si="10"/>
        <v>0</v>
      </c>
      <c r="G19">
        <f t="shared" si="10"/>
        <v>0</v>
      </c>
      <c r="H19">
        <f t="shared" si="10"/>
        <v>0</v>
      </c>
      <c r="I19">
        <f t="shared" si="10"/>
        <v>0</v>
      </c>
      <c r="J19">
        <f t="shared" si="10"/>
        <v>0</v>
      </c>
      <c r="K19">
        <f t="shared" si="10"/>
        <v>3815</v>
      </c>
      <c r="L19">
        <f t="shared" si="10"/>
        <v>10500</v>
      </c>
      <c r="M19">
        <f t="shared" si="10"/>
        <v>28000</v>
      </c>
      <c r="N19">
        <f t="shared" si="10"/>
        <v>28000</v>
      </c>
      <c r="O19">
        <f t="shared" si="10"/>
        <v>28000</v>
      </c>
      <c r="P19">
        <f t="shared" si="10"/>
        <v>28000</v>
      </c>
      <c r="Q19">
        <f t="shared" si="10"/>
        <v>28000</v>
      </c>
    </row>
    <row r="20" spans="2:17" x14ac:dyDescent="0.25">
      <c r="B20" s="142" t="s">
        <v>50</v>
      </c>
      <c r="C20">
        <f>MAX(C$12-2000,0)*C10</f>
        <v>0</v>
      </c>
      <c r="D20">
        <f t="shared" ref="D20:Q20" si="11">MAX(D$12-2000,0)*D10</f>
        <v>0</v>
      </c>
      <c r="E20">
        <f t="shared" si="11"/>
        <v>0</v>
      </c>
      <c r="F20">
        <f t="shared" si="11"/>
        <v>0</v>
      </c>
      <c r="G20">
        <f t="shared" si="11"/>
        <v>0</v>
      </c>
      <c r="H20">
        <f t="shared" si="11"/>
        <v>0</v>
      </c>
      <c r="I20">
        <f t="shared" si="11"/>
        <v>0</v>
      </c>
      <c r="J20">
        <f t="shared" si="11"/>
        <v>0</v>
      </c>
      <c r="K20">
        <f t="shared" si="11"/>
        <v>0</v>
      </c>
      <c r="L20">
        <f t="shared" si="11"/>
        <v>0</v>
      </c>
      <c r="M20">
        <f t="shared" si="11"/>
        <v>0</v>
      </c>
      <c r="N20">
        <f t="shared" si="11"/>
        <v>35000</v>
      </c>
      <c r="O20">
        <f t="shared" si="11"/>
        <v>105000</v>
      </c>
      <c r="P20">
        <f t="shared" si="11"/>
        <v>114765</v>
      </c>
      <c r="Q20">
        <f t="shared" si="11"/>
        <v>280000</v>
      </c>
    </row>
    <row r="21" spans="2:17" x14ac:dyDescent="0.25">
      <c r="B21" s="143" t="s">
        <v>53</v>
      </c>
      <c r="C21" s="83">
        <f>SUM(C15:C20)</f>
        <v>3750</v>
      </c>
      <c r="D21" s="83">
        <f t="shared" ref="D21:Q21" si="12">SUM(D15:D20)</f>
        <v>10250</v>
      </c>
      <c r="E21" s="83">
        <f t="shared" si="12"/>
        <v>16250</v>
      </c>
      <c r="F21" s="83">
        <f t="shared" si="12"/>
        <v>19220</v>
      </c>
      <c r="G21" s="83">
        <f t="shared" si="12"/>
        <v>21750</v>
      </c>
      <c r="H21" s="83">
        <f t="shared" si="12"/>
        <v>26590</v>
      </c>
      <c r="I21" s="83">
        <f t="shared" si="12"/>
        <v>30000</v>
      </c>
      <c r="J21" s="83">
        <f t="shared" si="12"/>
        <v>53500</v>
      </c>
      <c r="K21" s="83">
        <f t="shared" si="12"/>
        <v>66315</v>
      </c>
      <c r="L21" s="83">
        <f t="shared" si="12"/>
        <v>73000</v>
      </c>
      <c r="M21" s="83">
        <f t="shared" si="12"/>
        <v>90500</v>
      </c>
      <c r="N21" s="83">
        <f t="shared" si="12"/>
        <v>125500</v>
      </c>
      <c r="O21" s="83">
        <f t="shared" si="12"/>
        <v>195500</v>
      </c>
      <c r="P21" s="83">
        <f t="shared" si="12"/>
        <v>205265</v>
      </c>
      <c r="Q21" s="83">
        <f t="shared" si="12"/>
        <v>370500</v>
      </c>
    </row>
    <row r="22" spans="2:17" ht="4.5" customHeight="1" thickBot="1" x14ac:dyDescent="0.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 x14ac:dyDescent="0.25">
      <c r="B23" s="83" t="s">
        <v>70</v>
      </c>
      <c r="C23" s="88">
        <f t="shared" ref="C23:Q23" si="13">C21/C12</f>
        <v>75</v>
      </c>
      <c r="D23" s="88">
        <f t="shared" si="13"/>
        <v>68.333333333333329</v>
      </c>
      <c r="E23" s="88">
        <f t="shared" si="13"/>
        <v>65</v>
      </c>
      <c r="F23" s="88">
        <f t="shared" si="13"/>
        <v>63.223684210526315</v>
      </c>
      <c r="G23" s="88">
        <f t="shared" si="13"/>
        <v>62.142857142857146</v>
      </c>
      <c r="H23" s="88">
        <f t="shared" si="13"/>
        <v>60.707762557077622</v>
      </c>
      <c r="I23" s="88">
        <f t="shared" si="13"/>
        <v>60</v>
      </c>
      <c r="J23" s="88">
        <f t="shared" si="13"/>
        <v>53.5</v>
      </c>
      <c r="K23" s="88">
        <f t="shared" si="13"/>
        <v>50.660809778456837</v>
      </c>
      <c r="L23" s="88">
        <f t="shared" si="13"/>
        <v>48.666666666666664</v>
      </c>
      <c r="M23" s="88">
        <f t="shared" si="13"/>
        <v>45.25</v>
      </c>
      <c r="N23" s="88">
        <f t="shared" si="13"/>
        <v>41.833333333333336</v>
      </c>
      <c r="O23" s="88">
        <f t="shared" si="13"/>
        <v>39.1</v>
      </c>
      <c r="P23" s="88">
        <f t="shared" si="13"/>
        <v>38.883311233188103</v>
      </c>
      <c r="Q23" s="88">
        <f t="shared" si="13"/>
        <v>37.049999999999997</v>
      </c>
    </row>
    <row r="24" spans="2:17" ht="13.8" thickBot="1" x14ac:dyDescent="0.3">
      <c r="B24" s="90" t="s">
        <v>71</v>
      </c>
      <c r="C24" s="91">
        <f>C23/50</f>
        <v>1.5</v>
      </c>
      <c r="D24" s="91">
        <f t="shared" ref="D24:Q24" si="14">D23/50</f>
        <v>1.3666666666666665</v>
      </c>
      <c r="E24" s="91">
        <f t="shared" si="14"/>
        <v>1.3</v>
      </c>
      <c r="F24" s="91">
        <f t="shared" si="14"/>
        <v>1.2644736842105262</v>
      </c>
      <c r="G24" s="91">
        <f t="shared" si="14"/>
        <v>1.2428571428571429</v>
      </c>
      <c r="H24" s="91">
        <f t="shared" si="14"/>
        <v>1.2141552511415525</v>
      </c>
      <c r="I24" s="91">
        <f t="shared" si="14"/>
        <v>1.2</v>
      </c>
      <c r="J24" s="91">
        <f t="shared" si="14"/>
        <v>1.07</v>
      </c>
      <c r="K24" s="91">
        <f t="shared" si="14"/>
        <v>1.0132161955691368</v>
      </c>
      <c r="L24" s="91">
        <f t="shared" si="14"/>
        <v>0.97333333333333327</v>
      </c>
      <c r="M24" s="91">
        <f t="shared" si="14"/>
        <v>0.90500000000000003</v>
      </c>
      <c r="N24" s="91">
        <f t="shared" si="14"/>
        <v>0.83666666666666667</v>
      </c>
      <c r="O24" s="91">
        <f t="shared" si="14"/>
        <v>0.78200000000000003</v>
      </c>
      <c r="P24" s="91">
        <f t="shared" si="14"/>
        <v>0.77766622466376201</v>
      </c>
      <c r="Q24" s="91">
        <f t="shared" si="14"/>
        <v>0.74099999999999999</v>
      </c>
    </row>
    <row r="28" spans="2:17" x14ac:dyDescent="0.25">
      <c r="B28" s="9"/>
      <c r="C28" s="9"/>
    </row>
    <row r="29" spans="2:17" x14ac:dyDescent="0.25">
      <c r="B29" s="118" t="s">
        <v>117</v>
      </c>
      <c r="C29" s="85"/>
      <c r="D29" s="85"/>
    </row>
    <row r="30" spans="2:17" ht="52.8" x14ac:dyDescent="0.25">
      <c r="B30" s="119" t="s">
        <v>94</v>
      </c>
      <c r="C30" s="119" t="s">
        <v>93</v>
      </c>
      <c r="D30" s="119" t="s">
        <v>95</v>
      </c>
    </row>
    <row r="31" spans="2:17" x14ac:dyDescent="0.25">
      <c r="B31" s="120">
        <v>50</v>
      </c>
      <c r="C31" s="132">
        <v>75</v>
      </c>
      <c r="D31" s="132"/>
      <c r="E31" s="117"/>
      <c r="G31" s="123"/>
      <c r="H31" s="123"/>
    </row>
    <row r="32" spans="2:17" x14ac:dyDescent="0.25">
      <c r="B32" s="120" t="s">
        <v>100</v>
      </c>
      <c r="C32" s="132">
        <v>68.333333333333329</v>
      </c>
      <c r="D32" s="132">
        <v>67</v>
      </c>
      <c r="E32" s="117"/>
      <c r="G32" s="123"/>
      <c r="H32" s="123"/>
    </row>
    <row r="33" spans="2:8" x14ac:dyDescent="0.25">
      <c r="B33" s="120">
        <v>250</v>
      </c>
      <c r="C33" s="132">
        <v>65</v>
      </c>
      <c r="D33" s="132"/>
      <c r="E33" s="117"/>
      <c r="G33" s="123"/>
      <c r="H33" s="123"/>
    </row>
    <row r="34" spans="2:8" x14ac:dyDescent="0.25">
      <c r="B34" s="120" t="s">
        <v>97</v>
      </c>
      <c r="C34" s="132">
        <v>63.223684210526315</v>
      </c>
      <c r="D34" s="132">
        <v>56</v>
      </c>
      <c r="E34" s="117"/>
      <c r="G34" s="123"/>
      <c r="H34" s="123"/>
    </row>
    <row r="35" spans="2:8" x14ac:dyDescent="0.25">
      <c r="B35" s="120" t="s">
        <v>101</v>
      </c>
      <c r="C35" s="132">
        <v>62.142857142857146</v>
      </c>
      <c r="D35" s="132"/>
      <c r="E35" s="117"/>
      <c r="G35" s="123"/>
      <c r="H35" s="123"/>
    </row>
    <row r="36" spans="2:8" x14ac:dyDescent="0.25">
      <c r="B36" s="120" t="s">
        <v>96</v>
      </c>
      <c r="C36" s="132">
        <v>60.707762557077622</v>
      </c>
      <c r="D36" s="132">
        <v>34</v>
      </c>
      <c r="E36" s="117"/>
      <c r="G36" s="123"/>
      <c r="H36" s="123"/>
    </row>
    <row r="37" spans="2:8" x14ac:dyDescent="0.25">
      <c r="B37" s="120">
        <v>500</v>
      </c>
      <c r="C37" s="132">
        <v>60</v>
      </c>
      <c r="D37" s="132"/>
      <c r="E37" s="117"/>
      <c r="G37" s="123"/>
      <c r="H37" s="123"/>
    </row>
    <row r="38" spans="2:8" x14ac:dyDescent="0.25">
      <c r="B38" s="120">
        <v>1000</v>
      </c>
      <c r="C38" s="132">
        <v>53.5</v>
      </c>
      <c r="D38" s="132"/>
      <c r="E38" s="117"/>
      <c r="G38" s="123"/>
      <c r="H38" s="123"/>
    </row>
    <row r="39" spans="2:8" x14ac:dyDescent="0.25">
      <c r="B39" s="120" t="s">
        <v>98</v>
      </c>
      <c r="C39" s="132">
        <v>50.660809778456837</v>
      </c>
      <c r="D39" s="132">
        <v>50</v>
      </c>
      <c r="E39" s="117"/>
      <c r="G39" s="123"/>
      <c r="H39" s="123"/>
    </row>
    <row r="40" spans="2:8" x14ac:dyDescent="0.25">
      <c r="B40" s="120">
        <v>1500</v>
      </c>
      <c r="C40" s="132">
        <v>48.666666666666664</v>
      </c>
      <c r="D40" s="132"/>
      <c r="E40" s="117"/>
      <c r="G40" s="123"/>
      <c r="H40" s="123"/>
    </row>
    <row r="41" spans="2:8" x14ac:dyDescent="0.25">
      <c r="B41" s="120">
        <v>2000</v>
      </c>
      <c r="C41" s="132">
        <v>45.25</v>
      </c>
      <c r="D41" s="132"/>
      <c r="E41" s="117"/>
      <c r="G41" s="123"/>
      <c r="H41" s="123"/>
    </row>
    <row r="42" spans="2:8" x14ac:dyDescent="0.25">
      <c r="B42" s="120">
        <v>3000</v>
      </c>
      <c r="C42" s="132">
        <v>41.833333333333336</v>
      </c>
      <c r="D42" s="132"/>
      <c r="E42" s="117"/>
      <c r="G42" s="123"/>
      <c r="H42" s="123"/>
    </row>
    <row r="43" spans="2:8" x14ac:dyDescent="0.25">
      <c r="B43" s="120">
        <v>5000</v>
      </c>
      <c r="C43" s="132">
        <v>39.1</v>
      </c>
      <c r="D43" s="132"/>
      <c r="E43" s="117"/>
      <c r="G43" s="123"/>
      <c r="H43" s="123"/>
    </row>
    <row r="44" spans="2:8" x14ac:dyDescent="0.25">
      <c r="B44" s="120" t="s">
        <v>99</v>
      </c>
      <c r="C44" s="132">
        <v>38.883311233188103</v>
      </c>
      <c r="D44" s="132">
        <v>11</v>
      </c>
      <c r="E44" s="117"/>
      <c r="G44" s="123"/>
      <c r="H44" s="123"/>
    </row>
    <row r="45" spans="2:8" x14ac:dyDescent="0.25">
      <c r="B45" s="121">
        <v>10000</v>
      </c>
      <c r="C45" s="133">
        <v>37.049999999999997</v>
      </c>
      <c r="D45" s="133"/>
      <c r="E45" s="117"/>
      <c r="G45" s="123"/>
      <c r="H45" s="12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30" sqref="D30"/>
    </sheetView>
  </sheetViews>
  <sheetFormatPr baseColWidth="10" defaultColWidth="8.88671875" defaultRowHeight="13.2" x14ac:dyDescent="0.25"/>
  <cols>
    <col min="2" max="2" width="14.88671875" customWidth="1"/>
    <col min="3" max="5" width="16.5546875" customWidth="1"/>
    <col min="6" max="6" width="1" customWidth="1"/>
    <col min="7" max="9" width="16.5546875" customWidth="1"/>
    <col min="10" max="10" width="0.88671875" customWidth="1"/>
    <col min="11" max="13" width="16.5546875" customWidth="1"/>
    <col min="14" max="14" width="1" customWidth="1"/>
    <col min="15" max="17" width="16" customWidth="1"/>
    <col min="18" max="18" width="3.88671875" customWidth="1"/>
  </cols>
  <sheetData>
    <row r="1" spans="1:15" x14ac:dyDescent="0.25">
      <c r="A1" t="s">
        <v>119</v>
      </c>
    </row>
    <row r="3" spans="1:15" ht="13.8" thickBot="1" x14ac:dyDescent="0.3">
      <c r="B3" s="90" t="s">
        <v>125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5" customHeight="1" thickBot="1" x14ac:dyDescent="0.3">
      <c r="B4" s="89"/>
      <c r="C4" s="157" t="s">
        <v>53</v>
      </c>
      <c r="D4" s="157"/>
      <c r="E4" s="157"/>
      <c r="F4" s="97"/>
      <c r="G4" s="137" t="s">
        <v>105</v>
      </c>
      <c r="H4" s="137" t="s">
        <v>76</v>
      </c>
      <c r="I4" s="137" t="s">
        <v>77</v>
      </c>
      <c r="J4" s="137"/>
      <c r="K4" s="137" t="s">
        <v>78</v>
      </c>
      <c r="L4" s="137" t="s">
        <v>79</v>
      </c>
      <c r="M4" s="137" t="s">
        <v>73</v>
      </c>
      <c r="N4" s="134"/>
      <c r="O4" s="137" t="s">
        <v>53</v>
      </c>
    </row>
    <row r="5" spans="1:15" x14ac:dyDescent="0.25">
      <c r="B5" s="9"/>
      <c r="C5" t="s">
        <v>81</v>
      </c>
      <c r="D5" s="97" t="s">
        <v>52</v>
      </c>
      <c r="E5" s="97"/>
      <c r="F5" s="97"/>
    </row>
    <row r="6" spans="1:15" ht="14.4" hidden="1" x14ac:dyDescent="0.25">
      <c r="B6" s="93" t="s">
        <v>80</v>
      </c>
      <c r="C6">
        <v>499</v>
      </c>
      <c r="D6">
        <v>2304</v>
      </c>
      <c r="E6" s="87"/>
      <c r="F6" s="87"/>
    </row>
    <row r="7" spans="1:15" ht="14.4" hidden="1" x14ac:dyDescent="0.25">
      <c r="B7" s="93" t="s">
        <v>75</v>
      </c>
      <c r="C7">
        <v>564</v>
      </c>
      <c r="D7">
        <v>17236</v>
      </c>
      <c r="E7" s="87"/>
      <c r="F7" s="87"/>
    </row>
    <row r="8" spans="1:15" ht="14.4" x14ac:dyDescent="0.25">
      <c r="B8" s="93" t="s">
        <v>105</v>
      </c>
      <c r="C8">
        <f>SUM(C6:C7)</f>
        <v>1063</v>
      </c>
      <c r="D8">
        <f>SUM(D6:D7)</f>
        <v>19540</v>
      </c>
      <c r="E8" s="87"/>
      <c r="F8" s="87"/>
      <c r="G8">
        <f>D8</f>
        <v>19540</v>
      </c>
      <c r="H8">
        <v>0</v>
      </c>
      <c r="I8">
        <v>0</v>
      </c>
      <c r="K8">
        <v>0</v>
      </c>
      <c r="L8">
        <v>0</v>
      </c>
      <c r="M8">
        <v>0</v>
      </c>
    </row>
    <row r="9" spans="1:15" ht="14.4" x14ac:dyDescent="0.25">
      <c r="B9" s="93" t="s">
        <v>76</v>
      </c>
      <c r="C9">
        <v>486</v>
      </c>
      <c r="D9">
        <v>46712</v>
      </c>
      <c r="E9" s="87"/>
      <c r="F9" s="87"/>
      <c r="G9">
        <f>C9*50</f>
        <v>24300</v>
      </c>
      <c r="H9">
        <f>D9-G9</f>
        <v>22412</v>
      </c>
      <c r="I9">
        <v>0</v>
      </c>
      <c r="K9">
        <v>0</v>
      </c>
      <c r="L9">
        <v>0</v>
      </c>
      <c r="M9">
        <v>0</v>
      </c>
    </row>
    <row r="10" spans="1:15" ht="14.4" x14ac:dyDescent="0.25">
      <c r="B10" s="93" t="s">
        <v>77</v>
      </c>
      <c r="C10">
        <v>280</v>
      </c>
      <c r="D10">
        <v>95178</v>
      </c>
      <c r="E10" s="87"/>
      <c r="F10" s="87"/>
      <c r="G10">
        <f>C10*50</f>
        <v>14000</v>
      </c>
      <c r="H10">
        <f>C10*150</f>
        <v>42000</v>
      </c>
      <c r="I10">
        <f>D10-SUM(G10:H10)</f>
        <v>39178</v>
      </c>
      <c r="K10">
        <v>0</v>
      </c>
      <c r="L10">
        <v>0</v>
      </c>
      <c r="M10">
        <v>0</v>
      </c>
    </row>
    <row r="11" spans="1:15" ht="14.4" x14ac:dyDescent="0.25">
      <c r="B11" s="93" t="s">
        <v>78</v>
      </c>
      <c r="C11">
        <v>70</v>
      </c>
      <c r="D11">
        <v>58915</v>
      </c>
      <c r="E11" s="87"/>
      <c r="F11" s="87"/>
      <c r="G11">
        <f>C11*50</f>
        <v>3500</v>
      </c>
      <c r="H11">
        <f>C11*150</f>
        <v>10500</v>
      </c>
      <c r="I11">
        <f>C11*400</f>
        <v>28000</v>
      </c>
      <c r="K11">
        <f>D11-SUM(G11:I11)</f>
        <v>16915</v>
      </c>
      <c r="L11">
        <v>0</v>
      </c>
      <c r="M11">
        <v>0</v>
      </c>
    </row>
    <row r="12" spans="1:15" ht="14.4" x14ac:dyDescent="0.25">
      <c r="B12" s="93" t="s">
        <v>79</v>
      </c>
      <c r="C12">
        <v>17</v>
      </c>
      <c r="D12">
        <v>24607</v>
      </c>
      <c r="E12" s="87"/>
      <c r="F12" s="87"/>
      <c r="G12">
        <f>C12*50</f>
        <v>850</v>
      </c>
      <c r="H12">
        <f>C12*150</f>
        <v>2550</v>
      </c>
      <c r="I12">
        <f>C12*400</f>
        <v>6800</v>
      </c>
      <c r="K12">
        <f>C12*600</f>
        <v>10200</v>
      </c>
      <c r="L12">
        <f>D12-SUM(G12:K12)</f>
        <v>4207</v>
      </c>
      <c r="M12">
        <v>0</v>
      </c>
    </row>
    <row r="13" spans="1:15" ht="15" thickBot="1" x14ac:dyDescent="0.3">
      <c r="B13" s="94" t="s">
        <v>73</v>
      </c>
      <c r="C13" s="89">
        <v>14</v>
      </c>
      <c r="D13" s="89">
        <v>52411</v>
      </c>
      <c r="E13" s="96"/>
      <c r="F13" s="122"/>
      <c r="G13" s="89">
        <f>C13*50</f>
        <v>700</v>
      </c>
      <c r="H13" s="89">
        <f>C13*150</f>
        <v>2100</v>
      </c>
      <c r="I13" s="89">
        <f>C13*400</f>
        <v>5600</v>
      </c>
      <c r="J13" s="89"/>
      <c r="K13" s="89">
        <f>C13*600</f>
        <v>8400</v>
      </c>
      <c r="L13" s="89">
        <f>C13*600</f>
        <v>8400</v>
      </c>
      <c r="M13" s="89">
        <f>D13-(SUM(G13:L13))</f>
        <v>27211</v>
      </c>
      <c r="O13" s="89"/>
    </row>
    <row r="14" spans="1:15" ht="15" thickBot="1" x14ac:dyDescent="0.3">
      <c r="B14" s="94" t="s">
        <v>74</v>
      </c>
      <c r="C14" s="136">
        <f>SUM(C8:C13)</f>
        <v>1930</v>
      </c>
      <c r="D14" s="136">
        <f>SUM(D8:D13)</f>
        <v>297363</v>
      </c>
      <c r="E14" s="96"/>
      <c r="F14" s="96"/>
      <c r="G14" s="89">
        <f>SUM(G8:G13)</f>
        <v>62890</v>
      </c>
      <c r="H14" s="89">
        <f>SUM(H8:H13)</f>
        <v>79562</v>
      </c>
      <c r="I14" s="89">
        <f>SUM(I8:I13)</f>
        <v>79578</v>
      </c>
      <c r="J14" s="89"/>
      <c r="K14" s="89">
        <f>SUM(K8:K13)</f>
        <v>35515</v>
      </c>
      <c r="L14" s="89">
        <f>SUM(L8:L13)</f>
        <v>12607</v>
      </c>
      <c r="M14" s="89">
        <f>SUM(M8:M13)</f>
        <v>27211</v>
      </c>
      <c r="N14" s="89"/>
      <c r="O14" s="89">
        <f>SUM(G14:M14)</f>
        <v>297363</v>
      </c>
    </row>
    <row r="15" spans="1:15" ht="13.8" x14ac:dyDescent="0.25">
      <c r="B15" s="135" t="s">
        <v>120</v>
      </c>
    </row>
    <row r="16" spans="1:15" ht="13.8" x14ac:dyDescent="0.25">
      <c r="B16" s="135"/>
    </row>
    <row r="17" spans="2:15" ht="14.4" thickBot="1" x14ac:dyDescent="0.3">
      <c r="B17" s="135"/>
      <c r="D17" s="90" t="s">
        <v>126</v>
      </c>
      <c r="E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15" thickBot="1" x14ac:dyDescent="0.3">
      <c r="B18" s="135"/>
      <c r="D18" s="137"/>
      <c r="E18" s="137"/>
      <c r="G18" s="137" t="s">
        <v>105</v>
      </c>
      <c r="H18" s="137" t="s">
        <v>76</v>
      </c>
      <c r="I18" s="137" t="s">
        <v>77</v>
      </c>
      <c r="J18" s="137"/>
      <c r="K18" s="137" t="s">
        <v>78</v>
      </c>
      <c r="L18" s="137" t="s">
        <v>79</v>
      </c>
      <c r="M18" s="137" t="s">
        <v>73</v>
      </c>
      <c r="N18" s="134"/>
      <c r="O18" s="137" t="s">
        <v>53</v>
      </c>
    </row>
    <row r="19" spans="2:15" ht="13.8" x14ac:dyDescent="0.25">
      <c r="B19" s="135"/>
      <c r="E19" s="2" t="s">
        <v>122</v>
      </c>
      <c r="G19" s="84">
        <f>G14</f>
        <v>62890</v>
      </c>
      <c r="H19" s="84">
        <f t="shared" ref="H19:M19" si="0">H14</f>
        <v>79562</v>
      </c>
      <c r="I19" s="84">
        <f t="shared" si="0"/>
        <v>79578</v>
      </c>
      <c r="J19" s="84">
        <f t="shared" si="0"/>
        <v>0</v>
      </c>
      <c r="K19" s="84">
        <f t="shared" si="0"/>
        <v>35515</v>
      </c>
      <c r="L19" s="84">
        <f t="shared" si="0"/>
        <v>12607</v>
      </c>
      <c r="M19" s="84">
        <f t="shared" si="0"/>
        <v>27211</v>
      </c>
      <c r="O19" s="97">
        <f>SUM(G19:M19)</f>
        <v>297363</v>
      </c>
    </row>
    <row r="20" spans="2:15" x14ac:dyDescent="0.25">
      <c r="E20" s="2" t="s">
        <v>121</v>
      </c>
      <c r="F20" s="2"/>
      <c r="G20" s="84">
        <v>75</v>
      </c>
      <c r="H20" s="84">
        <v>65</v>
      </c>
      <c r="I20" s="84">
        <v>55</v>
      </c>
      <c r="J20" s="84"/>
      <c r="K20" s="84">
        <v>45</v>
      </c>
      <c r="L20" s="84">
        <v>35</v>
      </c>
      <c r="M20" s="84">
        <v>35</v>
      </c>
      <c r="O20" s="141">
        <f>O21/O14</f>
        <v>58.03302697376607</v>
      </c>
    </row>
    <row r="21" spans="2:15" ht="13.8" thickBot="1" x14ac:dyDescent="0.3">
      <c r="D21" s="89"/>
      <c r="E21" s="138" t="s">
        <v>123</v>
      </c>
      <c r="F21" s="89"/>
      <c r="G21" s="139">
        <f>G20*G14</f>
        <v>4716750</v>
      </c>
      <c r="H21" s="139">
        <f t="shared" ref="H21:M21" si="1">H20*H14</f>
        <v>5171530</v>
      </c>
      <c r="I21" s="139">
        <f t="shared" si="1"/>
        <v>4376790</v>
      </c>
      <c r="J21" s="139"/>
      <c r="K21" s="139">
        <f t="shared" si="1"/>
        <v>1598175</v>
      </c>
      <c r="L21" s="139">
        <f t="shared" si="1"/>
        <v>441245</v>
      </c>
      <c r="M21" s="139">
        <f t="shared" si="1"/>
        <v>952385</v>
      </c>
      <c r="N21" s="140"/>
      <c r="O21" s="139">
        <f>SUM(G21:M21)</f>
        <v>17256875</v>
      </c>
    </row>
  </sheetData>
  <mergeCells count="1">
    <mergeCell ref="C4:E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58BBE011AA31DE4FBA2263FA6EABFD78" ma:contentTypeVersion="0" ma:contentTypeDescription="" ma:contentTypeScope="" ma:versionID="5aa4d6622b50934f1963103860773c72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Preuve de la FCEI - Tableaux et calculs </Sujet>
    <Confidentiel xmlns="a091097b-8ae3-4832-a2b2-51f9a78aeacd">3</Confidentiel>
    <Projet xmlns="a091097b-8ae3-4832-a2b2-51f9a78aeacd">514</Projet>
    <Provenance xmlns="a091097b-8ae3-4832-a2b2-51f9a78aeacd">2</Provenance>
    <Hidden_UploadedAt xmlns="a091097b-8ae3-4832-a2b2-51f9a78aeacd">2023-01-23T22:13:26+00:00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64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598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24</Catégorie_x0020_de_x0020_document>
    <Date_x0020_de_x0020_confidentialité_x0020_relevée xmlns="a091097b-8ae3-4832-a2b2-51f9a78aeacd" xsi:nil="true"/>
    <Hidden_ApprovedAt xmlns="a091097b-8ae3-4832-a2b2-51f9a78aeacd">2023-01-23T22:13:26+00:00</Hidden_ApprovedAt>
    <Cote_x0020_de_x0020_piéce xmlns="a091097b-8ae3-4832-a2b2-51f9a78aeacd">C-FCEI-0043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W2HFWTQUJJY6-440305271-328</_dlc_DocId>
    <_dlc_DocIdUrl xmlns="a84ed267-86d5-4fa1-a3cb-2fed497fe84f">
      <Url>http://s10mtlweb:8081/514/_layouts/15/DocIdRedir.aspx?ID=W2HFWTQUJJY6-440305271-328</Url>
      <Description>W2HFWTQUJJY6-440305271-328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18ECE6-CC7D-458C-BBA5-E01D6F449633}"/>
</file>

<file path=customXml/itemProps2.xml><?xml version="1.0" encoding="utf-8"?>
<ds:datastoreItem xmlns:ds="http://schemas.openxmlformats.org/officeDocument/2006/customXml" ds:itemID="{1AF14E4D-182F-4678-A943-F25782A1E883}"/>
</file>

<file path=customXml/itemProps3.xml><?xml version="1.0" encoding="utf-8"?>
<ds:datastoreItem xmlns:ds="http://schemas.openxmlformats.org/officeDocument/2006/customXml" ds:itemID="{DA6F4022-93EC-4A7A-9FAA-7FCB65EA2C50}"/>
</file>

<file path=customXml/itemProps4.xml><?xml version="1.0" encoding="utf-8"?>
<ds:datastoreItem xmlns:ds="http://schemas.openxmlformats.org/officeDocument/2006/customXml" ds:itemID="{6420731C-4124-4AF7-BB56-B814C9F6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 (rentabilité)</vt:lpstr>
      <vt:lpstr>Tableau 2 (Tx de participation)</vt:lpstr>
      <vt:lpstr>Coût marginal groupes électro.</vt:lpstr>
      <vt:lpstr>Harmonisation</vt:lpstr>
      <vt:lpstr>Tableau 4</vt:lpstr>
      <vt:lpstr>Appui global moyen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Preuve de la FCEI - Tableaux et calculs </dc:subject>
  <dc:creator>Lévesque, Claudette</dc:creator>
  <cp:lastModifiedBy>Utilisateur Windows</cp:lastModifiedBy>
  <dcterms:created xsi:type="dcterms:W3CDTF">1900-01-01T05:00:00Z</dcterms:created>
  <dcterms:modified xsi:type="dcterms:W3CDTF">2021-04-09T17:57:24Z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0x010100F6681E3BDF397F418586AC591ADC81BB0058BBE011AA31DE4FBA2263FA6EABFD78</vt:lpwstr>
  </property>
  <property fmtid="{D5CDD505-2E9C-101B-9397-08002B2CF9AE}" pid="4" name="Order">
    <vt:r8>5682500</vt:r8>
  </property>
  <property fmtid="{D5CDD505-2E9C-101B-9397-08002B2CF9AE}" pid="5" name="_dlc_DocIdItemGuid">
    <vt:lpwstr>9c795933-f66b-4017-bbe8-c8c3fdf7c30e</vt:lpwstr>
  </property>
</Properties>
</file>