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xl/threadedComments/threadedComment1.xml" ContentType="application/vnd.ms-excel.threadedcomments+xml"/>
  <Override PartName="/xl/persons/person.xml" ContentType="application/vnd.ms-excel.perso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3256" windowHeight="13176" firstSheet="5" activeTab="10"/>
  </bookViews>
  <sheets>
    <sheet name="COM and Rother" sheetId="1" r:id="rId1"/>
    <sheet name="Dispatching Costs" sheetId="6" r:id="rId2"/>
    <sheet name="HQT Plant and WACC data" sheetId="3" r:id="rId3"/>
    <sheet name="HQT Output and HQ Plant Data" sheetId="2" r:id="rId4"/>
    <sheet name="O&amp;M Cost Calculations" sheetId="9" r:id="rId5"/>
    <sheet name="Capital Cost Calculations" sheetId="11" r:id="rId6"/>
    <sheet name="Asset Price Index" sheetId="13" r:id="rId7"/>
    <sheet name="Implicit Capital Stock Deflator" sheetId="14" r:id="rId8"/>
    <sheet name="Bus Condition Variables" sheetId="10" r:id="rId9"/>
    <sheet name="Input Price" sheetId="12" r:id="rId10"/>
    <sheet name="Quebec vs. US  Labor" sheetId="22" r:id="rId11"/>
    <sheet name="Statistics Canada GDPIPIFDD" sheetId="17" r:id="rId12"/>
    <sheet name="Average Hourly Earnings" sheetId="19" r:id="rId13"/>
    <sheet name="OECD.Stat export" sheetId="23" r:id="rId14"/>
    <sheet name="HQ data for econometrics" sheetId="8" r:id="rId15"/>
  </sheets>
  <definedNames>
    <definedName name="alled">#REF!</definedName>
    <definedName name="allstem">#REF!</definedName>
    <definedName name="_xlnm.Database">#REF!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9" i="22" l="1"/>
  <c r="AZ13" i="9"/>
  <c r="AZ14" i="9"/>
  <c r="AZ15" i="9"/>
  <c r="AZ16" i="9"/>
  <c r="AZ17" i="9"/>
  <c r="AZ18" i="9"/>
  <c r="AZ19" i="9"/>
  <c r="AZ20" i="9"/>
  <c r="AZ21" i="9"/>
  <c r="AZ22" i="9"/>
  <c r="AZ23" i="9"/>
  <c r="AZ24" i="9"/>
  <c r="J6" i="11"/>
  <c r="L15" i="10" l="1"/>
  <c r="BB13" i="9" l="1"/>
  <c r="BC13" i="9" s="1"/>
  <c r="BB14" i="9"/>
  <c r="BC14" i="9" s="1"/>
  <c r="BB15" i="9"/>
  <c r="BC15" i="9" s="1"/>
  <c r="BB16" i="9"/>
  <c r="BB17" i="9"/>
  <c r="BC17" i="9" s="1"/>
  <c r="BB18" i="9"/>
  <c r="BC18" i="9" s="1"/>
  <c r="BB19" i="9"/>
  <c r="BC19" i="9" s="1"/>
  <c r="BB20" i="9"/>
  <c r="BB21" i="9"/>
  <c r="BC21" i="9" s="1"/>
  <c r="BB22" i="9"/>
  <c r="BC22" i="9" s="1"/>
  <c r="BB23" i="9"/>
  <c r="BC23" i="9" s="1"/>
  <c r="BB24" i="9"/>
  <c r="BB12" i="9"/>
  <c r="BC12" i="9" s="1"/>
  <c r="BC20" i="9" l="1"/>
  <c r="BC16" i="9"/>
  <c r="AZ12" i="9" l="1"/>
  <c r="I46" i="12"/>
  <c r="C16" i="12"/>
  <c r="N27" i="2"/>
  <c r="H7" i="13"/>
  <c r="J52" i="12"/>
  <c r="P70" i="13"/>
  <c r="S35" i="12"/>
  <c r="J36" i="12"/>
  <c r="T39" i="22"/>
  <c r="I43" i="12" s="1"/>
  <c r="J35" i="22"/>
  <c r="J33" i="22"/>
  <c r="J28" i="22"/>
  <c r="J25" i="22"/>
  <c r="J23" i="22"/>
  <c r="J18" i="22"/>
  <c r="J16" i="22"/>
  <c r="J12" i="22"/>
  <c r="J9" i="22"/>
  <c r="J7" i="22"/>
  <c r="BD12" i="9" l="1"/>
  <c r="J22" i="12"/>
  <c r="J27" i="14"/>
  <c r="C27" i="14"/>
  <c r="X15" i="10" l="1"/>
  <c r="L21" i="10"/>
  <c r="L20" i="10"/>
  <c r="L19" i="10"/>
  <c r="L22" i="10" s="1"/>
  <c r="L18" i="10"/>
  <c r="L17" i="10"/>
  <c r="L16" i="10"/>
  <c r="AC6" i="11" l="1"/>
  <c r="A1" i="23"/>
  <c r="U7" i="11" l="1"/>
  <c r="U8" i="11"/>
  <c r="U9" i="11"/>
  <c r="B85" i="13"/>
  <c r="BD20" i="9" l="1"/>
  <c r="J30" i="12"/>
  <c r="BD23" i="9"/>
  <c r="J33" i="12"/>
  <c r="BD19" i="9"/>
  <c r="J29" i="12"/>
  <c r="BD15" i="9"/>
  <c r="J25" i="12"/>
  <c r="BD22" i="9"/>
  <c r="J32" i="12"/>
  <c r="BD18" i="9"/>
  <c r="J28" i="12"/>
  <c r="BD14" i="9"/>
  <c r="J24" i="12"/>
  <c r="BD16" i="9"/>
  <c r="J26" i="12"/>
  <c r="BD21" i="9"/>
  <c r="J31" i="12"/>
  <c r="BD17" i="9"/>
  <c r="J27" i="12"/>
  <c r="BD13" i="9"/>
  <c r="J23" i="12"/>
  <c r="F11" i="8"/>
  <c r="N31" i="2"/>
  <c r="I2" i="8"/>
  <c r="Q24" i="11" l="1"/>
  <c r="H22" i="12" l="1"/>
  <c r="H23" i="12"/>
  <c r="H24" i="12"/>
  <c r="H25" i="12"/>
  <c r="H26" i="12"/>
  <c r="H27" i="12"/>
  <c r="H28" i="12"/>
  <c r="H29" i="12"/>
  <c r="H30" i="12"/>
  <c r="H31" i="12"/>
  <c r="H32" i="12"/>
  <c r="H33" i="12"/>
  <c r="H34" i="12"/>
  <c r="F3" i="8" l="1"/>
  <c r="F4" i="8"/>
  <c r="F5" i="8"/>
  <c r="F6" i="8"/>
  <c r="F7" i="8"/>
  <c r="F8" i="8"/>
  <c r="F9" i="8"/>
  <c r="F10" i="8"/>
  <c r="F12" i="8"/>
  <c r="F13" i="8"/>
  <c r="F14" i="8"/>
  <c r="F2" i="8"/>
  <c r="C13" i="12" l="1"/>
  <c r="C14" i="12"/>
  <c r="C15" i="12"/>
  <c r="C17" i="12"/>
  <c r="C18" i="12"/>
  <c r="C19" i="12"/>
  <c r="C20" i="12"/>
  <c r="C21" i="12"/>
  <c r="C22" i="12"/>
  <c r="D22" i="12"/>
  <c r="C23" i="12"/>
  <c r="D23" i="12"/>
  <c r="C24" i="12"/>
  <c r="D24" i="12"/>
  <c r="C25" i="12"/>
  <c r="D25" i="12"/>
  <c r="C26" i="12"/>
  <c r="D26" i="12"/>
  <c r="C27" i="12"/>
  <c r="D27" i="12"/>
  <c r="C28" i="12"/>
  <c r="D28" i="12"/>
  <c r="E28" i="12" s="1"/>
  <c r="C29" i="12"/>
  <c r="D29" i="12"/>
  <c r="C30" i="12"/>
  <c r="D30" i="12"/>
  <c r="C31" i="12"/>
  <c r="D31" i="12"/>
  <c r="C32" i="12"/>
  <c r="D32" i="12"/>
  <c r="C33" i="12"/>
  <c r="D33" i="12"/>
  <c r="C34" i="12"/>
  <c r="D34" i="12"/>
  <c r="C12" i="12"/>
  <c r="K22" i="12" l="1"/>
  <c r="E34" i="12"/>
  <c r="E32" i="12"/>
  <c r="E30" i="12"/>
  <c r="E26" i="12"/>
  <c r="E24" i="12"/>
  <c r="I30" i="12"/>
  <c r="E33" i="12"/>
  <c r="E29" i="12"/>
  <c r="E25" i="12"/>
  <c r="I26" i="12"/>
  <c r="I31" i="12"/>
  <c r="I23" i="12"/>
  <c r="I34" i="12"/>
  <c r="I27" i="12"/>
  <c r="I25" i="12"/>
  <c r="I33" i="12"/>
  <c r="I32" i="12"/>
  <c r="I28" i="12"/>
  <c r="I24" i="12"/>
  <c r="I29" i="12"/>
  <c r="E31" i="12"/>
  <c r="E27" i="12"/>
  <c r="E23" i="12"/>
  <c r="K9" i="1" l="1"/>
  <c r="P60" i="3" l="1"/>
  <c r="K23" i="12" l="1"/>
  <c r="L23" i="12" s="1"/>
  <c r="K29" i="12"/>
  <c r="K31" i="12"/>
  <c r="K30" i="12"/>
  <c r="K28" i="12"/>
  <c r="K27" i="12"/>
  <c r="K33" i="12"/>
  <c r="K24" i="12"/>
  <c r="K32" i="12"/>
  <c r="K25" i="12"/>
  <c r="K26" i="12"/>
  <c r="L24" i="12" l="1"/>
  <c r="L33" i="12"/>
  <c r="L28" i="12"/>
  <c r="L25" i="12"/>
  <c r="L29" i="12"/>
  <c r="L26" i="12"/>
  <c r="L32" i="12"/>
  <c r="L30" i="12"/>
  <c r="L31" i="12"/>
  <c r="L27" i="12"/>
  <c r="Z31" i="2"/>
  <c r="O31" i="2"/>
  <c r="P31" i="2"/>
  <c r="Q31" i="2"/>
  <c r="R31" i="2"/>
  <c r="S31" i="2"/>
  <c r="T31" i="2"/>
  <c r="U31" i="2"/>
  <c r="V31" i="2"/>
  <c r="W31" i="2"/>
  <c r="X31" i="2"/>
  <c r="Y31" i="2"/>
  <c r="AC7" i="11"/>
  <c r="AC8" i="11"/>
  <c r="AC9" i="11"/>
  <c r="AC10" i="11"/>
  <c r="AC11" i="11"/>
  <c r="AC12" i="11"/>
  <c r="AC13" i="11"/>
  <c r="AC14" i="11"/>
  <c r="AC15" i="11"/>
  <c r="AC16" i="11"/>
  <c r="AC17" i="11"/>
  <c r="AC18" i="11"/>
  <c r="AC19" i="11"/>
  <c r="AC20" i="11"/>
  <c r="AC21" i="11"/>
  <c r="AC22" i="11"/>
  <c r="AC23" i="11"/>
  <c r="AC24" i="11"/>
  <c r="L6" i="13"/>
  <c r="P66" i="13" l="1"/>
  <c r="P65" i="13" l="1"/>
  <c r="P64" i="13" l="1"/>
  <c r="P63" i="13" l="1"/>
  <c r="P62" i="13" l="1"/>
  <c r="L7" i="13"/>
  <c r="L8" i="13"/>
  <c r="L9" i="13"/>
  <c r="L10" i="13"/>
  <c r="L11" i="13"/>
  <c r="M11" i="13" s="1"/>
  <c r="L12" i="13"/>
  <c r="L13" i="13"/>
  <c r="L14" i="13"/>
  <c r="L15" i="13"/>
  <c r="M15" i="13" s="1"/>
  <c r="L16" i="13"/>
  <c r="L17" i="13"/>
  <c r="L18" i="13"/>
  <c r="L19" i="13"/>
  <c r="M19" i="13" s="1"/>
  <c r="L20" i="13"/>
  <c r="L21" i="13"/>
  <c r="L22" i="13"/>
  <c r="L23" i="13"/>
  <c r="M23" i="13" s="1"/>
  <c r="L24" i="13"/>
  <c r="L25" i="13"/>
  <c r="L26" i="13"/>
  <c r="L27" i="13"/>
  <c r="M27" i="13" s="1"/>
  <c r="L28" i="13"/>
  <c r="L29" i="13"/>
  <c r="L30" i="13"/>
  <c r="L31" i="13"/>
  <c r="M31" i="13" s="1"/>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L60" i="13"/>
  <c r="L61" i="13"/>
  <c r="L62" i="13"/>
  <c r="L63" i="13"/>
  <c r="L64" i="13"/>
  <c r="L65" i="13"/>
  <c r="L66" i="13"/>
  <c r="M66" i="13" s="1"/>
  <c r="L67" i="13"/>
  <c r="L68" i="13"/>
  <c r="L69" i="13"/>
  <c r="L70" i="13"/>
  <c r="L71" i="13"/>
  <c r="L72" i="13"/>
  <c r="L73" i="13"/>
  <c r="L74" i="13"/>
  <c r="L75" i="13"/>
  <c r="L76" i="13"/>
  <c r="L77" i="13"/>
  <c r="L78" i="13"/>
  <c r="L79" i="13"/>
  <c r="L80" i="13"/>
  <c r="L81" i="13"/>
  <c r="L82" i="13"/>
  <c r="L83" i="13"/>
  <c r="L84" i="13"/>
  <c r="L85" i="13"/>
  <c r="H8" i="13"/>
  <c r="H9" i="13" s="1"/>
  <c r="H10" i="13" s="1"/>
  <c r="H11" i="13" s="1"/>
  <c r="H12" i="13" s="1"/>
  <c r="H13" i="13" s="1"/>
  <c r="H14" i="13" s="1"/>
  <c r="H15" i="13" s="1"/>
  <c r="H16" i="13" s="1"/>
  <c r="H17" i="13" s="1"/>
  <c r="H18" i="13" s="1"/>
  <c r="H19" i="13" s="1"/>
  <c r="H20" i="13" s="1"/>
  <c r="H21" i="13" s="1"/>
  <c r="H22" i="13" s="1"/>
  <c r="H23" i="13" s="1"/>
  <c r="H24" i="13" s="1"/>
  <c r="H25" i="13" s="1"/>
  <c r="H26" i="13" s="1"/>
  <c r="H27" i="13" s="1"/>
  <c r="H28" i="13" s="1"/>
  <c r="H29" i="13" s="1"/>
  <c r="H30" i="13" s="1"/>
  <c r="H31" i="13" s="1"/>
  <c r="H32" i="13" s="1"/>
  <c r="H33" i="13" s="1"/>
  <c r="H34" i="13" s="1"/>
  <c r="H35" i="13" s="1"/>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28" i="13"/>
  <c r="BI66" i="14"/>
  <c r="BH66" i="14"/>
  <c r="BG66" i="14"/>
  <c r="BF66" i="14"/>
  <c r="BE66" i="14"/>
  <c r="BD66" i="14"/>
  <c r="BC66" i="14"/>
  <c r="BB66" i="14"/>
  <c r="BA66" i="14"/>
  <c r="AZ66" i="14"/>
  <c r="AY66" i="14"/>
  <c r="AX66" i="14"/>
  <c r="AW66" i="14"/>
  <c r="AV66" i="14"/>
  <c r="AU66" i="14"/>
  <c r="AT66" i="14"/>
  <c r="AS66" i="14"/>
  <c r="AR66" i="14"/>
  <c r="AQ66" i="14"/>
  <c r="AP66" i="14"/>
  <c r="AO66" i="14"/>
  <c r="AN66" i="14"/>
  <c r="AM66" i="14"/>
  <c r="AL66" i="14"/>
  <c r="AK66" i="14"/>
  <c r="AJ66" i="14"/>
  <c r="AI66" i="14"/>
  <c r="AH66" i="14"/>
  <c r="AG66" i="14"/>
  <c r="AF66" i="14"/>
  <c r="AE66" i="14"/>
  <c r="AD66" i="14"/>
  <c r="AC66" i="14"/>
  <c r="AB66" i="14"/>
  <c r="AA66" i="14"/>
  <c r="Z66" i="14"/>
  <c r="Y66" i="14"/>
  <c r="X66" i="14"/>
  <c r="W66" i="14"/>
  <c r="V66" i="14"/>
  <c r="U66" i="14"/>
  <c r="T66" i="14"/>
  <c r="S66" i="14"/>
  <c r="R66" i="14"/>
  <c r="Q66" i="14"/>
  <c r="P66" i="14"/>
  <c r="O66" i="14"/>
  <c r="N66" i="14"/>
  <c r="M66" i="14"/>
  <c r="L66" i="14"/>
  <c r="K66" i="14"/>
  <c r="J66" i="14"/>
  <c r="I66" i="14"/>
  <c r="H66" i="14"/>
  <c r="G66" i="14"/>
  <c r="F66" i="14"/>
  <c r="E66" i="14"/>
  <c r="D66" i="14"/>
  <c r="C66" i="14"/>
  <c r="BH28" i="14"/>
  <c r="BD28" i="14"/>
  <c r="AZ28" i="14"/>
  <c r="AV28" i="14"/>
  <c r="AR28" i="14"/>
  <c r="AN28" i="14"/>
  <c r="AJ28" i="14"/>
  <c r="AF28" i="14"/>
  <c r="AB28" i="14"/>
  <c r="X28" i="14"/>
  <c r="T28" i="14"/>
  <c r="P28" i="14"/>
  <c r="L28" i="14"/>
  <c r="H28" i="14"/>
  <c r="D28" i="14"/>
  <c r="BI27" i="14"/>
  <c r="BI28" i="14" s="1"/>
  <c r="BH27" i="14"/>
  <c r="BG27" i="14"/>
  <c r="BG28" i="14" s="1"/>
  <c r="BF27" i="14"/>
  <c r="BF28" i="14" s="1"/>
  <c r="BE27" i="14"/>
  <c r="BE28" i="14" s="1"/>
  <c r="BD27" i="14"/>
  <c r="BC27" i="14"/>
  <c r="BC28" i="14" s="1"/>
  <c r="BB27" i="14"/>
  <c r="BB28" i="14" s="1"/>
  <c r="BA27" i="14"/>
  <c r="BA28" i="14" s="1"/>
  <c r="AZ27" i="14"/>
  <c r="AY27" i="14"/>
  <c r="AY28" i="14" s="1"/>
  <c r="AX27" i="14"/>
  <c r="AX28" i="14" s="1"/>
  <c r="AW27" i="14"/>
  <c r="AW28" i="14" s="1"/>
  <c r="AV27" i="14"/>
  <c r="AU27" i="14"/>
  <c r="AU28" i="14" s="1"/>
  <c r="AT27" i="14"/>
  <c r="AT28" i="14" s="1"/>
  <c r="AS27" i="14"/>
  <c r="AS28" i="14" s="1"/>
  <c r="AR27" i="14"/>
  <c r="AQ27" i="14"/>
  <c r="AQ28" i="14" s="1"/>
  <c r="AP27" i="14"/>
  <c r="AP28" i="14" s="1"/>
  <c r="AO27" i="14"/>
  <c r="AO28" i="14" s="1"/>
  <c r="AN27" i="14"/>
  <c r="AM27" i="14"/>
  <c r="AM28" i="14" s="1"/>
  <c r="AL27" i="14"/>
  <c r="AL28" i="14" s="1"/>
  <c r="AK27" i="14"/>
  <c r="AK28" i="14" s="1"/>
  <c r="AJ27" i="14"/>
  <c r="AI27" i="14"/>
  <c r="AI28" i="14" s="1"/>
  <c r="AH27" i="14"/>
  <c r="AH28" i="14" s="1"/>
  <c r="AG27" i="14"/>
  <c r="AG28" i="14" s="1"/>
  <c r="AF27" i="14"/>
  <c r="AE27" i="14"/>
  <c r="AE28" i="14" s="1"/>
  <c r="AD27" i="14"/>
  <c r="AD28" i="14" s="1"/>
  <c r="AC27" i="14"/>
  <c r="AC28" i="14" s="1"/>
  <c r="AB27" i="14"/>
  <c r="AA27" i="14"/>
  <c r="AA28" i="14" s="1"/>
  <c r="Z27" i="14"/>
  <c r="Z28" i="14" s="1"/>
  <c r="Y27" i="14"/>
  <c r="Y28" i="14" s="1"/>
  <c r="X27" i="14"/>
  <c r="W27" i="14"/>
  <c r="W28" i="14" s="1"/>
  <c r="V27" i="14"/>
  <c r="V28" i="14" s="1"/>
  <c r="U27" i="14"/>
  <c r="U28" i="14" s="1"/>
  <c r="T27" i="14"/>
  <c r="S27" i="14"/>
  <c r="S28" i="14" s="1"/>
  <c r="R27" i="14"/>
  <c r="R28" i="14" s="1"/>
  <c r="Q27" i="14"/>
  <c r="Q28" i="14" s="1"/>
  <c r="P27" i="14"/>
  <c r="O27" i="14"/>
  <c r="O28" i="14" s="1"/>
  <c r="N27" i="14"/>
  <c r="N28" i="14" s="1"/>
  <c r="M27" i="14"/>
  <c r="M28" i="14" s="1"/>
  <c r="L27" i="14"/>
  <c r="K27" i="14"/>
  <c r="K28" i="14" s="1"/>
  <c r="J28" i="14"/>
  <c r="I27" i="14"/>
  <c r="I28" i="14" s="1"/>
  <c r="H27" i="14"/>
  <c r="G27" i="14"/>
  <c r="G28" i="14" s="1"/>
  <c r="F27" i="14"/>
  <c r="F28" i="14" s="1"/>
  <c r="E27" i="14"/>
  <c r="E28" i="14" s="1"/>
  <c r="D27" i="14"/>
  <c r="M78" i="13" l="1"/>
  <c r="M70" i="13"/>
  <c r="M62" i="13"/>
  <c r="M58" i="13"/>
  <c r="M54" i="13"/>
  <c r="M50" i="13"/>
  <c r="M46" i="13"/>
  <c r="M42" i="13"/>
  <c r="M38" i="13"/>
  <c r="M34" i="13"/>
  <c r="M30" i="13"/>
  <c r="N31" i="13" s="1"/>
  <c r="M26" i="13"/>
  <c r="N27" i="13" s="1"/>
  <c r="M22" i="13"/>
  <c r="N23" i="13" s="1"/>
  <c r="M18" i="13"/>
  <c r="N19" i="13" s="1"/>
  <c r="M14" i="13"/>
  <c r="N15" i="13" s="1"/>
  <c r="M7" i="13"/>
  <c r="M82" i="13"/>
  <c r="M74" i="13"/>
  <c r="M10" i="13"/>
  <c r="M85" i="13"/>
  <c r="M81" i="13"/>
  <c r="M77" i="13"/>
  <c r="M73" i="13"/>
  <c r="M69" i="13"/>
  <c r="M65" i="13"/>
  <c r="M61" i="13"/>
  <c r="M57" i="13"/>
  <c r="M53" i="13"/>
  <c r="M49" i="13"/>
  <c r="M45" i="13"/>
  <c r="M41" i="13"/>
  <c r="M37" i="13"/>
  <c r="M33" i="13"/>
  <c r="M29" i="13"/>
  <c r="M6" i="13"/>
  <c r="M25" i="13"/>
  <c r="M21" i="13"/>
  <c r="M17" i="13"/>
  <c r="M13" i="13"/>
  <c r="N14" i="13" s="1"/>
  <c r="M9" i="13"/>
  <c r="M84" i="13"/>
  <c r="M80" i="13"/>
  <c r="M76" i="13"/>
  <c r="M72" i="13"/>
  <c r="M68" i="13"/>
  <c r="M64" i="13"/>
  <c r="M60" i="13"/>
  <c r="M56" i="13"/>
  <c r="M52" i="13"/>
  <c r="M48" i="13"/>
  <c r="M44" i="13"/>
  <c r="M40" i="13"/>
  <c r="M36" i="13"/>
  <c r="M32" i="13"/>
  <c r="N32" i="13" s="1"/>
  <c r="M28" i="13"/>
  <c r="N28" i="13" s="1"/>
  <c r="D28" i="13" s="1"/>
  <c r="M24" i="13"/>
  <c r="N24" i="13" s="1"/>
  <c r="M20" i="13"/>
  <c r="N20" i="13" s="1"/>
  <c r="M16" i="13"/>
  <c r="N16" i="13" s="1"/>
  <c r="M12" i="13"/>
  <c r="N12" i="13" s="1"/>
  <c r="M8" i="13"/>
  <c r="M83" i="13"/>
  <c r="N83" i="13" s="1"/>
  <c r="M79" i="13"/>
  <c r="N79" i="13" s="1"/>
  <c r="M75" i="13"/>
  <c r="M71" i="13"/>
  <c r="M67" i="13"/>
  <c r="N67" i="13" s="1"/>
  <c r="M63" i="13"/>
  <c r="M59" i="13"/>
  <c r="M55" i="13"/>
  <c r="M51" i="13"/>
  <c r="M47" i="13"/>
  <c r="M43" i="13"/>
  <c r="M39" i="13"/>
  <c r="M35" i="13"/>
  <c r="P61" i="13"/>
  <c r="N82" i="13" l="1"/>
  <c r="N75" i="13"/>
  <c r="N74" i="13"/>
  <c r="N35" i="13"/>
  <c r="N51" i="13"/>
  <c r="N71" i="13"/>
  <c r="N39" i="13"/>
  <c r="N55" i="13"/>
  <c r="N38" i="13"/>
  <c r="N7" i="13"/>
  <c r="N58" i="13"/>
  <c r="N43" i="13"/>
  <c r="N42" i="13"/>
  <c r="N59" i="13"/>
  <c r="N8" i="13"/>
  <c r="N47" i="13"/>
  <c r="N63" i="13"/>
  <c r="N45" i="13"/>
  <c r="N29" i="13"/>
  <c r="D29" i="13" s="1"/>
  <c r="D30" i="13" s="1"/>
  <c r="D31" i="13" s="1"/>
  <c r="D32" i="13" s="1"/>
  <c r="D33" i="13" s="1"/>
  <c r="D34" i="13" s="1"/>
  <c r="D35" i="13" s="1"/>
  <c r="D36" i="13" s="1"/>
  <c r="N61" i="13"/>
  <c r="N77" i="13"/>
  <c r="N30" i="13"/>
  <c r="N36" i="13"/>
  <c r="N52" i="13"/>
  <c r="N68" i="13"/>
  <c r="N84" i="13"/>
  <c r="N21" i="13"/>
  <c r="N33" i="13"/>
  <c r="N49" i="13"/>
  <c r="N65" i="13"/>
  <c r="N81" i="13"/>
  <c r="N46" i="13"/>
  <c r="N22" i="13"/>
  <c r="N34" i="13"/>
  <c r="N64" i="13"/>
  <c r="N17" i="13"/>
  <c r="N18" i="13"/>
  <c r="N40" i="13"/>
  <c r="N56" i="13"/>
  <c r="N72" i="13"/>
  <c r="N9" i="13"/>
  <c r="N25" i="13"/>
  <c r="N37" i="13"/>
  <c r="N53" i="13"/>
  <c r="N69" i="13"/>
  <c r="N85" i="13"/>
  <c r="N62" i="13"/>
  <c r="N54" i="13"/>
  <c r="N50" i="13"/>
  <c r="N48" i="13"/>
  <c r="N80" i="13"/>
  <c r="N44" i="13"/>
  <c r="N60" i="13"/>
  <c r="N76" i="13"/>
  <c r="N13" i="13"/>
  <c r="N41" i="13"/>
  <c r="N57" i="13"/>
  <c r="N73" i="13"/>
  <c r="N10" i="13"/>
  <c r="N11" i="13"/>
  <c r="N78" i="13"/>
  <c r="N70" i="13"/>
  <c r="N66" i="13"/>
  <c r="N26" i="13"/>
  <c r="P60" i="13"/>
  <c r="D37" i="13" l="1"/>
  <c r="D38" i="13" s="1"/>
  <c r="D39" i="13" s="1"/>
  <c r="D40" i="13" s="1"/>
  <c r="D41" i="13" s="1"/>
  <c r="D42" i="13" s="1"/>
  <c r="D43" i="13" s="1"/>
  <c r="D44" i="13" s="1"/>
  <c r="D45" i="13" s="1"/>
  <c r="D46" i="13" s="1"/>
  <c r="D47" i="13" s="1"/>
  <c r="D48" i="13" s="1"/>
  <c r="D49" i="13" s="1"/>
  <c r="D50" i="13" s="1"/>
  <c r="D51" i="13" s="1"/>
  <c r="D52" i="13" s="1"/>
  <c r="D53" i="13" s="1"/>
  <c r="D54" i="13" s="1"/>
  <c r="D55" i="13" s="1"/>
  <c r="D56" i="13" s="1"/>
  <c r="D57" i="13" s="1"/>
  <c r="D58" i="13" s="1"/>
  <c r="D59" i="13" s="1"/>
  <c r="D60" i="13" s="1"/>
  <c r="D61" i="13" s="1"/>
  <c r="D62" i="13" s="1"/>
  <c r="D63" i="13" s="1"/>
  <c r="D64" i="13" s="1"/>
  <c r="D65" i="13" s="1"/>
  <c r="D66" i="13" s="1"/>
  <c r="D67" i="13" s="1"/>
  <c r="D68" i="13" s="1"/>
  <c r="D69" i="13" s="1"/>
  <c r="D70" i="13" s="1"/>
  <c r="D71" i="13" s="1"/>
  <c r="D72" i="13" s="1"/>
  <c r="D73" i="13" s="1"/>
  <c r="D74" i="13" s="1"/>
  <c r="D75" i="13" s="1"/>
  <c r="D76" i="13" s="1"/>
  <c r="D77" i="13" s="1"/>
  <c r="D78" i="13" s="1"/>
  <c r="D79" i="13" s="1"/>
  <c r="D80" i="13" s="1"/>
  <c r="D81" i="13" s="1"/>
  <c r="D82" i="13" s="1"/>
  <c r="D83" i="13" s="1"/>
  <c r="D84" i="13" s="1"/>
  <c r="D85" i="13" s="1"/>
  <c r="P59" i="13"/>
  <c r="C7" i="11"/>
  <c r="B7" i="11"/>
  <c r="L37" i="3"/>
  <c r="L36" i="3"/>
  <c r="L38" i="3" s="1"/>
  <c r="D7" i="11" s="1"/>
  <c r="A23" i="11"/>
  <c r="Z32" i="10"/>
  <c r="Y32" i="10"/>
  <c r="O32" i="10"/>
  <c r="X31" i="10"/>
  <c r="W31" i="10"/>
  <c r="V31" i="10"/>
  <c r="V27" i="10" s="1"/>
  <c r="V32" i="10" s="1"/>
  <c r="U31" i="10"/>
  <c r="U27" i="10" s="1"/>
  <c r="U32" i="10" s="1"/>
  <c r="T31" i="10"/>
  <c r="S31" i="10"/>
  <c r="R31" i="10"/>
  <c r="R27" i="10" s="1"/>
  <c r="R32" i="10" s="1"/>
  <c r="Q31" i="10"/>
  <c r="Q27" i="10" s="1"/>
  <c r="Q32" i="10" s="1"/>
  <c r="P31" i="10"/>
  <c r="O31" i="10"/>
  <c r="N31" i="10"/>
  <c r="N27" i="10" s="1"/>
  <c r="N32" i="10" s="1"/>
  <c r="X27" i="10"/>
  <c r="X32" i="10" s="1"/>
  <c r="W27" i="10"/>
  <c r="W32" i="10" s="1"/>
  <c r="T27" i="10"/>
  <c r="T32" i="10" s="1"/>
  <c r="S27" i="10"/>
  <c r="S32" i="10" s="1"/>
  <c r="P27" i="10"/>
  <c r="P32" i="10" s="1"/>
  <c r="O27" i="10"/>
  <c r="O27" i="2"/>
  <c r="I3" i="8" s="1"/>
  <c r="P27" i="2"/>
  <c r="I4" i="8" s="1"/>
  <c r="Q27" i="2"/>
  <c r="I5" i="8" s="1"/>
  <c r="R27" i="2"/>
  <c r="I6" i="8" s="1"/>
  <c r="S27" i="2"/>
  <c r="I7" i="8" s="1"/>
  <c r="T27" i="2"/>
  <c r="I8" i="8" s="1"/>
  <c r="U27" i="2"/>
  <c r="I9" i="8" s="1"/>
  <c r="V27" i="2"/>
  <c r="I10" i="8" s="1"/>
  <c r="W27" i="2"/>
  <c r="I11" i="8" s="1"/>
  <c r="X27" i="2"/>
  <c r="I12" i="8" s="1"/>
  <c r="Y27" i="2"/>
  <c r="I13" i="8" s="1"/>
  <c r="Z27" i="2"/>
  <c r="I14" i="8" s="1"/>
  <c r="M15" i="10"/>
  <c r="M22" i="10" s="1"/>
  <c r="N15" i="10"/>
  <c r="O15" i="10"/>
  <c r="P15" i="10"/>
  <c r="P22" i="10" s="1"/>
  <c r="Q15" i="10"/>
  <c r="Q22" i="10" s="1"/>
  <c r="R15" i="10"/>
  <c r="S15" i="10"/>
  <c r="T15" i="10"/>
  <c r="T22" i="10" s="1"/>
  <c r="U15" i="10"/>
  <c r="U22" i="10" s="1"/>
  <c r="V15" i="10"/>
  <c r="W15" i="10"/>
  <c r="M16" i="10"/>
  <c r="N16" i="10"/>
  <c r="O16" i="10"/>
  <c r="P16" i="10"/>
  <c r="Q16" i="10"/>
  <c r="R16" i="10"/>
  <c r="S16" i="10"/>
  <c r="T16" i="10"/>
  <c r="U16" i="10"/>
  <c r="V16" i="10"/>
  <c r="W16" i="10"/>
  <c r="X16" i="10"/>
  <c r="M17" i="10"/>
  <c r="N17" i="10"/>
  <c r="O17" i="10"/>
  <c r="P17" i="10"/>
  <c r="Q17" i="10"/>
  <c r="R17" i="10"/>
  <c r="S17" i="10"/>
  <c r="T17" i="10"/>
  <c r="U17" i="10"/>
  <c r="V17" i="10"/>
  <c r="W17" i="10"/>
  <c r="X17" i="10"/>
  <c r="M18" i="10"/>
  <c r="N18" i="10"/>
  <c r="O18" i="10"/>
  <c r="P18" i="10"/>
  <c r="Q18" i="10"/>
  <c r="R18" i="10"/>
  <c r="S18" i="10"/>
  <c r="T18" i="10"/>
  <c r="U18" i="10"/>
  <c r="V18" i="10"/>
  <c r="W18" i="10"/>
  <c r="X18" i="10"/>
  <c r="M19" i="10"/>
  <c r="N19" i="10"/>
  <c r="O19" i="10"/>
  <c r="P19" i="10"/>
  <c r="Q19" i="10"/>
  <c r="R19" i="10"/>
  <c r="S19" i="10"/>
  <c r="T19" i="10"/>
  <c r="U19" i="10"/>
  <c r="V19" i="10"/>
  <c r="W19" i="10"/>
  <c r="X19" i="10"/>
  <c r="M20" i="10"/>
  <c r="N20" i="10"/>
  <c r="O20" i="10"/>
  <c r="P20" i="10"/>
  <c r="Q20" i="10"/>
  <c r="R20" i="10"/>
  <c r="S20" i="10"/>
  <c r="T20" i="10"/>
  <c r="U20" i="10"/>
  <c r="V20" i="10"/>
  <c r="W20" i="10"/>
  <c r="X20" i="10"/>
  <c r="M21" i="10"/>
  <c r="N21" i="10"/>
  <c r="O21" i="10"/>
  <c r="P21" i="10"/>
  <c r="Q21" i="10"/>
  <c r="R21" i="10"/>
  <c r="S21" i="10"/>
  <c r="T21" i="10"/>
  <c r="U21" i="10"/>
  <c r="V21" i="10"/>
  <c r="W21" i="10"/>
  <c r="X21" i="10"/>
  <c r="W5" i="10"/>
  <c r="V5" i="10" s="1"/>
  <c r="U5" i="10" s="1"/>
  <c r="T5" i="10" s="1"/>
  <c r="S5" i="10" s="1"/>
  <c r="R5" i="10" s="1"/>
  <c r="Q5" i="10" s="1"/>
  <c r="P5" i="10" s="1"/>
  <c r="O5" i="10" s="1"/>
  <c r="N5" i="10" s="1"/>
  <c r="M5" i="10" s="1"/>
  <c r="L5" i="10" s="1"/>
  <c r="K5" i="10" s="1"/>
  <c r="J5" i="10" s="1"/>
  <c r="I5" i="10" s="1"/>
  <c r="H5" i="10" s="1"/>
  <c r="C24" i="9"/>
  <c r="A23" i="9"/>
  <c r="A22" i="9" s="1"/>
  <c r="A21" i="9" s="1"/>
  <c r="A20" i="9" s="1"/>
  <c r="A19" i="9" s="1"/>
  <c r="A18" i="9" s="1"/>
  <c r="A17" i="9" s="1"/>
  <c r="A16" i="9" s="1"/>
  <c r="A15" i="9" s="1"/>
  <c r="A14" i="9" s="1"/>
  <c r="A13" i="9" s="1"/>
  <c r="A12" i="9" s="1"/>
  <c r="A11" i="9" s="1"/>
  <c r="X22" i="10" l="1"/>
  <c r="W22" i="10"/>
  <c r="S22" i="10"/>
  <c r="O22" i="10"/>
  <c r="V22" i="10"/>
  <c r="R22" i="10"/>
  <c r="N22" i="10"/>
  <c r="BC24" i="9"/>
  <c r="A22" i="11"/>
  <c r="P58" i="13"/>
  <c r="U4" i="6"/>
  <c r="T4" i="6" s="1"/>
  <c r="S4" i="6" s="1"/>
  <c r="R4" i="6" s="1"/>
  <c r="J24" i="3"/>
  <c r="K24" i="3"/>
  <c r="L24" i="3"/>
  <c r="M24" i="3"/>
  <c r="N24" i="3"/>
  <c r="O24" i="3"/>
  <c r="P24" i="3"/>
  <c r="Q24" i="3"/>
  <c r="R24" i="3"/>
  <c r="S24" i="3"/>
  <c r="T24" i="3"/>
  <c r="U24" i="3"/>
  <c r="J34" i="12" l="1"/>
  <c r="BD24" i="9"/>
  <c r="A21" i="11"/>
  <c r="B84" i="13"/>
  <c r="B83" i="13" s="1"/>
  <c r="B82" i="13" s="1"/>
  <c r="B81" i="13" s="1"/>
  <c r="B80" i="13" s="1"/>
  <c r="B79" i="13" s="1"/>
  <c r="B78" i="13" s="1"/>
  <c r="B77" i="13" s="1"/>
  <c r="B76" i="13" s="1"/>
  <c r="B75" i="13" s="1"/>
  <c r="B74" i="13" s="1"/>
  <c r="P57" i="13"/>
  <c r="Q4" i="6"/>
  <c r="P4" i="6" s="1"/>
  <c r="O4" i="6" s="1"/>
  <c r="N4" i="6" s="1"/>
  <c r="M4" i="6" s="1"/>
  <c r="L4" i="6" s="1"/>
  <c r="K4" i="6" s="1"/>
  <c r="J4" i="6" s="1"/>
  <c r="AA60" i="3"/>
  <c r="Z60" i="3"/>
  <c r="Y60" i="3"/>
  <c r="X60" i="3"/>
  <c r="W60" i="3"/>
  <c r="V60" i="3"/>
  <c r="U60" i="3"/>
  <c r="T60" i="3"/>
  <c r="S60" i="3"/>
  <c r="R60" i="3"/>
  <c r="Q60" i="3"/>
  <c r="AB58" i="3"/>
  <c r="AB60" i="3" s="1"/>
  <c r="AA4" i="3"/>
  <c r="Z4" i="3" s="1"/>
  <c r="Y4" i="3" s="1"/>
  <c r="X4" i="3" s="1"/>
  <c r="W4" i="3" s="1"/>
  <c r="V4" i="3" s="1"/>
  <c r="U4" i="3" s="1"/>
  <c r="T4" i="3" s="1"/>
  <c r="S4" i="3" s="1"/>
  <c r="R4" i="3" s="1"/>
  <c r="Q4" i="3" s="1"/>
  <c r="P4" i="3" s="1"/>
  <c r="O4" i="3" s="1"/>
  <c r="N4" i="3" s="1"/>
  <c r="M4" i="3" s="1"/>
  <c r="L4" i="3" s="1"/>
  <c r="K4" i="3" s="1"/>
  <c r="J4" i="3" s="1"/>
  <c r="Z52" i="2"/>
  <c r="Y52" i="2"/>
  <c r="X51" i="2"/>
  <c r="X47" i="2" s="1"/>
  <c r="X52" i="2" s="1"/>
  <c r="W51" i="2"/>
  <c r="W47" i="2" s="1"/>
  <c r="W52" i="2" s="1"/>
  <c r="V51" i="2"/>
  <c r="V47" i="2" s="1"/>
  <c r="V52" i="2" s="1"/>
  <c r="U51" i="2"/>
  <c r="U47" i="2" s="1"/>
  <c r="U52" i="2" s="1"/>
  <c r="T51" i="2"/>
  <c r="T47" i="2" s="1"/>
  <c r="T52" i="2" s="1"/>
  <c r="S51" i="2"/>
  <c r="S47" i="2" s="1"/>
  <c r="S52" i="2" s="1"/>
  <c r="R51" i="2"/>
  <c r="R47" i="2" s="1"/>
  <c r="R52" i="2" s="1"/>
  <c r="Q51" i="2"/>
  <c r="Q47" i="2" s="1"/>
  <c r="Q52" i="2" s="1"/>
  <c r="P51" i="2"/>
  <c r="P47" i="2" s="1"/>
  <c r="P52" i="2" s="1"/>
  <c r="O51" i="2"/>
  <c r="O47" i="2" s="1"/>
  <c r="O52" i="2" s="1"/>
  <c r="N51" i="2"/>
  <c r="N47" i="2" s="1"/>
  <c r="N52" i="2" s="1"/>
  <c r="Z44" i="2"/>
  <c r="Y44" i="2"/>
  <c r="X44" i="2"/>
  <c r="W44" i="2"/>
  <c r="V44" i="2"/>
  <c r="Z39" i="2"/>
  <c r="Y4" i="2"/>
  <c r="X4" i="2" s="1"/>
  <c r="W4" i="2" s="1"/>
  <c r="V4" i="2" s="1"/>
  <c r="U4" i="2" s="1"/>
  <c r="T4" i="2" s="1"/>
  <c r="S4" i="2" s="1"/>
  <c r="R4" i="2" s="1"/>
  <c r="Q4" i="2" s="1"/>
  <c r="P4" i="2" s="1"/>
  <c r="O4" i="2" s="1"/>
  <c r="N4" i="2" s="1"/>
  <c r="M4" i="2" s="1"/>
  <c r="L4" i="2" s="1"/>
  <c r="K4" i="2" s="1"/>
  <c r="J4" i="2" s="1"/>
  <c r="M24" i="11" l="1"/>
  <c r="N24" i="11" s="1"/>
  <c r="M23" i="11"/>
  <c r="N23" i="11" s="1"/>
  <c r="M22" i="11"/>
  <c r="N22" i="11" s="1"/>
  <c r="K34" i="12"/>
  <c r="L34" i="12" s="1"/>
  <c r="B73" i="13"/>
  <c r="B72" i="13" s="1"/>
  <c r="B71" i="13" s="1"/>
  <c r="B70" i="13" s="1"/>
  <c r="P13" i="11"/>
  <c r="A20" i="11"/>
  <c r="M21" i="11"/>
  <c r="N21" i="11" s="1"/>
  <c r="P14" i="11"/>
  <c r="C75" i="13"/>
  <c r="P56" i="13"/>
  <c r="W4" i="1"/>
  <c r="M34" i="12" l="1"/>
  <c r="K14" i="8" s="1"/>
  <c r="C74" i="13"/>
  <c r="P12" i="11"/>
  <c r="T12" i="11" s="1"/>
  <c r="A19" i="11"/>
  <c r="M20" i="11"/>
  <c r="N20" i="11" s="1"/>
  <c r="P15" i="11"/>
  <c r="C76" i="13"/>
  <c r="P11" i="11"/>
  <c r="C73" i="13"/>
  <c r="P55" i="13"/>
  <c r="L37" i="1"/>
  <c r="M37" i="1"/>
  <c r="N37" i="1"/>
  <c r="O37" i="1"/>
  <c r="P37" i="1"/>
  <c r="Q37" i="1"/>
  <c r="R37" i="1"/>
  <c r="S37" i="1"/>
  <c r="T37" i="1"/>
  <c r="U37" i="1"/>
  <c r="V37" i="1"/>
  <c r="W37" i="1"/>
  <c r="M33" i="12" l="1"/>
  <c r="K13" i="8" s="1"/>
  <c r="A18" i="11"/>
  <c r="M19" i="11"/>
  <c r="N19" i="11" s="1"/>
  <c r="C71" i="13"/>
  <c r="P10" i="11"/>
  <c r="C72" i="13"/>
  <c r="P16" i="11"/>
  <c r="C77" i="13"/>
  <c r="P54" i="13"/>
  <c r="X37" i="1"/>
  <c r="M32" i="12" l="1"/>
  <c r="M31" i="12" s="1"/>
  <c r="A17" i="11"/>
  <c r="M18" i="11"/>
  <c r="N18" i="11" s="1"/>
  <c r="P17" i="11"/>
  <c r="C78" i="13"/>
  <c r="B69" i="13"/>
  <c r="P9" i="11"/>
  <c r="P53" i="13"/>
  <c r="V4" i="1"/>
  <c r="U4" i="1" s="1"/>
  <c r="T4" i="1" s="1"/>
  <c r="S4" i="1" s="1"/>
  <c r="R4" i="1" s="1"/>
  <c r="Q4" i="1" s="1"/>
  <c r="P4" i="1" s="1"/>
  <c r="O4" i="1" s="1"/>
  <c r="N4" i="1" s="1"/>
  <c r="M4" i="1" s="1"/>
  <c r="L4" i="1" s="1"/>
  <c r="K4" i="1" s="1"/>
  <c r="X9" i="1"/>
  <c r="K12" i="8" l="1"/>
  <c r="M30" i="12"/>
  <c r="K11" i="8"/>
  <c r="A16" i="11"/>
  <c r="M17" i="11"/>
  <c r="N17" i="11" s="1"/>
  <c r="B68" i="13"/>
  <c r="P8" i="11"/>
  <c r="C70" i="13"/>
  <c r="P18" i="11"/>
  <c r="C79" i="13"/>
  <c r="P52" i="13"/>
  <c r="M29" i="12" l="1"/>
  <c r="K10" i="8"/>
  <c r="C69" i="13"/>
  <c r="A15" i="11"/>
  <c r="M16" i="11"/>
  <c r="N16" i="11" s="1"/>
  <c r="P19" i="11"/>
  <c r="C80" i="13"/>
  <c r="B67" i="13"/>
  <c r="P7" i="11"/>
  <c r="AE8" i="11" s="1"/>
  <c r="P51" i="13"/>
  <c r="M28" i="12" l="1"/>
  <c r="K9" i="8"/>
  <c r="C68" i="13"/>
  <c r="A14" i="11"/>
  <c r="M15" i="11"/>
  <c r="N15" i="11" s="1"/>
  <c r="P20" i="11"/>
  <c r="C81" i="13"/>
  <c r="B66" i="13"/>
  <c r="P50" i="13"/>
  <c r="M27" i="12" l="1"/>
  <c r="K8" i="8"/>
  <c r="A13" i="11"/>
  <c r="M14" i="11"/>
  <c r="N14" i="11" s="1"/>
  <c r="B65" i="13"/>
  <c r="C67" i="13"/>
  <c r="P21" i="11"/>
  <c r="AE21" i="11" s="1"/>
  <c r="C82" i="13"/>
  <c r="P49" i="13"/>
  <c r="M26" i="12" l="1"/>
  <c r="K7" i="8"/>
  <c r="C66" i="13"/>
  <c r="A12" i="11"/>
  <c r="M13" i="11"/>
  <c r="N13" i="11" s="1"/>
  <c r="P22" i="11"/>
  <c r="C83" i="13"/>
  <c r="B64" i="13"/>
  <c r="P48" i="13"/>
  <c r="M25" i="12" l="1"/>
  <c r="K6" i="8"/>
  <c r="A11" i="11"/>
  <c r="M12" i="11"/>
  <c r="N12" i="11" s="1"/>
  <c r="B63" i="13"/>
  <c r="C65" i="13"/>
  <c r="P23" i="11"/>
  <c r="C84" i="13"/>
  <c r="P47" i="13"/>
  <c r="K5" i="8" l="1"/>
  <c r="M24" i="12"/>
  <c r="C64" i="13"/>
  <c r="A10" i="11"/>
  <c r="M11" i="11"/>
  <c r="N11" i="11" s="1"/>
  <c r="P24" i="11"/>
  <c r="AE24" i="11" s="1"/>
  <c r="C85" i="13"/>
  <c r="B62" i="13"/>
  <c r="P46" i="13"/>
  <c r="K4" i="8" l="1"/>
  <c r="M23" i="12"/>
  <c r="C63" i="13"/>
  <c r="A9" i="11"/>
  <c r="M10" i="11"/>
  <c r="N10" i="11" s="1"/>
  <c r="Q23" i="11"/>
  <c r="B61" i="13"/>
  <c r="P45" i="13"/>
  <c r="K3" i="8" l="1"/>
  <c r="M22" i="12"/>
  <c r="K2" i="8" s="1"/>
  <c r="C62" i="13"/>
  <c r="AD24" i="11"/>
  <c r="Q22" i="11"/>
  <c r="A8" i="11"/>
  <c r="M9" i="11"/>
  <c r="N9" i="11" s="1"/>
  <c r="B60" i="13"/>
  <c r="P44" i="13"/>
  <c r="C61" i="13" l="1"/>
  <c r="A7" i="11"/>
  <c r="M8" i="11"/>
  <c r="N8" i="11" s="1"/>
  <c r="Q21" i="11"/>
  <c r="AD23" i="11"/>
  <c r="B59" i="13"/>
  <c r="P43" i="13"/>
  <c r="C60" i="13" l="1"/>
  <c r="Q20" i="11"/>
  <c r="AD22" i="11"/>
  <c r="A6" i="11"/>
  <c r="M6" i="11" s="1"/>
  <c r="N6" i="11" s="1"/>
  <c r="M7" i="11"/>
  <c r="N7" i="11" s="1"/>
  <c r="B58" i="13"/>
  <c r="P42" i="13"/>
  <c r="C59" i="13" l="1"/>
  <c r="Q19" i="11"/>
  <c r="AD21" i="11"/>
  <c r="B57" i="13"/>
  <c r="P41" i="13"/>
  <c r="C58" i="13" l="1"/>
  <c r="Q18" i="11"/>
  <c r="AD20" i="11"/>
  <c r="B56" i="13"/>
  <c r="P40" i="13"/>
  <c r="C57" i="13" l="1"/>
  <c r="Q17" i="11"/>
  <c r="AD19" i="11"/>
  <c r="B55" i="13"/>
  <c r="P39" i="13"/>
  <c r="C56" i="13" l="1"/>
  <c r="Q16" i="11"/>
  <c r="AD18" i="11"/>
  <c r="B54" i="13"/>
  <c r="AE12" i="11"/>
  <c r="P38" i="13"/>
  <c r="AE11" i="11"/>
  <c r="T11" i="11"/>
  <c r="C55" i="13" l="1"/>
  <c r="Q15" i="11"/>
  <c r="AD17" i="11"/>
  <c r="B53" i="13"/>
  <c r="AE13" i="11"/>
  <c r="P37" i="13"/>
  <c r="T13" i="11"/>
  <c r="T10" i="11"/>
  <c r="C54" i="13" l="1"/>
  <c r="Q14" i="11"/>
  <c r="AD16" i="11"/>
  <c r="B52" i="13"/>
  <c r="AE14" i="11"/>
  <c r="AE10" i="11"/>
  <c r="P36" i="13"/>
  <c r="T14" i="11"/>
  <c r="T9" i="11"/>
  <c r="C53" i="13" l="1"/>
  <c r="Q13" i="11"/>
  <c r="AF14" i="11" s="1"/>
  <c r="AD15" i="11"/>
  <c r="B51" i="13"/>
  <c r="AE15" i="11"/>
  <c r="AF15" i="11" s="1"/>
  <c r="AE9" i="11"/>
  <c r="P35" i="13"/>
  <c r="T8" i="11"/>
  <c r="T15" i="11"/>
  <c r="C52" i="13" l="1"/>
  <c r="O25" i="12"/>
  <c r="AH15" i="11"/>
  <c r="O24" i="12"/>
  <c r="Q12" i="11"/>
  <c r="AD14" i="11"/>
  <c r="B50" i="13"/>
  <c r="T16" i="11"/>
  <c r="AE16" i="11"/>
  <c r="AF16" i="11" s="1"/>
  <c r="O26" i="12" s="1"/>
  <c r="P34" i="13"/>
  <c r="AE17" i="11"/>
  <c r="T7" i="11"/>
  <c r="AF13" i="11" l="1"/>
  <c r="C51" i="13"/>
  <c r="U14" i="11"/>
  <c r="U15" i="11"/>
  <c r="U16" i="11"/>
  <c r="AF17" i="11"/>
  <c r="Q11" i="11"/>
  <c r="AF12" i="11" s="1"/>
  <c r="O22" i="12" s="1"/>
  <c r="AD13" i="11"/>
  <c r="P25" i="12"/>
  <c r="AH14" i="11"/>
  <c r="AH16" i="11"/>
  <c r="B49" i="13"/>
  <c r="P33" i="13"/>
  <c r="T17" i="11"/>
  <c r="O23" i="12" l="1"/>
  <c r="C50" i="13"/>
  <c r="U13" i="11"/>
  <c r="Q10" i="11"/>
  <c r="AD12" i="11"/>
  <c r="O27" i="12"/>
  <c r="P24" i="12"/>
  <c r="AH13" i="11"/>
  <c r="P26" i="12"/>
  <c r="B48" i="13"/>
  <c r="AH17" i="11"/>
  <c r="T18" i="11"/>
  <c r="AE18" i="11"/>
  <c r="AF18" i="11" s="1"/>
  <c r="P32" i="13"/>
  <c r="AE19" i="11"/>
  <c r="O28" i="12" l="1"/>
  <c r="AF11" i="11"/>
  <c r="AH12" i="11" s="1"/>
  <c r="U18" i="11"/>
  <c r="C49" i="13"/>
  <c r="U12" i="11"/>
  <c r="U17" i="11"/>
  <c r="AF19" i="11"/>
  <c r="P23" i="12"/>
  <c r="Q9" i="11"/>
  <c r="AF10" i="11" s="1"/>
  <c r="AD11" i="11"/>
  <c r="P27" i="12"/>
  <c r="AH18" i="11"/>
  <c r="B47" i="13"/>
  <c r="P31" i="13"/>
  <c r="AE20" i="11"/>
  <c r="T19" i="11"/>
  <c r="AH11" i="11" l="1"/>
  <c r="C48" i="13"/>
  <c r="U11" i="11"/>
  <c r="O29" i="12"/>
  <c r="Q8" i="11"/>
  <c r="AD10" i="11"/>
  <c r="AF21" i="11"/>
  <c r="O31" i="12" s="1"/>
  <c r="AF20" i="11"/>
  <c r="O30" i="12" s="1"/>
  <c r="P28" i="12"/>
  <c r="B46" i="13"/>
  <c r="AH19" i="11"/>
  <c r="P30" i="13"/>
  <c r="T20" i="11"/>
  <c r="U21" i="11" l="1"/>
  <c r="X21" i="11" s="1"/>
  <c r="U10" i="11"/>
  <c r="U19" i="11"/>
  <c r="U20" i="11"/>
  <c r="C47" i="13"/>
  <c r="AH20" i="11"/>
  <c r="P30" i="12" s="1"/>
  <c r="Q7" i="11"/>
  <c r="AD9" i="11"/>
  <c r="P29" i="12"/>
  <c r="B45" i="13"/>
  <c r="T21" i="11"/>
  <c r="P29" i="13"/>
  <c r="AE22" i="11"/>
  <c r="AF22" i="11" s="1"/>
  <c r="O32" i="12" l="1"/>
  <c r="U22" i="11" s="1"/>
  <c r="X22" i="11" s="1"/>
  <c r="C46" i="13"/>
  <c r="AD8" i="11"/>
  <c r="AH21" i="11"/>
  <c r="B44" i="13"/>
  <c r="P28" i="13"/>
  <c r="AE23" i="11"/>
  <c r="T22" i="11"/>
  <c r="AF23" i="11" l="1"/>
  <c r="O33" i="12" s="1"/>
  <c r="U23" i="11" s="1"/>
  <c r="X23" i="11" s="1"/>
  <c r="AF24" i="11"/>
  <c r="C45" i="13"/>
  <c r="P31" i="12"/>
  <c r="B43" i="13"/>
  <c r="AH22" i="11"/>
  <c r="P27" i="13"/>
  <c r="T23" i="11"/>
  <c r="AH23" i="11" l="1"/>
  <c r="P33" i="12" s="1"/>
  <c r="C44" i="13"/>
  <c r="P32" i="12"/>
  <c r="B42" i="13"/>
  <c r="T24" i="11"/>
  <c r="P26" i="13"/>
  <c r="C43" i="13" l="1"/>
  <c r="B41" i="13"/>
  <c r="P25" i="13"/>
  <c r="O34" i="12" l="1"/>
  <c r="AH24" i="11"/>
  <c r="B40" i="13"/>
  <c r="C42" i="13"/>
  <c r="P24" i="13"/>
  <c r="J51" i="12" l="1"/>
  <c r="J53" i="12" s="1"/>
  <c r="J55" i="12" s="1"/>
  <c r="C41" i="13"/>
  <c r="U24" i="11"/>
  <c r="X24" i="11" s="1"/>
  <c r="P34" i="12"/>
  <c r="B39" i="13"/>
  <c r="P23" i="13"/>
  <c r="AG24" i="11" l="1"/>
  <c r="J56" i="12"/>
  <c r="C40" i="13"/>
  <c r="B38" i="13"/>
  <c r="P22" i="13"/>
  <c r="L14" i="8" l="1"/>
  <c r="AG23" i="11"/>
  <c r="P21" i="13"/>
  <c r="Q22" i="13"/>
  <c r="C39" i="13"/>
  <c r="B37" i="13"/>
  <c r="J49" i="12" l="1"/>
  <c r="AG22" i="11"/>
  <c r="L13" i="8"/>
  <c r="Q21" i="13"/>
  <c r="Q67" i="13"/>
  <c r="R67" i="13" s="1"/>
  <c r="Q66" i="13"/>
  <c r="R66" i="13" s="1"/>
  <c r="Q65" i="13"/>
  <c r="R65" i="13" s="1"/>
  <c r="Q64" i="13"/>
  <c r="R64" i="13" s="1"/>
  <c r="Q63" i="13"/>
  <c r="R63" i="13" s="1"/>
  <c r="Q62" i="13"/>
  <c r="R62" i="13" s="1"/>
  <c r="Q61" i="13"/>
  <c r="R61" i="13" s="1"/>
  <c r="Q60" i="13"/>
  <c r="R60" i="13" s="1"/>
  <c r="Q59" i="13"/>
  <c r="R59" i="13" s="1"/>
  <c r="Q58" i="13"/>
  <c r="R58" i="13" s="1"/>
  <c r="Q57" i="13"/>
  <c r="R57" i="13" s="1"/>
  <c r="Q56" i="13"/>
  <c r="R56" i="13" s="1"/>
  <c r="Q55" i="13"/>
  <c r="R55" i="13" s="1"/>
  <c r="Q54" i="13"/>
  <c r="R54" i="13" s="1"/>
  <c r="Q53" i="13"/>
  <c r="R53" i="13" s="1"/>
  <c r="Q52" i="13"/>
  <c r="R52" i="13" s="1"/>
  <c r="Q51" i="13"/>
  <c r="R51" i="13" s="1"/>
  <c r="Q50" i="13"/>
  <c r="R50" i="13" s="1"/>
  <c r="Q49" i="13"/>
  <c r="R49" i="13" s="1"/>
  <c r="Q48" i="13"/>
  <c r="R48" i="13" s="1"/>
  <c r="Q47" i="13"/>
  <c r="R47" i="13" s="1"/>
  <c r="Q46" i="13"/>
  <c r="R46" i="13" s="1"/>
  <c r="Q45" i="13"/>
  <c r="R45" i="13" s="1"/>
  <c r="Q44" i="13"/>
  <c r="R44" i="13" s="1"/>
  <c r="Q43" i="13"/>
  <c r="R43" i="13" s="1"/>
  <c r="Q42" i="13"/>
  <c r="R42" i="13" s="1"/>
  <c r="Q41" i="13"/>
  <c r="R41" i="13" s="1"/>
  <c r="Q40" i="13"/>
  <c r="R40" i="13" s="1"/>
  <c r="Q39" i="13"/>
  <c r="R39" i="13" s="1"/>
  <c r="Q38" i="13"/>
  <c r="R38" i="13" s="1"/>
  <c r="Q37" i="13"/>
  <c r="Q36" i="13"/>
  <c r="Q35" i="13"/>
  <c r="Q34" i="13"/>
  <c r="Q33" i="13"/>
  <c r="Q32" i="13"/>
  <c r="Q31" i="13"/>
  <c r="Q30" i="13"/>
  <c r="Q29" i="13"/>
  <c r="Q28" i="13"/>
  <c r="Q27" i="13"/>
  <c r="Q26" i="13"/>
  <c r="Q25" i="13"/>
  <c r="Q24" i="13"/>
  <c r="Q23" i="13"/>
  <c r="C38" i="13"/>
  <c r="B36" i="13"/>
  <c r="R37" i="13"/>
  <c r="L12" i="8" l="1"/>
  <c r="AG21" i="11"/>
  <c r="Q70" i="13"/>
  <c r="C37" i="13"/>
  <c r="B35" i="13"/>
  <c r="R36" i="13"/>
  <c r="AG20" i="11" l="1"/>
  <c r="L11" i="8"/>
  <c r="C36" i="13"/>
  <c r="B34" i="13"/>
  <c r="R35" i="13"/>
  <c r="AG19" i="11" l="1"/>
  <c r="L10" i="8"/>
  <c r="C35" i="13"/>
  <c r="B33" i="13"/>
  <c r="R34" i="13"/>
  <c r="L9" i="8" l="1"/>
  <c r="AG18" i="11"/>
  <c r="C34" i="13"/>
  <c r="B32" i="13"/>
  <c r="R33" i="13"/>
  <c r="L8" i="8" l="1"/>
  <c r="AG17" i="11"/>
  <c r="C33" i="13"/>
  <c r="B31" i="13"/>
  <c r="R32" i="13"/>
  <c r="AG16" i="11" l="1"/>
  <c r="L7" i="8"/>
  <c r="C32" i="13"/>
  <c r="B30" i="13"/>
  <c r="R31" i="13"/>
  <c r="AG15" i="11" l="1"/>
  <c r="L6" i="8"/>
  <c r="C31" i="13"/>
  <c r="B29" i="13"/>
  <c r="R30" i="13"/>
  <c r="AG14" i="11" l="1"/>
  <c r="L5" i="8"/>
  <c r="C30" i="13"/>
  <c r="B28" i="13"/>
  <c r="R29" i="13"/>
  <c r="L4" i="8" l="1"/>
  <c r="AG13" i="11"/>
  <c r="C29" i="13"/>
  <c r="B27" i="13"/>
  <c r="R28" i="13"/>
  <c r="AG12" i="11" l="1"/>
  <c r="L3" i="8"/>
  <c r="C28" i="13"/>
  <c r="B26" i="13"/>
  <c r="R27" i="13"/>
  <c r="AG11" i="11" l="1"/>
  <c r="AG10" i="11" s="1"/>
  <c r="L2" i="8"/>
  <c r="C27" i="13"/>
  <c r="B25" i="13"/>
  <c r="R26" i="13"/>
  <c r="C26" i="13" l="1"/>
  <c r="B24" i="13"/>
  <c r="R25" i="13"/>
  <c r="C25" i="13" l="1"/>
  <c r="B23" i="13"/>
  <c r="R24" i="13"/>
  <c r="C24" i="13" l="1"/>
  <c r="B22" i="13"/>
  <c r="R23" i="13"/>
  <c r="C23" i="13" l="1"/>
  <c r="R22" i="13"/>
  <c r="B21" i="13"/>
  <c r="R21" i="13" s="1"/>
  <c r="S68" i="13" s="1"/>
  <c r="P6" i="11" l="1"/>
  <c r="Z6" i="11" s="1"/>
  <c r="Z7" i="11" s="1"/>
  <c r="C22" i="13"/>
  <c r="B20" i="13"/>
  <c r="Q6" i="11" l="1"/>
  <c r="C21" i="13"/>
  <c r="B19" i="13"/>
  <c r="AB7" i="11" l="1"/>
  <c r="C20" i="13"/>
  <c r="B18" i="13"/>
  <c r="AA7" i="11" l="1"/>
  <c r="Z8" i="11"/>
  <c r="AB8" i="11"/>
  <c r="C19" i="13"/>
  <c r="B17" i="13"/>
  <c r="AA8" i="11" l="1"/>
  <c r="Z9" i="11"/>
  <c r="AB9" i="11"/>
  <c r="C18" i="13"/>
  <c r="B16" i="13"/>
  <c r="Y10" i="11" l="1"/>
  <c r="AI10" i="11"/>
  <c r="AA9" i="11"/>
  <c r="Z10" i="11"/>
  <c r="Y11" i="11" s="1"/>
  <c r="AB10" i="11"/>
  <c r="C17" i="13"/>
  <c r="B15" i="13"/>
  <c r="AA10" i="11" l="1"/>
  <c r="Z11" i="11"/>
  <c r="Y12" i="11" s="1"/>
  <c r="AI11" i="11"/>
  <c r="AB11" i="11"/>
  <c r="C16" i="13"/>
  <c r="B14" i="13"/>
  <c r="AA11" i="11" l="1"/>
  <c r="Z12" i="11"/>
  <c r="Y13" i="11" s="1"/>
  <c r="AI12" i="11"/>
  <c r="AB12" i="11"/>
  <c r="C15" i="13"/>
  <c r="B13" i="13"/>
  <c r="G2" i="8" l="1"/>
  <c r="AA12" i="11"/>
  <c r="Z13" i="11"/>
  <c r="Y14" i="11" s="1"/>
  <c r="AB13" i="11"/>
  <c r="AI13" i="11"/>
  <c r="C14" i="13"/>
  <c r="B12" i="13"/>
  <c r="B11" i="13" s="1"/>
  <c r="R22" i="12" l="1"/>
  <c r="S22" i="12" s="1"/>
  <c r="G3" i="8"/>
  <c r="AA13" i="11"/>
  <c r="AB14" i="11"/>
  <c r="AI14" i="11"/>
  <c r="Z14" i="11"/>
  <c r="Y15" i="11" s="1"/>
  <c r="H2" i="8"/>
  <c r="C13" i="13"/>
  <c r="AA14" i="11" l="1"/>
  <c r="AI15" i="11"/>
  <c r="AB15" i="11"/>
  <c r="Z15" i="11"/>
  <c r="Y16" i="11" s="1"/>
  <c r="G4" i="8"/>
  <c r="R23" i="12"/>
  <c r="H3" i="8"/>
  <c r="B10" i="13"/>
  <c r="C12" i="13"/>
  <c r="S23" i="12" l="1"/>
  <c r="AA15" i="11"/>
  <c r="AI16" i="11"/>
  <c r="AB16" i="11"/>
  <c r="Z16" i="11"/>
  <c r="Y17" i="11" s="1"/>
  <c r="H4" i="8"/>
  <c r="R24" i="12"/>
  <c r="G5" i="8"/>
  <c r="B9" i="13"/>
  <c r="C11" i="13"/>
  <c r="AI17" i="11" l="1"/>
  <c r="Z17" i="11"/>
  <c r="Y18" i="11" s="1"/>
  <c r="AA16" i="11"/>
  <c r="AB17" i="11"/>
  <c r="S24" i="12"/>
  <c r="U24" i="12" s="1"/>
  <c r="G6" i="8"/>
  <c r="H5" i="8"/>
  <c r="R25" i="12"/>
  <c r="U23" i="12"/>
  <c r="B8" i="13"/>
  <c r="B7" i="13" s="1"/>
  <c r="B6" i="13" s="1"/>
  <c r="C10" i="13"/>
  <c r="H6" i="8" l="1"/>
  <c r="R26" i="12"/>
  <c r="S25" i="12"/>
  <c r="AA17" i="11"/>
  <c r="AI18" i="11"/>
  <c r="AB18" i="11"/>
  <c r="Z18" i="11"/>
  <c r="G7" i="8"/>
  <c r="C9" i="13"/>
  <c r="C8" i="13"/>
  <c r="C7" i="13"/>
  <c r="Y19" i="11" l="1"/>
  <c r="AI19" i="11"/>
  <c r="U25" i="12"/>
  <c r="G8" i="8"/>
  <c r="H7" i="8"/>
  <c r="R27" i="12"/>
  <c r="S26" i="12"/>
  <c r="U26" i="12" s="1"/>
  <c r="AB19" i="11"/>
  <c r="Z19" i="11"/>
  <c r="Y20" i="11" s="1"/>
  <c r="AA18" i="11"/>
  <c r="S27" i="12" l="1"/>
  <c r="U27" i="12" s="1"/>
  <c r="AA19" i="11"/>
  <c r="Z20" i="11"/>
  <c r="Y21" i="11" s="1"/>
  <c r="AI20" i="11"/>
  <c r="AB20" i="11"/>
  <c r="G9" i="8"/>
  <c r="H8" i="8"/>
  <c r="R28" i="12"/>
  <c r="H9" i="8" l="1"/>
  <c r="R29" i="12"/>
  <c r="S28" i="12"/>
  <c r="U28" i="12" s="1"/>
  <c r="AA20" i="11"/>
  <c r="Z21" i="11"/>
  <c r="Y22" i="11" s="1"/>
  <c r="AI21" i="11"/>
  <c r="AB21" i="11"/>
  <c r="G10" i="8"/>
  <c r="AA21" i="11" l="1"/>
  <c r="Z22" i="11"/>
  <c r="Y23" i="11" s="1"/>
  <c r="AI22" i="11"/>
  <c r="AB22" i="11"/>
  <c r="G11" i="8"/>
  <c r="R30" i="12"/>
  <c r="H10" i="8"/>
  <c r="S29" i="12"/>
  <c r="U29" i="12" l="1"/>
  <c r="S30" i="12"/>
  <c r="G12" i="8"/>
  <c r="H11" i="8"/>
  <c r="R31" i="12"/>
  <c r="AA22" i="11"/>
  <c r="AI23" i="11"/>
  <c r="AB23" i="11"/>
  <c r="Z23" i="11"/>
  <c r="AI24" i="11" s="1"/>
  <c r="Y24" i="11" l="1"/>
  <c r="U30" i="12"/>
  <c r="AA23" i="11"/>
  <c r="AB24" i="11"/>
  <c r="Z24" i="11"/>
  <c r="H12" i="8"/>
  <c r="R32" i="12"/>
  <c r="G13" i="8"/>
  <c r="S31" i="12"/>
  <c r="U31" i="12" l="1"/>
  <c r="AA24" i="11"/>
  <c r="R33" i="12"/>
  <c r="H13" i="8"/>
  <c r="S32" i="12"/>
  <c r="U32" i="12" s="1"/>
  <c r="G14" i="8"/>
  <c r="H14" i="8" l="1"/>
  <c r="R34" i="12"/>
  <c r="S33" i="12"/>
  <c r="S34" i="12" l="1"/>
  <c r="V34" i="12" s="1"/>
  <c r="U33" i="12"/>
  <c r="U34" i="12" l="1"/>
  <c r="V33" i="12" l="1"/>
  <c r="W34" i="12" s="1"/>
  <c r="X34" i="12" s="1"/>
  <c r="M14" i="8"/>
  <c r="V32" i="12" l="1"/>
  <c r="W33" i="12" s="1"/>
  <c r="X33" i="12" s="1"/>
  <c r="M13" i="8"/>
  <c r="V31" i="12" l="1"/>
  <c r="W32" i="12" s="1"/>
  <c r="X32" i="12" s="1"/>
  <c r="M12" i="8"/>
  <c r="V30" i="12" l="1"/>
  <c r="W31" i="12" s="1"/>
  <c r="X31" i="12" s="1"/>
  <c r="M11" i="8"/>
  <c r="V29" i="12" l="1"/>
  <c r="W30" i="12" s="1"/>
  <c r="X30" i="12" s="1"/>
  <c r="M10" i="8"/>
  <c r="V28" i="12" l="1"/>
  <c r="W29" i="12" s="1"/>
  <c r="X29" i="12" s="1"/>
  <c r="M9" i="8"/>
  <c r="V27" i="12" l="1"/>
  <c r="W28" i="12" s="1"/>
  <c r="X28" i="12" s="1"/>
  <c r="M8" i="8"/>
  <c r="V26" i="12" l="1"/>
  <c r="W27" i="12" s="1"/>
  <c r="X27" i="12" s="1"/>
  <c r="M7" i="8"/>
  <c r="V25" i="12" l="1"/>
  <c r="M6" i="8"/>
  <c r="V24" i="12" l="1"/>
  <c r="V23" i="12" s="1"/>
  <c r="M5" i="8"/>
  <c r="W26" i="12"/>
  <c r="X26" i="12" s="1"/>
  <c r="M4" i="8" l="1"/>
  <c r="W25" i="12"/>
  <c r="X25" i="12" s="1"/>
  <c r="W24" i="12" l="1"/>
  <c r="X24" i="12" s="1"/>
  <c r="M3" i="8"/>
</calcChain>
</file>

<file path=xl/comments1.xml><?xml version="1.0" encoding="utf-8"?>
<comments xmlns="http://schemas.openxmlformats.org/spreadsheetml/2006/main">
  <authors>
    <author>tc={927746AF-2B2F-4D0B-A26C-0D1ACD650337}</author>
  </authors>
  <commentList>
    <comment ref="X67"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Changed 1/20/21 based on Annual Report document HQT-2, Document 2, p. 6</t>
        </r>
      </text>
    </comment>
  </commentList>
</comments>
</file>

<file path=xl/sharedStrings.xml><?xml version="1.0" encoding="utf-8"?>
<sst xmlns="http://schemas.openxmlformats.org/spreadsheetml/2006/main" count="967" uniqueCount="587">
  <si>
    <t>Comments</t>
  </si>
  <si>
    <t>Revenue Requirement</t>
  </si>
  <si>
    <t>Data are already available</t>
  </si>
  <si>
    <t>English</t>
  </si>
  <si>
    <t>French</t>
  </si>
  <si>
    <t>Data are already available and needed for the study</t>
  </si>
  <si>
    <t>Data unavailable and needed for the study</t>
  </si>
  <si>
    <t>OM&amp;A Expenses</t>
  </si>
  <si>
    <t>Data are needed for study and can be calculated</t>
  </si>
  <si>
    <t>Net OM&amp;A Expenses</t>
  </si>
  <si>
    <t>Charges nettes d'exploitation ("CNE")</t>
  </si>
  <si>
    <t>*</t>
  </si>
  <si>
    <t>Direct expenses (gross) [a]</t>
  </si>
  <si>
    <t>Charges brutes directes</t>
  </si>
  <si>
    <t>Payroll (gross) [B]</t>
  </si>
  <si>
    <t>Pensions &amp; Other Benefits (gross)</t>
  </si>
  <si>
    <t>Avantages sociaux</t>
  </si>
  <si>
    <t>Retirement cost</t>
  </si>
  <si>
    <t>Coute de retraite</t>
  </si>
  <si>
    <t>Other benefits</t>
  </si>
  <si>
    <t>Autres avantages sociaux</t>
  </si>
  <si>
    <t>Other direct expenses [C]</t>
  </si>
  <si>
    <t>Autres charges directes</t>
  </si>
  <si>
    <t>e.g. materials, external services</t>
  </si>
  <si>
    <t>e.g. achats de bien, services externes</t>
  </si>
  <si>
    <t>Shared service expenses (gross) [D]</t>
  </si>
  <si>
    <t>Charges de services partages</t>
  </si>
  <si>
    <t>e.g. IT and communications</t>
  </si>
  <si>
    <t>-</t>
  </si>
  <si>
    <t>e.g. Shared Services Center</t>
  </si>
  <si>
    <t>(less) Capitalized costs [E]</t>
  </si>
  <si>
    <t>less Couts capitalisés</t>
  </si>
  <si>
    <t>Labor input</t>
  </si>
  <si>
    <t>Prestations de travail</t>
  </si>
  <si>
    <t>Materials management</t>
  </si>
  <si>
    <t>Gestion de materiel</t>
  </si>
  <si>
    <t>(less) Internal billings issued</t>
  </si>
  <si>
    <t>less Facturation interne emise</t>
  </si>
  <si>
    <t>Estimated share of labor in COMA [B - E]/[B+C+D-E]</t>
  </si>
  <si>
    <t>Other Expenses</t>
  </si>
  <si>
    <t>Autres charges</t>
  </si>
  <si>
    <t xml:space="preserve">Transmission by Others </t>
  </si>
  <si>
    <t>Achats de services de transport</t>
  </si>
  <si>
    <t>Power purchases</t>
  </si>
  <si>
    <t>Achats d'electricte</t>
  </si>
  <si>
    <t>Depreciation and Amortization</t>
  </si>
  <si>
    <t>Amortissement</t>
  </si>
  <si>
    <t>Taxes</t>
  </si>
  <si>
    <t>???</t>
  </si>
  <si>
    <t>Taxe sur les services publics</t>
  </si>
  <si>
    <t>Municipal and school taxes</t>
  </si>
  <si>
    <t>Taxes municipales et scolaires</t>
  </si>
  <si>
    <t>Other revenues from internal billing</t>
  </si>
  <si>
    <t>less Autres revenus de facturation interns</t>
  </si>
  <si>
    <t xml:space="preserve">Other P&amp;B cost components </t>
  </si>
  <si>
    <t>Autres composantes du cout des avantage sociaux futurs</t>
  </si>
  <si>
    <t>Corporate expenses</t>
  </si>
  <si>
    <t>Frais Corporatifs</t>
  </si>
  <si>
    <t>(imputed corporate expenses)</t>
  </si>
  <si>
    <t>Variance &amp; deferral accts</t>
  </si>
  <si>
    <t>Comptes d'ecarts et de Reportes</t>
  </si>
  <si>
    <t>Variance  accounts</t>
  </si>
  <si>
    <t>Comptes d'ecarts (e.g. cout de retraite)</t>
  </si>
  <si>
    <t>cout de retraite</t>
  </si>
  <si>
    <t>Deferral accounts</t>
  </si>
  <si>
    <t>Comptes de frais reportes</t>
  </si>
  <si>
    <t>1998 Ice Storm Subsidy</t>
  </si>
  <si>
    <t>less Interets relies au remboursement gouvernmental</t>
  </si>
  <si>
    <t>Other operating revenue</t>
  </si>
  <si>
    <t>less Facturation externe</t>
  </si>
  <si>
    <t>Masse salariale</t>
  </si>
  <si>
    <t>Taxe sur le capital</t>
  </si>
  <si>
    <t>Unites Corporatives</t>
  </si>
  <si>
    <t>Hydro Quebec Equipement</t>
  </si>
  <si>
    <t>Hydro Quebec Production</t>
  </si>
  <si>
    <t>Hydro Quebec Distribution</t>
  </si>
  <si>
    <t>Sources: Annual Reports and Demande R-3897-2014</t>
  </si>
  <si>
    <t>Groupe Technologie</t>
  </si>
  <si>
    <t>Technologies d'information et des communications</t>
  </si>
  <si>
    <t xml:space="preserve">Centre de services partages </t>
  </si>
  <si>
    <t>Year</t>
  </si>
  <si>
    <t>Coincident Peak Demand</t>
  </si>
  <si>
    <t>Pointes coincidentes a la pointe du reseau de transport (MW)</t>
  </si>
  <si>
    <t>Annual Report D-2019-047</t>
  </si>
  <si>
    <t>HQD</t>
  </si>
  <si>
    <t xml:space="preserve"> </t>
  </si>
  <si>
    <t>Charge locale</t>
  </si>
  <si>
    <t>"in Quebec"</t>
  </si>
  <si>
    <t>2019 Annual Report p. 98</t>
  </si>
  <si>
    <t>Integrated network service</t>
  </si>
  <si>
    <t>Reseau integre</t>
  </si>
  <si>
    <t>Point to point</t>
  </si>
  <si>
    <t>Point a point</t>
  </si>
  <si>
    <t>Are the data in Demande R-4058-2018 HQT-6 Document 2 comparable?  I don't think so</t>
  </si>
  <si>
    <t>Nombre de kilmetres de reseau</t>
  </si>
  <si>
    <t>765 and 735 kV</t>
  </si>
  <si>
    <t>450 kV DC</t>
  </si>
  <si>
    <t>315 kV</t>
  </si>
  <si>
    <t>230 kV</t>
  </si>
  <si>
    <t>161 kV</t>
  </si>
  <si>
    <t>120 KV</t>
  </si>
  <si>
    <t>Total km</t>
  </si>
  <si>
    <t>Substations</t>
  </si>
  <si>
    <t>Number</t>
  </si>
  <si>
    <t>Nombre de postes</t>
  </si>
  <si>
    <t>Capacity</t>
  </si>
  <si>
    <t>Capacite totale de transformation (MVA)</t>
  </si>
  <si>
    <t>Value Transmission Plant Overhead</t>
  </si>
  <si>
    <t>Need to clarify which assets used in this calculation</t>
  </si>
  <si>
    <t>Value Transmission Plant Underground</t>
  </si>
  <si>
    <t>Share Overhead</t>
  </si>
  <si>
    <t>Calculate formulaicly</t>
  </si>
  <si>
    <t>Number of employees</t>
  </si>
  <si>
    <t>Annual report p. 98</t>
  </si>
  <si>
    <t>permanent</t>
  </si>
  <si>
    <t>temporary</t>
  </si>
  <si>
    <t>Generation</t>
  </si>
  <si>
    <t>Transmission</t>
  </si>
  <si>
    <t>Distribution</t>
  </si>
  <si>
    <t>Other</t>
  </si>
  <si>
    <t>Share transmission</t>
  </si>
  <si>
    <t>Gross value of tangible plant in service</t>
  </si>
  <si>
    <t>Other (Corporate and Construction)</t>
  </si>
  <si>
    <t>Data are publicly available</t>
  </si>
  <si>
    <t>From Annual Reports</t>
  </si>
  <si>
    <t>Data not readily available and needed for the study</t>
  </si>
  <si>
    <t>Capital Cost Details</t>
  </si>
  <si>
    <t>Gross Plant Additions</t>
  </si>
  <si>
    <t>Mises en exploitation/service</t>
  </si>
  <si>
    <t>Tangible assets</t>
  </si>
  <si>
    <t>Immobilisations corporelles en exploitation</t>
  </si>
  <si>
    <t>Lines +</t>
  </si>
  <si>
    <t>Other network assets</t>
  </si>
  <si>
    <t xml:space="preserve">Autre actifs de reseau </t>
  </si>
  <si>
    <t>General</t>
  </si>
  <si>
    <t>Telecommunications</t>
  </si>
  <si>
    <t>Intangible assets</t>
  </si>
  <si>
    <t>Easements (not amortizable)</t>
  </si>
  <si>
    <t>servitudes</t>
  </si>
  <si>
    <t>Software (amortizable)</t>
  </si>
  <si>
    <t>logiciels</t>
  </si>
  <si>
    <t>autres</t>
  </si>
  <si>
    <t>Other assets</t>
  </si>
  <si>
    <t>Autres actifs</t>
  </si>
  <si>
    <t>Regulatory Assets</t>
  </si>
  <si>
    <t>Actifs reglementaires</t>
  </si>
  <si>
    <t>Contributions internal and external</t>
  </si>
  <si>
    <t>Contributions internes et autres</t>
  </si>
  <si>
    <t>Government reimbursement</t>
  </si>
  <si>
    <t>Remboursement gouvernemental</t>
  </si>
  <si>
    <t>Retirements (total)</t>
  </si>
  <si>
    <t>Retraites</t>
  </si>
  <si>
    <t>12/31/2002 (M $)</t>
  </si>
  <si>
    <t>12/31/2019 (M $)</t>
  </si>
  <si>
    <t>Gross value of tangible plant</t>
  </si>
  <si>
    <t>Immobilisations corporelles en exploitation (12/31/2002) in $000s</t>
  </si>
  <si>
    <t>Accumulated depreciation expenses</t>
  </si>
  <si>
    <t>Amortissement cumule (12/31/2002) in $000s</t>
  </si>
  <si>
    <t>Net Plant Value</t>
  </si>
  <si>
    <t>Valeur Nette (Basse de Tarification) (12/31/2002) in $000s</t>
  </si>
  <si>
    <t>Actifs incorporels</t>
  </si>
  <si>
    <t>Cout d'origine (12/31/2002) in $000s</t>
  </si>
  <si>
    <t>Autres Actifs Total (12/31/2002) in $000s</t>
  </si>
  <si>
    <t>Fonds de roulement (12/31/2002) in $000s</t>
  </si>
  <si>
    <t>WACC</t>
  </si>
  <si>
    <t>Coute moyen ponderee du capital</t>
  </si>
  <si>
    <t>Equity share</t>
  </si>
  <si>
    <t>Cost of debt</t>
  </si>
  <si>
    <t>Cout moyen de la dette (demande tarifaire)</t>
  </si>
  <si>
    <t>Cout moyen de la dette (historical)</t>
  </si>
  <si>
    <t>Capital structure - debt</t>
  </si>
  <si>
    <t>Portion dette de la structure du capital autorisee</t>
  </si>
  <si>
    <t xml:space="preserve">    </t>
  </si>
  <si>
    <t>Cost of Equity</t>
  </si>
  <si>
    <t>Taux de rendement des capitaux propres  (demande tarifaire)</t>
  </si>
  <si>
    <t>Capital structure</t>
  </si>
  <si>
    <t>Portion capitaux propres de la structure du capital autorisee</t>
  </si>
  <si>
    <t>Coute moyen ponderee du capital (demand tarifaire)</t>
  </si>
  <si>
    <t>Coute moyen ponderee du capital (calculated)</t>
  </si>
  <si>
    <t>Revenus Requis</t>
  </si>
  <si>
    <t>Actifs de soutien (e.g., vehicules, outils, et instruments)</t>
  </si>
  <si>
    <t>Lignes (e.g., pylones, conducteurs et sectionneurs)</t>
  </si>
  <si>
    <t>Postes (e.g., transformateurs, jeux de barres, disjoncteurs)</t>
  </si>
  <si>
    <t>Actifs Incorporelles (e.g., servitudes. Logiciels)</t>
  </si>
  <si>
    <t xml:space="preserve">69 kV or less  </t>
  </si>
  <si>
    <t>Data from 18-K Note on Property Plant, and Equipment</t>
  </si>
  <si>
    <t>HQT Plant and WACC Data for the HQT Benchmarking Study</t>
  </si>
  <si>
    <t>Sources: 18-K and HQT Annual Report to the Regie</t>
  </si>
  <si>
    <t>Data as provided by HQT in Tableau R5.2</t>
  </si>
  <si>
    <t>Data as provided by HQT in Tableau R5.3</t>
  </si>
  <si>
    <t>Total</t>
  </si>
  <si>
    <t>Actifs Reglementaires</t>
  </si>
  <si>
    <t>Transmission Line KM by Voltage</t>
  </si>
  <si>
    <t>Normalized</t>
  </si>
  <si>
    <t>Network Peak Demand (MW)</t>
  </si>
  <si>
    <t>From Tableau R2.2</t>
  </si>
  <si>
    <t>From Tableau R1.23</t>
  </si>
  <si>
    <t xml:space="preserve"> Values confirmed by HQT in Tableau R2.1.</t>
  </si>
  <si>
    <t>From Tableau R1.22</t>
  </si>
  <si>
    <t>Data provided by HQT in Round 1 of interrogatories</t>
  </si>
  <si>
    <t>HQT indicated in its responses to Round 1 of our interrogatories that a breakdown is not available</t>
  </si>
  <si>
    <t>0,9</t>
  </si>
  <si>
    <t>1,3</t>
  </si>
  <si>
    <t>1,7</t>
  </si>
  <si>
    <t>Assets of DCME</t>
  </si>
  <si>
    <t>Cost of Acquisition</t>
  </si>
  <si>
    <t>Accumulated Depreciation</t>
  </si>
  <si>
    <t xml:space="preserve">Actifs de la DCMÉ </t>
  </si>
  <si>
    <t>Coût d’acquisition</t>
  </si>
  <si>
    <t>Amortissement cumulé</t>
  </si>
  <si>
    <t>Valeur nette comptable</t>
  </si>
  <si>
    <t>461,2</t>
  </si>
  <si>
    <t>477,1</t>
  </si>
  <si>
    <t>478,8</t>
  </si>
  <si>
    <t>486,0</t>
  </si>
  <si>
    <t>483,1</t>
  </si>
  <si>
    <t>399,7</t>
  </si>
  <si>
    <t>420,9</t>
  </si>
  <si>
    <t>423,3</t>
  </si>
  <si>
    <t>433,3</t>
  </si>
  <si>
    <t>435,0</t>
  </si>
  <si>
    <t>61,5</t>
  </si>
  <si>
    <t>56,2</t>
  </si>
  <si>
    <t>55,5</t>
  </si>
  <si>
    <t>52,7</t>
  </si>
  <si>
    <t>48,1</t>
  </si>
  <si>
    <t>13,1</t>
  </si>
  <si>
    <t>1,6</t>
  </si>
  <si>
    <t>14,4</t>
  </si>
  <si>
    <t>0,6</t>
  </si>
  <si>
    <t>16,3</t>
  </si>
  <si>
    <t>2,4</t>
  </si>
  <si>
    <t>1,4</t>
  </si>
  <si>
    <t>17,3</t>
  </si>
  <si>
    <t>2,9</t>
  </si>
  <si>
    <t>1,5</t>
  </si>
  <si>
    <t>18,9</t>
  </si>
  <si>
    <t>2,7</t>
  </si>
  <si>
    <t>1,8</t>
  </si>
  <si>
    <t>0,3</t>
  </si>
  <si>
    <t>0,5</t>
  </si>
  <si>
    <t>1,0</t>
  </si>
  <si>
    <t>13,4</t>
  </si>
  <si>
    <t>14,9</t>
  </si>
  <si>
    <t>16,9</t>
  </si>
  <si>
    <t>18,2</t>
  </si>
  <si>
    <t>19,9</t>
  </si>
  <si>
    <t>Of which Retirement cost</t>
  </si>
  <si>
    <t>Of which Other benefits</t>
  </si>
  <si>
    <t>Dont Cout de retraite</t>
  </si>
  <si>
    <t>Don’t Autres avantages sociaux</t>
  </si>
  <si>
    <t xml:space="preserve">Charges nettes d'exploitation ("CNE") </t>
  </si>
  <si>
    <t>Source: Tableau R4.1 and R4.2</t>
  </si>
  <si>
    <t>Data for the Management of Control of Energy Movement ("DCME")</t>
  </si>
  <si>
    <t>Variable Key</t>
  </si>
  <si>
    <t>obs</t>
  </si>
  <si>
    <t>snlid</t>
  </si>
  <si>
    <t>pegid</t>
  </si>
  <si>
    <t>year</t>
  </si>
  <si>
    <t>exclude</t>
  </si>
  <si>
    <t>ck</t>
  </si>
  <si>
    <t>c</t>
  </si>
  <si>
    <t>ym</t>
  </si>
  <si>
    <t>yp</t>
  </si>
  <si>
    <t>womlvl</t>
  </si>
  <si>
    <t>wndxl</t>
  </si>
  <si>
    <t>mva</t>
  </si>
  <si>
    <t>load_tx</t>
  </si>
  <si>
    <t>nsub</t>
  </si>
  <si>
    <t>pctpoh</t>
  </si>
  <si>
    <t>Average Voltage Calculations</t>
  </si>
  <si>
    <t>km to mile conversion rate</t>
  </si>
  <si>
    <t>Power used by HQT in its operations</t>
  </si>
  <si>
    <t>See HQT-6, Document 6, p. 8 in R-4058-2018</t>
  </si>
  <si>
    <t>Telecom Revenues from other HQ Divisions</t>
  </si>
  <si>
    <t>See HQT-6, Document 6, p. 11.</t>
  </si>
  <si>
    <t>Comptes d'ecarts (e.g., cout de retraite)</t>
  </si>
  <si>
    <t>Tangible Assets</t>
  </si>
  <si>
    <t xml:space="preserve"> Gross Plant Value </t>
  </si>
  <si>
    <t>End of Year</t>
  </si>
  <si>
    <t>Total Assets</t>
  </si>
  <si>
    <t>In Millions of Canadian Dollars</t>
  </si>
  <si>
    <t>wm</t>
  </si>
  <si>
    <t>Number of Undepreciated Years of Capital</t>
  </si>
  <si>
    <t>Weight = Undepreciated Yrs / Total</t>
  </si>
  <si>
    <t>Asset Price x Weight</t>
  </si>
  <si>
    <t>Used to deflate net plant</t>
  </si>
  <si>
    <t>Percent added</t>
  </si>
  <si>
    <t>The quantity is lagged</t>
  </si>
  <si>
    <t>Flows and stocks of fixed non-residential capital, by industry and type of asset, Canada, provinces and territories (x 1,000,000)</t>
  </si>
  <si>
    <t>Annual</t>
  </si>
  <si>
    <t>Table: 36-10-0096-01 (formerly CANSIM 031-0005)</t>
  </si>
  <si>
    <t>Geography: Canada, Province or territory</t>
  </si>
  <si>
    <t>Quebec</t>
  </si>
  <si>
    <t>Current prices</t>
  </si>
  <si>
    <t>Geometric end-year net stock</t>
  </si>
  <si>
    <t>Industry</t>
  </si>
  <si>
    <t>Assets</t>
  </si>
  <si>
    <t>Utilities</t>
  </si>
  <si>
    <t>Dollars</t>
  </si>
  <si>
    <t>Total non-residential</t>
  </si>
  <si>
    <t>Symbol legend:</t>
  </si>
  <si>
    <t>Footnotes:</t>
  </si>
  <si>
    <t>How to cite: Statistics Canada. Table 36-10-0096-01 Flows and stocks of fixed non-residential capital, by industry and type of asset, Canada, provinces and territories (x 1,000,000)</t>
  </si>
  <si>
    <t>https://www150.statcan.gc.ca/t1/tbl1/en/tv.action?pid=3610009601</t>
  </si>
  <si>
    <t>DOI: https://doi.org/10.25318/3610009601-eng</t>
  </si>
  <si>
    <t>2012 constant prices</t>
  </si>
  <si>
    <t>Canada</t>
  </si>
  <si>
    <t>Ontario</t>
  </si>
  <si>
    <t>Nombre de kilometres de reseau</t>
  </si>
  <si>
    <t>com</t>
  </si>
  <si>
    <t>[A]</t>
  </si>
  <si>
    <t>[B]</t>
  </si>
  <si>
    <t>[C]</t>
  </si>
  <si>
    <t>[D]</t>
  </si>
  <si>
    <t>[E]</t>
  </si>
  <si>
    <r>
      <t xml:space="preserve">Big </t>
    </r>
    <r>
      <rPr>
        <i/>
        <u/>
        <sz val="11"/>
        <color theme="1"/>
        <rFont val="Calibri"/>
        <family val="2"/>
        <scheme val="minor"/>
      </rPr>
      <t>drop</t>
    </r>
    <r>
      <rPr>
        <sz val="11"/>
        <color theme="1"/>
        <rFont val="Calibri"/>
        <family val="2"/>
        <scheme val="minor"/>
      </rPr>
      <t xml:space="preserve"> in 2008</t>
    </r>
  </si>
  <si>
    <t xml:space="preserve">(internal telecom revenue) </t>
  </si>
  <si>
    <t>Note how it bumps up in 2008</t>
  </si>
  <si>
    <t>Direct expenses (gross) [A]</t>
  </si>
  <si>
    <t>Capital Cost (CK)</t>
  </si>
  <si>
    <t>Capital Price (WK)</t>
  </si>
  <si>
    <t>Rate of Return (r)</t>
  </si>
  <si>
    <t>Gross Plant Additions (VKA)</t>
  </si>
  <si>
    <t>[F]</t>
  </si>
  <si>
    <t>[G]</t>
  </si>
  <si>
    <t xml:space="preserve">Plant Value </t>
  </si>
  <si>
    <t>Transmission Network Dimensions</t>
  </si>
  <si>
    <t>HQT COM and Other Operating Revenues</t>
  </si>
  <si>
    <t>HQT Dispatching Costs</t>
  </si>
  <si>
    <t>Working Capital</t>
  </si>
  <si>
    <t>Tangible plant</t>
  </si>
  <si>
    <t>Intangible plant</t>
  </si>
  <si>
    <t xml:space="preserve">HQT Output and Network Dimensions </t>
  </si>
  <si>
    <t>realrt</t>
  </si>
  <si>
    <t>Smoothed Capital Price (WK)</t>
  </si>
  <si>
    <t>som</t>
  </si>
  <si>
    <t>sk</t>
  </si>
  <si>
    <t>sl</t>
  </si>
  <si>
    <t>sm</t>
  </si>
  <si>
    <t>wls</t>
  </si>
  <si>
    <t>wkt</t>
  </si>
  <si>
    <t>HQT ROR</t>
  </si>
  <si>
    <t>dwo</t>
  </si>
  <si>
    <t>wklvl</t>
  </si>
  <si>
    <t>dw</t>
  </si>
  <si>
    <t>Adjusted VKA</t>
  </si>
  <si>
    <t>HQT</t>
  </si>
  <si>
    <t>HWI*PPP</t>
  </si>
  <si>
    <t>US</t>
  </si>
  <si>
    <t>Ratcheted Total (calculated)</t>
  </si>
  <si>
    <t>[H]</t>
  </si>
  <si>
    <t>Implicit price indexes, gross domestic product, provincial and territorial</t>
  </si>
  <si>
    <t>Table: 36-10-0223-01 (formerly CANSIM 384-0039)</t>
  </si>
  <si>
    <t>Canada 1 (map)</t>
  </si>
  <si>
    <t>Implicit price indexes</t>
  </si>
  <si>
    <t>Estimates</t>
  </si>
  <si>
    <t>Index, 2012=100</t>
  </si>
  <si>
    <t>Final domestic demand</t>
  </si>
  <si>
    <t>Canada totals in the provincial and territorial gross domestic product by income and by expenditure accounts (PTEA) do not correspond to the national gross domestic product by income and by expenditure accounts (IEA) estimates at certain times of the year. The two accounts are brought back in line when annual revisions are incorporated.</t>
  </si>
  <si>
    <t>How to cite: Statistics Canada. Table 36-10-0223-01 Implicit price indexes, gross domestic product, provincial and territorial</t>
  </si>
  <si>
    <t>https://www150.statcan.gc.ca/t1/tbl1/en/tv.action?pid=3610022301</t>
  </si>
  <si>
    <t>DOI: https://doi.org/10.25318/3610022301-eng</t>
  </si>
  <si>
    <t>Downloaded 1/20/2021</t>
  </si>
  <si>
    <t>Current dollars</t>
  </si>
  <si>
    <t>[J]</t>
  </si>
  <si>
    <t>May be applied to capital or OM&amp;A cost</t>
  </si>
  <si>
    <t>wl</t>
  </si>
  <si>
    <t>dwl</t>
  </si>
  <si>
    <t>dwm</t>
  </si>
  <si>
    <t>cldc</t>
  </si>
  <si>
    <t>cmdc</t>
  </si>
  <si>
    <t>Employee wages by occupation, annual c 1 2 3 4</t>
  </si>
  <si>
    <t>Table: 14-10-0340-01</t>
  </si>
  <si>
    <t>Total employees, all occupations 8</t>
  </si>
  <si>
    <t>Average hourly wage rate</t>
  </si>
  <si>
    <t>Both full- and part-time employees</t>
  </si>
  <si>
    <t>Both sexes</t>
  </si>
  <si>
    <t>Reference period</t>
  </si>
  <si>
    <t>15 years and over</t>
  </si>
  <si>
    <t>Corrections:</t>
  </si>
  <si>
    <t>Date:</t>
  </si>
  <si>
    <t>Note:</t>
  </si>
  <si>
    <t>2019-04-09T04:00:00Z</t>
  </si>
  <si>
    <t>On April 9, 2019, the data from 1997 to 2018 for median hourly gender wage ratio and average weekly gender wage ratio were corrected.</t>
  </si>
  <si>
    <t>To ensure respondent confidentiality, estimates below a certain threshold are suppressed. For Canada, Quebec, Ontario, Alberta and British Columbia suppression is applied to all data below 1,500. The threshold level for Newfoundland and Labrador, Nova Scotia, New Brunswick, Manitoba and Saskatchewan is 500, while in Prince Edward Island, estimates under 200 are supressed. For census metropolitan areas (CMAs) and economic regions (ERs), use their respective provincial suppression levels mentioned above. Estimates are based on smaller sample sizes the more detailed the table becomes, which could result in lower data quality.</t>
  </si>
  <si>
    <t>For approximate quality indicators of the estimates, see tables 7.1 or 7.2 in the Guide to the Labour Force Survey. For quality indicators of specific data points, contact statcan.labour-travail.statcan@canada.ca.</t>
  </si>
  <si>
    <t>This new table replaces archived table 14-10-0062-01.</t>
  </si>
  <si>
    <t>On April 5, 2019, this table replaced archived table 14-10-0307.</t>
  </si>
  <si>
    <t>Excluding the territories.</t>
  </si>
  <si>
    <t>Beginning January 1997, information is collected on the usual wages or salary of employees at their main job. Respondents are asked to report their wage/salary before taxes and other deductions, and include tips, commissions and bonuses. Weekly and hourly wages/salaries are calculated in conjunction with usual paid work hours per week.</t>
  </si>
  <si>
    <t>Occupation estimates are based on the 2016 National Occupational Classification (NOC). Occupation refers to the kind of work persons 15 years of age and over were doing during the reference week, as determined by the kind of work reported and the description of the most important duties of the job. If the individual did not have a job during the reference week, the data relate to the previous job, if that job was held in the past year.</t>
  </si>
  <si>
    <t>This combines the National Occupational Classification (NOC) codes 00 to 96.</t>
  </si>
  <si>
    <t>How to cite: Statistics Canada. Table 14-10-0340-01 Employee wages by occupation, annual</t>
  </si>
  <si>
    <t>https://www150.statcan.gc.ca/t1/tbl1/en/tv.action?pid=1410034001</t>
  </si>
  <si>
    <t>DOI:  https://doi.org/10.25318/1410034001-eng</t>
  </si>
  <si>
    <t>wlsl</t>
  </si>
  <si>
    <t>Update for partial wm levelization?</t>
  </si>
  <si>
    <t>Net book value at 12/31/01- zero</t>
  </si>
  <si>
    <t>Source HQT-16, Document 4, p. 4.</t>
  </si>
  <si>
    <t>Plant Additions of IPP Substations</t>
  </si>
  <si>
    <t>Meses en services des postes de depart des producteurs prives (M$)</t>
  </si>
  <si>
    <t>Reemboursements for postes de depart de producteurs prives</t>
  </si>
  <si>
    <t>Source: HQT-16, Document 4, p. 8.</t>
  </si>
  <si>
    <t>(B-C+D+E)*[1-F/(A+E)]+G-(H+J)</t>
  </si>
  <si>
    <t>Levelized WKA</t>
  </si>
  <si>
    <t>dwkt</t>
  </si>
  <si>
    <t>HQT specific input price index calculations</t>
  </si>
  <si>
    <t>OK</t>
  </si>
  <si>
    <t>O&amp;M</t>
  </si>
  <si>
    <t>Capital</t>
  </si>
  <si>
    <t>2019 Price Levels</t>
  </si>
  <si>
    <t>Relative Labor Rate by Job Category (2019)</t>
  </si>
  <si>
    <t>Cost Based</t>
  </si>
  <si>
    <t>Hourly Labor Rate (Full Economy)</t>
  </si>
  <si>
    <t>US OCC Group</t>
  </si>
  <si>
    <t>Weight</t>
  </si>
  <si>
    <t>Canadian NOC Group</t>
  </si>
  <si>
    <t>Quebec/ Canada</t>
  </si>
  <si>
    <t>Quebec / US</t>
  </si>
  <si>
    <t>Cost</t>
  </si>
  <si>
    <t>Management occupations  [0]</t>
  </si>
  <si>
    <t>Business, finance and administration occupations  [1]</t>
  </si>
  <si>
    <t>Natural and applied sciences and related occupations  [2]</t>
  </si>
  <si>
    <t>Health occupations  [3]</t>
  </si>
  <si>
    <t>Occupations in education, law and social, community and government services  [4]</t>
  </si>
  <si>
    <t>Occupations in art, culture, recreation and sport  [5]</t>
  </si>
  <si>
    <t>Sales and service occupations  [6]</t>
  </si>
  <si>
    <t>Trades, transport and equipment operators and related occupations  [7]</t>
  </si>
  <si>
    <t>Natural resources, agriculture and related production occupations  [8]</t>
  </si>
  <si>
    <t>Occupations in manufacturing and utilities  [9]</t>
  </si>
  <si>
    <t>Can vs. US PPP</t>
  </si>
  <si>
    <t>Quebec vs. US Labor</t>
  </si>
  <si>
    <t>growth</t>
  </si>
  <si>
    <t>check</t>
  </si>
  <si>
    <t xml:space="preserve">RSMeans </t>
  </si>
  <si>
    <t>Value</t>
  </si>
  <si>
    <t>Montreal</t>
  </si>
  <si>
    <t>Management Occupations</t>
  </si>
  <si>
    <t>Business and Financial Operations Occupations</t>
  </si>
  <si>
    <t>Office and Administrative Support Occupations</t>
  </si>
  <si>
    <t>Computer and Mathematical Occupations</t>
  </si>
  <si>
    <t>Architecture and Engineering Occupations</t>
  </si>
  <si>
    <t>Life, Physical, and Social Science Occupations</t>
  </si>
  <si>
    <t>Healthcare Practitioners and Technical Occupations</t>
  </si>
  <si>
    <t>Community and Social Service Occupations</t>
  </si>
  <si>
    <t>Legal Occupations</t>
  </si>
  <si>
    <t>Educational Instruction and Library Occupations</t>
  </si>
  <si>
    <t>Protective Service Occupations</t>
  </si>
  <si>
    <t>Arts, Design, Entertainment, Sports, and Media Occupations</t>
  </si>
  <si>
    <t>Sales and Related Occupations</t>
  </si>
  <si>
    <t>Food Preparation and Serving Related Occupations</t>
  </si>
  <si>
    <t>Construction and Extraction Occupations</t>
  </si>
  <si>
    <t>Installation, Maintenance, and Repair Occupations</t>
  </si>
  <si>
    <t>Transportation and Material Moving Occupations</t>
  </si>
  <si>
    <t>Building and Grounds Cleaning and Maintenance Occupations</t>
  </si>
  <si>
    <t>Farming, Fishing, and Forestry Occupations</t>
  </si>
  <si>
    <t>Production Occupations</t>
  </si>
  <si>
    <t>Used to deflate gross additions</t>
  </si>
  <si>
    <t>WKA Levelization year</t>
  </si>
  <si>
    <t>Geometric Decay Rate (d)</t>
  </si>
  <si>
    <t>Capital quantity additions (XKA)</t>
  </si>
  <si>
    <t>Capital Quantity Index (XK)</t>
  </si>
  <si>
    <t>Annual Growth Rate</t>
  </si>
  <si>
    <t xml:space="preserve">Handy Whitman Tx Construction Cost Index, North Atlantic region (Line 33) </t>
  </si>
  <si>
    <t>Level</t>
  </si>
  <si>
    <t>Asset Price Index Calculations</t>
  </si>
  <si>
    <t>Rely on Old Stats Canada Capital Stock Data for earlier years (See file Old Stats Canada Capital Stock Data)</t>
  </si>
  <si>
    <t>Purchasing Power Parity</t>
  </si>
  <si>
    <t>Weighted Average Asset Price in Benchmark Year (2002)</t>
  </si>
  <si>
    <t>Normalized Level</t>
  </si>
  <si>
    <t xml:space="preserve">Summary Construction Cost Trend Index </t>
  </si>
  <si>
    <t>Asset Price Level Index</t>
  </si>
  <si>
    <t>Triangularized weighted Average of Past Asset Prices in 2002 for Benchmark Year Adjustment</t>
  </si>
  <si>
    <t>Cost check</t>
  </si>
  <si>
    <t>&lt;?xml version="1.0" encoding="utf-16"?&gt;&lt;WebTableParameter xmlns:xsd="http://www.w3.org/2001/XMLSchema" xmlns:xsi="http://www.w3.org/2001/XMLSchema-instance" xmlns="http://stats.oecd.org/OECDStatWS/2004/03/01/"&gt;&lt;DataTable Code="SNA_TABLE4" HasMetadata="true"&gt;&lt;Name LocaleIsoCode="en"&gt;4. PPPs and exchange rates&lt;/Name&gt;&lt;Name LocaleIsoCode="fr"&gt;4. PPA et taux de change&lt;/Name&gt;&lt;Dimension Code="LOCATION" HasMetadata="false" CommonCode="LOCATION" Display="labels"&gt;&lt;Name LocaleIsoCode="en"&gt;Country&lt;/Name&gt;&lt;Name LocaleIsoCode="fr"&gt;Pays&lt;/Name&gt;&lt;Member Code="CAN" HasMetadata="true" HasOnlyUnitMetadata="false" HasChild="0"&gt;&lt;Name LocaleIsoCode="en"&gt;Canada&lt;/Name&gt;&lt;Name LocaleIsoCode="fr"&gt;Canada&lt;/Name&gt;&lt;/Member&gt;&lt;/Dimension&gt;&lt;Dimension Code="TRANSACT" HasMetadata="false" Display="labels"&gt;&lt;Name LocaleIsoCode="en"&gt;Transaction&lt;/Name&gt;&lt;Name LocaleIsoCode="fr"&gt;Transaction&lt;/Name&gt;&lt;Member Code="PPPGDP" HasMetadata="false" HasOnlyUnitMetadata="false" HasChild="0"&gt;&lt;Name LocaleIsoCode="en"&gt;Purchasing Power Parities for GDP&lt;/Name&gt;&lt;Name LocaleIsoCode="fr"&gt;Parités de pouvoir d'achat du PIB&lt;/Name&gt;&lt;/Member&gt;&lt;Member Code="PPPPRC" HasMetadata="false" HasOnlyUnitMetadata="false" HasChild="0"&gt;&lt;Name LocaleIsoCode="en"&gt;Purchasing Power Parities for private consumption&lt;/Name&gt;&lt;Name LocaleIsoCode="fr"&gt;Parités de pouvoir d'achat de la consommation privée&lt;/Name&gt;&lt;/Member&gt;&lt;Member Code="PPPP41" HasMetadata="false" HasOnlyUnitMetadata="false" HasChild="0"&gt;&lt;Name LocaleIsoCode="en"&gt;Purchasing Power Parities for actual individual consumption&lt;/Name&gt;&lt;Name LocaleIsoCode="fr"&gt;Parités de Pouvoir d'Achat de la consommation individuelle effective&lt;/Name&gt;&lt;/Member&gt;&lt;/Dimension&gt;&lt;Dimension Code="MEASURE" HasMetadata="false" Display="labels"&gt;&lt;Name LocaleIsoCode="en"&gt;Measure&lt;/Name&gt;&lt;Name LocaleIsoCode="fr"&gt;Mesure&lt;/Name&gt;&lt;Member Code="CD" HasMetadata="false" HasOnlyUnitMetadata="false" HasChild="0"&gt;&lt;Name LocaleIsoCode="en"&gt;National currency per US dollar&lt;/Name&gt;&lt;Name LocaleIsoCode="fr"&gt;Monnaie nationale par dollar É-U&lt;/Name&gt;&lt;/Member&gt;&lt;/Dimension&gt;&lt;Dimension Code="TIME" HasMetadata="false" CommonCode="TIME" Display="labels"&gt;&lt;Name LocaleIsoCode="en"&gt;Year&lt;/Name&gt;&lt;Name LocaleIsoCode="fr"&gt;Année&lt;/Name&gt;&lt;Member Code="1950" HasMetadata="false"&gt;&lt;Name LocaleIsoCode="en"&gt;1950&lt;/Name&gt;&lt;Name LocaleIsoCode="fr"&gt;1950&lt;/Name&gt;&lt;/Member&gt;&lt;Member Code="1951" HasMetadata="false"&gt;&lt;Name LocaleIsoCode="en"&gt;1951&lt;/Name&gt;&lt;Name LocaleIsoCode="fr"&gt;1951&lt;/Name&gt;&lt;/Member&gt;&lt;Member Code="1952" HasMetadata="false"&gt;&lt;Name LocaleIsoCode="en"&gt;1952&lt;/Name&gt;&lt;Name LocaleIsoCode="fr"&gt;1952&lt;/Name&gt;&lt;/Member&gt;&lt;Member Code="1953" HasMetadata="false"&gt;&lt;Name LocaleIsoCode="en"&gt;1953&lt;/Name&gt;&lt;Name LocaleIsoCode="fr"&gt;1953&lt;/Name&gt;&lt;/Member&gt;&lt;Member Code="1954" HasMetadata="false"&gt;&lt;Name LocaleIsoCode="en"&gt;1954&lt;/Name&gt;&lt;Name LocaleIsoCode="fr"&gt;1954&lt;/Name&gt;&lt;/Member&gt;&lt;Member Code="1955" HasMetadata="false"&gt;&lt;Name LocaleIsoCode="en"&gt;1955&lt;/Name&gt;&lt;Name LocaleIsoCode="fr"&gt;1955&lt;/Name&gt;&lt;/Member&gt;&lt;Member Code="1956" HasMetadata="false"&gt;&lt;Name LocaleIsoCode="en"&gt;1956&lt;/Name&gt;&lt;Name LocaleIsoCode="fr"&gt;1956&lt;/Name&gt;&lt;/Member&gt;&lt;Member Code="1957" HasMetadata="false"&gt;&lt;Name LocaleIsoCode="en"&gt;1957&lt;/Name&gt;&lt;Name LocaleIsoCode="fr"&gt;1957&lt;/Name&gt;&lt;/Member&gt;&lt;Member Code="1958" HasMetadata="false"&gt;&lt;Name LocaleIsoCode="en"&gt;1958&lt;/Name&gt;&lt;Name LocaleIsoCode="fr"&gt;1958&lt;/Name&gt;&lt;/Member&gt;&lt;Member Code="1959" HasMetadata="false"&gt;&lt;Name LocaleIsoCode="en"&gt;1959&lt;/Name&gt;&lt;Name LocaleIsoCode="fr"&gt;1959&lt;/Name&gt;&lt;/Member&gt;&lt;Member Code="1960" HasMetadata="false"&gt;&lt;Name LocaleIsoCode="en"&gt;1960&lt;/Name&gt;&lt;Name LocaleIsoCode="fr"&gt;1960&lt;/Name&gt;&lt;/Member&gt;&lt;Member Code="1961" HasMetadata="false"&gt;&lt;Name LocaleIsoCode="en"&gt;1961&lt;/Name&gt;&lt;Name LocaleIsoCode="fr"&gt;1961&lt;/Name&gt;&lt;/Member&gt;&lt;Member Code="1962" HasMetadata="false"&gt;&lt;Name LocaleIsoCode="en"&gt;1962&lt;/Name&gt;&lt;Name LocaleIsoCode="fr"&gt;1962&lt;/Name&gt;&lt;/Member&gt;&lt;Member Code="1963" HasMetadata="false"&gt;&lt;Name LocaleIsoCode="en"&gt;1963&lt;/Name&gt;&lt;Name LocaleIsoCode="fr"&gt;1963&lt;/Name&gt;&lt;/Member&gt;&lt;Member Code="1964" HasMetadata="false"&gt;&lt;Name LocaleIsoCode="en"&gt;1964&lt;/Name&gt;&lt;Name LocaleIsoCode="fr"&gt;1964&lt;/Name&gt;&lt;/Member&gt;&lt;Member Code="1965" HasMetadata="false"&gt;&lt;Name LocaleIsoCode="en"&gt;1965&lt;/Name&gt;&lt;Name LocaleIsoCode="fr"&gt;1965&lt;/Name&gt;&lt;/Member&gt;&lt;Member Code="1966" HasMetadata="false"&gt;&lt;Name LocaleIsoCode="en"&gt;1966&lt;/Name&gt;&lt;Name LocaleIsoCode="fr"&gt;1966&lt;/Name&gt;&lt;/Member&gt;&lt;Member Code="1967" HasMetadata="false"&gt;&lt;Name LocaleIsoCode="en"&gt;1967&lt;/Name&gt;&lt;Name LocaleIsoCode="fr"&gt;1967&lt;/Name&gt;&lt;/Member&gt;&lt;Member Code="1968" HasMetadata="false"&gt;&lt;Name LocaleIsoCode="en"&gt;1968&lt;/Name&gt;&lt;Name LocaleIsoCode="fr"&gt;1968&lt;/Name&gt;&lt;/Member&gt;&lt;Member Code="1969" HasMetadata="false"&gt;&lt;Name LocaleIsoCode="en"&gt;1969&lt;/Name&gt;&lt;Name LocaleIsoCode="fr"&gt;1969&lt;/Name&gt;&lt;/Member&gt;&lt;Member Code="1970" HasMetadata="false"&gt;&lt;Name LocaleIsoCode="en"&gt;1970&lt;/Name&gt;&lt;Name LocaleIsoCode="fr"&gt;1970&lt;/Name&gt;&lt;/Member&gt;&lt;Member Code="1971" HasMetadata="false"&gt;&lt;Name LocaleIsoCode="en"&gt;1971&lt;/Name&gt;&lt;Name LocaleIsoCode="fr"&gt;1971&lt;/Name&gt;&lt;/Member&gt;&lt;Member Code="1972" HasMetadata="false"&gt;&lt;Name LocaleIsoCode="en"&gt;1972&lt;/Name&gt;&lt;Name LocaleIsoCode="fr"&gt;1972&lt;/Name&gt;&lt;/Member&gt;&lt;Member Code="1973" HasMetadata="false"&gt;&lt;Name LocaleIsoCode="en"&gt;1973&lt;/Name&gt;&lt;Name LocaleIsoCode="fr"&gt;1973&lt;/Name&gt;&lt;/Member&gt;&lt;Member Code="1974" HasMetadata="false"&gt;&lt;Name LocaleIsoCode="en"&gt;1974&lt;/Name&gt;&lt;Name LocaleIsoCode="fr"&gt;1974&lt;/Name&gt;&lt;/Member&gt;&lt;Member Code="1975" HasMetadata="false"&gt;&lt;Name LocaleIsoCode="en"&gt;1975&lt;/Name&gt;&lt;Name LocaleIsoCode="fr"&gt;1975&lt;/Name&gt;&lt;/Member&gt;&lt;Member Code="1976" HasMetadata="false"&gt;&lt;Name LocaleIsoCode="en"&gt;1976&lt;/Name&gt;&lt;Name LocaleIsoCode="fr"&gt;1976&lt;/Name&gt;&lt;/Member&gt;&lt;Member Code="1977" HasMetadata="false"&gt;&lt;Name LocaleIsoCode="en"&gt;1977&lt;/Name&gt;&lt;Name LocaleIsoCode="fr"&gt;1977&lt;/Name&gt;&lt;/Member&gt;&lt;Member Code="1978" HasMetadata="false"&gt;&lt;Name LocaleIsoCode="en"&gt;1978&lt;/Name&gt;&lt;Name LocaleIsoCode="fr"&gt;1978&lt;/Name&gt;&lt;/Member&gt;&lt;Member Code="1979" HasMetadata="false"&gt;&lt;Name LocaleIsoCode="en"&gt;1979&lt;/Name&gt;&lt;Name LocaleIsoCode="fr"&gt;1979&lt;/Name&gt;&lt;/Member&gt;&lt;Member Code="1980" HasMetadata="false"&gt;&lt;Name LocaleIsoCode="en"&gt;1980&lt;/Name&gt;&lt;Name LocaleIsoCode="fr"&gt;1980&lt;/Name&gt;&lt;/Member&gt;&lt;Member Code="1981" HasMetadata="false"&gt;&lt;Name LocaleIsoCode="en"&gt;1981&lt;/Name&gt;&lt;Name LocaleIsoCode="fr"&gt;1981&lt;/Name&gt;&lt;/Member&gt;&lt;Member Code="1982" HasMetadata="false"&gt;&lt;Name LocaleIsoCode="en"&gt;1982&lt;/Name&gt;&lt;Name LocaleIsoCode="fr"&gt;1982&lt;/Name&gt;&lt;/Member&gt;&lt;Member Code="1983" HasMetadata="false"&gt;&lt;Name LocaleIsoCode="en"&gt;1983&lt;/Name&gt;&lt;Name LocaleIsoCode="fr"&gt;1983&lt;/Name&gt;&lt;/Member&gt;&lt;Member Code="1984" HasMetadata="false"&gt;&lt;Name LocaleIsoCode="en"&gt;1984&lt;/Name&gt;&lt;Name LocaleIsoCode="fr"&gt;1984&lt;/Name&gt;&lt;/Member&gt;&lt;Member Code="1985" HasMetadata="false"&gt;&lt;Name LocaleIsoCode="en"&gt;1985&lt;/Name&gt;&lt;Name LocaleIsoCode="fr"&gt;1985&lt;/Name&gt;&lt;/Member&gt;&lt;Member Code="1986" HasMetadata="false"&gt;&lt;Name LocaleIsoCode="en"&gt;1986&lt;/Name&gt;&lt;Name LocaleIsoCode="fr"&gt;1986&lt;/Name&gt;&lt;/Member&gt;&lt;Member Code="1987" HasMetadata="false"&gt;&lt;Name LocaleIsoCode="en"&gt;1987&lt;/Name&gt;&lt;Name LocaleIsoCode="fr"&gt;1987&lt;/Name&gt;&lt;/Member&gt;&lt;Member Code="1988" HasMetadata="false"&gt;&lt;Name LocaleIsoCode="en"&gt;1988&lt;/Name&gt;&lt;Name LocaleIsoCode="fr"&gt;1988&lt;/Name&gt;&lt;/Member&gt;&lt;Member Code="1989" HasMetadata="false"&gt;&lt;Name LocaleIsoCode="en"&gt;1989&lt;/Name&gt;&lt;Name LocaleIsoCode="fr"&gt;1989&lt;/Name&gt;&lt;/Member&gt;&lt;Member Code="1990" HasMetadata="false"&gt;&lt;Name LocaleIsoCode="en"&gt;1990&lt;/Name&gt;&lt;Name LocaleIsoCode="fr"&gt;1990&lt;/Name&gt;&lt;/Member&gt;&lt;Member Code="1991" HasMetadata="false"&gt;&lt;Name LocaleIsoCode="en"&gt;1991&lt;/Name&gt;&lt;Name LocaleIsoCode="fr"&gt;1991&lt;/Name&gt;&lt;/Member&gt;&lt;Member Code="1992" HasMetadata="false"&gt;&lt;Name LocaleIsoCode="en"&gt;1992&lt;/Name&gt;&lt;Name LocaleIsoCode="fr"&gt;1992&lt;/Name&gt;&lt;/Member&gt;&lt;Member Code="1993" HasMetadata="false"&gt;&lt;Name LocaleIsoCode="en"&gt;1993&lt;/Name&gt;&lt;Name LocaleIsoCode="fr"&gt;1993&lt;/Name&gt;&lt;/Member&gt;&lt;Member Code="1994" HasMetadata="false"&gt;&lt;Name LocaleIsoCode="en"&gt;1994&lt;/Name&gt;&lt;Name LocaleIsoCode="fr"&gt;1994&lt;/Name&gt;&lt;/Member&gt;&lt;Member Code="1995" HasMetadata="false"&gt;&lt;Name LocaleIsoCode="en"&gt;1995&lt;/Name&gt;&lt;Name LocaleIsoCode="fr"&gt;1995&lt;/Name&gt;&lt;/Member&gt;&lt;Member Code="1996" HasMetadata="false"&gt;&lt;Name LocaleIsoCode="en"&gt;1996&lt;/Name&gt;&lt;Name LocaleIsoCode="fr"&gt;1996&lt;/Name&gt;&lt;/Member&gt;&lt;Member Code="1997" HasMetadata="false"&gt;&lt;Name LocaleIsoCode="en"&gt;1997&lt;/Name&gt;&lt;Name LocaleIsoCode="fr"&gt;1997&lt;/Name&gt;&lt;/Member&gt;&lt;Member Code="1998" HasMetadata="false"&gt;&lt;Name LocaleIsoCode="en"&gt;1998&lt;/Name&gt;&lt;Name LocaleIsoCode="fr"&gt;1998&lt;/Name&gt;&lt;/Member&gt;&lt;Member Code="1999" HasMetadata="false"&gt;&lt;Name LocaleIsoCode="en"&gt;1999&lt;/Name&gt;&lt;Name LocaleIsoCode="fr"&gt;1999&lt;/Name&gt;&lt;/Member&gt;&lt;Member Code="2000" HasMetadata="false"&gt;&lt;Name LocaleIsoCode="en"&gt;2000&lt;/Name&gt;&lt;Name LocaleIsoCode="fr"&gt;2000&lt;/Name&gt;&lt;/Member&gt;&lt;Member Code="2001" HasMetadata="false"&gt;&lt;Name LocaleIsoCode="en"&gt;2001&lt;/Name&gt;&lt;Name LocaleIsoCode="fr"&gt;2001&lt;/Name&gt;&lt;/Member&gt;&lt;Member Code="2002" HasMetadata="false"&gt;&lt;Name LocaleIsoCode="en"&gt;2002&lt;/Name&gt;&lt;Name LocaleIsoCode="fr"&gt;2002&lt;/Name&gt;&lt;/Member&gt;&lt;Member Code="2003" HasMetadata="false"&gt;&lt;Name LocaleIsoCode="en"&gt;2003&lt;/Name&gt;&lt;Name LocaleIsoCode="fr"&gt;2003&lt;/Name&gt;&lt;/Member&gt;&lt;Member Code="2004" HasMetadata="false"&gt;&lt;Name LocaleIsoCode="en"&gt;2004&lt;/Name&gt;&lt;Name LocaleIsoCode="fr"&gt;2004&lt;/Name&gt;&lt;/Member&gt;&lt;Member Code="2005" HasMetadata="false"&gt;&lt;Name LocaleIsoCode="en"&gt;2005&lt;/Name&gt;&lt;Name LocaleIsoCode="fr"&gt;2005&lt;/Name&gt;&lt;/Member&gt;&lt;Member Code="2006" HasMetadata="false"&gt;&lt;Name LocaleIsoCode="en"&gt;2006&lt;/Name&gt;&lt;Name LocaleIsoCode="fr"&gt;2006&lt;/Name&gt;&lt;/Member&gt;&lt;Member Code="2007" HasMetadata="false"&gt;&lt;Name LocaleIsoCode="en"&gt;2007&lt;/Name&gt;&lt;Name LocaleIsoCode="fr"&gt;2007&lt;/Name&gt;&lt;/Member&gt;&lt;Member Code="2008" HasMetadata="false"&gt;&lt;Name LocaleIsoCode="en"&gt;2008&lt;/Name&gt;&lt;Name LocaleIsoCode="fr"&gt;2008&lt;/Name&gt;&lt;/Member&gt;&lt;Member Code="2009" HasMetadata="false"&gt;&lt;Name LocaleIsoCode="en"&gt;2009&lt;/Name&gt;&lt;Name LocaleIsoCode="fr"&gt;2009&lt;/Name&gt;&lt;/Member&gt;&lt;Member Code="2010" HasMetadata="false"&gt;&lt;Name LocaleIsoCode="en"&gt;2010&lt;/Name&gt;&lt;Name LocaleIsoCode="fr"&gt;2010&lt;/Name&gt;&lt;/Member&gt;&lt;Member Code="2011" HasMetadata="false"&gt;&lt;Name LocaleIsoCode="en"&gt;2011&lt;/Name&gt;&lt;Name LocaleIsoCode="fr"&gt;2011&lt;/Name&gt;&lt;/Member&gt;&lt;Member Code="2012" HasMetadata="false"&gt;&lt;Name LocaleIsoCode="en"&gt;2012&lt;/Name&gt;&lt;Name LocaleIsoCode="fr"&gt;2012&lt;/Name&gt;&lt;/Member&gt;&lt;Member Code="2013" HasMetadata="false"&gt;&lt;Name LocaleIsoCode="en"&gt;2013&lt;/Name&gt;&lt;Name LocaleIsoCode="fr"&gt;2013&lt;/Name&gt;&lt;/Member&gt;&lt;Member Code="2014" HasMetadata="false"&gt;&lt;Name LocaleIsoCode="en"&gt;2014&lt;/Name&gt;&lt;Name LocaleIsoCode="fr"&gt;2014&lt;/Name&gt;&lt;/Member&gt;&lt;Member Code="2015" HasMetadata="false"&gt;&lt;Name LocaleIsoCode="en"&gt;2015&lt;/Name&gt;&lt;Name LocaleIsoCode="fr"&gt;2015&lt;/Name&gt;&lt;/Member&gt;&lt;Member Code="2016" HasMetadata="false"&gt;&lt;Name LocaleIsoCode="en"&gt;2016&lt;/Name&gt;&lt;Name LocaleIsoCode="fr"&gt;2016&lt;/Name&gt;&lt;/Member&gt;&lt;Member Code="2017" HasMetadata="false"&gt;&lt;Name LocaleIsoCode="en"&gt;2017&lt;/Name&gt;&lt;Name LocaleIsoCode="fr"&gt;2017&lt;/Name&gt;&lt;/Member&gt;&lt;Member Code="2018" HasMetadata="false"&gt;&lt;Name LocaleIsoCode="en"&gt;2018&lt;/Name&gt;&lt;Name LocaleIsoCode="fr"&gt;2018&lt;/Name&gt;&lt;/Member&gt;&lt;Member Code="2019" HasMetadata="false"&gt;&lt;Name LocaleIsoCode="en"&gt;2019&lt;/Name&gt;&lt;Name LocaleIsoCode="fr"&gt;2019&lt;/Name&gt;&lt;/Member&gt;&lt;Member Code="2020" HasMetadata="false"&gt;&lt;Name LocaleIsoCode="en"&gt;2020&lt;/Name&gt;&lt;Name LocaleIsoCode="fr"&gt;2020&lt;/Name&gt;&lt;/Member&gt;&lt;/Dimension&gt;&lt;WBOSInformations&gt;&lt;TimeDimension WebTreeWasUsed="false"&gt;&lt;StartCodes Annual="1950" /&gt;&lt;/TimeDimension&gt;&lt;/WBOSInformations&gt;&lt;Tabulation Axis="horizontal"&gt;&lt;Dimension Code="TIME" CommonCode="TIME" /&gt;&lt;/Tabulation&gt;&lt;Tabulation Axis="vertical"&gt;&lt;Dimension Code="LOCATION" CommonCode="LOCATION" /&gt;&lt;/Tabulation&gt;&lt;Tabulation Axis="page"&gt;&lt;Dimension Code="TRANSACT" /&gt;&lt;Dimension Code="MEASURE" /&gt;&lt;/Tabulation&gt;&lt;Formatting&gt;&lt;Labels LocaleIsoCode="en" /&gt;&lt;Power&gt;0&lt;/Power&gt;&lt;Decimals&gt;6&lt;/Decimals&gt;&lt;SkipEmptyLines&gt;true&lt;/SkipEmptyLines&gt;&lt;SkipEmptyCols&gt;false&lt;/SkipEmptyCols&gt;&lt;SkipLineHierarchy&gt;false&lt;/SkipLineHierarchy&gt;&lt;SkipColHierarchy&gt;false&lt;/SkipColHierarchy&gt;&lt;Page&gt;1&lt;/Page&gt;&lt;/Formatting&gt;&lt;/DataTable&gt;&lt;Format&gt;&lt;ShowEmptyAxes&gt;true&lt;/ShowEmptyAxes&gt;&lt;Page&gt;1&lt;/Page&gt;&lt;EnableSort&gt;true&lt;/EnableSort&gt;&lt;IncludeFlagColumn&gt;false&lt;/IncludeFlagColumn&gt;&lt;IncludeTimeSeriesId&gt;false&lt;/IncludeTimeSeriesId&gt;&lt;DoBarChart&gt;false&lt;/DoBarChart&gt;&lt;FreezePanes&gt;false&lt;/FreezePanes&gt;&lt;MaxBarChartLen&gt;65&lt;/MaxBarChartLen&gt;&lt;/Format&gt;&lt;Query&gt;&lt;AbsoluteUri&gt;http://stats.oecd.org//View.aspx?QueryId=&amp;amp;QueryType=Public&amp;amp;Lang=en&lt;/AbsoluteUri&gt;&lt;/Query&gt;&lt;/WebTableParameter&gt;</t>
  </si>
  <si>
    <t>Dataset: 4. PPPs and exchange rates</t>
  </si>
  <si>
    <t>Transaction</t>
  </si>
  <si>
    <t>Purchasing Power Parities for GDP</t>
  </si>
  <si>
    <t>Measure</t>
  </si>
  <si>
    <t>National currency per US dollar</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</si>
  <si>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</si>
  <si>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</si>
  <si>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</si>
  <si>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</si>
  <si>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</si>
  <si>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</si>
  <si>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</si>
  <si>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</si>
  <si>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</si>
  <si>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</si>
  <si>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</si>
  <si>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</si>
  <si>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</si>
  <si>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</si>
  <si>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</si>
  <si>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</si>
  <si>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</si>
  <si>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</si>
  <si>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</si>
  <si>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</si>
  <si>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</si>
  <si>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</si>
  <si>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</si>
  <si>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</si>
  <si>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</si>
  <si>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</si>
  <si>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</si>
  <si>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</si>
  <si>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</si>
  <si>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</si>
  <si>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</si>
  <si>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</si>
  <si>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</si>
  <si>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</si>
  <si>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</si>
  <si>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</si>
  <si>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</si>
  <si>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</si>
  <si>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</si>
  <si>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</si>
  <si>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</si>
  <si>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</si>
  <si>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</si>
  <si>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</si>
  <si>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</si>
  <si>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</si>
  <si>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</si>
  <si>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</si>
  <si>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</si>
  <si>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</si>
  <si>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</si>
  <si>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</si>
  <si>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</si>
  <si>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</si>
  <si>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</si>
  <si>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</si>
  <si>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</si>
  <si>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</si>
  <si>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</si>
  <si>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</si>
  <si>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</si>
  <si>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Country</t>
  </si>
  <si>
    <t>Unit</t>
  </si>
  <si>
    <t/>
  </si>
  <si>
    <t>Canadian Dollar</t>
  </si>
  <si>
    <t>i</t>
  </si>
  <si>
    <t>Data extracted on 13 Feb 2021 22:25 UTC (GMT) from OECD.Stat</t>
  </si>
  <si>
    <t>Implicit Quebec Capital Stock Deflator for Utility Sector  (See tab implicit capital stock deflator)</t>
  </si>
  <si>
    <t>HQT-16, Document 4, Tableau R1.1</t>
  </si>
  <si>
    <t>% Difference</t>
  </si>
  <si>
    <t>Index number comparable to US</t>
  </si>
  <si>
    <t>Updated 2/14</t>
  </si>
  <si>
    <t>US Sample Mean</t>
  </si>
  <si>
    <t>O&amp;M Index US</t>
  </si>
  <si>
    <t>WKt avg</t>
  </si>
  <si>
    <t>WKLVL average</t>
  </si>
  <si>
    <t>WKt HQT</t>
  </si>
  <si>
    <t>WKt US</t>
  </si>
  <si>
    <t>Ratio</t>
  </si>
  <si>
    <t>Use this to set 2019 value for WKNDX.</t>
  </si>
  <si>
    <t>Ratio x US WKLVL avg</t>
  </si>
  <si>
    <t>WKLVL HQT / US</t>
  </si>
  <si>
    <t>Tied back to sample mean</t>
  </si>
  <si>
    <t>Used in CK;  Matches US WKt</t>
  </si>
  <si>
    <t>WKLVL</t>
  </si>
  <si>
    <t>WKt HQT / WKt US applied to average US index value to preserve relative price</t>
  </si>
  <si>
    <t>Levelized Asset Price Index (WKA)</t>
  </si>
  <si>
    <t>pcttx_peg</t>
  </si>
  <si>
    <t>Percent Plant overhead set at 95% per HQT response to IR 6.1 of HQT-16, Document 2.</t>
  </si>
  <si>
    <t>Fixed values prior to 2007 at 2007 levels</t>
  </si>
  <si>
    <t>Share transmission (pcttx_peg)</t>
  </si>
  <si>
    <t>See tab capital cost calculations for calculation of levelized capital price.</t>
  </si>
  <si>
    <t>Direct expenses (gross)</t>
  </si>
  <si>
    <t xml:space="preserve">Payroll (gross) </t>
  </si>
  <si>
    <t>Other direct expenses</t>
  </si>
  <si>
    <t>Shared service expenses (gross)</t>
  </si>
  <si>
    <t>Technology Group</t>
  </si>
  <si>
    <t>Corporate Units</t>
  </si>
  <si>
    <t>HQE</t>
  </si>
  <si>
    <t>HQP</t>
  </si>
  <si>
    <t>OM&amp;A Calculation</t>
  </si>
  <si>
    <t>Calculation of Cost Shares for Input Price Index</t>
  </si>
  <si>
    <t>Share of Costs Capitalized</t>
  </si>
  <si>
    <t>Capital Tax</t>
  </si>
  <si>
    <t>Public Service Tax</t>
  </si>
  <si>
    <t>See file labor price levelization 2019.xlsx for additional details.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</si>
</sst>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quot;$&quot;* #,##0.00_);_(&quot;$&quot;* \(#,##0.00\);_(&quot;$&quot;* &quot;-&quot;??_);_(@_)"/>
    <numFmt numFmtId="165" formatCode="_(* #,##0.00_);_(* \(#,##0.00\);_(* &quot;-&quot;??_);_(@_)"/>
    <numFmt numFmtId="166" formatCode="0.0"/>
    <numFmt numFmtId="167" formatCode="_(* #,##0_);_(* \(#,##0\);_(* &quot;-&quot;??_);_(@_)"/>
    <numFmt numFmtId="168" formatCode="0.000"/>
    <numFmt numFmtId="169" formatCode="0.0%"/>
    <numFmt numFmtId="170" formatCode="_(* #,##0.000_);_(* \(#,##0.000\);_(* &quot;-&quot;??_);_(@_)"/>
    <numFmt numFmtId="171" formatCode="_(* #,##0.0000_);_(* \(#,##0.0000\);_(* &quot;-&quot;??_);_(@_)"/>
    <numFmt numFmtId="172" formatCode="_(&quot;$&quot;* #,##0_);_(&quot;$&quot;* \(#,##0\);_(&quot;$&quot;* &quot;-&quot;??_);_(@_)"/>
    <numFmt numFmtId="173" formatCode="0.00000"/>
    <numFmt numFmtId="174" formatCode="#,##0.0000"/>
    <numFmt numFmtId="175" formatCode="_(* #,##0.0_);_(* \(#,##0.0\);_(* &quot;-&quot;??_);_(@_)"/>
    <numFmt numFmtId="176" formatCode="0.0000"/>
    <numFmt numFmtId="177" formatCode="#,##0.000000_ ;\-#,##0.000000\ "/>
    <numFmt numFmtId="178" formatCode="_(* #,##0.0000_);_(* \(#,##0.0000\);_(* &quot;-&quot;????_);_(@_)"/>
    <numFmt numFmtId="179" formatCode="0.000000%"/>
  </numFmts>
  <fonts count="46" x14ac:knownFonts="1">
    <font>
      <sz val="11"/>
      <color theme="1"/>
      <name val="Calibri"/>
      <family val="2"/>
      <scheme val="minor"/>
    </font>
    <font>
      <b/>
      <sz val="11"/>
      <color theme="1"/>
      <name val="Arial"/>
      <family val="2"/>
    </font>
    <font>
      <sz val="11"/>
      <color theme="1"/>
      <name val="Arial"/>
      <family val="2"/>
    </font>
    <font>
      <sz val="11"/>
      <color rgb="FFFF0000"/>
      <name val="Arial"/>
      <family val="2"/>
    </font>
    <font>
      <sz val="11"/>
      <color theme="1"/>
      <name val="Calibri"/>
      <family val="2"/>
      <scheme val="minor"/>
    </font>
    <font>
      <b/>
      <sz val="11"/>
      <color theme="1"/>
      <name val="Calibri"/>
      <family val="2"/>
      <scheme val="minor"/>
    </font>
    <font>
      <b/>
      <sz val="16"/>
      <color theme="1"/>
      <name val="Arial"/>
      <family val="2"/>
    </font>
    <font>
      <sz val="11"/>
      <color rgb="FFFF0000"/>
      <name val="Calibri"/>
      <family val="2"/>
      <scheme val="minor"/>
    </font>
    <font>
      <b/>
      <sz val="11"/>
      <color rgb="FFFF0000"/>
      <name val="Arial"/>
      <family val="2"/>
    </font>
    <font>
      <b/>
      <sz val="13"/>
      <color rgb="FFFF0000"/>
      <name val="Arial"/>
      <family val="2"/>
    </font>
    <font>
      <sz val="11"/>
      <name val="Arial"/>
      <family val="2"/>
    </font>
    <font>
      <sz val="11"/>
      <name val="Calibri"/>
      <family val="2"/>
      <scheme val="minor"/>
    </font>
    <font>
      <b/>
      <sz val="11"/>
      <name val="Arial"/>
      <family val="2"/>
    </font>
    <font>
      <b/>
      <sz val="13"/>
      <color theme="1"/>
      <name val="Arial"/>
      <family val="2"/>
    </font>
    <font>
      <sz val="11"/>
      <color rgb="FF0070C0"/>
      <name val="Calibri"/>
      <family val="2"/>
      <scheme val="minor"/>
    </font>
    <font>
      <sz val="11"/>
      <color rgb="FF00B050"/>
      <name val="Arial"/>
      <family val="2"/>
    </font>
    <font>
      <b/>
      <sz val="12"/>
      <color theme="1"/>
      <name val="Arial"/>
      <family val="2"/>
    </font>
    <font>
      <b/>
      <sz val="18"/>
      <color theme="1"/>
      <name val="Arial"/>
      <family val="2"/>
    </font>
    <font>
      <b/>
      <sz val="14"/>
      <color theme="1"/>
      <name val="Calibri"/>
      <family val="2"/>
      <scheme val="minor"/>
    </font>
    <font>
      <sz val="8"/>
      <name val="Calibri"/>
      <family val="2"/>
      <scheme val="minor"/>
    </font>
    <font>
      <sz val="11"/>
      <color rgb="FF000000"/>
      <name val="Arial"/>
      <family val="2"/>
    </font>
    <font>
      <b/>
      <sz val="10"/>
      <color theme="1"/>
      <name val="Arial"/>
      <family val="2"/>
    </font>
    <font>
      <sz val="10"/>
      <color theme="1"/>
      <name val="Arial"/>
      <family val="2"/>
    </font>
    <font>
      <sz val="8"/>
      <color theme="1"/>
      <name val="Times New Roman"/>
      <family val="1"/>
    </font>
    <font>
      <i/>
      <sz val="11"/>
      <color theme="1"/>
      <name val="Arial"/>
      <family val="2"/>
    </font>
    <font>
      <i/>
      <sz val="9"/>
      <color theme="1"/>
      <name val="Arial"/>
      <family val="2"/>
    </font>
    <font>
      <sz val="12"/>
      <color rgb="FF202124"/>
      <name val="Arial"/>
      <family val="2"/>
    </font>
    <font>
      <i/>
      <sz val="11"/>
      <color theme="1"/>
      <name val="Calibri"/>
      <family val="2"/>
      <scheme val="minor"/>
    </font>
    <font>
      <sz val="12"/>
      <color theme="1"/>
      <name val="Calibri"/>
      <family val="2"/>
      <scheme val="minor"/>
    </font>
    <font>
      <b/>
      <sz val="10"/>
      <name val="Arial"/>
      <family val="2"/>
    </font>
    <font>
      <i/>
      <u/>
      <sz val="11"/>
      <color theme="1"/>
      <name val="Calibri"/>
      <family val="2"/>
      <scheme val="minor"/>
    </font>
    <font>
      <sz val="10"/>
      <name val="Arial"/>
      <family val="2"/>
    </font>
    <font>
      <b/>
      <sz val="16"/>
      <color theme="1"/>
      <name val="Calibri"/>
      <family val="2"/>
      <scheme val="minor"/>
    </font>
    <font>
      <sz val="10"/>
      <name val="MS Sans Serif"/>
    </font>
    <font>
      <b/>
      <sz val="18"/>
      <name val="Arial"/>
      <family val="2"/>
    </font>
    <font>
      <sz val="8"/>
      <name val="Arial"/>
      <family val="2"/>
    </font>
    <font>
      <b/>
      <u/>
      <sz val="9"/>
      <color indexed="18"/>
      <name val="Verdana"/>
      <family val="2"/>
    </font>
    <font>
      <b/>
      <sz val="8"/>
      <color indexed="9"/>
      <name val="Verdana"/>
      <family val="2"/>
    </font>
    <font>
      <sz val="8"/>
      <color indexed="9"/>
      <name val="Verdana"/>
      <family val="2"/>
    </font>
    <font>
      <b/>
      <sz val="8"/>
      <name val="Verdana"/>
      <family val="2"/>
    </font>
    <font>
      <b/>
      <sz val="9"/>
      <color indexed="10"/>
      <name val="Courier New"/>
      <family val="3"/>
    </font>
    <font>
      <u/>
      <sz val="8"/>
      <name val="Verdana"/>
      <family val="2"/>
    </font>
    <font>
      <sz val="8"/>
      <name val="Verdana"/>
      <family val="2"/>
    </font>
    <font>
      <sz val="9"/>
      <color theme="1"/>
      <name val="Arial"/>
      <family val="2"/>
    </font>
    <font>
      <b/>
      <sz val="13"/>
      <name val="Arial"/>
      <family val="2"/>
    </font>
    <font>
      <b/>
      <sz val="11"/>
      <name val="Calibri"/>
      <family val="2"/>
      <scheme val="minor"/>
    </font>
  </fonts>
  <fills count="20">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99CC"/>
        <bgColor indexed="64"/>
      </patternFill>
    </fill>
    <fill>
      <patternFill patternType="solid">
        <fgColor rgb="FF9999FF"/>
        <bgColor indexed="64"/>
      </patternFill>
    </fill>
    <fill>
      <patternFill patternType="solid">
        <fgColor theme="4" tint="0.79998168889431442"/>
        <bgColor indexed="64"/>
      </patternFill>
    </fill>
    <fill>
      <patternFill patternType="solid">
        <fgColor rgb="FFCC99FF"/>
        <bgColor indexed="64"/>
      </patternFill>
    </fill>
    <fill>
      <patternFill patternType="solid">
        <fgColor rgb="FFD9E1F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0" tint="-0.34998626667073579"/>
        <bgColor indexed="64"/>
      </patternFill>
    </fill>
    <fill>
      <patternFill patternType="solid">
        <fgColor rgb="FF00B050"/>
        <bgColor indexed="64"/>
      </patternFill>
    </fill>
    <fill>
      <patternFill patternType="solid">
        <fgColor theme="0" tint="-0.249977111117893"/>
        <bgColor indexed="64"/>
      </patternFill>
    </fill>
    <fill>
      <patternFill patternType="solid">
        <fgColor rgb="FFFFFFCC"/>
        <bgColor indexed="64"/>
      </patternFill>
    </fill>
    <fill>
      <patternFill patternType="solid">
        <fgColor rgb="FF2973BD"/>
        <bgColor indexed="64"/>
      </patternFill>
    </fill>
    <fill>
      <patternFill patternType="solid">
        <fgColor rgb="FF00A1E3"/>
        <bgColor indexed="64"/>
      </patternFill>
    </fill>
    <fill>
      <patternFill patternType="solid">
        <fgColor rgb="FFC4D8ED"/>
        <bgColor indexed="64"/>
      </patternFill>
    </fill>
    <fill>
      <patternFill patternType="mediumGray">
        <fgColor rgb="FFC0C0C0"/>
        <bgColor rgb="FFFFFFFF"/>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right/>
      <top/>
      <bottom style="double">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9">
    <xf numFmtId="0" fontId="0" fillId="0" borderId="0"/>
    <xf numFmtId="9"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0" fontId="33" fillId="0" borderId="0"/>
    <xf numFmtId="165" fontId="33" fillId="0" borderId="0" applyFont="0" applyFill="0" applyBorder="0" applyAlignment="0" applyProtection="0"/>
    <xf numFmtId="9" fontId="33" fillId="0" borderId="0" applyFont="0" applyFill="0" applyBorder="0" applyAlignment="0" applyProtection="0"/>
    <xf numFmtId="164" fontId="33" fillId="0" borderId="0" applyFont="0" applyFill="0" applyBorder="0" applyAlignment="0" applyProtection="0"/>
    <xf numFmtId="0" fontId="31" fillId="0" borderId="0"/>
  </cellStyleXfs>
  <cellXfs count="399">
    <xf numFmtId="0" fontId="0" fillId="0" borderId="0" xfId="0"/>
    <xf numFmtId="0" fontId="1" fillId="0" borderId="0" xfId="0" applyFont="1" applyAlignment="1">
      <alignment horizontal="center"/>
    </xf>
    <xf numFmtId="0" fontId="2" fillId="0" borderId="0" xfId="0" applyFont="1"/>
    <xf numFmtId="0" fontId="1" fillId="0" borderId="0" xfId="0" applyFont="1"/>
    <xf numFmtId="0" fontId="2" fillId="0" borderId="0" xfId="0" applyFont="1" applyFill="1"/>
    <xf numFmtId="0" fontId="3" fillId="0" borderId="0" xfId="0" applyFont="1"/>
    <xf numFmtId="0" fontId="1" fillId="0" borderId="0" xfId="0" applyFont="1" applyFill="1"/>
    <xf numFmtId="0" fontId="2" fillId="3" borderId="0" xfId="0" applyFont="1" applyFill="1"/>
    <xf numFmtId="0" fontId="0" fillId="3" borderId="0" xfId="0" applyFill="1"/>
    <xf numFmtId="0" fontId="0" fillId="0" borderId="1" xfId="0" applyBorder="1"/>
    <xf numFmtId="0" fontId="0" fillId="0" borderId="0" xfId="0" applyFill="1"/>
    <xf numFmtId="0" fontId="5" fillId="0" borderId="1" xfId="0" applyFont="1" applyBorder="1"/>
    <xf numFmtId="0" fontId="0" fillId="2" borderId="0" xfId="0" applyFill="1"/>
    <xf numFmtId="0" fontId="0" fillId="2" borderId="2" xfId="0" applyFill="1" applyBorder="1"/>
    <xf numFmtId="0" fontId="0" fillId="4" borderId="2" xfId="0" applyFill="1" applyBorder="1"/>
    <xf numFmtId="0" fontId="0" fillId="6" borderId="2" xfId="0" applyFill="1" applyBorder="1"/>
    <xf numFmtId="0" fontId="8" fillId="0" borderId="0" xfId="0" applyFont="1" applyAlignment="1">
      <alignment horizontal="center"/>
    </xf>
    <xf numFmtId="0" fontId="3" fillId="0" borderId="0" xfId="0" applyFont="1" applyFill="1"/>
    <xf numFmtId="0" fontId="8" fillId="0" borderId="0" xfId="0" applyFont="1"/>
    <xf numFmtId="0" fontId="7" fillId="0" borderId="0" xfId="0" applyFont="1"/>
    <xf numFmtId="0" fontId="2" fillId="0" borderId="0" xfId="0" applyFont="1" applyFill="1" applyAlignment="1">
      <alignment horizontal="center"/>
    </xf>
    <xf numFmtId="0" fontId="9" fillId="0" borderId="0" xfId="0" applyFont="1"/>
    <xf numFmtId="0" fontId="1" fillId="0" borderId="0" xfId="0" applyFont="1" applyFill="1" applyAlignment="1">
      <alignment horizontal="center"/>
    </xf>
    <xf numFmtId="0" fontId="0" fillId="0" borderId="0" xfId="0"/>
    <xf numFmtId="0" fontId="1" fillId="0" borderId="1" xfId="0" applyFont="1" applyBorder="1" applyAlignment="1">
      <alignment horizontal="center"/>
    </xf>
    <xf numFmtId="0" fontId="10" fillId="0" borderId="0" xfId="0" applyFont="1" applyAlignment="1">
      <alignment horizontal="center"/>
    </xf>
    <xf numFmtId="0" fontId="10" fillId="0" borderId="0" xfId="0" applyFont="1" applyFill="1"/>
    <xf numFmtId="0" fontId="10" fillId="2" borderId="2" xfId="0" applyFont="1" applyFill="1" applyBorder="1"/>
    <xf numFmtId="0" fontId="10" fillId="2" borderId="0" xfId="0" applyFont="1" applyFill="1"/>
    <xf numFmtId="9" fontId="10" fillId="6" borderId="2" xfId="1" applyFont="1" applyFill="1" applyBorder="1"/>
    <xf numFmtId="0" fontId="1" fillId="0" borderId="1" xfId="0" applyFont="1" applyBorder="1" applyAlignment="1">
      <alignment horizontal="center"/>
    </xf>
    <xf numFmtId="0" fontId="12" fillId="0" borderId="0" xfId="0" applyFont="1" applyAlignment="1">
      <alignment horizontal="center"/>
    </xf>
    <xf numFmtId="0" fontId="10" fillId="0" borderId="0" xfId="0" applyFont="1"/>
    <xf numFmtId="0" fontId="10" fillId="2" borderId="0" xfId="0" applyFont="1" applyFill="1" applyBorder="1"/>
    <xf numFmtId="166" fontId="10" fillId="2" borderId="0" xfId="0" applyNumberFormat="1" applyFont="1" applyFill="1"/>
    <xf numFmtId="0" fontId="10" fillId="3" borderId="0" xfId="0" applyFont="1" applyFill="1"/>
    <xf numFmtId="0" fontId="11" fillId="0" borderId="0" xfId="0" applyFont="1"/>
    <xf numFmtId="0" fontId="11" fillId="0" borderId="0" xfId="0" applyFont="1" applyFill="1"/>
    <xf numFmtId="0" fontId="13" fillId="0" borderId="0" xfId="0" applyFont="1"/>
    <xf numFmtId="0" fontId="2" fillId="0" borderId="0" xfId="0" applyFont="1" applyAlignment="1">
      <alignment horizontal="center"/>
    </xf>
    <xf numFmtId="0" fontId="2" fillId="4" borderId="2" xfId="0" applyFont="1" applyFill="1" applyBorder="1"/>
    <xf numFmtId="167" fontId="2" fillId="2" borderId="2" xfId="2" applyNumberFormat="1" applyFont="1" applyFill="1" applyBorder="1"/>
    <xf numFmtId="0" fontId="2" fillId="2" borderId="0" xfId="0" applyFont="1" applyFill="1"/>
    <xf numFmtId="167" fontId="2" fillId="2" borderId="0" xfId="2" applyNumberFormat="1" applyFont="1" applyFill="1" applyBorder="1"/>
    <xf numFmtId="167" fontId="2" fillId="2" borderId="0" xfId="2" applyNumberFormat="1" applyFont="1" applyFill="1"/>
    <xf numFmtId="0" fontId="2" fillId="5" borderId="0" xfId="0" applyFont="1" applyFill="1"/>
    <xf numFmtId="0" fontId="2" fillId="0" borderId="1" xfId="0" applyFont="1" applyBorder="1"/>
    <xf numFmtId="0" fontId="2" fillId="3" borderId="1" xfId="0" applyFont="1" applyFill="1" applyBorder="1"/>
    <xf numFmtId="167" fontId="10" fillId="7" borderId="2" xfId="2" applyNumberFormat="1" applyFont="1" applyFill="1" applyBorder="1"/>
    <xf numFmtId="167" fontId="12" fillId="7" borderId="2" xfId="2" applyNumberFormat="1" applyFont="1" applyFill="1" applyBorder="1"/>
    <xf numFmtId="0" fontId="14" fillId="0" borderId="0" xfId="0" applyFont="1"/>
    <xf numFmtId="167" fontId="2" fillId="0" borderId="0" xfId="0" applyNumberFormat="1" applyFont="1"/>
    <xf numFmtId="167" fontId="2" fillId="0" borderId="0" xfId="2" applyNumberFormat="1" applyFont="1" applyFill="1" applyBorder="1"/>
    <xf numFmtId="0" fontId="0" fillId="5" borderId="0" xfId="0" applyFill="1"/>
    <xf numFmtId="0" fontId="2" fillId="6" borderId="2" xfId="0" applyFont="1" applyFill="1" applyBorder="1"/>
    <xf numFmtId="0" fontId="16" fillId="0" borderId="0" xfId="0" applyFont="1"/>
    <xf numFmtId="9" fontId="2" fillId="6" borderId="2" xfId="1" applyFont="1" applyFill="1" applyBorder="1"/>
    <xf numFmtId="3" fontId="10" fillId="9" borderId="2" xfId="0" applyNumberFormat="1" applyFont="1" applyFill="1" applyBorder="1"/>
    <xf numFmtId="3" fontId="10" fillId="7" borderId="2" xfId="0" applyNumberFormat="1" applyFont="1" applyFill="1" applyBorder="1"/>
    <xf numFmtId="3" fontId="12" fillId="9" borderId="2" xfId="0" applyNumberFormat="1" applyFont="1" applyFill="1" applyBorder="1"/>
    <xf numFmtId="3" fontId="12" fillId="7" borderId="2" xfId="0" applyNumberFormat="1" applyFont="1" applyFill="1" applyBorder="1"/>
    <xf numFmtId="0" fontId="5" fillId="0" borderId="0" xfId="0" applyFont="1"/>
    <xf numFmtId="167" fontId="10" fillId="7" borderId="2" xfId="0" applyNumberFormat="1" applyFont="1" applyFill="1" applyBorder="1"/>
    <xf numFmtId="0" fontId="18" fillId="0" borderId="1" xfId="0" applyFont="1" applyBorder="1"/>
    <xf numFmtId="166" fontId="3" fillId="0" borderId="0" xfId="0" applyNumberFormat="1" applyFont="1"/>
    <xf numFmtId="166" fontId="2" fillId="0" borderId="0" xfId="0" applyNumberFormat="1" applyFont="1"/>
    <xf numFmtId="166" fontId="15" fillId="0" borderId="0" xfId="0" applyNumberFormat="1" applyFont="1"/>
    <xf numFmtId="166" fontId="10" fillId="2" borderId="2" xfId="0" applyNumberFormat="1" applyFont="1" applyFill="1" applyBorder="1"/>
    <xf numFmtId="166" fontId="10" fillId="2" borderId="2" xfId="2" applyNumberFormat="1" applyFont="1" applyFill="1" applyBorder="1"/>
    <xf numFmtId="166" fontId="3" fillId="4" borderId="2" xfId="0" applyNumberFormat="1" applyFont="1" applyFill="1" applyBorder="1"/>
    <xf numFmtId="166" fontId="2" fillId="4" borderId="2" xfId="0" applyNumberFormat="1" applyFont="1" applyFill="1" applyBorder="1"/>
    <xf numFmtId="166" fontId="10" fillId="2" borderId="1" xfId="0" applyNumberFormat="1" applyFont="1" applyFill="1" applyBorder="1"/>
    <xf numFmtId="166" fontId="10" fillId="2" borderId="4" xfId="0" applyNumberFormat="1" applyFont="1" applyFill="1" applyBorder="1"/>
    <xf numFmtId="166" fontId="10" fillId="2" borderId="8" xfId="0" applyNumberFormat="1" applyFont="1" applyFill="1" applyBorder="1"/>
    <xf numFmtId="166" fontId="10" fillId="0" borderId="0" xfId="0" applyNumberFormat="1" applyFont="1"/>
    <xf numFmtId="166" fontId="2" fillId="0" borderId="0" xfId="0" applyNumberFormat="1" applyFont="1" applyAlignment="1">
      <alignment horizontal="center"/>
    </xf>
    <xf numFmtId="167" fontId="10" fillId="2" borderId="9" xfId="2" applyNumberFormat="1" applyFont="1" applyFill="1" applyBorder="1"/>
    <xf numFmtId="167" fontId="10" fillId="0" borderId="10" xfId="2" applyNumberFormat="1" applyFont="1" applyFill="1" applyBorder="1"/>
    <xf numFmtId="166" fontId="0" fillId="0" borderId="0" xfId="0" applyNumberFormat="1"/>
    <xf numFmtId="167" fontId="10" fillId="0" borderId="0" xfId="2" applyNumberFormat="1" applyFont="1"/>
    <xf numFmtId="166" fontId="3" fillId="0" borderId="0" xfId="2" applyNumberFormat="1" applyFont="1" applyFill="1"/>
    <xf numFmtId="167" fontId="10" fillId="0" borderId="0" xfId="2" applyNumberFormat="1" applyFont="1" applyFill="1"/>
    <xf numFmtId="0" fontId="2" fillId="0" borderId="1" xfId="0" applyFont="1" applyBorder="1" applyAlignment="1">
      <alignment horizontal="center"/>
    </xf>
    <xf numFmtId="9" fontId="10" fillId="2" borderId="2" xfId="1" applyFont="1" applyFill="1" applyBorder="1"/>
    <xf numFmtId="9" fontId="10" fillId="2" borderId="2" xfId="0" applyNumberFormat="1" applyFont="1" applyFill="1" applyBorder="1"/>
    <xf numFmtId="0" fontId="11" fillId="2" borderId="2" xfId="0" applyFont="1" applyFill="1" applyBorder="1"/>
    <xf numFmtId="0" fontId="10" fillId="6" borderId="2" xfId="0" applyFont="1" applyFill="1" applyBorder="1"/>
    <xf numFmtId="0" fontId="2" fillId="0" borderId="3" xfId="0" applyFont="1" applyBorder="1" applyAlignment="1">
      <alignment horizontal="center"/>
    </xf>
    <xf numFmtId="167" fontId="10" fillId="0" borderId="0" xfId="0" applyNumberFormat="1" applyFont="1"/>
    <xf numFmtId="0" fontId="10" fillId="8" borderId="4" xfId="0" applyFont="1" applyFill="1" applyBorder="1"/>
    <xf numFmtId="0" fontId="12" fillId="8" borderId="4" xfId="0" applyFont="1" applyFill="1" applyBorder="1"/>
    <xf numFmtId="166" fontId="3" fillId="3" borderId="0" xfId="0" applyNumberFormat="1" applyFont="1" applyFill="1"/>
    <xf numFmtId="166" fontId="2" fillId="3" borderId="0" xfId="0" applyNumberFormat="1" applyFont="1" applyFill="1"/>
    <xf numFmtId="0" fontId="7" fillId="3" borderId="0" xfId="0" applyFont="1" applyFill="1"/>
    <xf numFmtId="166" fontId="15" fillId="4" borderId="2" xfId="0" applyNumberFormat="1" applyFont="1" applyFill="1" applyBorder="1"/>
    <xf numFmtId="166" fontId="3" fillId="4" borderId="2" xfId="2" applyNumberFormat="1" applyFont="1" applyFill="1" applyBorder="1"/>
    <xf numFmtId="0" fontId="1" fillId="0" borderId="1" xfId="0" applyFont="1" applyBorder="1" applyAlignment="1">
      <alignment horizontal="center"/>
    </xf>
    <xf numFmtId="0" fontId="1" fillId="0" borderId="1" xfId="0" applyFont="1" applyBorder="1" applyAlignment="1">
      <alignment horizontal="center"/>
    </xf>
    <xf numFmtId="167" fontId="10" fillId="3" borderId="0" xfId="2" applyNumberFormat="1" applyFont="1" applyFill="1" applyBorder="1"/>
    <xf numFmtId="0" fontId="2" fillId="0" borderId="0" xfId="0" applyFont="1" applyFill="1" applyBorder="1"/>
    <xf numFmtId="166" fontId="3" fillId="0" borderId="0" xfId="0" applyNumberFormat="1" applyFont="1" applyFill="1" applyBorder="1"/>
    <xf numFmtId="166" fontId="2" fillId="0" borderId="0" xfId="0" applyNumberFormat="1" applyFont="1" applyFill="1" applyBorder="1"/>
    <xf numFmtId="0" fontId="0" fillId="0" borderId="0" xfId="0" applyFill="1" applyBorder="1"/>
    <xf numFmtId="0" fontId="0" fillId="10" borderId="0" xfId="0" applyFill="1"/>
    <xf numFmtId="167" fontId="2" fillId="10" borderId="2" xfId="2" applyNumberFormat="1" applyFont="1" applyFill="1" applyBorder="1"/>
    <xf numFmtId="3" fontId="2" fillId="10" borderId="2" xfId="0" applyNumberFormat="1" applyFont="1" applyFill="1" applyBorder="1" applyAlignment="1">
      <alignment horizontal="center" vertical="center" wrapText="1"/>
    </xf>
    <xf numFmtId="3" fontId="20" fillId="10" borderId="2" xfId="0" applyNumberFormat="1" applyFont="1" applyFill="1" applyBorder="1" applyAlignment="1">
      <alignment horizontal="center" vertical="center" wrapText="1"/>
    </xf>
    <xf numFmtId="37" fontId="2" fillId="10" borderId="2" xfId="2" applyNumberFormat="1" applyFont="1" applyFill="1" applyBorder="1" applyAlignment="1">
      <alignment horizontal="right" vertical="center" wrapText="1"/>
    </xf>
    <xf numFmtId="37" fontId="1" fillId="10" borderId="2" xfId="2" applyNumberFormat="1" applyFont="1" applyFill="1" applyBorder="1" applyAlignment="1">
      <alignment horizontal="right" vertical="center" wrapText="1"/>
    </xf>
    <xf numFmtId="166" fontId="10" fillId="10" borderId="2" xfId="0" applyNumberFormat="1" applyFont="1" applyFill="1" applyBorder="1"/>
    <xf numFmtId="166" fontId="2" fillId="10" borderId="2" xfId="0" applyNumberFormat="1" applyFont="1" applyFill="1" applyBorder="1"/>
    <xf numFmtId="0" fontId="2" fillId="10" borderId="2" xfId="0" applyFont="1" applyFill="1" applyBorder="1"/>
    <xf numFmtId="166" fontId="10" fillId="10" borderId="4" xfId="0" applyNumberFormat="1" applyFont="1" applyFill="1" applyBorder="1"/>
    <xf numFmtId="166" fontId="10" fillId="10" borderId="8" xfId="0" applyNumberFormat="1" applyFont="1" applyFill="1" applyBorder="1"/>
    <xf numFmtId="167" fontId="10" fillId="2" borderId="4" xfId="2" applyNumberFormat="1" applyFont="1" applyFill="1" applyBorder="1"/>
    <xf numFmtId="167" fontId="10" fillId="7" borderId="4" xfId="2" applyNumberFormat="1" applyFont="1" applyFill="1" applyBorder="1"/>
    <xf numFmtId="0" fontId="2" fillId="10" borderId="2" xfId="0" applyFont="1" applyFill="1" applyBorder="1" applyAlignment="1">
      <alignment horizontal="right" vertical="center" wrapText="1"/>
    </xf>
    <xf numFmtId="0" fontId="2" fillId="10" borderId="2" xfId="0" applyFont="1" applyFill="1" applyBorder="1" applyAlignment="1">
      <alignment horizontal="center" vertical="center" wrapText="1"/>
    </xf>
    <xf numFmtId="167" fontId="2" fillId="10" borderId="2" xfId="2" applyNumberFormat="1" applyFont="1" applyFill="1" applyBorder="1" applyAlignment="1">
      <alignment horizontal="right" vertical="center" wrapText="1"/>
    </xf>
    <xf numFmtId="0" fontId="10" fillId="10" borderId="2" xfId="0" applyFont="1" applyFill="1" applyBorder="1"/>
    <xf numFmtId="0" fontId="21" fillId="0" borderId="0" xfId="0" applyFont="1"/>
    <xf numFmtId="0" fontId="22" fillId="0" borderId="11" xfId="0" applyFont="1" applyBorder="1" applyAlignment="1">
      <alignment horizontal="left" vertical="center"/>
    </xf>
    <xf numFmtId="0" fontId="22" fillId="0" borderId="0" xfId="0" applyFont="1"/>
    <xf numFmtId="0" fontId="10" fillId="3" borderId="0" xfId="0" applyFont="1" applyFill="1" applyBorder="1"/>
    <xf numFmtId="0" fontId="23" fillId="0" borderId="0" xfId="0" applyFont="1" applyBorder="1" applyAlignment="1">
      <alignment horizontal="left" vertical="center" wrapText="1"/>
    </xf>
    <xf numFmtId="0" fontId="21" fillId="0" borderId="0" xfId="0" applyFont="1" applyBorder="1" applyAlignment="1">
      <alignment horizontal="center" vertical="center" wrapText="1"/>
    </xf>
    <xf numFmtId="0" fontId="21" fillId="0" borderId="0" xfId="0" applyFont="1" applyBorder="1" applyAlignment="1">
      <alignment horizontal="right" vertical="center" wrapText="1"/>
    </xf>
    <xf numFmtId="0" fontId="22" fillId="0" borderId="0" xfId="0" applyFont="1" applyBorder="1" applyAlignment="1">
      <alignment horizontal="left" vertical="center" wrapText="1"/>
    </xf>
    <xf numFmtId="0" fontId="0" fillId="0" borderId="0" xfId="0" applyBorder="1"/>
    <xf numFmtId="0" fontId="25" fillId="0" borderId="0" xfId="0" applyFont="1" applyBorder="1" applyAlignment="1">
      <alignment horizontal="left" vertical="center" wrapText="1"/>
    </xf>
    <xf numFmtId="0" fontId="0" fillId="0" borderId="0" xfId="0" applyBorder="1" applyAlignment="1">
      <alignment vertical="top" wrapText="1"/>
    </xf>
    <xf numFmtId="0" fontId="10" fillId="0" borderId="0" xfId="0" applyFont="1" applyFill="1" applyBorder="1"/>
    <xf numFmtId="0" fontId="10" fillId="0" borderId="0" xfId="0" applyFont="1" applyFill="1" applyAlignment="1">
      <alignment horizontal="right"/>
    </xf>
    <xf numFmtId="0" fontId="10" fillId="0" borderId="1" xfId="0" applyFont="1" applyFill="1" applyBorder="1" applyAlignment="1">
      <alignment horizontal="right"/>
    </xf>
    <xf numFmtId="0" fontId="24" fillId="10" borderId="4" xfId="0" applyFont="1" applyFill="1" applyBorder="1" applyAlignment="1">
      <alignment horizontal="right" vertical="center" wrapText="1"/>
    </xf>
    <xf numFmtId="0" fontId="24" fillId="10" borderId="2" xfId="0" applyFont="1" applyFill="1" applyBorder="1" applyAlignment="1">
      <alignment horizontal="right" vertical="center" wrapText="1"/>
    </xf>
    <xf numFmtId="0" fontId="10" fillId="0" borderId="0" xfId="0" applyFont="1" applyAlignment="1">
      <alignment horizontal="right"/>
    </xf>
    <xf numFmtId="0" fontId="0" fillId="0" borderId="0" xfId="0" applyFont="1" applyAlignment="1">
      <alignment horizontal="right"/>
    </xf>
    <xf numFmtId="0" fontId="0" fillId="0" borderId="0" xfId="0" applyAlignment="1">
      <alignment horizontal="center"/>
    </xf>
    <xf numFmtId="0" fontId="2" fillId="0" borderId="0" xfId="0" applyFont="1" applyFill="1" applyAlignment="1">
      <alignment wrapText="1"/>
    </xf>
    <xf numFmtId="0" fontId="0" fillId="0" borderId="0" xfId="0" applyFill="1" applyAlignment="1">
      <alignment wrapText="1"/>
    </xf>
    <xf numFmtId="0" fontId="0" fillId="0" borderId="0" xfId="0" applyAlignment="1">
      <alignment wrapText="1"/>
    </xf>
    <xf numFmtId="0" fontId="1" fillId="0" borderId="0" xfId="0" applyFont="1" applyFill="1" applyAlignment="1">
      <alignment wrapText="1"/>
    </xf>
    <xf numFmtId="0" fontId="2" fillId="0" borderId="0" xfId="0" applyFont="1" applyAlignment="1">
      <alignment wrapText="1"/>
    </xf>
    <xf numFmtId="2" fontId="0" fillId="0" borderId="0" xfId="0" applyNumberFormat="1"/>
    <xf numFmtId="0" fontId="26" fillId="0" borderId="0" xfId="0" applyFont="1"/>
    <xf numFmtId="0" fontId="0" fillId="0" borderId="0" xfId="0" applyFont="1"/>
    <xf numFmtId="0" fontId="1" fillId="0" borderId="0" xfId="0" applyFont="1" applyFill="1" applyAlignment="1">
      <alignment vertical="top" wrapText="1"/>
    </xf>
    <xf numFmtId="168" fontId="0" fillId="0" borderId="0" xfId="0" applyNumberFormat="1" applyFill="1"/>
    <xf numFmtId="0" fontId="0" fillId="0" borderId="0" xfId="0"/>
    <xf numFmtId="0" fontId="0" fillId="11" borderId="0" xfId="0" applyFill="1"/>
    <xf numFmtId="0" fontId="0" fillId="0" borderId="0" xfId="0" applyAlignment="1">
      <alignment wrapText="1"/>
    </xf>
    <xf numFmtId="0" fontId="0" fillId="0" borderId="0" xfId="0" applyAlignment="1">
      <alignment horizontal="center" wrapText="1"/>
    </xf>
    <xf numFmtId="0" fontId="28" fillId="0" borderId="0" xfId="0" applyFont="1" applyAlignment="1">
      <alignment horizontal="center"/>
    </xf>
    <xf numFmtId="0" fontId="0" fillId="0" borderId="0" xfId="0" applyAlignment="1">
      <alignment horizontal="center" vertical="center" wrapText="1"/>
    </xf>
    <xf numFmtId="169" fontId="0" fillId="0" borderId="0" xfId="1" applyNumberFormat="1" applyFont="1"/>
    <xf numFmtId="170" fontId="0" fillId="0" borderId="0" xfId="2" applyNumberFormat="1" applyFont="1"/>
    <xf numFmtId="171" fontId="0" fillId="0" borderId="0" xfId="2" applyNumberFormat="1" applyFont="1"/>
    <xf numFmtId="10" fontId="0" fillId="12" borderId="0" xfId="1" applyNumberFormat="1" applyFont="1" applyFill="1" applyAlignment="1">
      <alignment horizontal="center" vertical="center"/>
    </xf>
    <xf numFmtId="165" fontId="0" fillId="0" borderId="0" xfId="0" applyNumberFormat="1"/>
    <xf numFmtId="10" fontId="0" fillId="0" borderId="0" xfId="1" applyNumberFormat="1" applyFont="1" applyFill="1" applyAlignment="1">
      <alignment horizontal="center" vertical="center"/>
    </xf>
    <xf numFmtId="0" fontId="0" fillId="13" borderId="0" xfId="0" applyFill="1"/>
    <xf numFmtId="172" fontId="0" fillId="0" borderId="0" xfId="3" applyNumberFormat="1" applyFont="1"/>
    <xf numFmtId="172" fontId="0" fillId="0" borderId="0" xfId="0" applyNumberFormat="1"/>
    <xf numFmtId="3" fontId="0" fillId="0" borderId="0" xfId="0" applyNumberFormat="1"/>
    <xf numFmtId="173" fontId="0" fillId="0" borderId="0" xfId="0" applyNumberFormat="1"/>
    <xf numFmtId="10" fontId="0" fillId="0" borderId="0" xfId="1" applyNumberFormat="1" applyFont="1"/>
    <xf numFmtId="167" fontId="10" fillId="0" borderId="1" xfId="2" applyNumberFormat="1" applyFont="1" applyBorder="1"/>
    <xf numFmtId="0" fontId="0" fillId="0" borderId="0" xfId="0" applyAlignment="1">
      <alignment horizontal="center" wrapText="1"/>
    </xf>
    <xf numFmtId="0" fontId="10" fillId="2" borderId="0" xfId="0" applyFont="1" applyFill="1" applyAlignment="1">
      <alignment horizontal="center"/>
    </xf>
    <xf numFmtId="0" fontId="0" fillId="10" borderId="2" xfId="0" applyFill="1" applyBorder="1"/>
    <xf numFmtId="9" fontId="0" fillId="0" borderId="0" xfId="1" applyFont="1" applyAlignment="1">
      <alignment horizontal="center" wrapText="1"/>
    </xf>
    <xf numFmtId="0" fontId="0" fillId="0" borderId="0" xfId="0" applyAlignment="1">
      <alignment horizontal="center" wrapText="1"/>
    </xf>
    <xf numFmtId="0" fontId="0" fillId="0" borderId="0" xfId="0" applyAlignment="1">
      <alignment horizontal="center" wrapText="1"/>
    </xf>
    <xf numFmtId="0" fontId="13" fillId="0" borderId="0" xfId="0" applyFont="1" applyFill="1"/>
    <xf numFmtId="9" fontId="0" fillId="0" borderId="0" xfId="1" applyFont="1"/>
    <xf numFmtId="167" fontId="0" fillId="0" borderId="0" xfId="2" applyNumberFormat="1" applyFont="1"/>
    <xf numFmtId="10" fontId="0" fillId="0" borderId="0" xfId="1" applyNumberFormat="1" applyFont="1" applyFill="1"/>
    <xf numFmtId="0" fontId="0" fillId="0" borderId="0" xfId="0" applyBorder="1" applyAlignment="1">
      <alignment horizontal="center"/>
    </xf>
    <xf numFmtId="0" fontId="0" fillId="0" borderId="0" xfId="0" applyFill="1" applyAlignment="1">
      <alignment horizontal="center" wrapText="1"/>
    </xf>
    <xf numFmtId="167" fontId="10" fillId="0" borderId="0" xfId="2" applyNumberFormat="1" applyFont="1" applyFill="1" applyBorder="1"/>
    <xf numFmtId="0" fontId="0" fillId="0" borderId="0" xfId="0" applyAlignment="1">
      <alignment horizontal="center" wrapText="1"/>
    </xf>
    <xf numFmtId="168" fontId="10" fillId="6" borderId="2" xfId="0" applyNumberFormat="1" applyFont="1" applyFill="1" applyBorder="1"/>
    <xf numFmtId="2" fontId="2" fillId="0" borderId="0" xfId="0" applyNumberFormat="1" applyFont="1" applyFill="1"/>
    <xf numFmtId="0" fontId="32" fillId="0" borderId="0" xfId="0" applyFont="1" applyFill="1"/>
    <xf numFmtId="2" fontId="0" fillId="14" borderId="0" xfId="1" applyNumberFormat="1" applyFont="1" applyFill="1"/>
    <xf numFmtId="166" fontId="0" fillId="0" borderId="0" xfId="0" applyNumberFormat="1" applyFill="1"/>
    <xf numFmtId="0" fontId="31" fillId="0" borderId="0" xfId="4" applyFont="1"/>
    <xf numFmtId="167" fontId="31" fillId="0" borderId="0" xfId="5" applyNumberFormat="1" applyFont="1"/>
    <xf numFmtId="0" fontId="31" fillId="0" borderId="0" xfId="4" applyFont="1" applyAlignment="1">
      <alignment horizontal="center"/>
    </xf>
    <xf numFmtId="0" fontId="31" fillId="0" borderId="12" xfId="4" applyFont="1" applyBorder="1"/>
    <xf numFmtId="0" fontId="31" fillId="0" borderId="12" xfId="4" applyFont="1" applyBorder="1" applyAlignment="1">
      <alignment horizontal="center"/>
    </xf>
    <xf numFmtId="0" fontId="31" fillId="0" borderId="15" xfId="4" applyFont="1" applyBorder="1" applyAlignment="1">
      <alignment horizontal="center"/>
    </xf>
    <xf numFmtId="0" fontId="31" fillId="0" borderId="15" xfId="4" applyFont="1" applyBorder="1" applyAlignment="1">
      <alignment horizontal="center" wrapText="1"/>
    </xf>
    <xf numFmtId="169" fontId="31" fillId="0" borderId="0" xfId="6" applyNumberFormat="1" applyFont="1" applyAlignment="1">
      <alignment horizontal="center"/>
    </xf>
    <xf numFmtId="0" fontId="31" fillId="0" borderId="0" xfId="4" applyFont="1" applyAlignment="1">
      <alignment wrapText="1"/>
    </xf>
    <xf numFmtId="169" fontId="31" fillId="0" borderId="0" xfId="4" applyNumberFormat="1" applyFont="1" applyAlignment="1">
      <alignment horizontal="center"/>
    </xf>
    <xf numFmtId="164" fontId="31" fillId="0" borderId="0" xfId="7" applyFont="1"/>
    <xf numFmtId="9" fontId="31" fillId="0" borderId="0" xfId="6" applyFont="1" applyAlignment="1">
      <alignment horizontal="center"/>
    </xf>
    <xf numFmtId="9" fontId="31" fillId="0" borderId="0" xfId="6" applyFont="1"/>
    <xf numFmtId="171" fontId="31" fillId="0" borderId="0" xfId="5" applyNumberFormat="1" applyFont="1"/>
    <xf numFmtId="3" fontId="31" fillId="0" borderId="0" xfId="4" applyNumberFormat="1" applyFont="1"/>
    <xf numFmtId="169" fontId="31" fillId="0" borderId="0" xfId="6" applyNumberFormat="1" applyFont="1" applyAlignment="1">
      <alignment horizontal="center" wrapText="1"/>
    </xf>
    <xf numFmtId="169" fontId="31" fillId="0" borderId="0" xfId="4" applyNumberFormat="1" applyFont="1"/>
    <xf numFmtId="0" fontId="0" fillId="11" borderId="18" xfId="0" applyFill="1" applyBorder="1"/>
    <xf numFmtId="0" fontId="0" fillId="11" borderId="19" xfId="0" applyFill="1" applyBorder="1"/>
    <xf numFmtId="0" fontId="0" fillId="11" borderId="20" xfId="0" applyFill="1" applyBorder="1"/>
    <xf numFmtId="0" fontId="0" fillId="11" borderId="21" xfId="0" applyFill="1" applyBorder="1"/>
    <xf numFmtId="0" fontId="0" fillId="11" borderId="20" xfId="0" applyFill="1" applyBorder="1" applyAlignment="1">
      <alignment wrapText="1"/>
    </xf>
    <xf numFmtId="0" fontId="0" fillId="11" borderId="22" xfId="0" applyFill="1" applyBorder="1"/>
    <xf numFmtId="171" fontId="0" fillId="11" borderId="21" xfId="2" applyNumberFormat="1" applyFont="1" applyFill="1" applyBorder="1"/>
    <xf numFmtId="173" fontId="0" fillId="11" borderId="23" xfId="0" applyNumberFormat="1" applyFill="1" applyBorder="1"/>
    <xf numFmtId="169" fontId="0" fillId="0" borderId="0" xfId="0" applyNumberFormat="1"/>
    <xf numFmtId="0" fontId="0" fillId="4" borderId="16" xfId="0" applyFill="1" applyBorder="1"/>
    <xf numFmtId="0" fontId="0" fillId="4" borderId="13" xfId="0" applyFill="1" applyBorder="1"/>
    <xf numFmtId="176" fontId="0" fillId="4" borderId="13" xfId="0" applyNumberFormat="1" applyFill="1" applyBorder="1"/>
    <xf numFmtId="171" fontId="0" fillId="4" borderId="13" xfId="2" applyNumberFormat="1" applyFont="1" applyFill="1" applyBorder="1"/>
    <xf numFmtId="0" fontId="0" fillId="0" borderId="14" xfId="0" applyBorder="1"/>
    <xf numFmtId="0" fontId="7" fillId="0" borderId="0" xfId="0" applyFont="1" applyFill="1"/>
    <xf numFmtId="0" fontId="0" fillId="0" borderId="0" xfId="0" applyAlignment="1">
      <alignment horizontal="center"/>
    </xf>
    <xf numFmtId="0" fontId="2" fillId="0" borderId="0" xfId="0" applyFont="1" applyFill="1" applyAlignment="1">
      <alignment horizontal="center" wrapText="1"/>
    </xf>
    <xf numFmtId="167" fontId="11" fillId="0" borderId="0" xfId="0" applyNumberFormat="1" applyFont="1"/>
    <xf numFmtId="167" fontId="0" fillId="0" borderId="0" xfId="0" applyNumberFormat="1"/>
    <xf numFmtId="1" fontId="0" fillId="0" borderId="0" xfId="0" applyNumberFormat="1"/>
    <xf numFmtId="1" fontId="10" fillId="3" borderId="0" xfId="2" applyNumberFormat="1" applyFont="1" applyFill="1" applyBorder="1"/>
    <xf numFmtId="166" fontId="0" fillId="13" borderId="0" xfId="0" applyNumberFormat="1" applyFill="1"/>
    <xf numFmtId="0" fontId="0" fillId="13" borderId="0" xfId="0" applyFill="1" applyAlignment="1">
      <alignment wrapText="1"/>
    </xf>
    <xf numFmtId="0" fontId="0" fillId="0" borderId="0" xfId="0" applyFill="1" applyAlignment="1">
      <alignment horizontal="center"/>
    </xf>
    <xf numFmtId="175" fontId="2" fillId="0" borderId="0" xfId="2" applyNumberFormat="1" applyFont="1" applyFill="1"/>
    <xf numFmtId="167" fontId="0" fillId="0" borderId="0" xfId="2" applyNumberFormat="1" applyFont="1" applyBorder="1" applyAlignment="1">
      <alignment horizontal="center"/>
    </xf>
    <xf numFmtId="0" fontId="5" fillId="0" borderId="0" xfId="0" applyFont="1" applyAlignment="1">
      <alignment horizontal="center"/>
    </xf>
    <xf numFmtId="0" fontId="0" fillId="15" borderId="0" xfId="0" applyFill="1" applyAlignment="1">
      <alignment wrapText="1"/>
    </xf>
    <xf numFmtId="165" fontId="27" fillId="0" borderId="0" xfId="2" applyNumberFormat="1" applyFont="1" applyFill="1"/>
    <xf numFmtId="165" fontId="27" fillId="0" borderId="0" xfId="2" applyFont="1" applyFill="1"/>
    <xf numFmtId="0" fontId="5" fillId="0" borderId="0" xfId="0" applyFont="1" applyFill="1"/>
    <xf numFmtId="171" fontId="0" fillId="0" borderId="0" xfId="2" applyNumberFormat="1" applyFont="1" applyFill="1"/>
    <xf numFmtId="171" fontId="27" fillId="0" borderId="0" xfId="2" applyNumberFormat="1" applyFont="1" applyFill="1"/>
    <xf numFmtId="169" fontId="5" fillId="0" borderId="0" xfId="1" applyNumberFormat="1" applyFont="1" applyFill="1"/>
    <xf numFmtId="0" fontId="35" fillId="0" borderId="28" xfId="8" applyFont="1" applyBorder="1"/>
    <xf numFmtId="0" fontId="31" fillId="0" borderId="0" xfId="8"/>
    <xf numFmtId="0" fontId="36" fillId="0" borderId="28" xfId="8" applyFont="1" applyBorder="1" applyAlignment="1">
      <alignment horizontal="left" wrapText="1"/>
    </xf>
    <xf numFmtId="0" fontId="38" fillId="17" borderId="28" xfId="8" applyFont="1" applyFill="1" applyBorder="1" applyAlignment="1">
      <alignment horizontal="center" vertical="top" wrapText="1"/>
    </xf>
    <xf numFmtId="0" fontId="39" fillId="18" borderId="28" xfId="8" applyFont="1" applyFill="1" applyBorder="1" applyAlignment="1">
      <alignment wrapText="1"/>
    </xf>
    <xf numFmtId="0" fontId="40" fillId="19" borderId="28" xfId="8" applyFont="1" applyFill="1" applyBorder="1" applyAlignment="1">
      <alignment horizontal="center"/>
    </xf>
    <xf numFmtId="0" fontId="41" fillId="18" borderId="28" xfId="8" applyFont="1" applyFill="1" applyBorder="1" applyAlignment="1">
      <alignment vertical="top" wrapText="1"/>
    </xf>
    <xf numFmtId="0" fontId="42" fillId="18" borderId="28" xfId="8" applyFont="1" applyFill="1" applyBorder="1" applyAlignment="1">
      <alignment vertical="top" wrapText="1"/>
    </xf>
    <xf numFmtId="177" fontId="35" fillId="0" borderId="28" xfId="8" applyNumberFormat="1" applyFont="1" applyBorder="1" applyAlignment="1">
      <alignment horizontal="right"/>
    </xf>
    <xf numFmtId="0" fontId="41" fillId="0" borderId="0" xfId="8" applyFont="1" applyAlignment="1">
      <alignment horizontal="left"/>
    </xf>
    <xf numFmtId="0" fontId="2" fillId="0" borderId="2" xfId="0" applyFont="1" applyFill="1" applyBorder="1"/>
    <xf numFmtId="167" fontId="10" fillId="0" borderId="4" xfId="2" applyNumberFormat="1" applyFont="1" applyFill="1" applyBorder="1"/>
    <xf numFmtId="10" fontId="31" fillId="11" borderId="24" xfId="6" applyNumberFormat="1" applyFont="1" applyFill="1" applyBorder="1"/>
    <xf numFmtId="0" fontId="31" fillId="0" borderId="25" xfId="4" applyFont="1" applyBorder="1"/>
    <xf numFmtId="167" fontId="31" fillId="0" borderId="25" xfId="5" applyNumberFormat="1" applyFont="1" applyBorder="1"/>
    <xf numFmtId="171" fontId="31" fillId="11" borderId="26" xfId="2" applyNumberFormat="1" applyFont="1" applyFill="1" applyBorder="1"/>
    <xf numFmtId="0" fontId="0" fillId="11" borderId="16" xfId="0" applyFill="1" applyBorder="1"/>
    <xf numFmtId="0" fontId="0" fillId="11" borderId="13" xfId="0" applyFill="1" applyBorder="1"/>
    <xf numFmtId="0" fontId="0" fillId="11" borderId="14" xfId="0" applyFill="1" applyBorder="1"/>
    <xf numFmtId="2" fontId="0" fillId="11" borderId="14" xfId="0" applyNumberFormat="1" applyFill="1" applyBorder="1"/>
    <xf numFmtId="0" fontId="0" fillId="11" borderId="24" xfId="0" applyFill="1" applyBorder="1"/>
    <xf numFmtId="169" fontId="0" fillId="11" borderId="25" xfId="1" applyNumberFormat="1" applyFont="1" applyFill="1" applyBorder="1"/>
    <xf numFmtId="169" fontId="0" fillId="11" borderId="26" xfId="1" applyNumberFormat="1" applyFont="1" applyFill="1" applyBorder="1"/>
    <xf numFmtId="22" fontId="0" fillId="0" borderId="0" xfId="0" applyNumberFormat="1"/>
    <xf numFmtId="176" fontId="0" fillId="11" borderId="14" xfId="0" applyNumberFormat="1" applyFill="1" applyBorder="1"/>
    <xf numFmtId="171" fontId="0" fillId="11" borderId="17" xfId="2" applyNumberFormat="1" applyFont="1" applyFill="1" applyBorder="1"/>
    <xf numFmtId="0" fontId="0" fillId="11" borderId="0" xfId="0" applyFill="1" applyBorder="1"/>
    <xf numFmtId="171" fontId="0" fillId="0" borderId="0" xfId="0" applyNumberFormat="1"/>
    <xf numFmtId="165" fontId="0" fillId="11" borderId="0" xfId="0" applyNumberFormat="1" applyFill="1"/>
    <xf numFmtId="171" fontId="0" fillId="11" borderId="0" xfId="0" applyNumberFormat="1" applyFill="1"/>
    <xf numFmtId="178" fontId="0" fillId="11" borderId="0" xfId="0" applyNumberFormat="1" applyFill="1"/>
    <xf numFmtId="172" fontId="0" fillId="0" borderId="0" xfId="3" applyNumberFormat="1" applyFont="1" applyFill="1"/>
    <xf numFmtId="164" fontId="0" fillId="0" borderId="0" xfId="0" applyNumberFormat="1" applyFill="1"/>
    <xf numFmtId="2" fontId="0" fillId="0" borderId="0" xfId="0" applyNumberFormat="1" applyFill="1"/>
    <xf numFmtId="173" fontId="0" fillId="0" borderId="0" xfId="0" applyNumberFormat="1" applyFill="1"/>
    <xf numFmtId="10" fontId="43" fillId="0" borderId="0" xfId="1" applyNumberFormat="1" applyFont="1" applyFill="1" applyBorder="1"/>
    <xf numFmtId="176" fontId="0" fillId="0" borderId="0" xfId="0" applyNumberFormat="1" applyFill="1"/>
    <xf numFmtId="9" fontId="0" fillId="0" borderId="0" xfId="1" applyFont="1" applyFill="1"/>
    <xf numFmtId="179" fontId="2" fillId="0" borderId="0" xfId="0" applyNumberFormat="1" applyFont="1"/>
    <xf numFmtId="0" fontId="2" fillId="0" borderId="0" xfId="0" applyFont="1" applyFill="1" applyAlignment="1">
      <alignment horizontal="center" wrapText="1"/>
    </xf>
    <xf numFmtId="2" fontId="0" fillId="0" borderId="0" xfId="1" applyNumberFormat="1" applyFont="1" applyFill="1"/>
    <xf numFmtId="10" fontId="0" fillId="3" borderId="0" xfId="1" applyNumberFormat="1" applyFont="1" applyFill="1"/>
    <xf numFmtId="2" fontId="0" fillId="0" borderId="0" xfId="1" applyNumberFormat="1" applyFont="1"/>
    <xf numFmtId="0" fontId="0" fillId="0" borderId="0" xfId="0" applyFill="1" applyAlignment="1">
      <alignment horizontal="right"/>
    </xf>
    <xf numFmtId="0" fontId="0" fillId="0" borderId="20" xfId="0" applyFill="1" applyBorder="1"/>
    <xf numFmtId="0" fontId="0" fillId="0" borderId="22" xfId="0" applyFill="1" applyBorder="1"/>
    <xf numFmtId="168" fontId="0" fillId="0" borderId="0" xfId="0" applyNumberFormat="1" applyFill="1" applyBorder="1"/>
    <xf numFmtId="0" fontId="0" fillId="0" borderId="0" xfId="0" applyFill="1" applyBorder="1" applyAlignment="1">
      <alignment horizontal="center"/>
    </xf>
    <xf numFmtId="165" fontId="0" fillId="0" borderId="0" xfId="0" applyNumberFormat="1" applyFill="1"/>
    <xf numFmtId="169" fontId="0" fillId="0" borderId="0" xfId="0" applyNumberFormat="1" applyFill="1"/>
    <xf numFmtId="173" fontId="0" fillId="0" borderId="0" xfId="0" applyNumberFormat="1" applyFill="1" applyAlignment="1">
      <alignment horizontal="center"/>
    </xf>
    <xf numFmtId="0" fontId="0" fillId="0" borderId="0" xfId="0" applyFill="1" applyAlignment="1">
      <alignment horizontal="left"/>
    </xf>
    <xf numFmtId="2" fontId="31" fillId="0" borderId="0" xfId="1" applyNumberFormat="1" applyFont="1" applyBorder="1" applyAlignment="1">
      <alignment horizontal="center"/>
    </xf>
    <xf numFmtId="174" fontId="0" fillId="0" borderId="0" xfId="0" applyNumberFormat="1" applyFill="1"/>
    <xf numFmtId="9" fontId="2" fillId="0" borderId="2" xfId="1" applyFont="1" applyFill="1" applyBorder="1"/>
    <xf numFmtId="0" fontId="32" fillId="0" borderId="1" xfId="0" applyFont="1" applyFill="1" applyBorder="1"/>
    <xf numFmtId="171" fontId="0" fillId="0" borderId="1" xfId="2" applyNumberFormat="1" applyFont="1" applyFill="1" applyBorder="1"/>
    <xf numFmtId="171" fontId="0" fillId="0" borderId="0" xfId="2" applyNumberFormat="1" applyFont="1" applyFill="1" applyBorder="1"/>
    <xf numFmtId="170" fontId="0" fillId="0" borderId="0" xfId="2" applyNumberFormat="1" applyFont="1" applyFill="1"/>
    <xf numFmtId="0" fontId="5" fillId="0" borderId="0" xfId="0" applyFont="1" applyFill="1" applyAlignment="1">
      <alignment horizontal="center"/>
    </xf>
    <xf numFmtId="171" fontId="5" fillId="0" borderId="0" xfId="2" applyNumberFormat="1" applyFont="1" applyFill="1" applyAlignment="1">
      <alignment horizontal="center" wrapText="1"/>
    </xf>
    <xf numFmtId="0" fontId="5" fillId="0" borderId="0" xfId="0" applyFont="1" applyFill="1" applyAlignment="1">
      <alignment horizontal="center" wrapText="1"/>
    </xf>
    <xf numFmtId="171" fontId="0" fillId="0" borderId="0" xfId="2" applyNumberFormat="1" applyFont="1" applyFill="1" applyAlignment="1">
      <alignment horizontal="center" wrapText="1"/>
    </xf>
    <xf numFmtId="170" fontId="5" fillId="0" borderId="0" xfId="2" applyNumberFormat="1" applyFont="1" applyFill="1" applyAlignment="1">
      <alignment horizontal="center" wrapText="1"/>
    </xf>
    <xf numFmtId="175" fontId="0" fillId="0" borderId="0" xfId="2" applyNumberFormat="1" applyFont="1" applyFill="1"/>
    <xf numFmtId="1" fontId="29" fillId="0" borderId="0" xfId="0" applyNumberFormat="1" applyFont="1" applyFill="1" applyAlignment="1">
      <alignment horizontal="center"/>
    </xf>
    <xf numFmtId="170" fontId="0" fillId="0" borderId="0" xfId="0" applyNumberFormat="1" applyFill="1"/>
    <xf numFmtId="10" fontId="0" fillId="0" borderId="0" xfId="1" applyNumberFormat="1" applyFont="1" applyFill="1" applyAlignment="1">
      <alignment horizontal="center"/>
    </xf>
    <xf numFmtId="165" fontId="0" fillId="0" borderId="0" xfId="2" applyNumberFormat="1" applyFont="1" applyFill="1"/>
    <xf numFmtId="165" fontId="27" fillId="0" borderId="0" xfId="2" applyNumberFormat="1" applyFont="1" applyFill="1" applyAlignment="1"/>
    <xf numFmtId="10" fontId="27" fillId="0" borderId="0" xfId="1" applyNumberFormat="1" applyFont="1" applyFill="1"/>
    <xf numFmtId="170" fontId="0" fillId="0" borderId="2" xfId="0" applyNumberFormat="1" applyFill="1" applyBorder="1"/>
    <xf numFmtId="10" fontId="0" fillId="0" borderId="0" xfId="0" applyNumberFormat="1" applyFill="1" applyAlignment="1">
      <alignment horizontal="center"/>
    </xf>
    <xf numFmtId="171" fontId="0" fillId="0" borderId="2" xfId="2" applyNumberFormat="1" applyFont="1" applyFill="1" applyBorder="1"/>
    <xf numFmtId="0" fontId="31" fillId="0" borderId="0" xfId="4" applyFont="1" applyBorder="1" applyAlignment="1">
      <alignment horizontal="center"/>
    </xf>
    <xf numFmtId="0" fontId="31" fillId="0" borderId="0" xfId="4" applyFont="1" applyBorder="1"/>
    <xf numFmtId="169" fontId="31" fillId="0" borderId="0" xfId="6" applyNumberFormat="1" applyFont="1" applyFill="1" applyBorder="1" applyAlignment="1">
      <alignment horizontal="center"/>
    </xf>
    <xf numFmtId="0" fontId="31" fillId="0" borderId="0" xfId="4" applyFont="1" applyFill="1" applyBorder="1"/>
    <xf numFmtId="0" fontId="5" fillId="0" borderId="0" xfId="0" applyFont="1" applyFill="1" applyAlignment="1">
      <alignment wrapText="1"/>
    </xf>
    <xf numFmtId="165" fontId="5" fillId="0" borderId="0" xfId="0" applyNumberFormat="1" applyFont="1" applyFill="1"/>
    <xf numFmtId="165" fontId="5" fillId="0" borderId="14" xfId="0" applyNumberFormat="1" applyFont="1" applyFill="1" applyBorder="1"/>
    <xf numFmtId="0" fontId="0" fillId="0" borderId="18" xfId="0" applyFill="1" applyBorder="1"/>
    <xf numFmtId="0" fontId="0" fillId="0" borderId="27" xfId="0" applyFill="1" applyBorder="1"/>
    <xf numFmtId="0" fontId="0" fillId="0" borderId="5" xfId="0" applyFill="1" applyBorder="1"/>
    <xf numFmtId="169" fontId="0" fillId="0" borderId="0" xfId="1" applyNumberFormat="1" applyFont="1" applyFill="1" applyAlignment="1">
      <alignment horizontal="center" wrapText="1"/>
    </xf>
    <xf numFmtId="167" fontId="0" fillId="0" borderId="0" xfId="2" applyNumberFormat="1" applyFont="1" applyFill="1" applyBorder="1"/>
    <xf numFmtId="167" fontId="0" fillId="0" borderId="0" xfId="2" applyNumberFormat="1" applyFont="1" applyFill="1"/>
    <xf numFmtId="169" fontId="0" fillId="0" borderId="0" xfId="1" applyNumberFormat="1" applyFont="1" applyFill="1"/>
    <xf numFmtId="170" fontId="0" fillId="0" borderId="2" xfId="2" applyNumberFormat="1" applyFont="1" applyFill="1" applyBorder="1"/>
    <xf numFmtId="170" fontId="0" fillId="0" borderId="14" xfId="2" applyNumberFormat="1" applyFont="1" applyFill="1" applyBorder="1"/>
    <xf numFmtId="167" fontId="0" fillId="0" borderId="0" xfId="2" applyNumberFormat="1" applyFont="1" applyFill="1" applyAlignment="1">
      <alignment horizontal="center" wrapText="1"/>
    </xf>
    <xf numFmtId="167" fontId="7" fillId="0" borderId="0" xfId="2" applyNumberFormat="1" applyFont="1" applyFill="1" applyAlignment="1">
      <alignment wrapText="1"/>
    </xf>
    <xf numFmtId="175" fontId="7" fillId="0" borderId="0" xfId="2" applyNumberFormat="1" applyFont="1" applyFill="1" applyAlignment="1">
      <alignment wrapText="1"/>
    </xf>
    <xf numFmtId="0" fontId="10" fillId="0" borderId="0" xfId="0" applyFont="1" applyFill="1" applyAlignment="1">
      <alignment horizontal="center"/>
    </xf>
    <xf numFmtId="0" fontId="2" fillId="0" borderId="2" xfId="0" applyFont="1" applyFill="1" applyBorder="1" applyAlignment="1">
      <alignment vertical="center" wrapText="1"/>
    </xf>
    <xf numFmtId="167" fontId="7" fillId="0" borderId="0" xfId="2" applyNumberFormat="1" applyFont="1" applyFill="1"/>
    <xf numFmtId="167" fontId="10" fillId="0" borderId="0" xfId="2" applyNumberFormat="1" applyFont="1" applyFill="1" applyAlignment="1">
      <alignment horizontal="center"/>
    </xf>
    <xf numFmtId="167" fontId="10" fillId="0" borderId="9" xfId="2" applyNumberFormat="1" applyFont="1" applyFill="1" applyBorder="1"/>
    <xf numFmtId="166" fontId="2" fillId="0" borderId="2" xfId="0" applyNumberFormat="1" applyFont="1" applyFill="1" applyBorder="1"/>
    <xf numFmtId="166" fontId="10" fillId="0" borderId="2" xfId="0" applyNumberFormat="1" applyFont="1" applyFill="1" applyBorder="1"/>
    <xf numFmtId="167" fontId="2" fillId="0" borderId="2" xfId="2" applyNumberFormat="1" applyFont="1" applyFill="1" applyBorder="1" applyAlignment="1">
      <alignment vertical="center" wrapText="1"/>
    </xf>
    <xf numFmtId="166" fontId="10" fillId="0" borderId="0" xfId="0" applyNumberFormat="1" applyFont="1" applyFill="1"/>
    <xf numFmtId="0" fontId="0" fillId="0" borderId="24" xfId="0" applyFill="1" applyBorder="1"/>
    <xf numFmtId="0" fontId="0" fillId="0" borderId="25" xfId="0" applyFill="1" applyBorder="1"/>
    <xf numFmtId="169" fontId="0" fillId="0" borderId="25" xfId="0" applyNumberFormat="1" applyFill="1" applyBorder="1"/>
    <xf numFmtId="172" fontId="0" fillId="0" borderId="26" xfId="0" applyNumberFormat="1" applyFill="1" applyBorder="1"/>
    <xf numFmtId="0" fontId="12" fillId="0" borderId="0" xfId="0" applyFont="1" applyFill="1"/>
    <xf numFmtId="0" fontId="12" fillId="0" borderId="0" xfId="0" applyFont="1" applyFill="1" applyAlignment="1">
      <alignment wrapText="1"/>
    </xf>
    <xf numFmtId="0" fontId="12" fillId="0" borderId="0" xfId="0" applyFont="1" applyAlignment="1">
      <alignment wrapText="1"/>
    </xf>
    <xf numFmtId="0" fontId="12" fillId="0" borderId="0" xfId="0" applyFont="1"/>
    <xf numFmtId="0" fontId="12" fillId="3" borderId="0" xfId="0" applyFont="1" applyFill="1" applyAlignment="1">
      <alignment wrapText="1"/>
    </xf>
    <xf numFmtId="0" fontId="12" fillId="3" borderId="0" xfId="0" applyFont="1" applyFill="1"/>
    <xf numFmtId="0" fontId="10" fillId="0" borderId="0" xfId="0" applyFont="1" applyAlignment="1">
      <alignment wrapText="1"/>
    </xf>
    <xf numFmtId="0" fontId="11" fillId="0" borderId="0" xfId="0" applyFont="1" applyAlignment="1">
      <alignment wrapText="1"/>
    </xf>
    <xf numFmtId="0" fontId="10" fillId="0" borderId="2" xfId="0" applyFont="1" applyFill="1" applyBorder="1"/>
    <xf numFmtId="0" fontId="10" fillId="0" borderId="0" xfId="0" applyFont="1" applyFill="1" applyAlignment="1">
      <alignment wrapText="1"/>
    </xf>
    <xf numFmtId="0" fontId="12" fillId="0" borderId="0" xfId="0" applyFont="1" applyAlignment="1">
      <alignment vertical="center" wrapText="1"/>
    </xf>
    <xf numFmtId="0" fontId="44" fillId="0" borderId="0" xfId="0" applyFont="1"/>
    <xf numFmtId="167" fontId="10" fillId="0" borderId="2" xfId="2" applyNumberFormat="1" applyFont="1" applyFill="1" applyBorder="1"/>
    <xf numFmtId="0" fontId="2" fillId="10" borderId="7" xfId="0" applyFont="1" applyFill="1" applyBorder="1"/>
    <xf numFmtId="0" fontId="0" fillId="0" borderId="6" xfId="0" applyFill="1" applyBorder="1"/>
    <xf numFmtId="0" fontId="45" fillId="0" borderId="0" xfId="0" applyFont="1"/>
    <xf numFmtId="164" fontId="31" fillId="0" borderId="0" xfId="7" applyFont="1" applyFill="1"/>
    <xf numFmtId="9" fontId="31" fillId="0" borderId="0" xfId="6" applyFont="1" applyFill="1" applyAlignment="1">
      <alignment horizontal="center"/>
    </xf>
    <xf numFmtId="0" fontId="6" fillId="0" borderId="1" xfId="0" applyFont="1" applyBorder="1" applyAlignment="1">
      <alignment horizontal="center"/>
    </xf>
    <xf numFmtId="0" fontId="1" fillId="0" borderId="1" xfId="0" applyFont="1" applyBorder="1" applyAlignment="1">
      <alignment horizontal="center"/>
    </xf>
    <xf numFmtId="0" fontId="10" fillId="5" borderId="1" xfId="0" applyFont="1" applyFill="1" applyBorder="1" applyAlignment="1">
      <alignment horizontal="center"/>
    </xf>
    <xf numFmtId="0" fontId="10" fillId="5" borderId="0" xfId="0" applyFont="1" applyFill="1" applyBorder="1" applyAlignment="1">
      <alignment horizontal="center"/>
    </xf>
    <xf numFmtId="0" fontId="0" fillId="0" borderId="0" xfId="0" applyAlignment="1">
      <alignment horizontal="center"/>
    </xf>
    <xf numFmtId="0" fontId="17" fillId="0" borderId="5" xfId="0" applyFont="1" applyBorder="1" applyAlignment="1">
      <alignment horizontal="center"/>
    </xf>
    <xf numFmtId="0" fontId="2" fillId="5" borderId="1" xfId="0" applyFont="1" applyFill="1" applyBorder="1" applyAlignment="1">
      <alignment horizontal="center"/>
    </xf>
    <xf numFmtId="0" fontId="2" fillId="0" borderId="0" xfId="0" applyFont="1" applyBorder="1" applyAlignment="1">
      <alignment horizontal="center"/>
    </xf>
    <xf numFmtId="166" fontId="10" fillId="0" borderId="0" xfId="0" applyNumberFormat="1" applyFont="1" applyAlignment="1">
      <alignment horizontal="center"/>
    </xf>
    <xf numFmtId="0" fontId="2" fillId="0" borderId="3" xfId="0" applyFont="1" applyBorder="1" applyAlignment="1">
      <alignment horizontal="center"/>
    </xf>
    <xf numFmtId="0" fontId="1" fillId="0" borderId="0" xfId="0" applyFont="1" applyFill="1" applyAlignment="1">
      <alignment horizontal="center"/>
    </xf>
    <xf numFmtId="0" fontId="12" fillId="0" borderId="0" xfId="0" applyFont="1" applyAlignment="1">
      <alignment horizontal="center"/>
    </xf>
    <xf numFmtId="0" fontId="2" fillId="0" borderId="0" xfId="0" applyFont="1" applyFill="1" applyAlignment="1">
      <alignment horizontal="center" wrapText="1"/>
    </xf>
    <xf numFmtId="0" fontId="2" fillId="0" borderId="1" xfId="0" applyFont="1" applyFill="1" applyBorder="1" applyAlignment="1">
      <alignment horizontal="center" wrapText="1"/>
    </xf>
    <xf numFmtId="0" fontId="16" fillId="0" borderId="0" xfId="0" applyFont="1" applyFill="1" applyAlignment="1">
      <alignment horizontal="center"/>
    </xf>
    <xf numFmtId="0" fontId="12" fillId="0" borderId="0" xfId="0" applyFont="1" applyFill="1" applyAlignment="1">
      <alignment horizontal="center"/>
    </xf>
    <xf numFmtId="0" fontId="12" fillId="0" borderId="0" xfId="0" applyFont="1" applyFill="1" applyAlignment="1">
      <alignment horizontal="center" wrapText="1"/>
    </xf>
    <xf numFmtId="0" fontId="0" fillId="0" borderId="1" xfId="0" applyBorder="1" applyAlignment="1">
      <alignment horizontal="center"/>
    </xf>
    <xf numFmtId="0" fontId="0" fillId="0" borderId="0" xfId="0" applyFill="1" applyAlignment="1">
      <alignment horizontal="center"/>
    </xf>
    <xf numFmtId="0" fontId="0" fillId="0" borderId="0" xfId="0" applyFill="1" applyAlignment="1">
      <alignment horizontal="center" wrapText="1"/>
    </xf>
    <xf numFmtId="171" fontId="0" fillId="0" borderId="0" xfId="2" applyNumberFormat="1" applyFont="1" applyFill="1" applyAlignment="1">
      <alignment horizontal="center" wrapText="1"/>
    </xf>
    <xf numFmtId="0" fontId="5" fillId="0" borderId="0" xfId="0" applyFont="1" applyFill="1" applyAlignment="1">
      <alignment horizontal="center" wrapText="1"/>
    </xf>
    <xf numFmtId="0" fontId="5" fillId="0" borderId="1" xfId="0" applyFont="1" applyFill="1" applyBorder="1" applyAlignment="1">
      <alignment horizontal="center" wrapText="1"/>
    </xf>
    <xf numFmtId="171" fontId="5" fillId="0" borderId="1" xfId="2" applyNumberFormat="1" applyFont="1" applyFill="1" applyBorder="1" applyAlignment="1">
      <alignment horizontal="center" wrapText="1"/>
    </xf>
    <xf numFmtId="171" fontId="0" fillId="0" borderId="0" xfId="2" applyNumberFormat="1" applyFont="1" applyFill="1" applyAlignment="1">
      <alignment horizontal="left"/>
    </xf>
    <xf numFmtId="0" fontId="0" fillId="0" borderId="1" xfId="0" applyFill="1" applyBorder="1" applyAlignment="1">
      <alignment horizontal="center"/>
    </xf>
    <xf numFmtId="0" fontId="34" fillId="0" borderId="0" xfId="4" applyFont="1" applyAlignment="1">
      <alignment horizontal="center"/>
    </xf>
    <xf numFmtId="0" fontId="31" fillId="0" borderId="1" xfId="4" applyFont="1" applyBorder="1" applyAlignment="1">
      <alignment horizontal="center"/>
    </xf>
    <xf numFmtId="0" fontId="37" fillId="16" borderId="29" xfId="8" applyFont="1" applyFill="1" applyBorder="1" applyAlignment="1">
      <alignment horizontal="right" vertical="top" wrapText="1"/>
    </xf>
    <xf numFmtId="0" fontId="37" fillId="16" borderId="30" xfId="8" applyFont="1" applyFill="1" applyBorder="1" applyAlignment="1">
      <alignment horizontal="right" vertical="top" wrapText="1"/>
    </xf>
    <xf numFmtId="0" fontId="37" fillId="16" borderId="31" xfId="8" applyFont="1" applyFill="1" applyBorder="1" applyAlignment="1">
      <alignment horizontal="right" vertical="top" wrapText="1"/>
    </xf>
    <xf numFmtId="0" fontId="38" fillId="16" borderId="29" xfId="8" applyFont="1" applyFill="1" applyBorder="1" applyAlignment="1">
      <alignment vertical="top" wrapText="1"/>
    </xf>
    <xf numFmtId="0" fontId="38" fillId="16" borderId="30" xfId="8" applyFont="1" applyFill="1" applyBorder="1" applyAlignment="1">
      <alignment vertical="top" wrapText="1"/>
    </xf>
    <xf numFmtId="0" fontId="38" fillId="16" borderId="31" xfId="8" applyFont="1" applyFill="1" applyBorder="1" applyAlignment="1">
      <alignment vertical="top" wrapText="1"/>
    </xf>
    <xf numFmtId="0" fontId="37" fillId="17" borderId="29" xfId="8" applyFont="1" applyFill="1" applyBorder="1" applyAlignment="1">
      <alignment horizontal="right" vertical="center" wrapText="1"/>
    </xf>
    <xf numFmtId="0" fontId="37" fillId="17" borderId="30" xfId="8" applyFont="1" applyFill="1" applyBorder="1" applyAlignment="1">
      <alignment horizontal="right" vertical="center" wrapText="1"/>
    </xf>
    <xf numFmtId="0" fontId="37" fillId="17" borderId="31" xfId="8" applyFont="1" applyFill="1" applyBorder="1" applyAlignment="1">
      <alignment horizontal="right" vertical="center" wrapText="1"/>
    </xf>
  </cellXfs>
  <cellStyles count="9">
    <cellStyle name="Comma 2" xfId="5"/>
    <cellStyle name="Currency 2" xfId="7"/>
    <cellStyle name="Milliers" xfId="2" builtinId="3"/>
    <cellStyle name="Monétaire" xfId="3" builtinId="4"/>
    <cellStyle name="Normal" xfId="0" builtinId="0"/>
    <cellStyle name="Normal 2" xfId="4"/>
    <cellStyle name="Normal 3" xfId="8"/>
    <cellStyle name="Percent 2" xfId="6"/>
    <cellStyle name="Pourcentage" xfId="1" builtinId="5"/>
  </cellStyles>
  <dxfs count="0"/>
  <tableStyles count="0" defaultTableStyle="TableStyleMedium2" defaultPivotStyle="PivotStyleLight16"/>
  <colors>
    <mruColors>
      <color rgb="FF00FFFF"/>
      <color rgb="FFCCFFFF"/>
      <color rgb="FFFF99CC"/>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504825</xdr:colOff>
      <xdr:row>38</xdr:row>
      <xdr:rowOff>95250</xdr:rowOff>
    </xdr:from>
    <xdr:to>
      <xdr:col>22</xdr:col>
      <xdr:colOff>534191</xdr:colOff>
      <xdr:row>59</xdr:row>
      <xdr:rowOff>67263</xdr:rowOff>
    </xdr:to>
    <xdr:pic>
      <xdr:nvPicPr>
        <xdr:cNvPr id="5" name="Picture 2">
          <a:extLst>
            <a:ext uri="{FF2B5EF4-FFF2-40B4-BE49-F238E27FC236}">
              <a16:creationId xmlns:a16="http://schemas.microsoft.com/office/drawing/2014/main" xmlns="" id="{DD79D22E-CA1D-4EA1-BB96-C67899207127}"/>
            </a:ext>
          </a:extLst>
        </xdr:cNvPr>
        <xdr:cNvPicPr>
          <a:picLocks noChangeAspect="1"/>
        </xdr:cNvPicPr>
      </xdr:nvPicPr>
      <xdr:blipFill>
        <a:blip xmlns:r="http://schemas.openxmlformats.org/officeDocument/2006/relationships" r:embed="rId1"/>
        <a:stretch>
          <a:fillRect/>
        </a:stretch>
      </xdr:blipFill>
      <xdr:spPr>
        <a:xfrm>
          <a:off x="9601200" y="7448550"/>
          <a:ext cx="5668166" cy="421063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tt Makos" id="{1F89489D-FB18-4E05-8C2C-E697F4C2E444}" userId="Matt Makos"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X67" dT="2021-01-20T21:57:02.69" personId="{1F89489D-FB18-4E05-8C2C-E697F4C2E444}" id="{927746AF-2B2F-4D0B-A26C-0D1ACD650337}">
    <text>Changed 1/20/21 based on Annual Report document HQT-2, Document 2, p. 6</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3" Type="http://schemas.openxmlformats.org/officeDocument/2006/relationships/hyperlink" Target="http://localhost/OECDStat_Metadata/ShowMetadata.ashx?Dataset=SNA_TABLE4&amp;Coords=%5bTRANSACT%5d.%5bPPPGDP%5d,%5bMEASURE%5d.%5bCD%5d,%5bLOCATION%5d.%5bCAN%5d&amp;ShowOnWeb=true&amp;Lang=en" TargetMode="External"/><Relationship Id="rId2" Type="http://schemas.openxmlformats.org/officeDocument/2006/relationships/hyperlink" Target="http://localhost/OECDStat_Metadata/ShowMetadata.ashx?Dataset=SNA_TABLE4&amp;Coords=%5bLOCATION%5d.%5bCAN%5d&amp;ShowOnWeb=true&amp;Lang=en" TargetMode="External"/><Relationship Id="rId1" Type="http://schemas.openxmlformats.org/officeDocument/2006/relationships/hyperlink" Target="http://localhost/OECDStat_Metadata/ShowMetadata.ashx?Dataset=SNA_TABLE4&amp;ShowOnWeb=true&amp;Lang=en" TargetMode="External"/><Relationship Id="rId4" Type="http://schemas.openxmlformats.org/officeDocument/2006/relationships/hyperlink" Target="https://stats-3.oecd.org/index.aspx?DatasetCode=SNA_TABLE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93"/>
  <sheetViews>
    <sheetView workbookViewId="0">
      <pane ySplit="4" topLeftCell="A5" activePane="bottomLeft" state="frozen"/>
      <selection pane="bottomLeft" activeCell="H35" sqref="H35"/>
    </sheetView>
  </sheetViews>
  <sheetFormatPr baseColWidth="10" defaultColWidth="8.88671875" defaultRowHeight="14.4" x14ac:dyDescent="0.3"/>
  <cols>
    <col min="1" max="1" width="2.109375" customWidth="1"/>
    <col min="2" max="2" width="2.33203125" style="19" customWidth="1"/>
    <col min="3" max="3" width="1.88671875" style="19" customWidth="1"/>
    <col min="4" max="4" width="25.33203125" style="19" customWidth="1"/>
    <col min="5" max="5" width="7.33203125" style="8" customWidth="1"/>
    <col min="6" max="6" width="5.33203125" style="8" customWidth="1"/>
    <col min="7" max="7" width="2.88671875" style="8" customWidth="1"/>
    <col min="8" max="8" width="53.5546875" style="8" customWidth="1"/>
    <col min="9" max="9" width="36.5546875" style="8" customWidth="1"/>
    <col min="10" max="10" width="1.6640625" style="8" customWidth="1"/>
    <col min="11" max="11" width="10" customWidth="1"/>
    <col min="12" max="13" width="6.5546875" style="36" customWidth="1"/>
    <col min="14" max="14" width="7" style="36" customWidth="1"/>
    <col min="15" max="15" width="8.6640625" style="36" bestFit="1" customWidth="1"/>
    <col min="16" max="16" width="8.44140625" style="36" customWidth="1"/>
    <col min="17" max="17" width="7.109375" style="36" customWidth="1"/>
    <col min="18" max="18" width="6.88671875" style="36" customWidth="1"/>
    <col min="19" max="19" width="7.33203125" style="36" bestFit="1" customWidth="1"/>
    <col min="20" max="20" width="8.88671875" style="36" customWidth="1"/>
    <col min="21" max="21" width="8.44140625" style="36" customWidth="1"/>
    <col min="22" max="22" width="8.88671875" style="36" customWidth="1"/>
    <col min="23" max="23" width="8.5546875" style="36" customWidth="1"/>
    <col min="24" max="24" width="9.44140625" style="36" customWidth="1"/>
    <col min="25" max="25" width="2" customWidth="1"/>
  </cols>
  <sheetData>
    <row r="1" spans="1:31" ht="20.25" x14ac:dyDescent="0.3">
      <c r="A1" s="362" t="s">
        <v>328</v>
      </c>
      <c r="B1" s="362"/>
      <c r="C1" s="362"/>
      <c r="D1" s="362"/>
      <c r="E1" s="362"/>
      <c r="F1" s="362"/>
      <c r="G1" s="362"/>
      <c r="H1" s="362"/>
      <c r="I1" s="362"/>
      <c r="J1" s="362"/>
      <c r="K1" s="362"/>
      <c r="L1" s="362"/>
      <c r="M1" s="362"/>
      <c r="N1" s="362"/>
      <c r="O1" s="362"/>
      <c r="P1" s="362"/>
      <c r="Q1" s="362"/>
      <c r="R1" s="362"/>
      <c r="S1" s="362"/>
      <c r="T1" s="362"/>
      <c r="U1" s="362"/>
      <c r="V1" s="362"/>
      <c r="W1" s="362"/>
      <c r="X1" s="362"/>
      <c r="Y1" s="23"/>
      <c r="Z1" s="23"/>
      <c r="AA1" s="23"/>
      <c r="AB1" s="23"/>
      <c r="AC1" s="23"/>
      <c r="AD1" s="23"/>
      <c r="AE1" s="23"/>
    </row>
    <row r="2" spans="1:31" ht="15" x14ac:dyDescent="0.25">
      <c r="A2" s="1"/>
      <c r="B2" s="16"/>
      <c r="C2" s="16"/>
      <c r="D2" s="16"/>
      <c r="E2" s="22"/>
      <c r="F2" s="22"/>
      <c r="G2" s="22"/>
      <c r="H2" s="22"/>
      <c r="I2" s="22"/>
      <c r="J2" s="22"/>
      <c r="K2" s="1"/>
      <c r="L2" s="31"/>
      <c r="M2" s="31"/>
      <c r="N2" s="31"/>
      <c r="O2" s="31"/>
      <c r="P2" s="31"/>
      <c r="Q2" s="31"/>
      <c r="R2" s="31"/>
      <c r="S2" s="31"/>
      <c r="T2" s="32"/>
      <c r="U2" s="32"/>
      <c r="V2" s="32"/>
      <c r="W2" s="32"/>
      <c r="X2" s="32"/>
      <c r="Y2" s="23"/>
      <c r="Z2" s="11" t="s">
        <v>0</v>
      </c>
      <c r="AA2" s="9"/>
      <c r="AB2" s="9"/>
      <c r="AC2" s="9"/>
      <c r="AD2" s="9"/>
      <c r="AE2" s="9"/>
    </row>
    <row r="3" spans="1:31" ht="16.5" x14ac:dyDescent="0.25">
      <c r="A3" s="355" t="s">
        <v>1</v>
      </c>
      <c r="B3" s="32"/>
      <c r="C3" s="32"/>
      <c r="D3" s="32"/>
      <c r="E3" s="174" t="s">
        <v>179</v>
      </c>
      <c r="F3" s="4"/>
      <c r="G3" s="24"/>
      <c r="H3" s="24"/>
      <c r="I3" s="97" t="s">
        <v>254</v>
      </c>
      <c r="J3" s="24"/>
      <c r="K3" s="363"/>
      <c r="L3" s="363"/>
      <c r="M3" s="363"/>
      <c r="N3" s="363"/>
      <c r="O3" s="363"/>
      <c r="P3" s="363"/>
      <c r="Q3" s="363"/>
      <c r="R3" s="363"/>
      <c r="S3" s="363"/>
      <c r="T3" s="363"/>
      <c r="U3" s="363"/>
      <c r="V3" s="363"/>
      <c r="W3" s="363"/>
      <c r="X3" s="363"/>
      <c r="Y3" s="23"/>
      <c r="Z3" s="12"/>
      <c r="AA3" s="23" t="s">
        <v>2</v>
      </c>
      <c r="AB3" s="23"/>
      <c r="AC3" s="23"/>
      <c r="AD3" s="23"/>
      <c r="AE3" s="23"/>
    </row>
    <row r="4" spans="1:31" ht="15" x14ac:dyDescent="0.25">
      <c r="A4" s="32"/>
      <c r="B4" s="32"/>
      <c r="C4" s="32"/>
      <c r="D4" s="32"/>
      <c r="E4" s="4"/>
      <c r="F4" s="4"/>
      <c r="G4" s="20"/>
      <c r="H4" s="20"/>
      <c r="I4" s="20"/>
      <c r="J4" s="20"/>
      <c r="K4" s="25">
        <f t="shared" ref="K4:V4" si="0">L4-1</f>
        <v>2006</v>
      </c>
      <c r="L4" s="25">
        <f t="shared" si="0"/>
        <v>2007</v>
      </c>
      <c r="M4" s="25">
        <f t="shared" si="0"/>
        <v>2008</v>
      </c>
      <c r="N4" s="25">
        <f t="shared" si="0"/>
        <v>2009</v>
      </c>
      <c r="O4" s="25">
        <f t="shared" si="0"/>
        <v>2010</v>
      </c>
      <c r="P4" s="25">
        <f t="shared" si="0"/>
        <v>2011</v>
      </c>
      <c r="Q4" s="25">
        <f t="shared" si="0"/>
        <v>2012</v>
      </c>
      <c r="R4" s="25">
        <f t="shared" si="0"/>
        <v>2013</v>
      </c>
      <c r="S4" s="25">
        <f t="shared" si="0"/>
        <v>2014</v>
      </c>
      <c r="T4" s="25">
        <f t="shared" si="0"/>
        <v>2015</v>
      </c>
      <c r="U4" s="25">
        <f t="shared" si="0"/>
        <v>2016</v>
      </c>
      <c r="V4" s="25">
        <f t="shared" si="0"/>
        <v>2017</v>
      </c>
      <c r="W4" s="25">
        <f>X4-1</f>
        <v>2018</v>
      </c>
      <c r="X4" s="25">
        <v>2019</v>
      </c>
      <c r="Y4" s="23"/>
      <c r="Z4" s="13"/>
      <c r="AA4" s="23" t="s">
        <v>5</v>
      </c>
      <c r="AB4" s="23"/>
      <c r="AC4" s="23"/>
      <c r="AD4" s="23"/>
      <c r="AE4" s="23"/>
    </row>
    <row r="5" spans="1:31" ht="15" x14ac:dyDescent="0.25">
      <c r="A5" s="36"/>
      <c r="B5" s="32" t="s">
        <v>3</v>
      </c>
      <c r="C5" s="32"/>
      <c r="D5" s="32"/>
      <c r="E5" s="4" t="s">
        <v>4</v>
      </c>
      <c r="F5" s="4"/>
      <c r="G5" s="4"/>
      <c r="H5" s="4"/>
      <c r="I5" s="4"/>
      <c r="J5" s="4"/>
      <c r="K5" s="4"/>
      <c r="L5" s="26"/>
      <c r="M5" s="26"/>
      <c r="N5" s="26"/>
      <c r="O5" s="26"/>
      <c r="P5" s="26"/>
      <c r="Q5" s="26"/>
      <c r="R5" s="26"/>
      <c r="S5" s="26"/>
      <c r="T5" s="26"/>
      <c r="U5" s="26"/>
      <c r="V5" s="26"/>
      <c r="W5" s="26"/>
      <c r="X5" s="26"/>
      <c r="Y5" s="23"/>
      <c r="Z5" s="14"/>
      <c r="AA5" s="23" t="s">
        <v>6</v>
      </c>
      <c r="AB5" s="23"/>
      <c r="AC5" s="23"/>
      <c r="AD5" s="23"/>
      <c r="AE5" s="23"/>
    </row>
    <row r="6" spans="1:31" ht="15" x14ac:dyDescent="0.25">
      <c r="A6" s="32"/>
      <c r="B6" s="32"/>
      <c r="C6" s="32"/>
      <c r="D6" s="32"/>
      <c r="E6" s="4"/>
      <c r="F6" s="4"/>
      <c r="G6" s="4"/>
      <c r="H6" s="4"/>
      <c r="I6" s="4"/>
      <c r="J6" s="4"/>
      <c r="K6" s="4"/>
      <c r="L6" s="26"/>
      <c r="M6" s="26"/>
      <c r="N6" s="26"/>
      <c r="O6" s="26"/>
      <c r="P6" s="26"/>
      <c r="Q6" s="26"/>
      <c r="R6" s="26"/>
      <c r="S6" s="26"/>
      <c r="T6" s="26"/>
      <c r="U6" s="26"/>
      <c r="V6" s="26"/>
      <c r="W6" s="26"/>
      <c r="X6" s="26"/>
      <c r="Y6" s="23"/>
      <c r="Z6" s="15"/>
      <c r="AA6" s="23" t="s">
        <v>8</v>
      </c>
      <c r="AB6" s="23"/>
      <c r="AC6" s="23"/>
      <c r="AD6" s="23"/>
      <c r="AE6" s="23"/>
    </row>
    <row r="7" spans="1:31" ht="15" x14ac:dyDescent="0.25">
      <c r="A7" s="32"/>
      <c r="B7" s="344" t="s">
        <v>7</v>
      </c>
      <c r="C7" s="26"/>
      <c r="D7" s="26"/>
      <c r="E7" s="4"/>
      <c r="F7" s="4"/>
      <c r="G7" s="4"/>
      <c r="H7" s="4"/>
      <c r="I7" s="4"/>
      <c r="J7" s="4"/>
      <c r="K7" s="4"/>
      <c r="L7" s="26"/>
      <c r="M7" s="26"/>
      <c r="N7" s="26"/>
      <c r="O7" s="26"/>
      <c r="P7" s="26"/>
      <c r="Q7" s="26"/>
      <c r="R7" s="26"/>
      <c r="S7" s="26"/>
      <c r="T7" s="26"/>
      <c r="U7" s="26"/>
      <c r="V7" s="26"/>
      <c r="W7" s="26"/>
      <c r="X7" s="26"/>
      <c r="Y7" s="23"/>
      <c r="Z7" s="103"/>
      <c r="AA7" s="102" t="s">
        <v>199</v>
      </c>
      <c r="AB7" s="23"/>
      <c r="AC7" s="23"/>
      <c r="AD7" s="23"/>
      <c r="AE7" s="23"/>
    </row>
    <row r="8" spans="1:31" ht="15" x14ac:dyDescent="0.25">
      <c r="A8" s="32"/>
      <c r="B8" s="26"/>
      <c r="C8" s="26"/>
      <c r="D8" s="26"/>
      <c r="E8" s="4"/>
      <c r="F8" s="4"/>
      <c r="G8" s="4"/>
      <c r="H8" s="4"/>
      <c r="I8" s="4"/>
      <c r="J8" s="4"/>
      <c r="K8" s="4"/>
      <c r="L8" s="364" t="s">
        <v>76</v>
      </c>
      <c r="M8" s="364"/>
      <c r="N8" s="364"/>
      <c r="O8" s="364"/>
      <c r="P8" s="364"/>
      <c r="Q8" s="364"/>
      <c r="R8" s="364"/>
      <c r="S8" s="364"/>
      <c r="T8" s="364"/>
      <c r="U8" s="364"/>
      <c r="V8" s="364"/>
      <c r="W8" s="364"/>
      <c r="X8" s="364"/>
      <c r="Y8" s="23"/>
    </row>
    <row r="9" spans="1:31" ht="15" x14ac:dyDescent="0.25">
      <c r="A9" s="32"/>
      <c r="B9" s="26" t="s">
        <v>9</v>
      </c>
      <c r="C9" s="26"/>
      <c r="D9" s="26"/>
      <c r="E9" s="6" t="s">
        <v>10</v>
      </c>
      <c r="F9" s="4"/>
      <c r="G9" s="4"/>
      <c r="H9" s="4"/>
      <c r="I9" s="4"/>
      <c r="J9" s="4"/>
      <c r="K9" s="183">
        <f>L11+L22-L31-L35</f>
        <v>733.59999999999991</v>
      </c>
      <c r="L9" s="27">
        <v>733.6</v>
      </c>
      <c r="M9" s="27">
        <v>638.6</v>
      </c>
      <c r="N9" s="27">
        <v>639.29999999999995</v>
      </c>
      <c r="O9" s="27">
        <v>634.4</v>
      </c>
      <c r="P9" s="27">
        <v>661.5</v>
      </c>
      <c r="Q9" s="27">
        <v>633.20000000000005</v>
      </c>
      <c r="R9" s="27">
        <v>683.6</v>
      </c>
      <c r="S9" s="27">
        <v>707.5</v>
      </c>
      <c r="T9" s="27">
        <v>719.8</v>
      </c>
      <c r="U9" s="27">
        <v>702.5</v>
      </c>
      <c r="V9" s="27">
        <v>807.4</v>
      </c>
      <c r="W9" s="27">
        <v>890.3</v>
      </c>
      <c r="X9" s="27">
        <f>X11+X22-X31-X35</f>
        <v>868.80000000000018</v>
      </c>
      <c r="Y9" s="23" t="s">
        <v>11</v>
      </c>
      <c r="Z9" s="23" t="s">
        <v>316</v>
      </c>
      <c r="AA9" s="23"/>
      <c r="AB9" s="23"/>
      <c r="AC9" s="23"/>
      <c r="AD9" s="23"/>
      <c r="AE9" s="23"/>
    </row>
    <row r="10" spans="1:31" ht="15" x14ac:dyDescent="0.25">
      <c r="A10" s="32"/>
      <c r="B10" s="26"/>
      <c r="C10" s="26"/>
      <c r="D10" s="26"/>
      <c r="E10" s="4"/>
      <c r="F10" s="4"/>
      <c r="G10" s="4"/>
      <c r="H10" s="4"/>
      <c r="I10" s="4"/>
      <c r="J10" s="4"/>
      <c r="K10" s="4"/>
      <c r="L10" s="26"/>
      <c r="M10" s="26"/>
      <c r="N10" s="26"/>
      <c r="O10" s="26"/>
      <c r="P10" s="26"/>
      <c r="Q10" s="26"/>
      <c r="R10" s="26"/>
      <c r="S10" s="26"/>
      <c r="T10" s="26"/>
      <c r="U10" s="26"/>
      <c r="V10" s="26"/>
      <c r="W10" s="26"/>
      <c r="X10" s="26"/>
      <c r="Y10" s="23"/>
      <c r="Z10" s="23"/>
      <c r="AA10" s="23"/>
      <c r="AB10" s="23"/>
      <c r="AC10" s="23"/>
      <c r="AD10" s="23"/>
      <c r="AE10" s="23"/>
    </row>
    <row r="11" spans="1:31" ht="15" x14ac:dyDescent="0.25">
      <c r="A11" s="32"/>
      <c r="B11" s="26"/>
      <c r="C11" s="26" t="s">
        <v>319</v>
      </c>
      <c r="D11" s="26"/>
      <c r="E11" s="4"/>
      <c r="F11" s="4" t="s">
        <v>13</v>
      </c>
      <c r="G11" s="4"/>
      <c r="H11" s="4"/>
      <c r="I11" s="4"/>
      <c r="J11" s="4"/>
      <c r="K11" s="4"/>
      <c r="L11" s="27">
        <v>514.29999999999995</v>
      </c>
      <c r="M11" s="27">
        <v>491.1</v>
      </c>
      <c r="N11" s="27">
        <v>497.1</v>
      </c>
      <c r="O11" s="27">
        <v>496</v>
      </c>
      <c r="P11" s="27">
        <v>534.4</v>
      </c>
      <c r="Q11" s="27">
        <v>492.3</v>
      </c>
      <c r="R11" s="27">
        <v>538.29999999999995</v>
      </c>
      <c r="S11" s="27">
        <v>557.5</v>
      </c>
      <c r="T11" s="27">
        <v>531.20000000000005</v>
      </c>
      <c r="U11" s="27">
        <v>499.6</v>
      </c>
      <c r="V11" s="27">
        <v>584.79999999999995</v>
      </c>
      <c r="W11" s="27">
        <v>664.1</v>
      </c>
      <c r="X11" s="27">
        <v>647.70000000000005</v>
      </c>
      <c r="Y11" s="23" t="s">
        <v>11</v>
      </c>
      <c r="Z11" s="23"/>
      <c r="AA11" s="23"/>
      <c r="AB11" s="23"/>
      <c r="AC11" s="23"/>
      <c r="AD11" s="23"/>
      <c r="AE11" s="23"/>
    </row>
    <row r="12" spans="1:31" ht="15" x14ac:dyDescent="0.25">
      <c r="A12" s="32"/>
      <c r="B12" s="26"/>
      <c r="C12" s="26"/>
      <c r="D12" s="26"/>
      <c r="E12" s="4"/>
      <c r="F12" s="4"/>
      <c r="G12" s="4"/>
      <c r="H12" s="4"/>
      <c r="I12" s="4"/>
      <c r="J12" s="4"/>
      <c r="K12" s="4"/>
      <c r="L12" s="26"/>
      <c r="M12" s="26"/>
      <c r="N12" s="26"/>
      <c r="O12" s="26"/>
      <c r="P12" s="26"/>
      <c r="Q12" s="26"/>
      <c r="R12" s="26"/>
      <c r="S12" s="26"/>
      <c r="T12" s="26"/>
      <c r="U12" s="26"/>
      <c r="V12" s="26"/>
      <c r="W12" s="26"/>
      <c r="X12" s="26"/>
      <c r="Y12" s="23"/>
      <c r="Z12" s="23"/>
      <c r="AA12" s="23"/>
      <c r="AB12" s="23"/>
      <c r="AC12" s="23"/>
      <c r="AD12" s="23"/>
      <c r="AE12" s="23"/>
    </row>
    <row r="13" spans="1:31" ht="15" x14ac:dyDescent="0.25">
      <c r="A13" s="32"/>
      <c r="B13" s="26"/>
      <c r="C13" s="26" t="s">
        <v>14</v>
      </c>
      <c r="D13" s="26"/>
      <c r="E13" s="4"/>
      <c r="F13" s="4"/>
      <c r="G13" s="4" t="s">
        <v>70</v>
      </c>
      <c r="H13" s="4"/>
      <c r="I13" s="4"/>
      <c r="J13" s="4"/>
      <c r="K13" s="4"/>
      <c r="L13" s="27">
        <v>379.2</v>
      </c>
      <c r="M13" s="27">
        <v>362.3</v>
      </c>
      <c r="N13" s="27">
        <v>361.7</v>
      </c>
      <c r="O13" s="27">
        <v>359.2</v>
      </c>
      <c r="P13" s="27">
        <v>384.7</v>
      </c>
      <c r="Q13" s="27">
        <v>372.7</v>
      </c>
      <c r="R13" s="27">
        <v>420.4</v>
      </c>
      <c r="S13" s="27">
        <v>411.4</v>
      </c>
      <c r="T13" s="27">
        <v>418.9</v>
      </c>
      <c r="U13" s="27">
        <v>367.6</v>
      </c>
      <c r="V13" s="27">
        <v>440.5</v>
      </c>
      <c r="W13" s="27">
        <v>494</v>
      </c>
      <c r="X13" s="27">
        <v>487.2</v>
      </c>
      <c r="Y13" s="23" t="s">
        <v>11</v>
      </c>
      <c r="Z13" s="23"/>
      <c r="AA13" s="23"/>
      <c r="AB13" s="23"/>
      <c r="AC13" s="23"/>
      <c r="AD13" s="23"/>
      <c r="AE13" s="23"/>
    </row>
    <row r="14" spans="1:31" ht="15" x14ac:dyDescent="0.25">
      <c r="A14" s="32"/>
      <c r="B14" s="26"/>
      <c r="C14" s="26"/>
      <c r="D14" s="26"/>
      <c r="E14" s="4"/>
      <c r="F14" s="4"/>
      <c r="G14" s="4"/>
      <c r="H14" s="4"/>
      <c r="I14" s="4"/>
      <c r="J14" s="4"/>
      <c r="K14" s="4"/>
      <c r="L14" s="26"/>
      <c r="M14" s="26"/>
      <c r="N14" s="26"/>
      <c r="O14" s="26"/>
      <c r="P14" s="26"/>
      <c r="Q14" s="26"/>
      <c r="R14" s="26"/>
      <c r="S14" s="26"/>
      <c r="T14" s="26"/>
      <c r="U14" s="26"/>
      <c r="V14" s="26"/>
      <c r="W14" s="26"/>
      <c r="X14" s="26"/>
      <c r="Y14" s="23"/>
      <c r="Z14" s="23"/>
      <c r="AA14" s="23"/>
      <c r="AB14" s="23"/>
      <c r="AC14" s="23"/>
      <c r="AD14" s="23"/>
      <c r="AE14" s="23"/>
    </row>
    <row r="15" spans="1:31" ht="15" x14ac:dyDescent="0.25">
      <c r="A15" s="32"/>
      <c r="B15" s="26"/>
      <c r="C15" s="26" t="s">
        <v>15</v>
      </c>
      <c r="D15" s="26"/>
      <c r="E15" s="4"/>
      <c r="F15" s="4"/>
      <c r="G15" s="4" t="s">
        <v>16</v>
      </c>
      <c r="H15" s="4"/>
      <c r="I15" s="4"/>
      <c r="J15" s="4"/>
      <c r="K15" s="4"/>
      <c r="L15" s="27">
        <v>92.9</v>
      </c>
      <c r="M15" s="27">
        <v>68.400000000000006</v>
      </c>
      <c r="N15" s="27">
        <v>57.5</v>
      </c>
      <c r="O15" s="27">
        <v>52.5</v>
      </c>
      <c r="P15" s="27">
        <v>70.400000000000006</v>
      </c>
      <c r="Q15" s="27">
        <v>69.7</v>
      </c>
      <c r="R15" s="27">
        <v>119.9</v>
      </c>
      <c r="S15" s="27">
        <v>103.8</v>
      </c>
      <c r="T15" s="27">
        <v>118.1</v>
      </c>
      <c r="U15" s="27">
        <v>66.599999999999994</v>
      </c>
      <c r="V15" s="27">
        <v>109.8</v>
      </c>
      <c r="W15" s="27">
        <v>128.6</v>
      </c>
      <c r="X15" s="27">
        <v>121.3</v>
      </c>
      <c r="Y15" s="23" t="s">
        <v>11</v>
      </c>
      <c r="Z15" s="23"/>
      <c r="AA15" s="23"/>
      <c r="AB15" s="23"/>
      <c r="AC15" s="23"/>
      <c r="AD15" s="23"/>
      <c r="AE15" s="23"/>
    </row>
    <row r="16" spans="1:31" ht="15" x14ac:dyDescent="0.25">
      <c r="A16" s="32"/>
      <c r="B16" s="26"/>
      <c r="C16" s="26"/>
      <c r="D16" s="26" t="s">
        <v>17</v>
      </c>
      <c r="E16" s="4"/>
      <c r="F16" s="4"/>
      <c r="G16" s="4"/>
      <c r="H16" s="4" t="s">
        <v>18</v>
      </c>
      <c r="I16" s="4"/>
      <c r="J16" s="4"/>
      <c r="K16" s="4"/>
      <c r="L16" s="27">
        <v>47.5</v>
      </c>
      <c r="M16" s="27">
        <v>20.8</v>
      </c>
      <c r="N16" s="27">
        <v>9.4</v>
      </c>
      <c r="O16" s="27">
        <v>3.2</v>
      </c>
      <c r="P16" s="27">
        <v>18.8</v>
      </c>
      <c r="Q16" s="27">
        <v>23.5</v>
      </c>
      <c r="R16" s="27">
        <v>80.099999999999994</v>
      </c>
      <c r="S16" s="27">
        <v>56</v>
      </c>
      <c r="T16" s="27">
        <v>64.2</v>
      </c>
      <c r="U16" s="27">
        <v>15.3</v>
      </c>
      <c r="V16" s="27">
        <v>68.400000000000006</v>
      </c>
      <c r="W16" s="27">
        <v>84</v>
      </c>
      <c r="X16" s="27">
        <v>72.400000000000006</v>
      </c>
      <c r="Y16" s="23"/>
      <c r="Z16" s="23"/>
      <c r="AA16" s="23"/>
      <c r="AB16" s="23"/>
      <c r="AC16" s="23"/>
      <c r="AD16" s="23"/>
      <c r="AE16" s="23"/>
    </row>
    <row r="17" spans="1:31" ht="15" x14ac:dyDescent="0.25">
      <c r="A17" s="32"/>
      <c r="B17" s="26"/>
      <c r="C17" s="26"/>
      <c r="D17" s="26" t="s">
        <v>19</v>
      </c>
      <c r="E17" s="4"/>
      <c r="F17" s="4"/>
      <c r="G17" s="4"/>
      <c r="H17" s="4" t="s">
        <v>20</v>
      </c>
      <c r="I17" s="4"/>
      <c r="J17" s="4"/>
      <c r="K17" s="4"/>
      <c r="L17" s="27">
        <v>45.4</v>
      </c>
      <c r="M17" s="27">
        <v>47.6</v>
      </c>
      <c r="N17" s="27">
        <v>48.1</v>
      </c>
      <c r="O17" s="27">
        <v>49.3</v>
      </c>
      <c r="P17" s="27">
        <v>51.6</v>
      </c>
      <c r="Q17" s="27">
        <v>46.2</v>
      </c>
      <c r="R17" s="27">
        <v>39.799999999999997</v>
      </c>
      <c r="S17" s="27">
        <v>47.8</v>
      </c>
      <c r="T17" s="27">
        <v>53.9</v>
      </c>
      <c r="U17" s="27">
        <v>51.3</v>
      </c>
      <c r="V17" s="27">
        <v>41.4</v>
      </c>
      <c r="W17" s="27">
        <v>44.6</v>
      </c>
      <c r="X17" s="27">
        <v>48.9</v>
      </c>
      <c r="Y17" s="23"/>
      <c r="Z17" s="23"/>
      <c r="AA17" s="23"/>
      <c r="AB17" s="23"/>
      <c r="AC17" s="23"/>
      <c r="AD17" s="23"/>
      <c r="AE17" s="23"/>
    </row>
    <row r="18" spans="1:31" ht="15" x14ac:dyDescent="0.25">
      <c r="A18" s="32"/>
      <c r="B18" s="26"/>
      <c r="C18" s="26"/>
      <c r="D18" s="26"/>
      <c r="E18" s="4"/>
      <c r="F18" s="4"/>
      <c r="G18" s="4"/>
      <c r="H18" s="4"/>
      <c r="I18" s="4"/>
      <c r="J18" s="4"/>
      <c r="K18" s="4"/>
      <c r="L18" s="26"/>
      <c r="M18" s="26"/>
      <c r="N18" s="26"/>
      <c r="O18" s="26"/>
      <c r="P18" s="26"/>
      <c r="Q18" s="26"/>
      <c r="R18" s="26"/>
      <c r="S18" s="26"/>
      <c r="T18" s="26"/>
      <c r="U18" s="26"/>
      <c r="V18" s="26"/>
      <c r="W18" s="26"/>
      <c r="X18" s="26"/>
      <c r="Y18" s="23"/>
      <c r="Z18" s="23"/>
      <c r="AA18" s="23"/>
      <c r="AB18" s="23"/>
      <c r="AC18" s="23"/>
      <c r="AD18" s="23"/>
      <c r="AE18" s="23"/>
    </row>
    <row r="19" spans="1:31" ht="15" x14ac:dyDescent="0.25">
      <c r="A19" s="32"/>
      <c r="B19" s="26"/>
      <c r="C19" s="26" t="s">
        <v>21</v>
      </c>
      <c r="D19" s="26"/>
      <c r="E19" s="4"/>
      <c r="F19" s="10"/>
      <c r="G19" s="4" t="s">
        <v>22</v>
      </c>
      <c r="H19" s="4"/>
      <c r="I19" s="4"/>
      <c r="J19" s="4"/>
      <c r="K19" s="4"/>
      <c r="L19" s="27">
        <v>135.1</v>
      </c>
      <c r="M19" s="27">
        <v>128.80000000000001</v>
      </c>
      <c r="N19" s="27">
        <v>135.4</v>
      </c>
      <c r="O19" s="27">
        <v>136.80000000000001</v>
      </c>
      <c r="P19" s="27">
        <v>149.69999999999999</v>
      </c>
      <c r="Q19" s="27">
        <v>119.6</v>
      </c>
      <c r="R19" s="27">
        <v>117.9</v>
      </c>
      <c r="S19" s="27">
        <v>146.1</v>
      </c>
      <c r="T19" s="27">
        <v>112.3</v>
      </c>
      <c r="U19" s="119">
        <v>132</v>
      </c>
      <c r="V19" s="27">
        <v>144.30000000000001</v>
      </c>
      <c r="W19" s="27">
        <v>170.1</v>
      </c>
      <c r="X19" s="27">
        <v>160.5</v>
      </c>
      <c r="Y19" s="23" t="s">
        <v>11</v>
      </c>
      <c r="Z19" s="23"/>
      <c r="AA19" s="23"/>
      <c r="AB19" s="23"/>
      <c r="AC19" s="23"/>
      <c r="AD19" s="23"/>
      <c r="AE19" s="23"/>
    </row>
    <row r="20" spans="1:31" ht="15" x14ac:dyDescent="0.25">
      <c r="A20" s="32"/>
      <c r="B20" s="26"/>
      <c r="C20" s="26"/>
      <c r="D20" s="26" t="s">
        <v>23</v>
      </c>
      <c r="E20" s="4"/>
      <c r="F20" s="4"/>
      <c r="G20" s="4"/>
      <c r="H20" s="4" t="s">
        <v>24</v>
      </c>
      <c r="I20" s="4"/>
      <c r="J20" s="4"/>
      <c r="K20" s="4"/>
      <c r="L20" s="26"/>
      <c r="M20" s="26"/>
      <c r="N20" s="26"/>
      <c r="O20" s="26"/>
      <c r="P20" s="26"/>
      <c r="Q20" s="26"/>
      <c r="R20" s="26"/>
      <c r="S20" s="26"/>
      <c r="T20" s="26"/>
      <c r="U20" s="26"/>
      <c r="V20" s="26"/>
      <c r="W20" s="26"/>
      <c r="X20" s="26"/>
      <c r="Y20" s="23"/>
      <c r="Z20" s="23"/>
      <c r="AA20" s="23"/>
      <c r="AB20" s="23"/>
      <c r="AC20" s="23"/>
      <c r="AD20" s="23"/>
      <c r="AE20" s="23"/>
    </row>
    <row r="21" spans="1:31" ht="15" x14ac:dyDescent="0.25">
      <c r="A21" s="32"/>
      <c r="B21" s="26"/>
      <c r="C21" s="26"/>
      <c r="D21" s="26"/>
      <c r="E21" s="4"/>
      <c r="F21" s="4"/>
      <c r="G21" s="4"/>
      <c r="H21" s="4"/>
      <c r="I21" s="4"/>
      <c r="J21" s="4"/>
      <c r="K21" s="4"/>
      <c r="L21" s="26"/>
      <c r="M21" s="26"/>
      <c r="N21" s="26"/>
      <c r="O21" s="26"/>
      <c r="P21" s="26"/>
      <c r="Q21" s="26"/>
      <c r="R21" s="26"/>
      <c r="S21" s="26"/>
      <c r="T21" s="26"/>
      <c r="U21" s="26"/>
      <c r="V21" s="26"/>
      <c r="W21" s="26"/>
      <c r="X21" s="26"/>
      <c r="Y21" s="23"/>
      <c r="Z21" s="4"/>
      <c r="AA21" s="10"/>
      <c r="AB21" s="10"/>
      <c r="AC21" s="10"/>
      <c r="AD21" s="10"/>
      <c r="AE21" s="10"/>
    </row>
    <row r="22" spans="1:31" ht="15" x14ac:dyDescent="0.25">
      <c r="A22" s="32"/>
      <c r="B22" s="26"/>
      <c r="C22" s="26" t="s">
        <v>25</v>
      </c>
      <c r="D22" s="26"/>
      <c r="E22" s="4"/>
      <c r="F22" s="4" t="s">
        <v>26</v>
      </c>
      <c r="G22" s="4"/>
      <c r="H22" s="4"/>
      <c r="I22" s="4"/>
      <c r="J22" s="4"/>
      <c r="K22" s="4"/>
      <c r="L22" s="27">
        <v>373.5</v>
      </c>
      <c r="M22" s="27">
        <v>297.8</v>
      </c>
      <c r="N22" s="27">
        <v>306.8</v>
      </c>
      <c r="O22" s="27">
        <v>313.7</v>
      </c>
      <c r="P22" s="27">
        <v>316.39999999999998</v>
      </c>
      <c r="Q22" s="27">
        <v>310.7</v>
      </c>
      <c r="R22" s="27">
        <v>334.9</v>
      </c>
      <c r="S22" s="27">
        <v>330.8</v>
      </c>
      <c r="T22" s="27">
        <v>374.3</v>
      </c>
      <c r="U22" s="27">
        <v>380</v>
      </c>
      <c r="V22" s="27">
        <v>406.6</v>
      </c>
      <c r="W22" s="27">
        <v>421.2</v>
      </c>
      <c r="X22" s="27">
        <v>414.1</v>
      </c>
      <c r="Y22" s="23" t="s">
        <v>11</v>
      </c>
      <c r="Z22" s="23"/>
      <c r="AA22" s="23"/>
      <c r="AB22" s="23"/>
      <c r="AC22" s="23"/>
      <c r="AD22" s="23"/>
      <c r="AE22" s="23"/>
    </row>
    <row r="23" spans="1:31" s="23" customFormat="1" ht="15" x14ac:dyDescent="0.25">
      <c r="A23" s="32"/>
      <c r="B23" s="26"/>
      <c r="C23" s="26"/>
      <c r="D23" s="26"/>
      <c r="E23" s="4"/>
      <c r="F23" s="4"/>
      <c r="G23" s="4" t="s">
        <v>77</v>
      </c>
      <c r="H23" s="4"/>
      <c r="I23" s="4"/>
      <c r="J23" s="4"/>
      <c r="K23" s="4"/>
      <c r="L23" s="33">
        <v>199.6</v>
      </c>
      <c r="M23" s="33">
        <v>122.2</v>
      </c>
      <c r="N23" s="33">
        <v>122.1</v>
      </c>
      <c r="O23" s="33">
        <v>123</v>
      </c>
      <c r="P23" s="33">
        <v>128.6</v>
      </c>
      <c r="Q23" s="33">
        <v>126.4</v>
      </c>
      <c r="R23" s="33">
        <v>131.5</v>
      </c>
      <c r="S23" s="33">
        <v>130.30000000000001</v>
      </c>
      <c r="T23" s="33" t="s">
        <v>28</v>
      </c>
      <c r="U23" s="33" t="s">
        <v>28</v>
      </c>
      <c r="V23" s="33" t="s">
        <v>28</v>
      </c>
      <c r="W23" s="33" t="s">
        <v>28</v>
      </c>
      <c r="X23" s="33" t="s">
        <v>28</v>
      </c>
    </row>
    <row r="24" spans="1:31" ht="15" x14ac:dyDescent="0.25">
      <c r="A24" s="32"/>
      <c r="B24" s="26"/>
      <c r="C24" s="26"/>
      <c r="D24" s="26" t="s">
        <v>27</v>
      </c>
      <c r="E24" s="4"/>
      <c r="F24" s="4"/>
      <c r="G24" s="4" t="s">
        <v>78</v>
      </c>
      <c r="H24" s="4"/>
      <c r="I24" s="4"/>
      <c r="J24" s="4"/>
      <c r="K24" s="4"/>
      <c r="L24" s="28" t="s">
        <v>28</v>
      </c>
      <c r="M24" s="28" t="s">
        <v>28</v>
      </c>
      <c r="N24" s="28" t="s">
        <v>28</v>
      </c>
      <c r="O24" s="28" t="s">
        <v>28</v>
      </c>
      <c r="P24" s="28" t="s">
        <v>28</v>
      </c>
      <c r="Q24" s="28" t="s">
        <v>28</v>
      </c>
      <c r="R24" s="28" t="s">
        <v>28</v>
      </c>
      <c r="S24" s="28" t="s">
        <v>28</v>
      </c>
      <c r="T24" s="28">
        <v>152.4</v>
      </c>
      <c r="U24" s="28">
        <v>163.69999999999999</v>
      </c>
      <c r="V24" s="28">
        <v>153.19999999999999</v>
      </c>
      <c r="W24" s="28">
        <v>159.69999999999999</v>
      </c>
      <c r="X24" s="28">
        <v>157.9</v>
      </c>
      <c r="Y24" s="23"/>
      <c r="Z24" s="23"/>
      <c r="AA24" s="23"/>
      <c r="AB24" s="23"/>
      <c r="AC24" s="23"/>
      <c r="AD24" s="23"/>
      <c r="AE24" s="23"/>
    </row>
    <row r="25" spans="1:31" ht="15" x14ac:dyDescent="0.25">
      <c r="A25" s="32"/>
      <c r="B25" s="26"/>
      <c r="C25" s="26"/>
      <c r="D25" s="26" t="s">
        <v>29</v>
      </c>
      <c r="E25" s="4"/>
      <c r="F25" s="4"/>
      <c r="G25" s="4" t="s">
        <v>79</v>
      </c>
      <c r="H25" s="4"/>
      <c r="I25" s="4"/>
      <c r="J25" s="4"/>
      <c r="K25" s="4"/>
      <c r="L25" s="26" t="s">
        <v>28</v>
      </c>
      <c r="M25" s="26" t="s">
        <v>28</v>
      </c>
      <c r="N25" s="26">
        <v>95.1</v>
      </c>
      <c r="O25" s="26">
        <v>94.2</v>
      </c>
      <c r="P25" s="26">
        <v>96.1</v>
      </c>
      <c r="Q25" s="26">
        <v>91.5</v>
      </c>
      <c r="R25" s="26">
        <v>95.1</v>
      </c>
      <c r="S25" s="26">
        <v>97.3</v>
      </c>
      <c r="T25" s="26">
        <v>98.1</v>
      </c>
      <c r="U25" s="26">
        <v>95.9</v>
      </c>
      <c r="V25" s="26">
        <v>91.9</v>
      </c>
      <c r="W25" s="26">
        <v>99.3</v>
      </c>
      <c r="X25" s="26">
        <v>99.3</v>
      </c>
      <c r="Y25" s="23"/>
      <c r="Z25" s="23"/>
      <c r="AA25" s="23"/>
      <c r="AB25" s="23"/>
      <c r="AC25" s="23"/>
      <c r="AD25" s="23"/>
      <c r="AE25" s="23"/>
    </row>
    <row r="26" spans="1:31" s="23" customFormat="1" ht="15" x14ac:dyDescent="0.25">
      <c r="A26" s="32"/>
      <c r="B26" s="26"/>
      <c r="C26" s="26"/>
      <c r="D26" s="26"/>
      <c r="E26" s="4"/>
      <c r="F26" s="4"/>
      <c r="G26" s="4" t="s">
        <v>72</v>
      </c>
      <c r="I26" s="4"/>
      <c r="J26" s="4"/>
      <c r="K26" s="4"/>
      <c r="L26" s="26">
        <v>26.4</v>
      </c>
      <c r="M26" s="26">
        <v>26.2</v>
      </c>
      <c r="N26" s="26">
        <v>44.6</v>
      </c>
      <c r="O26" s="26">
        <v>47.5</v>
      </c>
      <c r="P26" s="26">
        <v>47.3</v>
      </c>
      <c r="Q26" s="26">
        <v>48.8</v>
      </c>
      <c r="R26" s="26">
        <v>56.8</v>
      </c>
      <c r="S26" s="26">
        <v>56.8</v>
      </c>
      <c r="T26" s="26">
        <v>69.900000000000006</v>
      </c>
      <c r="U26" s="26">
        <v>75.7</v>
      </c>
      <c r="V26" s="26">
        <v>82.2</v>
      </c>
      <c r="W26" s="26">
        <v>89.1</v>
      </c>
      <c r="X26" s="26">
        <v>89.7</v>
      </c>
    </row>
    <row r="27" spans="1:31" s="23" customFormat="1" ht="15" x14ac:dyDescent="0.25">
      <c r="A27" s="32"/>
      <c r="B27" s="26"/>
      <c r="C27" s="26"/>
      <c r="D27" s="26"/>
      <c r="E27" s="4"/>
      <c r="F27" s="4"/>
      <c r="G27" s="4" t="s">
        <v>73</v>
      </c>
      <c r="I27" s="4"/>
      <c r="J27" s="4"/>
      <c r="K27" s="4"/>
      <c r="L27" s="26">
        <v>11.5</v>
      </c>
      <c r="M27" s="26">
        <v>9.6999999999999993</v>
      </c>
      <c r="N27" s="26">
        <v>13</v>
      </c>
      <c r="O27" s="26">
        <v>12.3</v>
      </c>
      <c r="P27" s="26">
        <v>14</v>
      </c>
      <c r="Q27" s="26">
        <v>11.6</v>
      </c>
      <c r="R27" s="26">
        <v>9.6999999999999993</v>
      </c>
      <c r="S27" s="26">
        <v>14.2</v>
      </c>
      <c r="T27" s="26">
        <v>10.3</v>
      </c>
      <c r="U27" s="26">
        <v>12.4</v>
      </c>
      <c r="V27" s="26">
        <v>16</v>
      </c>
      <c r="W27" s="26">
        <v>18.5</v>
      </c>
      <c r="X27" s="26">
        <v>18.2</v>
      </c>
    </row>
    <row r="28" spans="1:31" s="23" customFormat="1" ht="15" x14ac:dyDescent="0.25">
      <c r="A28" s="32"/>
      <c r="B28" s="26"/>
      <c r="C28" s="26"/>
      <c r="D28" s="26"/>
      <c r="E28" s="4"/>
      <c r="F28" s="4"/>
      <c r="G28" s="4" t="s">
        <v>74</v>
      </c>
      <c r="I28" s="4"/>
      <c r="J28" s="4"/>
      <c r="K28" s="4"/>
      <c r="L28" s="26">
        <v>26.7</v>
      </c>
      <c r="M28" s="26">
        <v>23.5</v>
      </c>
      <c r="N28" s="26">
        <v>22.8</v>
      </c>
      <c r="O28" s="26">
        <v>25.3</v>
      </c>
      <c r="P28" s="26">
        <v>22.8</v>
      </c>
      <c r="Q28" s="26">
        <v>20.9</v>
      </c>
      <c r="R28" s="26">
        <v>21.1</v>
      </c>
      <c r="S28" s="26">
        <v>20.3</v>
      </c>
      <c r="T28" s="26">
        <v>18.899999999999999</v>
      </c>
      <c r="U28" s="26">
        <v>18.3</v>
      </c>
      <c r="V28" s="26">
        <v>19.5</v>
      </c>
      <c r="W28" s="26">
        <v>20.6</v>
      </c>
      <c r="X28" s="26">
        <v>22.9</v>
      </c>
    </row>
    <row r="29" spans="1:31" s="23" customFormat="1" ht="15" x14ac:dyDescent="0.25">
      <c r="A29" s="32"/>
      <c r="B29" s="26"/>
      <c r="C29" s="26"/>
      <c r="D29" s="26"/>
      <c r="E29" s="4"/>
      <c r="F29" s="4"/>
      <c r="G29" s="4" t="s">
        <v>75</v>
      </c>
      <c r="I29" s="4"/>
      <c r="J29" s="4"/>
      <c r="K29" s="4"/>
      <c r="L29" s="26">
        <v>10.8</v>
      </c>
      <c r="M29" s="26">
        <v>11.3</v>
      </c>
      <c r="N29" s="26">
        <v>10.1</v>
      </c>
      <c r="O29" s="26">
        <v>11.4</v>
      </c>
      <c r="P29" s="26">
        <v>11.8</v>
      </c>
      <c r="Q29" s="26">
        <v>11.5</v>
      </c>
      <c r="R29" s="26">
        <v>12.2</v>
      </c>
      <c r="S29" s="26">
        <v>11.5</v>
      </c>
      <c r="T29" s="26">
        <v>11.6</v>
      </c>
      <c r="U29" s="26">
        <v>12</v>
      </c>
      <c r="V29" s="26">
        <v>12.8</v>
      </c>
      <c r="W29" s="26">
        <v>13.8</v>
      </c>
      <c r="X29" s="26">
        <v>12.7</v>
      </c>
    </row>
    <row r="30" spans="1:31" ht="15" x14ac:dyDescent="0.25">
      <c r="A30" s="32"/>
      <c r="B30" s="26"/>
      <c r="C30" s="26"/>
      <c r="D30" s="26"/>
      <c r="E30" s="4"/>
      <c r="F30" s="4"/>
      <c r="G30" s="4"/>
      <c r="H30" s="4"/>
      <c r="I30" s="4"/>
      <c r="J30" s="4"/>
      <c r="K30" s="4"/>
      <c r="L30" s="26"/>
      <c r="M30" s="26"/>
      <c r="N30" s="26"/>
      <c r="O30" s="26"/>
      <c r="P30" s="26"/>
      <c r="Q30" s="26"/>
      <c r="R30" s="26"/>
      <c r="S30" s="26"/>
      <c r="T30" s="26"/>
      <c r="U30" s="26"/>
      <c r="V30" s="26"/>
      <c r="W30" s="26"/>
      <c r="X30" s="26"/>
      <c r="Y30" s="23"/>
      <c r="Z30" s="23"/>
      <c r="AA30" s="23"/>
      <c r="AB30" s="23"/>
      <c r="AC30" s="23"/>
      <c r="AD30" s="23"/>
      <c r="AE30" s="23"/>
    </row>
    <row r="31" spans="1:31" x14ac:dyDescent="0.3">
      <c r="A31" s="32"/>
      <c r="B31" s="26"/>
      <c r="C31" s="26" t="s">
        <v>30</v>
      </c>
      <c r="D31" s="26"/>
      <c r="E31" s="4"/>
      <c r="F31" s="4" t="s">
        <v>31</v>
      </c>
      <c r="G31" s="4"/>
      <c r="H31" s="4"/>
      <c r="I31" s="4"/>
      <c r="J31" s="4"/>
      <c r="K31" s="4"/>
      <c r="L31" s="27">
        <v>113.6</v>
      </c>
      <c r="M31" s="27">
        <v>112.7</v>
      </c>
      <c r="N31" s="27">
        <v>132.4</v>
      </c>
      <c r="O31" s="27">
        <v>142.1</v>
      </c>
      <c r="P31" s="27">
        <v>155.9</v>
      </c>
      <c r="Q31" s="27">
        <v>138.4</v>
      </c>
      <c r="R31" s="27">
        <v>159.6</v>
      </c>
      <c r="S31" s="27">
        <v>150.6</v>
      </c>
      <c r="T31" s="27">
        <v>156.4</v>
      </c>
      <c r="U31" s="27">
        <v>146.19999999999999</v>
      </c>
      <c r="V31" s="27">
        <v>151.9</v>
      </c>
      <c r="W31" s="27">
        <v>160</v>
      </c>
      <c r="X31" s="27">
        <v>156.9</v>
      </c>
      <c r="Y31" s="23" t="s">
        <v>11</v>
      </c>
      <c r="Z31" s="23"/>
      <c r="AA31" s="23"/>
      <c r="AB31" s="23"/>
      <c r="AC31" s="23"/>
      <c r="AD31" s="23"/>
      <c r="AE31" s="23"/>
    </row>
    <row r="32" spans="1:31" ht="15" x14ac:dyDescent="0.25">
      <c r="A32" s="32"/>
      <c r="B32" s="26"/>
      <c r="C32" s="26"/>
      <c r="D32" s="26" t="s">
        <v>32</v>
      </c>
      <c r="E32" s="4"/>
      <c r="F32" s="4"/>
      <c r="G32" s="4" t="s">
        <v>33</v>
      </c>
      <c r="H32" s="4"/>
      <c r="I32" s="4"/>
      <c r="J32" s="4"/>
      <c r="K32" s="4"/>
      <c r="L32" s="27">
        <v>106.6</v>
      </c>
      <c r="M32" s="27">
        <v>105.3</v>
      </c>
      <c r="N32" s="27">
        <v>122.7</v>
      </c>
      <c r="O32" s="27">
        <v>133.4</v>
      </c>
      <c r="P32" s="27">
        <v>146.4</v>
      </c>
      <c r="Q32" s="27">
        <v>130.6</v>
      </c>
      <c r="R32" s="27">
        <v>152.4</v>
      </c>
      <c r="S32" s="27">
        <v>144.19999999999999</v>
      </c>
      <c r="T32" s="27">
        <v>149.30000000000001</v>
      </c>
      <c r="U32" s="27">
        <v>141</v>
      </c>
      <c r="V32" s="27">
        <v>146.5</v>
      </c>
      <c r="W32" s="27">
        <v>159.30000000000001</v>
      </c>
      <c r="X32" s="27">
        <v>150.69999999999999</v>
      </c>
      <c r="Y32" s="23" t="s">
        <v>11</v>
      </c>
      <c r="Z32" s="23"/>
      <c r="AA32" s="23"/>
      <c r="AB32" s="23"/>
      <c r="AC32" s="23"/>
      <c r="AD32" s="23"/>
      <c r="AE32" s="23"/>
    </row>
    <row r="33" spans="1:31" ht="15" x14ac:dyDescent="0.25">
      <c r="A33" s="32"/>
      <c r="B33" s="26"/>
      <c r="C33" s="26"/>
      <c r="D33" s="26" t="s">
        <v>34</v>
      </c>
      <c r="E33" s="4"/>
      <c r="F33" s="4"/>
      <c r="G33" s="4" t="s">
        <v>35</v>
      </c>
      <c r="H33" s="4"/>
      <c r="I33" s="4"/>
      <c r="J33" s="4"/>
      <c r="K33" s="4"/>
      <c r="L33" s="27">
        <v>7</v>
      </c>
      <c r="M33" s="27">
        <v>7.4</v>
      </c>
      <c r="N33" s="27">
        <v>9.6999999999999993</v>
      </c>
      <c r="O33" s="27">
        <v>8.6999999999999993</v>
      </c>
      <c r="P33" s="27">
        <v>9.5</v>
      </c>
      <c r="Q33" s="27">
        <v>7.8</v>
      </c>
      <c r="R33" s="27">
        <v>7.2</v>
      </c>
      <c r="S33" s="27">
        <v>6.4</v>
      </c>
      <c r="T33" s="27">
        <v>7.1</v>
      </c>
      <c r="U33" s="27">
        <v>5.2</v>
      </c>
      <c r="V33" s="27">
        <v>5.4</v>
      </c>
      <c r="W33" s="27">
        <v>6.1</v>
      </c>
      <c r="X33" s="27">
        <v>8.1999999999999993</v>
      </c>
      <c r="Y33" s="23" t="s">
        <v>11</v>
      </c>
      <c r="Z33" s="23"/>
      <c r="AA33" s="23"/>
      <c r="AB33" s="23"/>
      <c r="AC33" s="23"/>
      <c r="AD33" s="23"/>
      <c r="AE33" s="23"/>
    </row>
    <row r="34" spans="1:31" s="149" customFormat="1" ht="15" x14ac:dyDescent="0.25">
      <c r="A34" s="32"/>
      <c r="B34" s="26"/>
      <c r="C34" s="26"/>
      <c r="D34" s="26"/>
      <c r="E34" s="4"/>
      <c r="F34" s="4"/>
      <c r="G34" s="4"/>
      <c r="H34" s="4"/>
      <c r="I34" s="4"/>
      <c r="J34" s="4"/>
      <c r="K34" s="4"/>
      <c r="L34" s="26"/>
      <c r="M34" s="26"/>
      <c r="N34" s="26"/>
      <c r="O34" s="26"/>
      <c r="P34" s="26"/>
      <c r="Q34" s="26"/>
      <c r="R34" s="26"/>
      <c r="S34" s="26"/>
      <c r="T34" s="26"/>
      <c r="U34" s="26"/>
      <c r="V34" s="26"/>
      <c r="W34" s="26"/>
      <c r="X34" s="26"/>
    </row>
    <row r="35" spans="1:31" ht="15" x14ac:dyDescent="0.25">
      <c r="A35" s="32"/>
      <c r="B35" s="26"/>
      <c r="C35" s="26" t="s">
        <v>36</v>
      </c>
      <c r="D35" s="26"/>
      <c r="E35" s="4"/>
      <c r="F35" s="4" t="s">
        <v>37</v>
      </c>
      <c r="G35" s="4"/>
      <c r="H35" s="4"/>
      <c r="I35" s="4"/>
      <c r="J35" s="4"/>
      <c r="K35" s="4"/>
      <c r="L35" s="27">
        <v>40.6</v>
      </c>
      <c r="M35" s="27">
        <v>37.6</v>
      </c>
      <c r="N35" s="27">
        <v>32.200000000000003</v>
      </c>
      <c r="O35" s="27">
        <v>33.200000000000003</v>
      </c>
      <c r="P35" s="27">
        <v>33.4</v>
      </c>
      <c r="Q35" s="27">
        <v>31.4</v>
      </c>
      <c r="R35" s="27">
        <v>30</v>
      </c>
      <c r="S35" s="27">
        <v>30.2</v>
      </c>
      <c r="T35" s="27">
        <v>29.3</v>
      </c>
      <c r="U35" s="27">
        <v>30.9</v>
      </c>
      <c r="V35" s="27">
        <v>32.1</v>
      </c>
      <c r="W35" s="27">
        <v>35</v>
      </c>
      <c r="X35" s="27">
        <v>36.1</v>
      </c>
      <c r="Y35" s="23" t="s">
        <v>11</v>
      </c>
      <c r="Z35" s="10"/>
      <c r="AA35" s="10"/>
      <c r="AB35" s="10"/>
      <c r="AC35" s="10"/>
      <c r="AD35" s="23"/>
      <c r="AE35" s="23"/>
    </row>
    <row r="36" spans="1:31" ht="15" x14ac:dyDescent="0.25">
      <c r="A36" s="32"/>
      <c r="B36" s="26"/>
      <c r="C36" s="26"/>
      <c r="D36" s="26"/>
      <c r="E36" s="4"/>
      <c r="F36" s="4"/>
      <c r="G36" s="4"/>
      <c r="H36" s="4"/>
      <c r="I36" s="4"/>
      <c r="J36" s="4"/>
      <c r="K36" s="4"/>
      <c r="L36" s="26"/>
      <c r="M36" s="26"/>
      <c r="N36" s="26"/>
      <c r="O36" s="26"/>
      <c r="P36" s="26"/>
      <c r="Q36" s="26"/>
      <c r="R36" s="26"/>
      <c r="S36" s="26"/>
      <c r="T36" s="26"/>
      <c r="U36" s="26"/>
      <c r="V36" s="26"/>
      <c r="W36" s="26"/>
      <c r="X36" s="26"/>
      <c r="Y36" s="23"/>
      <c r="Z36" s="23"/>
      <c r="AA36" s="23"/>
      <c r="AB36" s="23"/>
      <c r="AC36" s="23"/>
      <c r="AD36" s="23"/>
      <c r="AE36" s="23"/>
    </row>
    <row r="37" spans="1:31" ht="15" x14ac:dyDescent="0.25">
      <c r="A37" s="32"/>
      <c r="B37" s="26"/>
      <c r="C37" s="26" t="s">
        <v>38</v>
      </c>
      <c r="D37" s="26"/>
      <c r="E37" s="4"/>
      <c r="F37" s="4"/>
      <c r="G37" s="4"/>
      <c r="H37" s="4"/>
      <c r="I37" s="4"/>
      <c r="J37" s="4"/>
      <c r="K37" s="4"/>
      <c r="L37" s="29">
        <f t="shared" ref="L37:X37" si="1">(L13-L31)/(L13+L19+L22-L31)</f>
        <v>0.34306380780160173</v>
      </c>
      <c r="M37" s="29">
        <f t="shared" si="1"/>
        <v>0.36912156166814553</v>
      </c>
      <c r="N37" s="29">
        <f t="shared" si="1"/>
        <v>0.34147431124348465</v>
      </c>
      <c r="O37" s="29">
        <f t="shared" si="1"/>
        <v>0.32519472738166566</v>
      </c>
      <c r="P37" s="29">
        <f t="shared" si="1"/>
        <v>0.32925600805871347</v>
      </c>
      <c r="Q37" s="29">
        <f t="shared" si="1"/>
        <v>0.35254288293710501</v>
      </c>
      <c r="R37" s="29">
        <f t="shared" si="1"/>
        <v>0.36547085201793722</v>
      </c>
      <c r="S37" s="29">
        <f t="shared" si="1"/>
        <v>0.35353124576386064</v>
      </c>
      <c r="T37" s="29">
        <f t="shared" si="1"/>
        <v>0.35042050460552659</v>
      </c>
      <c r="U37" s="29">
        <f t="shared" si="1"/>
        <v>0.30188164712298882</v>
      </c>
      <c r="V37" s="29">
        <f t="shared" si="1"/>
        <v>0.34377605717689103</v>
      </c>
      <c r="W37" s="29">
        <f t="shared" si="1"/>
        <v>0.36096401167189024</v>
      </c>
      <c r="X37" s="29">
        <f t="shared" si="1"/>
        <v>0.36501270858658402</v>
      </c>
      <c r="Y37" s="23"/>
      <c r="Z37" s="23"/>
      <c r="AA37" s="23"/>
      <c r="AB37" s="23"/>
      <c r="AC37" s="23"/>
      <c r="AD37" s="23"/>
      <c r="AE37" s="23"/>
    </row>
    <row r="38" spans="1:31" ht="15" x14ac:dyDescent="0.25">
      <c r="A38" s="32"/>
      <c r="B38" s="26"/>
      <c r="C38" s="26"/>
      <c r="D38" s="26"/>
      <c r="E38" s="4"/>
      <c r="F38" s="4"/>
      <c r="G38" s="4"/>
      <c r="H38" s="4"/>
      <c r="I38" s="4"/>
      <c r="J38" s="4"/>
      <c r="K38" s="4"/>
      <c r="L38" s="26"/>
      <c r="M38" s="26"/>
      <c r="N38" s="26"/>
      <c r="O38" s="26"/>
      <c r="P38" s="26"/>
      <c r="Q38" s="26"/>
      <c r="R38" s="26"/>
      <c r="S38" s="26"/>
      <c r="T38" s="26"/>
      <c r="U38" s="26"/>
      <c r="V38" s="26"/>
      <c r="W38" s="26"/>
      <c r="X38" s="26"/>
      <c r="Y38" s="23"/>
      <c r="Z38" s="23"/>
      <c r="AA38" s="23"/>
      <c r="AB38" s="23"/>
      <c r="AC38" s="23"/>
      <c r="AD38" s="23"/>
    </row>
    <row r="39" spans="1:31" ht="15" x14ac:dyDescent="0.25">
      <c r="A39" s="32"/>
      <c r="B39" s="347" t="s">
        <v>39</v>
      </c>
      <c r="C39" s="32"/>
      <c r="D39" s="32"/>
      <c r="E39" s="6" t="s">
        <v>40</v>
      </c>
      <c r="F39" s="4"/>
      <c r="G39" s="4"/>
      <c r="H39" s="4"/>
      <c r="I39" s="4"/>
      <c r="J39" s="4"/>
      <c r="K39" s="4"/>
      <c r="L39" s="26"/>
      <c r="M39" s="26"/>
      <c r="N39" s="26"/>
      <c r="O39" s="26"/>
      <c r="P39" s="26"/>
      <c r="Q39" s="26"/>
      <c r="R39" s="26"/>
      <c r="S39" s="26"/>
      <c r="T39" s="26"/>
      <c r="U39" s="26"/>
      <c r="V39" s="26"/>
      <c r="W39" s="26"/>
      <c r="X39" s="26"/>
      <c r="Y39" s="23"/>
      <c r="Z39" s="23"/>
      <c r="AA39" s="23"/>
      <c r="AB39" s="23"/>
      <c r="AC39" s="23"/>
      <c r="AD39" s="23"/>
    </row>
    <row r="40" spans="1:31" ht="15" x14ac:dyDescent="0.25">
      <c r="A40" s="32"/>
      <c r="B40" s="32"/>
      <c r="C40" s="32"/>
      <c r="D40" s="32"/>
      <c r="E40" s="4"/>
      <c r="F40" s="4"/>
      <c r="G40" s="4"/>
      <c r="H40" s="4"/>
      <c r="I40" s="4"/>
      <c r="J40" s="4"/>
      <c r="K40" s="4"/>
      <c r="L40" s="26"/>
      <c r="M40" s="26"/>
      <c r="N40" s="26"/>
      <c r="O40" s="26"/>
      <c r="P40" s="26"/>
      <c r="Q40" s="26"/>
      <c r="R40" s="26"/>
      <c r="S40" s="26"/>
      <c r="T40" s="26"/>
      <c r="U40" s="26"/>
      <c r="V40" s="26"/>
      <c r="W40" s="26"/>
      <c r="X40" s="26"/>
      <c r="Y40" s="23"/>
      <c r="Z40" s="23"/>
      <c r="AA40" s="23"/>
      <c r="AB40" s="23"/>
      <c r="AC40" s="23"/>
      <c r="AD40" s="23"/>
    </row>
    <row r="41" spans="1:31" ht="15" x14ac:dyDescent="0.25">
      <c r="A41" s="32"/>
      <c r="B41" s="36"/>
      <c r="C41" s="32" t="s">
        <v>41</v>
      </c>
      <c r="D41" s="26"/>
      <c r="E41" s="4"/>
      <c r="F41" s="4" t="s">
        <v>42</v>
      </c>
      <c r="G41" s="4"/>
      <c r="H41" s="4"/>
      <c r="I41" s="4"/>
      <c r="J41" s="4"/>
      <c r="K41" s="4"/>
      <c r="L41" s="27">
        <v>19.8</v>
      </c>
      <c r="M41" s="27">
        <v>18.3</v>
      </c>
      <c r="N41" s="27">
        <v>19</v>
      </c>
      <c r="O41" s="27">
        <v>18.7</v>
      </c>
      <c r="P41" s="27">
        <v>17.899999999999999</v>
      </c>
      <c r="Q41" s="27">
        <v>17.399999999999999</v>
      </c>
      <c r="R41" s="27">
        <v>17.7</v>
      </c>
      <c r="S41" s="27">
        <v>18.899999999999999</v>
      </c>
      <c r="T41" s="27">
        <v>19.2</v>
      </c>
      <c r="U41" s="27">
        <v>19.399999999999999</v>
      </c>
      <c r="V41" s="27">
        <v>19</v>
      </c>
      <c r="W41" s="27">
        <v>22.2</v>
      </c>
      <c r="X41" s="27">
        <v>23.2</v>
      </c>
      <c r="Y41" s="23" t="s">
        <v>11</v>
      </c>
      <c r="Z41" s="23"/>
      <c r="AA41" s="10"/>
      <c r="AB41" s="10"/>
      <c r="AC41" s="10"/>
      <c r="AD41" s="10"/>
    </row>
    <row r="42" spans="1:31" ht="15" x14ac:dyDescent="0.25">
      <c r="A42" s="32"/>
      <c r="B42" s="32"/>
      <c r="C42" s="32"/>
      <c r="D42" s="32"/>
      <c r="E42" s="4"/>
      <c r="F42" s="4"/>
      <c r="G42" s="4"/>
      <c r="H42" s="4"/>
      <c r="I42" s="4"/>
      <c r="J42" s="4"/>
      <c r="K42" s="4"/>
      <c r="L42" s="26"/>
      <c r="M42" s="26"/>
      <c r="N42" s="26"/>
      <c r="O42" s="26"/>
      <c r="P42" s="26"/>
      <c r="Q42" s="26"/>
      <c r="R42" s="26"/>
      <c r="S42" s="26"/>
      <c r="T42" s="26"/>
      <c r="U42" s="26"/>
      <c r="V42" s="26"/>
      <c r="W42" s="26"/>
      <c r="X42" s="26"/>
      <c r="Y42" s="23"/>
      <c r="Z42" s="23"/>
      <c r="AA42" s="23"/>
      <c r="AB42" s="23"/>
      <c r="AC42" s="23"/>
      <c r="AD42" s="23"/>
    </row>
    <row r="43" spans="1:31" ht="15" x14ac:dyDescent="0.25">
      <c r="A43" s="32"/>
      <c r="B43" s="32"/>
      <c r="C43" s="32" t="s">
        <v>43</v>
      </c>
      <c r="D43" s="32"/>
      <c r="E43" s="4"/>
      <c r="F43" s="4" t="s">
        <v>44</v>
      </c>
      <c r="G43" s="4"/>
      <c r="H43" s="4"/>
      <c r="I43" s="4"/>
      <c r="J43" s="4"/>
      <c r="K43" s="4"/>
      <c r="L43" s="28">
        <v>6.5</v>
      </c>
      <c r="M43" s="28">
        <v>7</v>
      </c>
      <c r="N43" s="28">
        <v>14</v>
      </c>
      <c r="O43" s="28">
        <v>14.3</v>
      </c>
      <c r="P43" s="28">
        <v>13.3</v>
      </c>
      <c r="Q43" s="28">
        <v>12.9</v>
      </c>
      <c r="R43" s="28">
        <v>14.2</v>
      </c>
      <c r="S43" s="28">
        <v>14.6</v>
      </c>
      <c r="T43" s="28">
        <v>14.9</v>
      </c>
      <c r="U43" s="28">
        <v>14.9</v>
      </c>
      <c r="V43" s="28">
        <v>15.2</v>
      </c>
      <c r="W43" s="28">
        <v>15.7</v>
      </c>
      <c r="X43" s="28">
        <v>16.100000000000001</v>
      </c>
      <c r="Y43" s="23" t="s">
        <v>11</v>
      </c>
      <c r="Z43" s="23"/>
      <c r="AA43" s="23"/>
      <c r="AB43" s="23"/>
      <c r="AC43" s="23"/>
      <c r="AD43" s="23"/>
    </row>
    <row r="44" spans="1:31" ht="15" x14ac:dyDescent="0.25">
      <c r="A44" s="32"/>
      <c r="B44" s="32"/>
      <c r="C44" s="32"/>
      <c r="D44" s="32"/>
      <c r="E44" s="4"/>
      <c r="F44" s="4"/>
      <c r="G44" s="4"/>
      <c r="H44" s="4"/>
      <c r="I44" s="4"/>
      <c r="J44" s="4"/>
      <c r="K44" s="4"/>
      <c r="L44" s="26"/>
      <c r="M44" s="26"/>
      <c r="N44" s="26"/>
      <c r="O44" s="26"/>
      <c r="P44" s="26"/>
      <c r="Q44" s="26"/>
      <c r="R44" s="26"/>
      <c r="S44" s="26"/>
      <c r="T44" s="26"/>
      <c r="U44" s="26"/>
      <c r="V44" s="26"/>
      <c r="W44" s="26"/>
      <c r="X44" s="26"/>
      <c r="Y44" s="23"/>
      <c r="Z44" s="23"/>
      <c r="AA44" s="23"/>
      <c r="AB44" s="23"/>
      <c r="AC44" s="23"/>
      <c r="AD44" s="23"/>
    </row>
    <row r="45" spans="1:31" ht="15" x14ac:dyDescent="0.25">
      <c r="A45" s="32"/>
      <c r="B45" s="26"/>
      <c r="C45" s="26" t="s">
        <v>45</v>
      </c>
      <c r="D45" s="26"/>
      <c r="E45" s="4"/>
      <c r="F45" s="4" t="s">
        <v>46</v>
      </c>
      <c r="G45" s="4"/>
      <c r="H45" s="4"/>
      <c r="I45" s="4"/>
      <c r="J45" s="4"/>
      <c r="K45" s="4"/>
      <c r="L45" s="28">
        <v>569.1</v>
      </c>
      <c r="M45" s="28">
        <v>652.1</v>
      </c>
      <c r="N45" s="28">
        <v>781.2</v>
      </c>
      <c r="O45" s="28">
        <v>949.8</v>
      </c>
      <c r="P45" s="28">
        <v>962.2</v>
      </c>
      <c r="Q45" s="28">
        <v>994.8</v>
      </c>
      <c r="R45" s="28">
        <v>964.5</v>
      </c>
      <c r="S45" s="34">
        <v>1032.7</v>
      </c>
      <c r="T45" s="28">
        <v>982.2</v>
      </c>
      <c r="U45" s="28">
        <v>1013.4</v>
      </c>
      <c r="V45" s="28">
        <v>1047.4000000000001</v>
      </c>
      <c r="W45" s="28">
        <v>1004.9</v>
      </c>
      <c r="X45" s="28">
        <v>1070.8</v>
      </c>
      <c r="Y45" s="23"/>
      <c r="Z45" s="23"/>
      <c r="AA45" s="23"/>
      <c r="AB45" s="23"/>
      <c r="AC45" s="23"/>
      <c r="AD45" s="23"/>
    </row>
    <row r="46" spans="1:31" x14ac:dyDescent="0.3">
      <c r="A46" s="32"/>
      <c r="B46" s="32"/>
      <c r="C46" s="32"/>
      <c r="D46" s="32"/>
      <c r="E46" s="4"/>
      <c r="F46" s="4"/>
      <c r="G46" s="4"/>
      <c r="H46" s="4"/>
      <c r="I46" s="4"/>
      <c r="J46" s="4"/>
      <c r="K46" s="4"/>
      <c r="L46" s="26"/>
      <c r="M46" s="26"/>
      <c r="N46" s="26"/>
      <c r="O46" s="26"/>
      <c r="P46" s="26"/>
      <c r="Q46" s="26"/>
      <c r="R46" s="26"/>
      <c r="S46" s="26"/>
      <c r="T46" s="26"/>
      <c r="U46" s="26"/>
      <c r="V46" s="26"/>
      <c r="W46" s="26"/>
      <c r="X46" s="26"/>
      <c r="Y46" s="23"/>
      <c r="Z46" s="23"/>
      <c r="AA46" s="23"/>
      <c r="AB46" s="23"/>
      <c r="AC46" s="23"/>
      <c r="AD46" s="23"/>
    </row>
    <row r="47" spans="1:31" x14ac:dyDescent="0.3">
      <c r="A47" s="32"/>
      <c r="B47" s="32"/>
      <c r="C47" s="32" t="s">
        <v>47</v>
      </c>
      <c r="D47" s="32"/>
      <c r="E47" s="4"/>
      <c r="F47" s="4" t="s">
        <v>47</v>
      </c>
      <c r="G47" s="4"/>
      <c r="H47" s="4"/>
      <c r="I47" s="4"/>
      <c r="J47" s="4"/>
      <c r="K47" s="4"/>
      <c r="L47" s="28">
        <v>162.19999999999999</v>
      </c>
      <c r="M47" s="28">
        <v>150.6</v>
      </c>
      <c r="N47" s="28">
        <v>122.2</v>
      </c>
      <c r="O47" s="28">
        <v>101.4</v>
      </c>
      <c r="P47" s="28">
        <v>86.7</v>
      </c>
      <c r="Q47" s="28">
        <v>87.9</v>
      </c>
      <c r="R47" s="28">
        <v>91.9</v>
      </c>
      <c r="S47" s="28">
        <v>88.9</v>
      </c>
      <c r="T47" s="28">
        <v>94.7</v>
      </c>
      <c r="U47" s="28">
        <v>99.2</v>
      </c>
      <c r="V47" s="28">
        <v>98.7</v>
      </c>
      <c r="W47" s="28">
        <v>105.1</v>
      </c>
      <c r="X47" s="28">
        <v>108.8</v>
      </c>
      <c r="Y47" s="23"/>
      <c r="Z47" s="23"/>
      <c r="AA47" s="23"/>
      <c r="AB47" s="23"/>
      <c r="AC47" s="23"/>
      <c r="AD47" s="23"/>
    </row>
    <row r="48" spans="1:31" s="23" customFormat="1" x14ac:dyDescent="0.3">
      <c r="A48" s="32"/>
      <c r="B48" s="32"/>
      <c r="C48" s="32"/>
      <c r="D48" s="32"/>
      <c r="E48" s="4"/>
      <c r="F48" s="4"/>
      <c r="G48" s="4" t="s">
        <v>71</v>
      </c>
      <c r="H48" s="4"/>
      <c r="I48" s="4"/>
      <c r="J48" s="4"/>
      <c r="K48" s="4"/>
      <c r="L48" s="28">
        <v>82.9</v>
      </c>
      <c r="M48" s="28">
        <v>62.1</v>
      </c>
      <c r="N48" s="28">
        <v>42.7</v>
      </c>
      <c r="O48" s="28">
        <v>17.2</v>
      </c>
      <c r="P48" s="28" t="s">
        <v>28</v>
      </c>
      <c r="Q48" s="28" t="s">
        <v>28</v>
      </c>
      <c r="R48" s="28" t="s">
        <v>28</v>
      </c>
      <c r="S48" s="28" t="s">
        <v>28</v>
      </c>
      <c r="T48" s="28" t="s">
        <v>28</v>
      </c>
      <c r="U48" s="28" t="s">
        <v>28</v>
      </c>
      <c r="V48" s="28" t="s">
        <v>28</v>
      </c>
      <c r="W48" s="28" t="s">
        <v>28</v>
      </c>
      <c r="X48" s="28" t="s">
        <v>28</v>
      </c>
    </row>
    <row r="49" spans="1:31" x14ac:dyDescent="0.3">
      <c r="A49" s="32"/>
      <c r="B49" s="32"/>
      <c r="C49" s="32"/>
      <c r="D49" s="32" t="s">
        <v>48</v>
      </c>
      <c r="E49" s="4"/>
      <c r="F49" s="4"/>
      <c r="G49" s="4" t="s">
        <v>49</v>
      </c>
      <c r="H49" s="4"/>
      <c r="I49" s="4"/>
      <c r="J49" s="4"/>
      <c r="K49" s="4"/>
      <c r="L49" s="28">
        <v>68.2</v>
      </c>
      <c r="M49" s="28">
        <v>77.5</v>
      </c>
      <c r="N49" s="28">
        <v>68.2</v>
      </c>
      <c r="O49" s="28">
        <v>72.599999999999994</v>
      </c>
      <c r="P49" s="28">
        <v>76.599999999999994</v>
      </c>
      <c r="Q49" s="28">
        <v>76</v>
      </c>
      <c r="R49" s="28">
        <v>76.7</v>
      </c>
      <c r="S49" s="28">
        <v>78.2</v>
      </c>
      <c r="T49" s="28">
        <v>81.900000000000006</v>
      </c>
      <c r="U49" s="28">
        <v>85.1</v>
      </c>
      <c r="V49" s="28">
        <v>85.1</v>
      </c>
      <c r="W49" s="28">
        <v>90.5</v>
      </c>
      <c r="X49" s="28">
        <v>93.4</v>
      </c>
      <c r="Y49" s="23"/>
      <c r="Z49" s="23"/>
      <c r="AA49" s="23"/>
      <c r="AB49" s="23"/>
      <c r="AC49" s="23"/>
      <c r="AD49" s="23"/>
    </row>
    <row r="50" spans="1:31" x14ac:dyDescent="0.3">
      <c r="A50" s="32"/>
      <c r="B50" s="32"/>
      <c r="C50" s="32"/>
      <c r="D50" s="32" t="s">
        <v>50</v>
      </c>
      <c r="E50" s="4"/>
      <c r="F50" s="4"/>
      <c r="G50" s="4" t="s">
        <v>51</v>
      </c>
      <c r="H50" s="4"/>
      <c r="I50" s="4"/>
      <c r="J50" s="4"/>
      <c r="K50" s="4"/>
      <c r="L50" s="28">
        <v>11.1</v>
      </c>
      <c r="M50" s="28">
        <v>11</v>
      </c>
      <c r="N50" s="28">
        <v>11.3</v>
      </c>
      <c r="O50" s="28">
        <v>11.6</v>
      </c>
      <c r="P50" s="28">
        <v>10.1</v>
      </c>
      <c r="Q50" s="28">
        <v>11.9</v>
      </c>
      <c r="R50" s="28">
        <v>15.2</v>
      </c>
      <c r="S50" s="28">
        <v>10.7</v>
      </c>
      <c r="T50" s="28">
        <v>12.8</v>
      </c>
      <c r="U50" s="28">
        <v>14.1</v>
      </c>
      <c r="V50" s="28">
        <v>13.6</v>
      </c>
      <c r="W50" s="28">
        <v>14.6</v>
      </c>
      <c r="X50" s="28">
        <v>15.4</v>
      </c>
      <c r="Y50" s="23"/>
      <c r="Z50" s="23"/>
      <c r="AA50" s="23"/>
      <c r="AB50" s="23"/>
      <c r="AC50" s="23"/>
      <c r="AD50" s="23"/>
    </row>
    <row r="51" spans="1:31" x14ac:dyDescent="0.3">
      <c r="A51" s="32"/>
      <c r="B51" s="32"/>
      <c r="C51" s="32"/>
      <c r="D51" s="32"/>
      <c r="E51" s="4"/>
      <c r="F51" s="4"/>
      <c r="G51" s="4"/>
      <c r="H51" s="4"/>
      <c r="I51" s="4"/>
      <c r="J51" s="4"/>
      <c r="K51" s="4"/>
      <c r="L51" s="26"/>
      <c r="M51" s="26"/>
      <c r="N51" s="26"/>
      <c r="O51" s="26"/>
      <c r="P51" s="26"/>
      <c r="Q51" s="26"/>
      <c r="R51" s="26"/>
      <c r="S51" s="26"/>
      <c r="T51" s="26"/>
      <c r="U51" s="26"/>
      <c r="V51" s="26"/>
      <c r="W51" s="26"/>
      <c r="X51" s="26"/>
      <c r="Y51" s="23"/>
      <c r="Z51" s="23"/>
      <c r="AA51" s="23"/>
      <c r="AB51" s="23"/>
      <c r="AC51" s="23"/>
      <c r="AD51" s="23"/>
    </row>
    <row r="52" spans="1:31" x14ac:dyDescent="0.3">
      <c r="A52" s="32"/>
      <c r="B52" s="32"/>
      <c r="C52" s="32" t="s">
        <v>52</v>
      </c>
      <c r="D52" s="32"/>
      <c r="E52" s="4"/>
      <c r="F52" s="4" t="s">
        <v>53</v>
      </c>
      <c r="G52" s="4"/>
      <c r="H52" s="4"/>
      <c r="I52" s="4"/>
      <c r="J52" s="4"/>
      <c r="K52" s="4"/>
      <c r="L52" s="169" t="s">
        <v>28</v>
      </c>
      <c r="M52" s="28">
        <v>41.4</v>
      </c>
      <c r="N52" s="28">
        <v>40.5</v>
      </c>
      <c r="O52" s="28">
        <v>41.2</v>
      </c>
      <c r="P52" s="28">
        <v>43.1</v>
      </c>
      <c r="Q52" s="28">
        <v>41.3</v>
      </c>
      <c r="R52" s="28">
        <v>39.5</v>
      </c>
      <c r="S52" s="28">
        <v>43.5</v>
      </c>
      <c r="T52" s="28">
        <v>44.1</v>
      </c>
      <c r="U52" s="28">
        <v>43.4</v>
      </c>
      <c r="V52" s="28">
        <v>47.3</v>
      </c>
      <c r="W52" s="28">
        <v>46.2</v>
      </c>
      <c r="X52" s="28">
        <v>44.5</v>
      </c>
      <c r="Y52" s="23"/>
      <c r="Z52" s="23" t="s">
        <v>318</v>
      </c>
      <c r="AA52" s="23"/>
      <c r="AB52" s="23"/>
      <c r="AC52" s="23"/>
      <c r="AD52" s="23"/>
    </row>
    <row r="53" spans="1:31" x14ac:dyDescent="0.3">
      <c r="A53" s="32"/>
      <c r="B53" s="32"/>
      <c r="C53" s="26" t="s">
        <v>317</v>
      </c>
      <c r="D53" s="32"/>
      <c r="E53" s="4"/>
      <c r="F53" s="4"/>
      <c r="G53" s="4"/>
      <c r="H53" s="4"/>
      <c r="I53" s="4"/>
      <c r="J53" s="4"/>
      <c r="K53" s="4"/>
      <c r="L53" s="26"/>
      <c r="M53" s="26"/>
      <c r="N53" s="26"/>
      <c r="O53" s="26"/>
      <c r="P53" s="26"/>
      <c r="Q53" s="26"/>
      <c r="R53" s="26"/>
      <c r="S53" s="26"/>
      <c r="T53" s="26"/>
      <c r="U53" s="26"/>
      <c r="V53" s="26"/>
      <c r="W53" s="26"/>
      <c r="X53" s="26"/>
      <c r="Y53" s="23"/>
      <c r="Z53" s="23"/>
      <c r="AA53" s="23"/>
      <c r="AB53" s="23"/>
      <c r="AC53" s="23"/>
      <c r="AD53" s="23"/>
    </row>
    <row r="54" spans="1:31" s="149" customFormat="1" x14ac:dyDescent="0.3">
      <c r="A54" s="32"/>
      <c r="B54" s="32"/>
      <c r="C54" s="26"/>
      <c r="D54" s="32"/>
      <c r="E54" s="4"/>
      <c r="F54" s="4"/>
      <c r="G54" s="4"/>
      <c r="H54" s="4"/>
      <c r="I54" s="4"/>
      <c r="J54" s="4"/>
      <c r="K54" s="4"/>
      <c r="L54" s="26"/>
      <c r="M54" s="26"/>
      <c r="N54" s="26"/>
      <c r="O54" s="26"/>
      <c r="P54" s="26"/>
      <c r="Q54" s="26"/>
      <c r="R54" s="26"/>
      <c r="S54" s="26"/>
      <c r="T54" s="26"/>
      <c r="U54" s="26"/>
      <c r="V54" s="26"/>
      <c r="W54" s="26"/>
      <c r="X54" s="26"/>
    </row>
    <row r="55" spans="1:31" x14ac:dyDescent="0.3">
      <c r="A55" s="32"/>
      <c r="B55" s="347" t="s">
        <v>54</v>
      </c>
      <c r="C55" s="32"/>
      <c r="D55" s="32"/>
      <c r="E55" s="6" t="s">
        <v>55</v>
      </c>
      <c r="F55" s="4"/>
      <c r="G55" s="4"/>
      <c r="H55" s="4"/>
      <c r="I55" s="4"/>
      <c r="J55" s="4"/>
      <c r="K55" s="4"/>
      <c r="L55" s="28"/>
      <c r="M55" s="28"/>
      <c r="N55" s="28"/>
      <c r="O55" s="28"/>
      <c r="P55" s="28"/>
      <c r="Q55" s="28"/>
      <c r="R55" s="28"/>
      <c r="S55" s="28"/>
      <c r="T55" s="28"/>
      <c r="U55" s="28"/>
      <c r="V55" s="28">
        <v>-111.5</v>
      </c>
      <c r="W55" s="28">
        <v>-120.9</v>
      </c>
      <c r="X55" s="28">
        <v>-192.8</v>
      </c>
      <c r="Y55" s="23"/>
      <c r="Z55" s="10"/>
      <c r="AA55" s="23"/>
      <c r="AB55" s="23"/>
      <c r="AC55" s="23"/>
      <c r="AD55" s="23"/>
    </row>
    <row r="56" spans="1:31" x14ac:dyDescent="0.3">
      <c r="A56" s="32"/>
      <c r="B56" s="32"/>
      <c r="C56" s="32"/>
      <c r="D56" s="32"/>
      <c r="E56" s="4"/>
      <c r="F56" s="4"/>
      <c r="G56" s="4"/>
      <c r="H56" s="4"/>
      <c r="I56" s="4"/>
      <c r="J56" s="4"/>
      <c r="K56" s="4"/>
      <c r="L56" s="26"/>
      <c r="M56" s="26"/>
      <c r="N56" s="26"/>
      <c r="O56" s="26"/>
      <c r="P56" s="26"/>
      <c r="Q56" s="26"/>
      <c r="R56" s="26"/>
      <c r="S56" s="26"/>
      <c r="T56" s="26"/>
      <c r="U56" s="26"/>
      <c r="V56" s="26"/>
      <c r="W56" s="26"/>
      <c r="X56" s="26"/>
      <c r="Y56" s="23"/>
      <c r="Z56" s="23"/>
      <c r="AA56" s="23"/>
      <c r="AB56" s="23"/>
      <c r="AC56" s="23"/>
      <c r="AD56" s="23"/>
      <c r="AE56" s="23"/>
    </row>
    <row r="57" spans="1:31" x14ac:dyDescent="0.3">
      <c r="A57" s="32"/>
      <c r="B57" s="347" t="s">
        <v>56</v>
      </c>
      <c r="C57" s="32"/>
      <c r="D57" s="32"/>
      <c r="E57" s="6" t="s">
        <v>57</v>
      </c>
      <c r="F57" s="4"/>
      <c r="G57" s="4"/>
      <c r="H57" s="4"/>
      <c r="I57" s="4"/>
      <c r="J57" s="4"/>
      <c r="K57" s="4"/>
      <c r="L57" s="27">
        <v>35.6</v>
      </c>
      <c r="M57" s="27">
        <v>32.200000000000003</v>
      </c>
      <c r="N57" s="27">
        <v>28.6</v>
      </c>
      <c r="O57" s="27">
        <v>27.6</v>
      </c>
      <c r="P57" s="27">
        <v>27.8</v>
      </c>
      <c r="Q57" s="27">
        <v>28.2</v>
      </c>
      <c r="R57" s="27">
        <v>31.8</v>
      </c>
      <c r="S57" s="27">
        <v>29.5</v>
      </c>
      <c r="T57" s="27">
        <v>32.700000000000003</v>
      </c>
      <c r="U57" s="119">
        <v>31.9</v>
      </c>
      <c r="V57" s="27">
        <v>36.700000000000003</v>
      </c>
      <c r="W57" s="27">
        <v>38.6</v>
      </c>
      <c r="X57" s="27">
        <v>35.799999999999997</v>
      </c>
      <c r="Y57" s="23"/>
      <c r="Z57" s="10"/>
      <c r="AA57" s="10"/>
      <c r="AB57" s="10"/>
      <c r="AC57" s="10"/>
      <c r="AD57" s="10"/>
      <c r="AE57" s="10"/>
    </row>
    <row r="58" spans="1:31" x14ac:dyDescent="0.3">
      <c r="A58" s="32"/>
      <c r="B58" s="32" t="s">
        <v>58</v>
      </c>
      <c r="C58" s="32"/>
      <c r="D58" s="32"/>
      <c r="E58" s="10"/>
      <c r="F58" s="4"/>
      <c r="G58" s="4"/>
      <c r="H58" s="4"/>
      <c r="I58" s="4"/>
      <c r="J58" s="4"/>
      <c r="K58" s="4"/>
      <c r="L58" s="26"/>
      <c r="M58" s="26"/>
      <c r="N58" s="26"/>
      <c r="O58" s="26"/>
      <c r="P58" s="26"/>
      <c r="Q58" s="26"/>
      <c r="R58" s="26"/>
      <c r="S58" s="26"/>
      <c r="T58" s="26"/>
      <c r="U58" s="26"/>
      <c r="V58" s="26"/>
      <c r="W58" s="26"/>
      <c r="X58" s="26"/>
      <c r="Y58" s="23"/>
      <c r="Z58" s="23"/>
      <c r="AA58" s="23"/>
      <c r="AB58" s="23"/>
      <c r="AC58" s="23"/>
      <c r="AD58" s="23"/>
      <c r="AE58" s="23"/>
    </row>
    <row r="59" spans="1:31" s="149" customFormat="1" x14ac:dyDescent="0.3">
      <c r="A59" s="32"/>
      <c r="B59" s="32"/>
      <c r="C59" s="32"/>
      <c r="D59" s="32"/>
      <c r="E59" s="10"/>
      <c r="F59" s="4"/>
      <c r="G59" s="4"/>
      <c r="H59" s="4"/>
      <c r="I59" s="4"/>
      <c r="J59" s="4"/>
      <c r="K59" s="4"/>
      <c r="L59" s="26"/>
      <c r="M59" s="26"/>
      <c r="N59" s="26"/>
      <c r="O59" s="26"/>
      <c r="P59" s="26"/>
      <c r="Q59" s="26"/>
      <c r="R59" s="26"/>
      <c r="S59" s="26"/>
      <c r="T59" s="26"/>
      <c r="U59" s="26"/>
      <c r="V59" s="26"/>
      <c r="W59" s="26"/>
      <c r="X59" s="26"/>
    </row>
    <row r="60" spans="1:31" x14ac:dyDescent="0.3">
      <c r="A60" s="32"/>
      <c r="B60" s="347" t="s">
        <v>59</v>
      </c>
      <c r="C60" s="32"/>
      <c r="D60" s="32"/>
      <c r="E60" s="6" t="s">
        <v>60</v>
      </c>
      <c r="F60" s="4"/>
      <c r="G60" s="4"/>
      <c r="H60" s="4"/>
      <c r="I60" s="4"/>
      <c r="J60" s="4"/>
      <c r="K60" s="4"/>
      <c r="L60" s="26"/>
      <c r="M60" s="26"/>
      <c r="N60" s="26"/>
      <c r="O60" s="26"/>
      <c r="P60" s="26"/>
      <c r="Q60" s="26"/>
      <c r="R60" s="26"/>
      <c r="S60" s="26"/>
      <c r="T60" s="26"/>
      <c r="U60" s="26"/>
      <c r="V60" s="26"/>
      <c r="W60" s="26"/>
      <c r="X60" s="26"/>
      <c r="Y60" s="23"/>
      <c r="Z60" s="10"/>
      <c r="AA60" s="10"/>
      <c r="AB60" s="10"/>
      <c r="AC60" s="10"/>
      <c r="AD60" s="10"/>
      <c r="AE60" s="23"/>
    </row>
    <row r="61" spans="1:31" x14ac:dyDescent="0.3">
      <c r="A61" s="32"/>
      <c r="B61" s="32"/>
      <c r="C61" s="32" t="s">
        <v>61</v>
      </c>
      <c r="D61" s="32"/>
      <c r="E61" s="10"/>
      <c r="F61" s="4" t="s">
        <v>62</v>
      </c>
      <c r="G61" s="4"/>
      <c r="H61" s="4"/>
      <c r="I61" s="4"/>
      <c r="J61" s="4"/>
      <c r="K61" s="4"/>
      <c r="L61" s="28" t="s">
        <v>28</v>
      </c>
      <c r="M61" s="28" t="s">
        <v>28</v>
      </c>
      <c r="N61" s="28" t="s">
        <v>28</v>
      </c>
      <c r="O61" s="28" t="s">
        <v>28</v>
      </c>
      <c r="P61" s="28">
        <v>16.8</v>
      </c>
      <c r="Q61" s="28">
        <v>-18.3</v>
      </c>
      <c r="R61" s="28">
        <v>-2.7</v>
      </c>
      <c r="S61" s="28">
        <v>10.5</v>
      </c>
      <c r="T61" s="28">
        <v>-9.3000000000000007</v>
      </c>
      <c r="U61" s="28">
        <v>17</v>
      </c>
      <c r="V61" s="28">
        <v>70.5</v>
      </c>
      <c r="W61" s="28">
        <v>-38.299999999999997</v>
      </c>
      <c r="X61" s="28">
        <v>46.4</v>
      </c>
      <c r="Y61" s="23"/>
      <c r="Z61" s="37"/>
      <c r="AA61" s="10"/>
      <c r="AB61" s="23"/>
      <c r="AC61" s="23"/>
      <c r="AD61" s="23"/>
      <c r="AE61" s="23"/>
    </row>
    <row r="62" spans="1:31" x14ac:dyDescent="0.3">
      <c r="A62" s="32"/>
      <c r="B62" s="32"/>
      <c r="C62" s="32"/>
      <c r="D62" s="32"/>
      <c r="E62" s="4"/>
      <c r="F62" s="4" t="s">
        <v>63</v>
      </c>
      <c r="G62" s="4"/>
      <c r="H62" s="4"/>
      <c r="I62" s="4"/>
      <c r="J62" s="4"/>
      <c r="K62" s="4"/>
      <c r="L62" s="26" t="s">
        <v>28</v>
      </c>
      <c r="M62" s="26" t="s">
        <v>28</v>
      </c>
      <c r="N62" s="26" t="s">
        <v>28</v>
      </c>
      <c r="O62" s="26" t="s">
        <v>28</v>
      </c>
      <c r="P62" s="26">
        <v>16.8</v>
      </c>
      <c r="Q62" s="26">
        <v>-18.3</v>
      </c>
      <c r="R62" s="26">
        <v>-2.7</v>
      </c>
      <c r="S62" s="26">
        <v>10.5</v>
      </c>
      <c r="T62" s="26">
        <v>-9.3000000000000007</v>
      </c>
      <c r="U62" s="26">
        <v>17.100000000000001</v>
      </c>
      <c r="V62" s="26">
        <v>3.1</v>
      </c>
      <c r="W62" s="26">
        <v>-18</v>
      </c>
      <c r="X62" s="35">
        <v>80</v>
      </c>
      <c r="Y62" s="23"/>
      <c r="Z62" s="10"/>
      <c r="AA62" s="10"/>
      <c r="AB62" s="23"/>
      <c r="AC62" s="23"/>
      <c r="AD62" s="23"/>
      <c r="AE62" s="23"/>
    </row>
    <row r="63" spans="1:31" x14ac:dyDescent="0.3">
      <c r="A63" s="32"/>
      <c r="B63" s="32"/>
      <c r="C63" s="32" t="s">
        <v>64</v>
      </c>
      <c r="D63" s="32"/>
      <c r="E63" s="10"/>
      <c r="F63" s="4" t="s">
        <v>65</v>
      </c>
      <c r="G63" s="4"/>
      <c r="H63" s="4"/>
      <c r="I63" s="4"/>
      <c r="J63" s="4"/>
      <c r="K63" s="4"/>
      <c r="L63" s="28" t="s">
        <v>28</v>
      </c>
      <c r="M63" s="28" t="s">
        <v>28</v>
      </c>
      <c r="N63" s="28" t="s">
        <v>28</v>
      </c>
      <c r="O63" s="28" t="s">
        <v>28</v>
      </c>
      <c r="P63" s="28" t="s">
        <v>28</v>
      </c>
      <c r="Q63" s="28" t="s">
        <v>28</v>
      </c>
      <c r="R63" s="28" t="s">
        <v>28</v>
      </c>
      <c r="S63" s="28">
        <v>-6.1</v>
      </c>
      <c r="T63" s="28">
        <v>46.6</v>
      </c>
      <c r="U63" s="28">
        <v>-91.7</v>
      </c>
      <c r="V63" s="28">
        <v>-46.6</v>
      </c>
      <c r="W63" s="28">
        <v>25.4</v>
      </c>
      <c r="X63" s="28"/>
      <c r="Y63" s="23"/>
      <c r="Z63" s="10"/>
      <c r="AA63" s="10"/>
      <c r="AB63" s="23"/>
      <c r="AC63" s="23"/>
      <c r="AD63" s="23"/>
      <c r="AE63" s="23"/>
    </row>
    <row r="64" spans="1:31" x14ac:dyDescent="0.3">
      <c r="A64" s="32"/>
      <c r="B64" s="32"/>
      <c r="C64" s="32"/>
      <c r="D64" s="32"/>
      <c r="E64" s="4"/>
      <c r="F64" s="4"/>
      <c r="G64" s="4"/>
      <c r="H64" s="4"/>
      <c r="I64" s="4"/>
      <c r="J64" s="4"/>
      <c r="K64" s="4"/>
      <c r="L64" s="26"/>
      <c r="M64" s="26"/>
      <c r="N64" s="26"/>
      <c r="O64" s="26"/>
      <c r="P64" s="26"/>
      <c r="Q64" s="26"/>
      <c r="R64" s="26"/>
      <c r="S64" s="26"/>
      <c r="T64" s="26"/>
      <c r="U64" s="26"/>
      <c r="V64" s="26"/>
      <c r="W64" s="26"/>
      <c r="X64" s="26"/>
      <c r="Y64" s="23"/>
      <c r="Z64" s="10"/>
      <c r="AA64" s="10"/>
      <c r="AB64" s="23"/>
      <c r="AC64" s="23"/>
      <c r="AD64" s="23"/>
      <c r="AE64" s="23"/>
    </row>
    <row r="65" spans="1:31" x14ac:dyDescent="0.3">
      <c r="A65" s="32"/>
      <c r="B65" s="32"/>
      <c r="C65" s="32" t="s">
        <v>66</v>
      </c>
      <c r="D65" s="32"/>
      <c r="E65" s="6" t="s">
        <v>67</v>
      </c>
      <c r="F65" s="4"/>
      <c r="G65" s="4"/>
      <c r="H65" s="4"/>
      <c r="I65" s="4"/>
      <c r="J65" s="4"/>
      <c r="K65" s="4"/>
      <c r="L65" s="28">
        <v>-5.9</v>
      </c>
      <c r="M65" s="28">
        <v>-5.2</v>
      </c>
      <c r="N65" s="28">
        <v>-4.4000000000000004</v>
      </c>
      <c r="O65" s="28">
        <v>-4</v>
      </c>
      <c r="P65" s="28">
        <v>-3.6</v>
      </c>
      <c r="Q65" s="28">
        <v>-3.3</v>
      </c>
      <c r="R65" s="28">
        <v>-0.7</v>
      </c>
      <c r="S65" s="28">
        <v>-0.6</v>
      </c>
      <c r="T65" s="28">
        <v>-0.7</v>
      </c>
      <c r="U65" s="28">
        <v>-0.4</v>
      </c>
      <c r="V65" s="28">
        <v>-0.5</v>
      </c>
      <c r="W65" s="28">
        <v>-0.9</v>
      </c>
      <c r="X65" s="28">
        <v>0.3</v>
      </c>
      <c r="Y65" s="23"/>
      <c r="Z65" s="10"/>
      <c r="AA65" s="10"/>
      <c r="AB65" s="23"/>
      <c r="AC65" s="23"/>
      <c r="AD65" s="23"/>
      <c r="AE65" s="23"/>
    </row>
    <row r="66" spans="1:31" x14ac:dyDescent="0.3">
      <c r="A66" s="32"/>
      <c r="B66" s="32"/>
      <c r="C66" s="32"/>
      <c r="D66" s="32"/>
      <c r="E66" s="4"/>
      <c r="F66" s="4"/>
      <c r="G66" s="4"/>
      <c r="H66" s="4"/>
      <c r="I66" s="4"/>
      <c r="J66" s="4"/>
      <c r="K66" s="4"/>
      <c r="L66" s="26"/>
      <c r="M66" s="26"/>
      <c r="N66" s="26"/>
      <c r="O66" s="26"/>
      <c r="P66" s="26"/>
      <c r="Q66" s="26"/>
      <c r="R66" s="26"/>
      <c r="S66" s="26"/>
      <c r="T66" s="26"/>
      <c r="U66" s="26"/>
      <c r="V66" s="26"/>
      <c r="W66" s="26"/>
      <c r="X66" s="26"/>
      <c r="Y66" s="23"/>
      <c r="Z66" s="23"/>
      <c r="AA66" s="23"/>
      <c r="AB66" s="23"/>
      <c r="AC66" s="23"/>
      <c r="AD66" s="23"/>
      <c r="AE66" s="23"/>
    </row>
    <row r="67" spans="1:31" x14ac:dyDescent="0.3">
      <c r="A67" s="32"/>
      <c r="B67" s="347" t="s">
        <v>68</v>
      </c>
      <c r="C67" s="32"/>
      <c r="D67" s="36"/>
      <c r="E67" s="6" t="s">
        <v>69</v>
      </c>
      <c r="F67" s="4"/>
      <c r="G67" s="4"/>
      <c r="H67" s="4"/>
      <c r="I67" s="4"/>
      <c r="J67" s="4"/>
      <c r="K67" s="4"/>
      <c r="L67" s="119">
        <v>-3.2</v>
      </c>
      <c r="M67" s="27">
        <v>-4.9000000000000004</v>
      </c>
      <c r="N67" s="27">
        <v>-3.3</v>
      </c>
      <c r="O67" s="27">
        <v>-3.4</v>
      </c>
      <c r="P67" s="27">
        <v>-3.4</v>
      </c>
      <c r="Q67" s="27">
        <v>-5.4</v>
      </c>
      <c r="R67" s="27">
        <v>-10</v>
      </c>
      <c r="S67" s="27">
        <v>-9.6</v>
      </c>
      <c r="T67" s="27">
        <v>-10.3</v>
      </c>
      <c r="U67" s="27">
        <v>-8.3000000000000007</v>
      </c>
      <c r="V67" s="27">
        <v>-8.6999999999999993</v>
      </c>
      <c r="W67" s="119">
        <v>-14.6</v>
      </c>
      <c r="X67" s="27">
        <v>-11.6</v>
      </c>
      <c r="Y67" s="23"/>
      <c r="Z67" s="10"/>
      <c r="AA67" s="10"/>
      <c r="AB67" s="23"/>
      <c r="AC67" s="23"/>
      <c r="AD67" s="23"/>
      <c r="AE67" s="23"/>
    </row>
    <row r="68" spans="1:31" x14ac:dyDescent="0.3">
      <c r="A68" s="2"/>
      <c r="B68" s="5"/>
      <c r="C68" s="5"/>
      <c r="D68" s="5"/>
      <c r="E68" s="4"/>
      <c r="F68" s="4"/>
      <c r="G68" s="4"/>
      <c r="H68" s="4"/>
      <c r="I68" s="4"/>
      <c r="J68" s="4"/>
      <c r="K68" s="4"/>
      <c r="L68" s="26"/>
      <c r="M68" s="26"/>
      <c r="N68" s="26"/>
      <c r="O68" s="26"/>
      <c r="P68" s="26"/>
      <c r="Q68" s="26"/>
      <c r="R68" s="26"/>
      <c r="S68" s="26"/>
      <c r="T68" s="26"/>
      <c r="U68" s="26"/>
      <c r="V68" s="26"/>
      <c r="W68" s="26"/>
      <c r="X68" s="26"/>
      <c r="Y68" s="23"/>
      <c r="Z68" s="23"/>
      <c r="AA68" s="23"/>
      <c r="AB68" s="23"/>
      <c r="AC68" s="23"/>
      <c r="AD68" s="23"/>
      <c r="AE68" s="23"/>
    </row>
    <row r="69" spans="1:31" x14ac:dyDescent="0.3">
      <c r="A69" s="2"/>
      <c r="B69" s="5"/>
      <c r="C69" s="5"/>
      <c r="D69" s="5"/>
      <c r="E69" s="4"/>
      <c r="F69" s="4"/>
      <c r="G69" s="4"/>
      <c r="H69" s="4"/>
      <c r="I69" s="4"/>
      <c r="J69" s="4"/>
      <c r="K69" s="2"/>
      <c r="L69" s="32"/>
      <c r="M69" s="32"/>
      <c r="N69" s="32"/>
      <c r="O69" s="32"/>
      <c r="P69" s="32"/>
      <c r="Q69" s="32"/>
      <c r="R69" s="32"/>
      <c r="S69" s="32"/>
      <c r="T69" s="32"/>
      <c r="U69" s="32"/>
      <c r="V69" s="32"/>
      <c r="W69" s="32"/>
      <c r="X69" s="32"/>
      <c r="Y69" s="23"/>
      <c r="Z69" s="23"/>
    </row>
    <row r="70" spans="1:31" x14ac:dyDescent="0.3">
      <c r="A70" s="3"/>
      <c r="B70" s="5"/>
      <c r="C70" s="5"/>
      <c r="D70" s="5"/>
      <c r="E70" s="4"/>
      <c r="F70" s="4"/>
      <c r="G70" s="4"/>
      <c r="H70" s="4"/>
      <c r="I70" s="4"/>
      <c r="J70" s="4"/>
      <c r="K70" s="2"/>
      <c r="L70" s="32"/>
      <c r="M70" s="32"/>
      <c r="N70" s="32"/>
      <c r="O70" s="32"/>
      <c r="P70" s="32"/>
      <c r="Q70" s="32"/>
      <c r="R70" s="32"/>
      <c r="S70" s="32"/>
      <c r="T70" s="32"/>
      <c r="U70" s="32"/>
      <c r="V70" s="32"/>
      <c r="W70" s="32"/>
      <c r="X70" s="32"/>
      <c r="Y70" s="23"/>
      <c r="Z70" s="23"/>
    </row>
    <row r="71" spans="1:31" x14ac:dyDescent="0.3">
      <c r="A71" s="2"/>
      <c r="B71" s="5"/>
      <c r="C71" s="5"/>
      <c r="D71" s="5"/>
      <c r="E71" s="4"/>
      <c r="F71" s="4"/>
      <c r="G71" s="4"/>
      <c r="H71" s="4"/>
      <c r="I71" s="4"/>
      <c r="J71" s="4"/>
      <c r="K71" s="2"/>
      <c r="L71" s="32"/>
      <c r="M71" s="32"/>
      <c r="N71" s="32"/>
      <c r="O71" s="32"/>
      <c r="P71" s="32"/>
      <c r="Q71" s="32"/>
      <c r="R71" s="32"/>
      <c r="S71" s="32"/>
      <c r="T71" s="32"/>
      <c r="U71" s="32"/>
      <c r="V71" s="32"/>
      <c r="W71" s="32"/>
      <c r="X71" s="32"/>
      <c r="Y71" s="23"/>
      <c r="Z71" s="23"/>
    </row>
    <row r="72" spans="1:31" x14ac:dyDescent="0.3">
      <c r="A72" s="2"/>
      <c r="B72" s="5"/>
      <c r="C72" s="5"/>
      <c r="D72" s="5"/>
      <c r="E72" s="4"/>
      <c r="F72" s="4"/>
      <c r="G72" s="4"/>
      <c r="H72" s="4"/>
      <c r="I72" s="4"/>
      <c r="J72" s="4"/>
      <c r="K72" s="2"/>
      <c r="L72" s="32"/>
      <c r="M72" s="32"/>
      <c r="N72" s="32"/>
      <c r="O72" s="32"/>
      <c r="P72" s="32"/>
      <c r="Q72" s="32"/>
      <c r="R72" s="32"/>
      <c r="S72" s="32"/>
      <c r="T72" s="32"/>
      <c r="U72" s="32"/>
      <c r="V72" s="32"/>
      <c r="W72" s="32"/>
      <c r="X72" s="32"/>
      <c r="Y72" s="23"/>
      <c r="Z72" s="23"/>
    </row>
    <row r="73" spans="1:31" x14ac:dyDescent="0.3">
      <c r="A73" s="2"/>
      <c r="B73" s="5"/>
      <c r="C73" s="5"/>
      <c r="D73" s="5"/>
      <c r="E73" s="4"/>
      <c r="F73" s="4"/>
      <c r="G73" s="4"/>
      <c r="H73" s="4"/>
      <c r="I73" s="4"/>
      <c r="J73" s="4"/>
      <c r="K73" s="2"/>
      <c r="L73" s="32"/>
      <c r="M73" s="32"/>
      <c r="N73" s="32"/>
      <c r="O73" s="32"/>
      <c r="P73" s="32"/>
      <c r="Q73" s="32"/>
      <c r="R73" s="32"/>
      <c r="S73" s="32"/>
      <c r="T73" s="32"/>
      <c r="U73" s="32"/>
      <c r="V73" s="32"/>
      <c r="W73" s="32"/>
      <c r="X73" s="32"/>
      <c r="Y73" s="23"/>
      <c r="Z73" s="23"/>
    </row>
    <row r="74" spans="1:31" x14ac:dyDescent="0.3">
      <c r="A74" s="2"/>
      <c r="B74" s="5"/>
      <c r="C74" s="5"/>
      <c r="D74" s="5"/>
      <c r="E74" s="4"/>
      <c r="F74" s="4"/>
      <c r="G74" s="4"/>
      <c r="H74" s="4"/>
      <c r="I74" s="4"/>
      <c r="J74" s="4"/>
      <c r="K74" s="2"/>
      <c r="L74" s="32"/>
      <c r="M74" s="32"/>
      <c r="N74" s="32"/>
      <c r="O74" s="32"/>
      <c r="P74" s="32"/>
      <c r="Q74" s="32"/>
      <c r="R74" s="32"/>
      <c r="S74" s="32"/>
      <c r="T74" s="32"/>
      <c r="U74" s="32"/>
      <c r="V74" s="32"/>
      <c r="W74" s="32"/>
      <c r="X74" s="32"/>
      <c r="Y74" s="23"/>
      <c r="Z74" s="23"/>
    </row>
    <row r="75" spans="1:31" x14ac:dyDescent="0.3">
      <c r="A75" s="2"/>
      <c r="B75" s="5"/>
      <c r="C75" s="5"/>
      <c r="D75" s="5"/>
      <c r="E75" s="4"/>
      <c r="F75" s="4"/>
      <c r="G75" s="4"/>
      <c r="H75" s="4"/>
      <c r="I75" s="4"/>
      <c r="J75" s="4"/>
      <c r="K75" s="2"/>
      <c r="L75" s="32"/>
      <c r="M75" s="32"/>
      <c r="N75" s="32"/>
      <c r="O75" s="32"/>
      <c r="P75" s="32"/>
      <c r="Q75" s="32"/>
      <c r="R75" s="32"/>
      <c r="S75" s="32"/>
      <c r="T75" s="32"/>
      <c r="U75" s="32"/>
      <c r="V75" s="32"/>
      <c r="W75" s="32"/>
      <c r="X75" s="32"/>
      <c r="Y75" s="23"/>
      <c r="Z75" s="23"/>
    </row>
    <row r="76" spans="1:31" x14ac:dyDescent="0.3">
      <c r="A76" s="2"/>
      <c r="B76" s="5"/>
      <c r="C76" s="5"/>
      <c r="D76" s="5"/>
      <c r="E76" s="4"/>
      <c r="F76" s="4"/>
      <c r="G76" s="4"/>
      <c r="H76" s="4"/>
      <c r="I76" s="4"/>
      <c r="J76" s="4"/>
      <c r="K76" s="2"/>
      <c r="L76" s="32"/>
      <c r="M76" s="32"/>
      <c r="N76" s="32"/>
      <c r="O76" s="32"/>
      <c r="P76" s="32"/>
      <c r="Q76" s="32"/>
      <c r="R76" s="32"/>
      <c r="S76" s="32"/>
      <c r="T76" s="32"/>
      <c r="U76" s="32"/>
      <c r="V76" s="32"/>
      <c r="W76" s="32"/>
      <c r="X76" s="32"/>
    </row>
    <row r="77" spans="1:31" x14ac:dyDescent="0.3">
      <c r="A77" s="2"/>
      <c r="B77" s="5"/>
      <c r="C77" s="5"/>
      <c r="D77" s="5"/>
      <c r="E77" s="4"/>
      <c r="F77" s="4"/>
      <c r="G77" s="4"/>
      <c r="H77" s="4"/>
      <c r="I77" s="4"/>
      <c r="J77" s="4"/>
      <c r="K77" s="2"/>
      <c r="L77" s="32"/>
      <c r="M77" s="32"/>
      <c r="N77" s="32"/>
      <c r="O77" s="32"/>
      <c r="P77" s="32"/>
      <c r="Q77" s="32"/>
      <c r="R77" s="32"/>
      <c r="S77" s="32"/>
      <c r="T77" s="32"/>
      <c r="U77" s="32"/>
      <c r="V77" s="32"/>
      <c r="W77" s="32"/>
      <c r="X77" s="32"/>
    </row>
    <row r="78" spans="1:31" x14ac:dyDescent="0.3">
      <c r="A78" s="2"/>
      <c r="B78" s="5"/>
      <c r="C78" s="5"/>
      <c r="D78" s="5"/>
      <c r="E78" s="4"/>
      <c r="F78" s="4"/>
      <c r="G78" s="4"/>
      <c r="H78" s="4"/>
      <c r="I78" s="4"/>
      <c r="J78" s="4"/>
      <c r="K78" s="2"/>
      <c r="L78" s="32"/>
      <c r="M78" s="32"/>
      <c r="N78" s="32"/>
      <c r="O78" s="32"/>
      <c r="P78" s="32"/>
      <c r="Q78" s="32"/>
      <c r="R78" s="32"/>
      <c r="S78" s="32"/>
      <c r="T78" s="32"/>
      <c r="U78" s="32"/>
      <c r="V78" s="32"/>
      <c r="W78" s="32"/>
      <c r="X78" s="32"/>
    </row>
    <row r="79" spans="1:31" x14ac:dyDescent="0.3">
      <c r="A79" s="2"/>
      <c r="B79" s="5"/>
      <c r="C79" s="5"/>
      <c r="D79" s="5"/>
      <c r="E79" s="7"/>
      <c r="F79" s="7"/>
      <c r="G79" s="7"/>
      <c r="H79" s="7"/>
      <c r="I79" s="7"/>
      <c r="J79" s="7"/>
      <c r="K79" s="2"/>
      <c r="L79" s="32"/>
      <c r="M79" s="32"/>
      <c r="N79" s="32"/>
      <c r="O79" s="32"/>
      <c r="P79" s="32"/>
      <c r="Q79" s="32"/>
      <c r="R79" s="32"/>
      <c r="S79" s="32"/>
      <c r="T79" s="32"/>
      <c r="U79" s="32"/>
      <c r="V79" s="32"/>
      <c r="W79" s="32"/>
      <c r="X79" s="32"/>
    </row>
    <row r="80" spans="1:31" x14ac:dyDescent="0.3">
      <c r="A80" s="2"/>
      <c r="B80" s="5"/>
      <c r="C80" s="5"/>
      <c r="D80" s="5"/>
      <c r="E80" s="7"/>
      <c r="F80" s="7"/>
      <c r="G80" s="7"/>
      <c r="H80" s="7"/>
      <c r="I80" s="7"/>
      <c r="J80" s="7"/>
      <c r="K80" s="2"/>
      <c r="L80" s="32"/>
      <c r="M80" s="32"/>
      <c r="N80" s="32"/>
      <c r="O80" s="32"/>
      <c r="P80" s="32"/>
      <c r="Q80" s="32"/>
      <c r="R80" s="32"/>
      <c r="S80" s="32"/>
      <c r="T80" s="32"/>
      <c r="U80" s="32"/>
      <c r="V80" s="32"/>
      <c r="W80" s="32"/>
      <c r="X80" s="32"/>
    </row>
    <row r="81" spans="1:24" x14ac:dyDescent="0.3">
      <c r="A81" s="2"/>
      <c r="B81" s="5"/>
      <c r="C81" s="5"/>
      <c r="D81" s="5"/>
      <c r="E81" s="7"/>
      <c r="F81" s="7"/>
      <c r="G81" s="7"/>
      <c r="H81" s="7"/>
      <c r="I81" s="7"/>
      <c r="J81" s="7"/>
      <c r="K81" s="2"/>
      <c r="L81" s="32"/>
      <c r="M81" s="32"/>
      <c r="N81" s="32"/>
      <c r="O81" s="32"/>
      <c r="P81" s="32"/>
      <c r="Q81" s="32"/>
      <c r="R81" s="32"/>
      <c r="S81" s="32"/>
      <c r="T81" s="32"/>
      <c r="U81" s="32"/>
      <c r="V81" s="32"/>
      <c r="W81" s="32"/>
      <c r="X81" s="32"/>
    </row>
    <row r="82" spans="1:24" x14ac:dyDescent="0.3">
      <c r="A82" s="2"/>
      <c r="B82" s="5"/>
      <c r="C82" s="5"/>
      <c r="D82" s="5"/>
      <c r="E82" s="7"/>
      <c r="F82" s="7"/>
      <c r="G82" s="7"/>
      <c r="H82" s="7"/>
      <c r="I82" s="7"/>
      <c r="J82" s="7"/>
      <c r="K82" s="2"/>
      <c r="L82" s="32"/>
      <c r="M82" s="32"/>
      <c r="N82" s="32"/>
      <c r="O82" s="32"/>
      <c r="P82" s="32"/>
      <c r="Q82" s="32"/>
      <c r="R82" s="32"/>
      <c r="S82" s="32"/>
      <c r="T82" s="32"/>
      <c r="U82" s="32"/>
      <c r="V82" s="32"/>
      <c r="W82" s="32"/>
      <c r="X82" s="32"/>
    </row>
    <row r="83" spans="1:24" x14ac:dyDescent="0.3">
      <c r="A83" s="2"/>
      <c r="B83" s="5"/>
      <c r="C83" s="5"/>
      <c r="D83" s="5"/>
      <c r="E83" s="7"/>
      <c r="F83" s="7"/>
      <c r="G83" s="7"/>
      <c r="H83" s="7"/>
      <c r="I83" s="7"/>
      <c r="J83" s="7"/>
      <c r="K83" s="2"/>
      <c r="L83" s="32"/>
      <c r="M83" s="32"/>
      <c r="N83" s="32"/>
      <c r="O83" s="32"/>
      <c r="P83" s="32"/>
      <c r="Q83" s="32"/>
      <c r="R83" s="32"/>
      <c r="S83" s="32"/>
      <c r="T83" s="32"/>
      <c r="U83" s="32"/>
      <c r="V83" s="32"/>
      <c r="W83" s="32"/>
      <c r="X83" s="32"/>
    </row>
    <row r="84" spans="1:24" x14ac:dyDescent="0.3">
      <c r="A84" s="2"/>
      <c r="B84" s="5"/>
      <c r="C84" s="5"/>
      <c r="D84" s="5"/>
      <c r="E84" s="7"/>
      <c r="F84" s="7"/>
      <c r="G84" s="7"/>
      <c r="H84" s="7"/>
      <c r="I84" s="7"/>
      <c r="J84" s="7"/>
      <c r="K84" s="2"/>
      <c r="L84" s="32"/>
      <c r="M84" s="32"/>
      <c r="N84" s="32"/>
      <c r="O84" s="32"/>
      <c r="P84" s="32"/>
      <c r="Q84" s="32"/>
      <c r="R84" s="32"/>
      <c r="S84" s="32"/>
      <c r="T84" s="32"/>
      <c r="U84" s="32"/>
      <c r="V84" s="32"/>
      <c r="W84" s="32"/>
      <c r="X84" s="32"/>
    </row>
    <row r="85" spans="1:24" x14ac:dyDescent="0.3">
      <c r="A85" s="2"/>
      <c r="B85" s="5"/>
      <c r="C85" s="5"/>
      <c r="D85" s="5"/>
      <c r="E85" s="7"/>
      <c r="F85" s="7"/>
      <c r="G85" s="7"/>
      <c r="H85" s="7"/>
      <c r="I85" s="7"/>
      <c r="J85" s="7"/>
      <c r="K85" s="2"/>
      <c r="L85" s="32"/>
      <c r="M85" s="32"/>
      <c r="N85" s="32"/>
      <c r="O85" s="32"/>
      <c r="P85" s="32"/>
      <c r="Q85" s="32"/>
      <c r="R85" s="32"/>
      <c r="S85" s="32"/>
      <c r="T85" s="32"/>
      <c r="U85" s="32"/>
      <c r="V85" s="32"/>
      <c r="W85" s="32"/>
      <c r="X85" s="32"/>
    </row>
    <row r="86" spans="1:24" x14ac:dyDescent="0.3">
      <c r="A86" s="2"/>
      <c r="B86" s="5"/>
      <c r="C86" s="5"/>
      <c r="D86" s="5"/>
      <c r="E86" s="7"/>
      <c r="F86" s="7"/>
      <c r="G86" s="7"/>
      <c r="H86" s="7"/>
      <c r="I86" s="7"/>
      <c r="J86" s="7"/>
      <c r="K86" s="2"/>
      <c r="L86" s="32"/>
      <c r="M86" s="32"/>
      <c r="N86" s="32"/>
      <c r="O86" s="32"/>
      <c r="P86" s="32"/>
      <c r="Q86" s="32"/>
      <c r="R86" s="32"/>
      <c r="S86" s="32"/>
      <c r="T86" s="32"/>
      <c r="U86" s="32"/>
      <c r="V86" s="32"/>
      <c r="W86" s="32"/>
      <c r="X86" s="32"/>
    </row>
    <row r="87" spans="1:24" x14ac:dyDescent="0.3">
      <c r="A87" s="2"/>
      <c r="B87" s="5"/>
      <c r="C87" s="5"/>
      <c r="D87" s="5"/>
      <c r="E87" s="7"/>
      <c r="F87" s="7"/>
      <c r="G87" s="7"/>
      <c r="H87" s="7"/>
      <c r="I87" s="7"/>
      <c r="J87" s="7"/>
      <c r="K87" s="2"/>
      <c r="L87" s="32"/>
      <c r="M87" s="32"/>
      <c r="N87" s="32"/>
      <c r="O87" s="32"/>
      <c r="P87" s="32"/>
      <c r="Q87" s="32"/>
      <c r="R87" s="32"/>
      <c r="S87" s="32"/>
      <c r="T87" s="32"/>
      <c r="U87" s="32"/>
      <c r="V87" s="32"/>
      <c r="W87" s="32"/>
      <c r="X87" s="32"/>
    </row>
    <row r="88" spans="1:24" x14ac:dyDescent="0.3">
      <c r="A88" s="2"/>
      <c r="B88" s="5"/>
      <c r="C88" s="5"/>
      <c r="D88" s="5"/>
      <c r="E88" s="7"/>
      <c r="F88" s="7"/>
      <c r="G88" s="7"/>
      <c r="H88" s="7"/>
      <c r="I88" s="7"/>
      <c r="J88" s="7"/>
      <c r="K88" s="2"/>
      <c r="L88" s="32"/>
      <c r="M88" s="32"/>
      <c r="N88" s="32"/>
      <c r="O88" s="32"/>
      <c r="P88" s="32"/>
      <c r="Q88" s="32"/>
      <c r="R88" s="32"/>
      <c r="S88" s="32"/>
      <c r="T88" s="32"/>
      <c r="U88" s="32"/>
      <c r="V88" s="32"/>
      <c r="W88" s="32"/>
      <c r="X88" s="32"/>
    </row>
    <row r="89" spans="1:24" x14ac:dyDescent="0.3">
      <c r="A89" s="2"/>
      <c r="B89" s="5"/>
      <c r="C89" s="5"/>
      <c r="D89" s="5"/>
      <c r="E89" s="7"/>
      <c r="F89" s="7"/>
      <c r="G89" s="7"/>
      <c r="H89" s="7"/>
      <c r="I89" s="7"/>
      <c r="J89" s="7"/>
      <c r="K89" s="2"/>
      <c r="L89" s="32"/>
      <c r="M89" s="32"/>
      <c r="N89" s="32"/>
      <c r="O89" s="32"/>
      <c r="P89" s="32"/>
      <c r="Q89" s="32"/>
      <c r="R89" s="32"/>
      <c r="S89" s="32"/>
      <c r="T89" s="32"/>
      <c r="U89" s="32"/>
      <c r="V89" s="32"/>
      <c r="W89" s="32"/>
      <c r="X89" s="32"/>
    </row>
    <row r="90" spans="1:24" x14ac:dyDescent="0.3">
      <c r="A90" s="2"/>
      <c r="B90" s="5"/>
      <c r="C90" s="5"/>
      <c r="D90" s="5"/>
      <c r="E90" s="7"/>
      <c r="F90" s="7"/>
      <c r="G90" s="7"/>
      <c r="H90" s="7"/>
      <c r="I90" s="7"/>
      <c r="J90" s="7"/>
      <c r="K90" s="2"/>
      <c r="L90" s="32"/>
      <c r="M90" s="32"/>
      <c r="N90" s="32"/>
      <c r="O90" s="32"/>
      <c r="P90" s="32"/>
      <c r="Q90" s="32"/>
      <c r="R90" s="32"/>
      <c r="S90" s="32"/>
      <c r="T90" s="32"/>
      <c r="U90" s="32"/>
      <c r="V90" s="32"/>
      <c r="W90" s="32"/>
      <c r="X90" s="32"/>
    </row>
    <row r="91" spans="1:24" x14ac:dyDescent="0.3">
      <c r="A91" s="2"/>
      <c r="B91" s="5"/>
      <c r="C91" s="5"/>
      <c r="D91" s="5"/>
      <c r="E91" s="7"/>
      <c r="F91" s="7"/>
      <c r="G91" s="7"/>
      <c r="H91" s="7"/>
      <c r="I91" s="7"/>
      <c r="J91" s="7"/>
      <c r="K91" s="2"/>
      <c r="L91" s="32"/>
      <c r="M91" s="32"/>
      <c r="N91" s="32"/>
      <c r="O91" s="32"/>
      <c r="P91" s="32"/>
      <c r="Q91" s="32"/>
      <c r="R91" s="32"/>
      <c r="S91" s="32"/>
      <c r="T91" s="32"/>
      <c r="U91" s="32"/>
      <c r="V91" s="32"/>
      <c r="W91" s="32"/>
      <c r="X91" s="32"/>
    </row>
    <row r="92" spans="1:24" x14ac:dyDescent="0.3">
      <c r="A92" s="2"/>
      <c r="B92" s="5"/>
      <c r="C92" s="5"/>
      <c r="D92" s="5"/>
      <c r="E92" s="7"/>
      <c r="F92" s="7"/>
      <c r="G92" s="7"/>
      <c r="H92" s="7"/>
      <c r="I92" s="7"/>
      <c r="J92" s="7"/>
      <c r="K92" s="2"/>
      <c r="L92" s="32"/>
      <c r="M92" s="32"/>
      <c r="N92" s="32"/>
      <c r="O92" s="32"/>
      <c r="P92" s="32"/>
      <c r="Q92" s="32"/>
      <c r="R92" s="32"/>
      <c r="S92" s="32"/>
      <c r="T92" s="32"/>
      <c r="U92" s="32"/>
      <c r="V92" s="32"/>
      <c r="W92" s="32"/>
      <c r="X92" s="32"/>
    </row>
    <row r="93" spans="1:24" x14ac:dyDescent="0.3">
      <c r="A93" s="2"/>
      <c r="B93" s="5"/>
      <c r="C93" s="5"/>
      <c r="D93" s="5"/>
      <c r="E93" s="7"/>
      <c r="F93" s="7"/>
      <c r="G93" s="7"/>
      <c r="H93" s="7"/>
      <c r="I93" s="7"/>
      <c r="J93" s="7"/>
      <c r="K93" s="2"/>
      <c r="L93" s="32"/>
      <c r="M93" s="32"/>
      <c r="N93" s="32"/>
      <c r="O93" s="32"/>
      <c r="P93" s="32"/>
      <c r="Q93" s="32"/>
      <c r="R93" s="32"/>
      <c r="S93" s="32"/>
      <c r="T93" s="32"/>
      <c r="U93" s="32"/>
      <c r="V93" s="32"/>
      <c r="W93" s="32"/>
      <c r="X93" s="32"/>
    </row>
    <row r="94" spans="1:24" x14ac:dyDescent="0.3">
      <c r="A94" s="2"/>
      <c r="B94" s="5"/>
      <c r="C94" s="5"/>
      <c r="D94" s="5"/>
      <c r="E94" s="7"/>
      <c r="F94" s="7"/>
      <c r="G94" s="7"/>
      <c r="H94" s="7"/>
      <c r="I94" s="7"/>
      <c r="J94" s="7"/>
      <c r="K94" s="2"/>
      <c r="L94" s="32"/>
      <c r="M94" s="32"/>
      <c r="N94" s="32"/>
      <c r="O94" s="32"/>
      <c r="P94" s="32"/>
      <c r="Q94" s="32"/>
      <c r="R94" s="32"/>
      <c r="S94" s="32"/>
      <c r="T94" s="32"/>
      <c r="U94" s="32"/>
      <c r="V94" s="32"/>
      <c r="W94" s="32"/>
      <c r="X94" s="32"/>
    </row>
    <row r="95" spans="1:24" x14ac:dyDescent="0.3">
      <c r="A95" s="2"/>
      <c r="B95" s="5"/>
      <c r="C95" s="5"/>
      <c r="D95" s="5"/>
      <c r="E95" s="7"/>
      <c r="F95" s="7"/>
      <c r="G95" s="7"/>
      <c r="H95" s="7"/>
      <c r="I95" s="7"/>
      <c r="J95" s="7"/>
      <c r="K95" s="2"/>
      <c r="L95" s="32"/>
      <c r="M95" s="32"/>
      <c r="N95" s="32"/>
      <c r="O95" s="32"/>
      <c r="P95" s="32"/>
      <c r="Q95" s="32"/>
      <c r="R95" s="32"/>
      <c r="S95" s="32"/>
      <c r="T95" s="32"/>
      <c r="U95" s="32"/>
      <c r="V95" s="32"/>
      <c r="W95" s="32"/>
      <c r="X95" s="32"/>
    </row>
    <row r="96" spans="1:24" x14ac:dyDescent="0.3">
      <c r="A96" s="2"/>
      <c r="B96" s="5"/>
      <c r="C96" s="5"/>
      <c r="D96" s="5"/>
      <c r="E96" s="7"/>
      <c r="F96" s="7"/>
      <c r="G96" s="7"/>
      <c r="H96" s="7"/>
      <c r="I96" s="7"/>
      <c r="J96" s="7"/>
      <c r="K96" s="2"/>
      <c r="L96" s="32"/>
      <c r="M96" s="32"/>
      <c r="N96" s="32"/>
      <c r="O96" s="32"/>
      <c r="P96" s="32"/>
      <c r="Q96" s="32"/>
      <c r="R96" s="32"/>
      <c r="S96" s="32"/>
      <c r="T96" s="32"/>
      <c r="U96" s="32"/>
      <c r="V96" s="32"/>
      <c r="W96" s="32"/>
      <c r="X96" s="32"/>
    </row>
    <row r="97" spans="1:24" x14ac:dyDescent="0.3">
      <c r="A97" s="2"/>
      <c r="B97" s="5"/>
      <c r="C97" s="5"/>
      <c r="D97" s="5"/>
      <c r="E97" s="7"/>
      <c r="F97" s="7"/>
      <c r="G97" s="7"/>
      <c r="H97" s="7"/>
      <c r="I97" s="7"/>
      <c r="J97" s="7"/>
      <c r="K97" s="2"/>
      <c r="L97" s="32"/>
      <c r="M97" s="32"/>
      <c r="N97" s="32"/>
      <c r="O97" s="32"/>
      <c r="P97" s="32"/>
      <c r="Q97" s="32"/>
      <c r="R97" s="32"/>
      <c r="S97" s="32"/>
      <c r="T97" s="32"/>
      <c r="U97" s="32"/>
      <c r="V97" s="32"/>
      <c r="W97" s="32"/>
      <c r="X97" s="32"/>
    </row>
    <row r="98" spans="1:24" x14ac:dyDescent="0.3">
      <c r="A98" s="2"/>
      <c r="B98" s="5"/>
      <c r="C98" s="5"/>
      <c r="D98" s="5"/>
      <c r="E98" s="7"/>
      <c r="F98" s="7"/>
      <c r="G98" s="7"/>
      <c r="H98" s="7"/>
      <c r="I98" s="7"/>
      <c r="J98" s="7"/>
      <c r="K98" s="2"/>
      <c r="L98" s="32"/>
      <c r="M98" s="32"/>
      <c r="N98" s="32"/>
      <c r="O98" s="32"/>
      <c r="P98" s="32"/>
      <c r="Q98" s="32"/>
      <c r="R98" s="32"/>
      <c r="S98" s="32"/>
      <c r="T98" s="32"/>
      <c r="U98" s="32"/>
      <c r="V98" s="32"/>
      <c r="W98" s="32"/>
      <c r="X98" s="32"/>
    </row>
    <row r="99" spans="1:24" x14ac:dyDescent="0.3">
      <c r="A99" s="2"/>
      <c r="B99" s="5"/>
      <c r="C99" s="5"/>
      <c r="D99" s="5"/>
      <c r="E99" s="7"/>
      <c r="F99" s="7"/>
      <c r="G99" s="7"/>
      <c r="H99" s="7"/>
      <c r="I99" s="7"/>
      <c r="J99" s="7"/>
      <c r="K99" s="2"/>
      <c r="L99" s="32"/>
      <c r="M99" s="32"/>
      <c r="N99" s="32"/>
      <c r="O99" s="32"/>
      <c r="P99" s="32"/>
      <c r="Q99" s="32"/>
      <c r="R99" s="32"/>
      <c r="S99" s="32"/>
      <c r="T99" s="32"/>
      <c r="U99" s="32"/>
      <c r="V99" s="32"/>
      <c r="W99" s="32"/>
      <c r="X99" s="32"/>
    </row>
    <row r="100" spans="1:24" x14ac:dyDescent="0.3">
      <c r="A100" s="2"/>
      <c r="B100" s="5"/>
      <c r="C100" s="5"/>
      <c r="D100" s="5"/>
      <c r="E100" s="7"/>
      <c r="F100" s="7"/>
      <c r="G100" s="7"/>
      <c r="H100" s="7"/>
      <c r="I100" s="7"/>
      <c r="J100" s="7"/>
      <c r="K100" s="2"/>
      <c r="L100" s="32"/>
      <c r="M100" s="32"/>
      <c r="N100" s="32"/>
      <c r="O100" s="32"/>
      <c r="P100" s="32"/>
      <c r="Q100" s="32"/>
      <c r="R100" s="32"/>
      <c r="S100" s="32"/>
      <c r="T100" s="32"/>
      <c r="U100" s="32"/>
      <c r="V100" s="32"/>
      <c r="W100" s="32"/>
      <c r="X100" s="32"/>
    </row>
    <row r="101" spans="1:24" x14ac:dyDescent="0.3">
      <c r="A101" s="2"/>
      <c r="B101" s="5"/>
      <c r="C101" s="5"/>
      <c r="D101" s="5"/>
      <c r="E101" s="7"/>
      <c r="F101" s="7"/>
      <c r="G101" s="7"/>
      <c r="H101" s="7"/>
      <c r="I101" s="7"/>
      <c r="J101" s="7"/>
      <c r="K101" s="2"/>
      <c r="L101" s="32"/>
      <c r="M101" s="32"/>
      <c r="N101" s="32"/>
      <c r="O101" s="32"/>
      <c r="P101" s="32"/>
      <c r="Q101" s="32"/>
      <c r="R101" s="32"/>
      <c r="S101" s="32"/>
      <c r="T101" s="32"/>
      <c r="U101" s="32"/>
      <c r="V101" s="32"/>
      <c r="W101" s="32"/>
      <c r="X101" s="32"/>
    </row>
    <row r="102" spans="1:24" x14ac:dyDescent="0.3">
      <c r="A102" s="2"/>
      <c r="B102" s="5"/>
      <c r="C102" s="5"/>
      <c r="D102" s="5"/>
      <c r="E102" s="7"/>
      <c r="F102" s="7"/>
      <c r="G102" s="7"/>
      <c r="H102" s="7"/>
      <c r="I102" s="7"/>
      <c r="J102" s="7"/>
      <c r="K102" s="2"/>
      <c r="L102" s="32"/>
      <c r="M102" s="32"/>
      <c r="N102" s="32"/>
      <c r="O102" s="32"/>
      <c r="P102" s="32"/>
      <c r="Q102" s="32"/>
      <c r="R102" s="32"/>
      <c r="S102" s="32"/>
      <c r="T102" s="32"/>
      <c r="U102" s="32"/>
      <c r="V102" s="32"/>
      <c r="W102" s="32"/>
      <c r="X102" s="32"/>
    </row>
    <row r="103" spans="1:24" x14ac:dyDescent="0.3">
      <c r="A103" s="2"/>
      <c r="B103" s="5"/>
      <c r="C103" s="5"/>
      <c r="D103" s="5"/>
      <c r="E103" s="7"/>
      <c r="F103" s="7"/>
      <c r="G103" s="7"/>
      <c r="H103" s="7"/>
      <c r="I103" s="7"/>
      <c r="J103" s="7"/>
      <c r="K103" s="2"/>
      <c r="L103" s="32"/>
      <c r="M103" s="32"/>
      <c r="N103" s="32"/>
      <c r="O103" s="32"/>
      <c r="P103" s="32"/>
      <c r="Q103" s="32"/>
      <c r="R103" s="32"/>
      <c r="S103" s="32"/>
      <c r="T103" s="32"/>
      <c r="U103" s="32"/>
      <c r="V103" s="32"/>
      <c r="W103" s="32"/>
      <c r="X103" s="32"/>
    </row>
    <row r="104" spans="1:24" x14ac:dyDescent="0.3">
      <c r="A104" s="2"/>
      <c r="B104" s="5"/>
      <c r="C104" s="5"/>
      <c r="D104" s="5"/>
      <c r="E104" s="7"/>
      <c r="F104" s="7"/>
      <c r="G104" s="7"/>
      <c r="H104" s="7"/>
      <c r="I104" s="7"/>
      <c r="J104" s="7"/>
      <c r="K104" s="2"/>
      <c r="L104" s="32"/>
      <c r="M104" s="32"/>
      <c r="N104" s="32"/>
      <c r="O104" s="32"/>
      <c r="P104" s="32"/>
      <c r="Q104" s="32"/>
      <c r="R104" s="32"/>
      <c r="S104" s="32"/>
      <c r="T104" s="32"/>
      <c r="U104" s="32"/>
      <c r="V104" s="32"/>
      <c r="W104" s="32"/>
      <c r="X104" s="32"/>
    </row>
    <row r="105" spans="1:24" x14ac:dyDescent="0.3">
      <c r="A105" s="2"/>
      <c r="B105" s="5"/>
      <c r="C105" s="5"/>
      <c r="D105" s="5"/>
      <c r="E105" s="7"/>
      <c r="F105" s="7"/>
      <c r="G105" s="7"/>
      <c r="H105" s="7"/>
      <c r="I105" s="7"/>
      <c r="J105" s="7"/>
      <c r="K105" s="2"/>
      <c r="L105" s="32"/>
      <c r="M105" s="32"/>
      <c r="N105" s="32"/>
      <c r="O105" s="32"/>
      <c r="P105" s="32"/>
      <c r="Q105" s="32"/>
      <c r="R105" s="32"/>
      <c r="S105" s="32"/>
      <c r="T105" s="32"/>
      <c r="U105" s="32"/>
      <c r="V105" s="32"/>
      <c r="W105" s="32"/>
      <c r="X105" s="32"/>
    </row>
    <row r="106" spans="1:24" x14ac:dyDescent="0.3">
      <c r="A106" s="2"/>
      <c r="B106" s="5"/>
      <c r="C106" s="5"/>
      <c r="D106" s="5"/>
      <c r="E106" s="7"/>
      <c r="F106" s="7"/>
      <c r="G106" s="7"/>
      <c r="H106" s="7"/>
      <c r="I106" s="7"/>
      <c r="J106" s="7"/>
      <c r="K106" s="2"/>
      <c r="L106" s="32"/>
      <c r="M106" s="32"/>
      <c r="N106" s="32"/>
      <c r="O106" s="32"/>
      <c r="P106" s="32"/>
      <c r="Q106" s="32"/>
      <c r="R106" s="32"/>
      <c r="S106" s="32"/>
      <c r="T106" s="32"/>
      <c r="U106" s="32"/>
      <c r="V106" s="32"/>
      <c r="W106" s="32"/>
      <c r="X106" s="32"/>
    </row>
    <row r="107" spans="1:24" x14ac:dyDescent="0.3">
      <c r="A107" s="2"/>
      <c r="B107" s="5"/>
      <c r="C107" s="5"/>
      <c r="D107" s="5"/>
      <c r="E107" s="7"/>
      <c r="F107" s="7"/>
      <c r="G107" s="7"/>
      <c r="H107" s="7"/>
      <c r="I107" s="7"/>
      <c r="J107" s="7"/>
      <c r="K107" s="2"/>
      <c r="L107" s="32"/>
      <c r="M107" s="32"/>
      <c r="N107" s="32"/>
      <c r="O107" s="32"/>
      <c r="P107" s="32"/>
      <c r="Q107" s="32"/>
      <c r="R107" s="32"/>
      <c r="S107" s="32"/>
      <c r="T107" s="32"/>
      <c r="U107" s="32"/>
      <c r="V107" s="32"/>
      <c r="W107" s="32"/>
      <c r="X107" s="32"/>
    </row>
    <row r="108" spans="1:24" x14ac:dyDescent="0.3">
      <c r="A108" s="2"/>
      <c r="B108" s="5"/>
      <c r="C108" s="5"/>
      <c r="D108" s="5"/>
      <c r="E108" s="7"/>
      <c r="F108" s="7"/>
      <c r="G108" s="7"/>
      <c r="H108" s="7"/>
      <c r="I108" s="7"/>
      <c r="J108" s="7"/>
      <c r="K108" s="2"/>
      <c r="L108" s="32"/>
      <c r="M108" s="32"/>
      <c r="N108" s="32"/>
      <c r="O108" s="32"/>
      <c r="P108" s="32"/>
      <c r="Q108" s="32"/>
      <c r="R108" s="32"/>
      <c r="S108" s="32"/>
      <c r="T108" s="32"/>
      <c r="U108" s="32"/>
      <c r="V108" s="32"/>
      <c r="W108" s="32"/>
      <c r="X108" s="32"/>
    </row>
    <row r="109" spans="1:24" x14ac:dyDescent="0.3">
      <c r="A109" s="2"/>
      <c r="B109" s="5"/>
      <c r="C109" s="5"/>
      <c r="D109" s="5"/>
      <c r="E109" s="7"/>
      <c r="F109" s="7"/>
      <c r="G109" s="7"/>
      <c r="H109" s="7"/>
      <c r="I109" s="7"/>
      <c r="J109" s="7"/>
      <c r="K109" s="2"/>
      <c r="L109" s="32"/>
      <c r="M109" s="32"/>
      <c r="N109" s="32"/>
      <c r="O109" s="32"/>
      <c r="P109" s="32"/>
      <c r="Q109" s="32"/>
      <c r="R109" s="32"/>
      <c r="S109" s="32"/>
      <c r="T109" s="32"/>
      <c r="U109" s="32"/>
      <c r="V109" s="32"/>
      <c r="W109" s="32"/>
      <c r="X109" s="32"/>
    </row>
    <row r="110" spans="1:24" x14ac:dyDescent="0.3">
      <c r="A110" s="2"/>
      <c r="B110" s="5"/>
      <c r="C110" s="5"/>
      <c r="D110" s="5"/>
      <c r="E110" s="7"/>
      <c r="F110" s="7"/>
      <c r="G110" s="7"/>
      <c r="H110" s="7"/>
      <c r="I110" s="7"/>
      <c r="J110" s="7"/>
      <c r="K110" s="2"/>
      <c r="L110" s="32"/>
      <c r="M110" s="32"/>
      <c r="N110" s="32"/>
      <c r="O110" s="32"/>
      <c r="P110" s="32"/>
      <c r="Q110" s="32"/>
      <c r="R110" s="32"/>
      <c r="S110" s="32"/>
      <c r="T110" s="32"/>
      <c r="U110" s="32"/>
      <c r="V110" s="32"/>
      <c r="W110" s="32"/>
      <c r="X110" s="32"/>
    </row>
    <row r="111" spans="1:24" x14ac:dyDescent="0.3">
      <c r="A111" s="2"/>
      <c r="B111" s="5"/>
      <c r="C111" s="5"/>
      <c r="D111" s="5"/>
      <c r="E111" s="7"/>
      <c r="F111" s="7"/>
      <c r="G111" s="7"/>
      <c r="H111" s="7"/>
      <c r="I111" s="7"/>
      <c r="J111" s="7"/>
      <c r="K111" s="2"/>
      <c r="L111" s="32"/>
      <c r="M111" s="32"/>
      <c r="N111" s="32"/>
      <c r="O111" s="32"/>
      <c r="P111" s="32"/>
      <c r="Q111" s="32"/>
      <c r="R111" s="32"/>
      <c r="S111" s="32"/>
      <c r="T111" s="32"/>
      <c r="U111" s="32"/>
      <c r="V111" s="32"/>
      <c r="W111" s="32"/>
      <c r="X111" s="32"/>
    </row>
    <row r="112" spans="1:24" x14ac:dyDescent="0.3">
      <c r="A112" s="2"/>
      <c r="B112" s="5"/>
      <c r="C112" s="5"/>
      <c r="D112" s="5"/>
      <c r="E112" s="7"/>
      <c r="F112" s="7"/>
      <c r="G112" s="7"/>
      <c r="H112" s="7"/>
      <c r="I112" s="7"/>
      <c r="J112" s="7"/>
      <c r="K112" s="2"/>
      <c r="L112" s="32"/>
      <c r="M112" s="32"/>
      <c r="N112" s="32"/>
      <c r="O112" s="32"/>
      <c r="P112" s="32"/>
      <c r="Q112" s="32"/>
      <c r="R112" s="32"/>
      <c r="S112" s="32"/>
      <c r="T112" s="32"/>
      <c r="U112" s="32"/>
      <c r="V112" s="32"/>
      <c r="W112" s="32"/>
      <c r="X112" s="32"/>
    </row>
    <row r="113" spans="1:24" x14ac:dyDescent="0.3">
      <c r="A113" s="2"/>
      <c r="B113" s="5"/>
      <c r="C113" s="5"/>
      <c r="D113" s="5"/>
      <c r="E113" s="7"/>
      <c r="F113" s="7"/>
      <c r="G113" s="7"/>
      <c r="H113" s="7"/>
      <c r="I113" s="7"/>
      <c r="J113" s="7"/>
      <c r="K113" s="2"/>
      <c r="L113" s="32"/>
      <c r="M113" s="32"/>
      <c r="N113" s="32"/>
      <c r="O113" s="32"/>
      <c r="P113" s="32"/>
      <c r="Q113" s="32"/>
      <c r="R113" s="32"/>
      <c r="S113" s="32"/>
      <c r="T113" s="32"/>
      <c r="U113" s="32"/>
      <c r="V113" s="32"/>
      <c r="W113" s="32"/>
      <c r="X113" s="32"/>
    </row>
    <row r="114" spans="1:24" x14ac:dyDescent="0.3">
      <c r="A114" s="2"/>
      <c r="B114" s="5"/>
      <c r="C114" s="5"/>
      <c r="D114" s="5"/>
      <c r="E114" s="7"/>
      <c r="F114" s="7"/>
      <c r="G114" s="7"/>
      <c r="H114" s="7"/>
      <c r="I114" s="7"/>
      <c r="J114" s="7"/>
      <c r="K114" s="2"/>
      <c r="L114" s="32"/>
      <c r="M114" s="32"/>
      <c r="N114" s="32"/>
      <c r="O114" s="32"/>
      <c r="P114" s="32"/>
      <c r="Q114" s="32"/>
      <c r="R114" s="32"/>
      <c r="S114" s="32"/>
      <c r="T114" s="32"/>
      <c r="U114" s="32"/>
      <c r="V114" s="32"/>
      <c r="W114" s="32"/>
      <c r="X114" s="32"/>
    </row>
    <row r="115" spans="1:24" x14ac:dyDescent="0.3">
      <c r="A115" s="2"/>
      <c r="B115" s="5"/>
      <c r="C115" s="5"/>
      <c r="D115" s="5"/>
      <c r="E115" s="7"/>
      <c r="F115" s="7"/>
      <c r="G115" s="7"/>
      <c r="H115" s="7"/>
      <c r="I115" s="7"/>
      <c r="J115" s="7"/>
      <c r="K115" s="2"/>
      <c r="L115" s="32"/>
      <c r="M115" s="32"/>
      <c r="N115" s="32"/>
      <c r="O115" s="32"/>
      <c r="P115" s="32"/>
      <c r="Q115" s="32"/>
      <c r="R115" s="32"/>
      <c r="S115" s="32"/>
      <c r="T115" s="32"/>
      <c r="U115" s="32"/>
      <c r="V115" s="32"/>
      <c r="W115" s="32"/>
      <c r="X115" s="32"/>
    </row>
    <row r="116" spans="1:24" x14ac:dyDescent="0.3">
      <c r="A116" s="2"/>
      <c r="B116" s="5"/>
      <c r="C116" s="5"/>
      <c r="D116" s="5"/>
      <c r="E116" s="7"/>
      <c r="F116" s="7"/>
      <c r="G116" s="7"/>
      <c r="H116" s="7"/>
      <c r="I116" s="7"/>
      <c r="J116" s="7"/>
      <c r="K116" s="2"/>
      <c r="L116" s="32"/>
      <c r="M116" s="32"/>
      <c r="N116" s="32"/>
      <c r="O116" s="32"/>
      <c r="P116" s="32"/>
      <c r="Q116" s="32"/>
      <c r="R116" s="32"/>
      <c r="S116" s="32"/>
      <c r="T116" s="32"/>
      <c r="U116" s="32"/>
      <c r="V116" s="32"/>
      <c r="W116" s="32"/>
      <c r="X116" s="32"/>
    </row>
    <row r="117" spans="1:24" x14ac:dyDescent="0.3">
      <c r="A117" s="2"/>
      <c r="B117" s="5"/>
      <c r="C117" s="5"/>
      <c r="D117" s="5"/>
      <c r="E117" s="7"/>
      <c r="F117" s="7"/>
      <c r="G117" s="7"/>
      <c r="H117" s="7"/>
      <c r="I117" s="7"/>
      <c r="J117" s="7"/>
      <c r="K117" s="2"/>
      <c r="L117" s="32"/>
      <c r="M117" s="32"/>
      <c r="N117" s="32"/>
      <c r="O117" s="32"/>
      <c r="P117" s="32"/>
      <c r="Q117" s="32"/>
      <c r="R117" s="32"/>
      <c r="S117" s="32"/>
      <c r="T117" s="32"/>
      <c r="U117" s="32"/>
      <c r="V117" s="32"/>
      <c r="W117" s="32"/>
      <c r="X117" s="32"/>
    </row>
    <row r="118" spans="1:24" x14ac:dyDescent="0.3">
      <c r="A118" s="2"/>
      <c r="B118" s="5"/>
      <c r="C118" s="5"/>
      <c r="D118" s="5"/>
      <c r="E118" s="7"/>
      <c r="F118" s="7"/>
      <c r="G118" s="7"/>
      <c r="H118" s="7"/>
      <c r="I118" s="7"/>
      <c r="J118" s="7"/>
      <c r="K118" s="2"/>
      <c r="L118" s="32"/>
      <c r="M118" s="32"/>
      <c r="N118" s="32"/>
      <c r="O118" s="32"/>
      <c r="P118" s="32"/>
      <c r="Q118" s="32"/>
      <c r="R118" s="32"/>
      <c r="S118" s="32"/>
      <c r="T118" s="32"/>
      <c r="U118" s="32"/>
      <c r="V118" s="32"/>
      <c r="W118" s="32"/>
      <c r="X118" s="32"/>
    </row>
    <row r="119" spans="1:24" x14ac:dyDescent="0.3">
      <c r="A119" s="2"/>
      <c r="B119" s="5"/>
      <c r="C119" s="5"/>
      <c r="D119" s="5"/>
      <c r="E119" s="7"/>
      <c r="F119" s="7"/>
      <c r="G119" s="7"/>
      <c r="H119" s="7"/>
      <c r="I119" s="7"/>
      <c r="J119" s="7"/>
      <c r="K119" s="2"/>
      <c r="L119" s="32"/>
      <c r="M119" s="32"/>
      <c r="N119" s="32"/>
      <c r="O119" s="32"/>
      <c r="P119" s="32"/>
      <c r="Q119" s="32"/>
      <c r="R119" s="32"/>
      <c r="S119" s="32"/>
      <c r="T119" s="32"/>
      <c r="U119" s="32"/>
      <c r="V119" s="32"/>
      <c r="W119" s="32"/>
      <c r="X119" s="32"/>
    </row>
    <row r="120" spans="1:24" x14ac:dyDescent="0.3">
      <c r="A120" s="2"/>
      <c r="B120" s="5"/>
      <c r="C120" s="5"/>
      <c r="D120" s="5"/>
      <c r="E120" s="7"/>
      <c r="F120" s="7"/>
      <c r="G120" s="7"/>
      <c r="H120" s="7"/>
      <c r="I120" s="7"/>
      <c r="J120" s="7"/>
      <c r="K120" s="2"/>
      <c r="L120" s="32"/>
      <c r="M120" s="32"/>
      <c r="N120" s="32"/>
      <c r="O120" s="32"/>
      <c r="P120" s="32"/>
      <c r="Q120" s="32"/>
      <c r="R120" s="32"/>
      <c r="S120" s="32"/>
      <c r="T120" s="32"/>
      <c r="U120" s="32"/>
      <c r="V120" s="32"/>
      <c r="W120" s="32"/>
      <c r="X120" s="32"/>
    </row>
    <row r="121" spans="1:24" x14ac:dyDescent="0.3">
      <c r="A121" s="2"/>
      <c r="B121" s="5"/>
      <c r="C121" s="5"/>
      <c r="D121" s="5"/>
      <c r="E121" s="7"/>
      <c r="F121" s="7"/>
      <c r="G121" s="7"/>
      <c r="H121" s="7"/>
      <c r="I121" s="7"/>
      <c r="J121" s="7"/>
      <c r="K121" s="2"/>
      <c r="L121" s="32"/>
      <c r="M121" s="32"/>
      <c r="N121" s="32"/>
      <c r="O121" s="32"/>
      <c r="P121" s="32"/>
      <c r="Q121" s="32"/>
      <c r="R121" s="32"/>
      <c r="S121" s="32"/>
      <c r="T121" s="32"/>
      <c r="U121" s="32"/>
      <c r="V121" s="32"/>
      <c r="W121" s="32"/>
      <c r="X121" s="32"/>
    </row>
    <row r="122" spans="1:24" x14ac:dyDescent="0.3">
      <c r="A122" s="2"/>
      <c r="B122" s="5"/>
      <c r="C122" s="5"/>
      <c r="D122" s="5"/>
      <c r="E122" s="7"/>
      <c r="F122" s="7"/>
      <c r="G122" s="7"/>
      <c r="H122" s="7"/>
      <c r="I122" s="7"/>
      <c r="J122" s="7"/>
      <c r="K122" s="2"/>
      <c r="L122" s="32"/>
      <c r="M122" s="32"/>
      <c r="N122" s="32"/>
      <c r="O122" s="32"/>
      <c r="P122" s="32"/>
      <c r="Q122" s="32"/>
      <c r="R122" s="32"/>
      <c r="S122" s="32"/>
      <c r="T122" s="32"/>
      <c r="U122" s="32"/>
      <c r="V122" s="32"/>
      <c r="W122" s="32"/>
      <c r="X122" s="32"/>
    </row>
    <row r="123" spans="1:24" x14ac:dyDescent="0.3">
      <c r="A123" s="2"/>
      <c r="B123" s="5"/>
      <c r="C123" s="5"/>
      <c r="D123" s="5"/>
      <c r="E123" s="7"/>
      <c r="F123" s="7"/>
      <c r="G123" s="7"/>
      <c r="H123" s="7"/>
      <c r="I123" s="7"/>
      <c r="J123" s="7"/>
      <c r="K123" s="2"/>
      <c r="L123" s="32"/>
      <c r="M123" s="32"/>
      <c r="N123" s="32"/>
      <c r="O123" s="32"/>
      <c r="P123" s="32"/>
      <c r="Q123" s="32"/>
      <c r="R123" s="32"/>
      <c r="S123" s="32"/>
      <c r="T123" s="32"/>
      <c r="U123" s="32"/>
      <c r="V123" s="32"/>
      <c r="W123" s="32"/>
      <c r="X123" s="32"/>
    </row>
    <row r="124" spans="1:24" x14ac:dyDescent="0.3">
      <c r="A124" s="2"/>
      <c r="B124" s="5"/>
      <c r="C124" s="5"/>
      <c r="D124" s="5"/>
      <c r="E124" s="7"/>
      <c r="F124" s="7"/>
      <c r="G124" s="7"/>
      <c r="H124" s="7"/>
      <c r="I124" s="7"/>
      <c r="J124" s="7"/>
      <c r="K124" s="2"/>
      <c r="L124" s="32"/>
      <c r="M124" s="32"/>
      <c r="N124" s="32"/>
      <c r="O124" s="32"/>
      <c r="P124" s="32"/>
      <c r="Q124" s="32"/>
      <c r="R124" s="32"/>
      <c r="S124" s="32"/>
      <c r="T124" s="32"/>
      <c r="U124" s="32"/>
      <c r="V124" s="32"/>
      <c r="W124" s="32"/>
      <c r="X124" s="32"/>
    </row>
    <row r="125" spans="1:24" x14ac:dyDescent="0.3">
      <c r="A125" s="2"/>
      <c r="B125" s="5"/>
      <c r="C125" s="5"/>
      <c r="D125" s="5"/>
      <c r="E125" s="7"/>
      <c r="F125" s="7"/>
      <c r="G125" s="7"/>
      <c r="H125" s="7"/>
      <c r="I125" s="7"/>
      <c r="J125" s="7"/>
      <c r="K125" s="2"/>
      <c r="L125" s="32"/>
      <c r="M125" s="32"/>
      <c r="N125" s="32"/>
      <c r="O125" s="32"/>
      <c r="P125" s="32"/>
      <c r="Q125" s="32"/>
      <c r="R125" s="32"/>
      <c r="S125" s="32"/>
      <c r="T125" s="32"/>
      <c r="U125" s="32"/>
      <c r="V125" s="32"/>
      <c r="W125" s="32"/>
      <c r="X125" s="32"/>
    </row>
    <row r="126" spans="1:24" x14ac:dyDescent="0.3">
      <c r="A126" s="2"/>
      <c r="B126" s="5"/>
      <c r="C126" s="5"/>
      <c r="D126" s="5"/>
      <c r="E126" s="7"/>
      <c r="F126" s="7"/>
      <c r="G126" s="7"/>
      <c r="H126" s="7"/>
      <c r="I126" s="7"/>
      <c r="J126" s="7"/>
      <c r="K126" s="2"/>
      <c r="L126" s="32"/>
      <c r="M126" s="32"/>
      <c r="N126" s="32"/>
      <c r="O126" s="32"/>
      <c r="P126" s="32"/>
      <c r="Q126" s="32"/>
      <c r="R126" s="32"/>
      <c r="S126" s="32"/>
      <c r="T126" s="32"/>
      <c r="U126" s="32"/>
      <c r="V126" s="32"/>
      <c r="W126" s="32"/>
      <c r="X126" s="32"/>
    </row>
    <row r="127" spans="1:24" x14ac:dyDescent="0.3">
      <c r="A127" s="2"/>
      <c r="B127" s="5"/>
      <c r="C127" s="5"/>
      <c r="D127" s="5"/>
      <c r="E127" s="7"/>
      <c r="F127" s="7"/>
      <c r="G127" s="7"/>
      <c r="H127" s="7"/>
      <c r="I127" s="7"/>
      <c r="J127" s="7"/>
      <c r="K127" s="2"/>
      <c r="L127" s="32"/>
      <c r="M127" s="32"/>
      <c r="N127" s="32"/>
      <c r="O127" s="32"/>
      <c r="P127" s="32"/>
      <c r="Q127" s="32"/>
      <c r="R127" s="32"/>
      <c r="S127" s="32"/>
      <c r="T127" s="32"/>
      <c r="U127" s="32"/>
      <c r="V127" s="32"/>
      <c r="W127" s="32"/>
      <c r="X127" s="32"/>
    </row>
    <row r="128" spans="1:24" x14ac:dyDescent="0.3">
      <c r="A128" s="2"/>
      <c r="B128" s="5"/>
      <c r="C128" s="5"/>
      <c r="D128" s="5"/>
      <c r="E128" s="7"/>
      <c r="F128" s="7"/>
      <c r="G128" s="7"/>
      <c r="H128" s="7"/>
      <c r="I128" s="7"/>
      <c r="J128" s="7"/>
      <c r="K128" s="2"/>
      <c r="L128" s="32"/>
      <c r="M128" s="32"/>
      <c r="N128" s="32"/>
      <c r="O128" s="32"/>
      <c r="P128" s="32"/>
      <c r="Q128" s="32"/>
      <c r="R128" s="32"/>
      <c r="S128" s="32"/>
      <c r="T128" s="32"/>
      <c r="U128" s="32"/>
      <c r="V128" s="32"/>
      <c r="W128" s="32"/>
      <c r="X128" s="32"/>
    </row>
    <row r="129" spans="1:24" x14ac:dyDescent="0.3">
      <c r="A129" s="2"/>
      <c r="B129" s="5"/>
      <c r="C129" s="5"/>
      <c r="D129" s="5"/>
      <c r="E129" s="7"/>
      <c r="F129" s="7"/>
      <c r="G129" s="7"/>
      <c r="H129" s="7"/>
      <c r="I129" s="7"/>
      <c r="J129" s="7"/>
      <c r="K129" s="2"/>
      <c r="L129" s="32"/>
      <c r="M129" s="32"/>
      <c r="N129" s="32"/>
      <c r="O129" s="32"/>
      <c r="P129" s="32"/>
      <c r="Q129" s="32"/>
      <c r="R129" s="32"/>
      <c r="S129" s="32"/>
      <c r="T129" s="32"/>
      <c r="U129" s="32"/>
      <c r="V129" s="32"/>
      <c r="W129" s="32"/>
      <c r="X129" s="32"/>
    </row>
    <row r="130" spans="1:24" x14ac:dyDescent="0.3">
      <c r="A130" s="2"/>
      <c r="B130" s="5"/>
      <c r="C130" s="5"/>
      <c r="D130" s="5"/>
      <c r="E130" s="7"/>
      <c r="F130" s="7"/>
      <c r="G130" s="7"/>
      <c r="H130" s="7"/>
      <c r="I130" s="7"/>
      <c r="J130" s="7"/>
      <c r="K130" s="2"/>
      <c r="L130" s="32"/>
      <c r="M130" s="32"/>
      <c r="N130" s="32"/>
      <c r="O130" s="32"/>
      <c r="P130" s="32"/>
      <c r="Q130" s="32"/>
      <c r="R130" s="32"/>
      <c r="S130" s="32"/>
      <c r="T130" s="32"/>
      <c r="U130" s="32"/>
      <c r="V130" s="32"/>
      <c r="W130" s="32"/>
      <c r="X130" s="32"/>
    </row>
    <row r="131" spans="1:24" x14ac:dyDescent="0.3">
      <c r="A131" s="2"/>
      <c r="B131" s="5"/>
      <c r="C131" s="5"/>
      <c r="D131" s="5"/>
      <c r="E131" s="7"/>
      <c r="F131" s="7"/>
      <c r="G131" s="7"/>
      <c r="H131" s="7"/>
      <c r="I131" s="7"/>
      <c r="J131" s="7"/>
      <c r="K131" s="2"/>
      <c r="L131" s="32"/>
      <c r="M131" s="32"/>
      <c r="N131" s="32"/>
      <c r="O131" s="32"/>
      <c r="P131" s="32"/>
      <c r="Q131" s="32"/>
      <c r="R131" s="32"/>
      <c r="S131" s="32"/>
      <c r="T131" s="32"/>
      <c r="U131" s="32"/>
      <c r="V131" s="32"/>
      <c r="W131" s="32"/>
      <c r="X131" s="32"/>
    </row>
    <row r="132" spans="1:24" x14ac:dyDescent="0.3">
      <c r="A132" s="2"/>
      <c r="B132" s="5"/>
      <c r="C132" s="5"/>
      <c r="D132" s="5"/>
      <c r="E132" s="7"/>
      <c r="F132" s="7"/>
      <c r="G132" s="7"/>
      <c r="H132" s="7"/>
      <c r="I132" s="7"/>
      <c r="J132" s="7"/>
      <c r="K132" s="2"/>
      <c r="L132" s="32"/>
      <c r="M132" s="32"/>
      <c r="N132" s="32"/>
      <c r="O132" s="32"/>
      <c r="P132" s="32"/>
      <c r="Q132" s="32"/>
      <c r="R132" s="32"/>
      <c r="S132" s="32"/>
      <c r="T132" s="32"/>
      <c r="U132" s="32"/>
      <c r="V132" s="32"/>
      <c r="W132" s="32"/>
      <c r="X132" s="32"/>
    </row>
    <row r="133" spans="1:24" x14ac:dyDescent="0.3">
      <c r="A133" s="2"/>
      <c r="B133" s="5"/>
      <c r="C133" s="5"/>
      <c r="D133" s="5"/>
      <c r="E133" s="7"/>
      <c r="F133" s="7"/>
      <c r="G133" s="7"/>
      <c r="H133" s="7"/>
      <c r="I133" s="7"/>
      <c r="J133" s="7"/>
      <c r="K133" s="2"/>
      <c r="L133" s="32"/>
      <c r="M133" s="32"/>
      <c r="N133" s="32"/>
      <c r="O133" s="32"/>
      <c r="P133" s="32"/>
      <c r="Q133" s="32"/>
      <c r="R133" s="32"/>
      <c r="S133" s="32"/>
      <c r="T133" s="32"/>
      <c r="U133" s="32"/>
      <c r="V133" s="32"/>
      <c r="W133" s="32"/>
      <c r="X133" s="32"/>
    </row>
    <row r="134" spans="1:24" x14ac:dyDescent="0.3">
      <c r="A134" s="2"/>
      <c r="B134" s="5"/>
      <c r="C134" s="5"/>
      <c r="D134" s="5"/>
      <c r="E134" s="7"/>
      <c r="F134" s="7"/>
      <c r="G134" s="7"/>
      <c r="H134" s="7"/>
      <c r="I134" s="7"/>
      <c r="J134" s="7"/>
      <c r="K134" s="2"/>
      <c r="L134" s="32"/>
      <c r="M134" s="32"/>
      <c r="N134" s="32"/>
      <c r="O134" s="32"/>
      <c r="P134" s="32"/>
      <c r="Q134" s="32"/>
      <c r="R134" s="32"/>
      <c r="S134" s="32"/>
      <c r="T134" s="32"/>
      <c r="U134" s="32"/>
      <c r="V134" s="32"/>
      <c r="W134" s="32"/>
      <c r="X134" s="32"/>
    </row>
    <row r="135" spans="1:24" x14ac:dyDescent="0.3">
      <c r="A135" s="2"/>
      <c r="B135" s="5"/>
      <c r="C135" s="5"/>
      <c r="D135" s="5"/>
      <c r="E135" s="7"/>
      <c r="F135" s="7"/>
      <c r="G135" s="7"/>
      <c r="H135" s="7"/>
      <c r="I135" s="7"/>
      <c r="J135" s="7"/>
      <c r="K135" s="2"/>
      <c r="L135" s="32"/>
      <c r="M135" s="32"/>
      <c r="N135" s="32"/>
      <c r="O135" s="32"/>
      <c r="P135" s="32"/>
      <c r="Q135" s="32"/>
      <c r="R135" s="32"/>
      <c r="S135" s="32"/>
      <c r="T135" s="32"/>
      <c r="U135" s="32"/>
      <c r="V135" s="32"/>
      <c r="W135" s="32"/>
      <c r="X135" s="32"/>
    </row>
    <row r="136" spans="1:24" x14ac:dyDescent="0.3">
      <c r="A136" s="2"/>
      <c r="B136" s="5"/>
      <c r="C136" s="5"/>
      <c r="D136" s="5"/>
      <c r="E136" s="7"/>
      <c r="F136" s="7"/>
      <c r="G136" s="7"/>
      <c r="H136" s="7"/>
      <c r="I136" s="7"/>
      <c r="J136" s="7"/>
      <c r="K136" s="2"/>
      <c r="L136" s="32"/>
      <c r="M136" s="32"/>
      <c r="N136" s="32"/>
      <c r="O136" s="32"/>
      <c r="P136" s="32"/>
      <c r="Q136" s="32"/>
      <c r="R136" s="32"/>
      <c r="S136" s="32"/>
      <c r="T136" s="32"/>
      <c r="U136" s="32"/>
      <c r="V136" s="32"/>
      <c r="W136" s="32"/>
      <c r="X136" s="32"/>
    </row>
    <row r="137" spans="1:24" x14ac:dyDescent="0.3">
      <c r="A137" s="2"/>
      <c r="B137" s="5"/>
      <c r="C137" s="5"/>
      <c r="D137" s="5"/>
      <c r="E137" s="7"/>
      <c r="F137" s="7"/>
      <c r="G137" s="7"/>
      <c r="H137" s="7"/>
      <c r="I137" s="7"/>
      <c r="J137" s="7"/>
      <c r="K137" s="2"/>
      <c r="L137" s="32"/>
      <c r="M137" s="32"/>
      <c r="N137" s="32"/>
      <c r="O137" s="32"/>
      <c r="P137" s="32"/>
      <c r="Q137" s="32"/>
      <c r="R137" s="32"/>
      <c r="S137" s="32"/>
      <c r="T137" s="32"/>
      <c r="U137" s="32"/>
      <c r="V137" s="32"/>
      <c r="W137" s="32"/>
      <c r="X137" s="32"/>
    </row>
    <row r="138" spans="1:24" x14ac:dyDescent="0.3">
      <c r="A138" s="2"/>
      <c r="B138" s="5"/>
      <c r="C138" s="5"/>
      <c r="D138" s="5"/>
      <c r="E138" s="7"/>
      <c r="F138" s="7"/>
      <c r="G138" s="7"/>
      <c r="H138" s="7"/>
      <c r="I138" s="7"/>
      <c r="J138" s="7"/>
      <c r="K138" s="2"/>
      <c r="L138" s="32"/>
      <c r="M138" s="32"/>
      <c r="N138" s="32"/>
      <c r="O138" s="32"/>
      <c r="P138" s="32"/>
      <c r="Q138" s="32"/>
      <c r="R138" s="32"/>
      <c r="S138" s="32"/>
      <c r="T138" s="32"/>
      <c r="U138" s="32"/>
      <c r="V138" s="32"/>
      <c r="W138" s="32"/>
      <c r="X138" s="32"/>
    </row>
    <row r="139" spans="1:24" x14ac:dyDescent="0.3">
      <c r="A139" s="2"/>
      <c r="B139" s="5"/>
      <c r="C139" s="5"/>
      <c r="D139" s="5"/>
      <c r="E139" s="7"/>
      <c r="F139" s="7"/>
      <c r="G139" s="7"/>
      <c r="H139" s="7"/>
      <c r="I139" s="7"/>
      <c r="J139" s="7"/>
      <c r="K139" s="2"/>
      <c r="L139" s="32"/>
      <c r="M139" s="32"/>
      <c r="N139" s="32"/>
      <c r="O139" s="32"/>
      <c r="P139" s="32"/>
      <c r="Q139" s="32"/>
      <c r="R139" s="32"/>
      <c r="S139" s="32"/>
      <c r="T139" s="32"/>
      <c r="U139" s="32"/>
      <c r="V139" s="32"/>
      <c r="W139" s="32"/>
      <c r="X139" s="32"/>
    </row>
    <row r="140" spans="1:24" x14ac:dyDescent="0.3">
      <c r="A140" s="2"/>
      <c r="B140" s="5"/>
      <c r="C140" s="5"/>
      <c r="D140" s="5"/>
      <c r="E140" s="7"/>
      <c r="F140" s="7"/>
      <c r="G140" s="7"/>
      <c r="H140" s="7"/>
      <c r="I140" s="7"/>
      <c r="J140" s="7"/>
      <c r="K140" s="2"/>
      <c r="L140" s="32"/>
      <c r="M140" s="32"/>
      <c r="N140" s="32"/>
      <c r="O140" s="32"/>
      <c r="P140" s="32"/>
      <c r="Q140" s="32"/>
      <c r="R140" s="32"/>
      <c r="S140" s="32"/>
      <c r="T140" s="32"/>
      <c r="U140" s="32"/>
      <c r="V140" s="32"/>
      <c r="W140" s="32"/>
      <c r="X140" s="32"/>
    </row>
    <row r="141" spans="1:24" x14ac:dyDescent="0.3">
      <c r="A141" s="2"/>
      <c r="B141" s="5"/>
      <c r="C141" s="5"/>
      <c r="D141" s="5"/>
      <c r="E141" s="7"/>
      <c r="F141" s="7"/>
      <c r="G141" s="7"/>
      <c r="H141" s="7"/>
      <c r="I141" s="7"/>
      <c r="J141" s="7"/>
      <c r="K141" s="2"/>
      <c r="L141" s="32"/>
      <c r="M141" s="32"/>
      <c r="N141" s="32"/>
      <c r="O141" s="32"/>
      <c r="P141" s="32"/>
      <c r="Q141" s="32"/>
      <c r="R141" s="32"/>
      <c r="S141" s="32"/>
      <c r="T141" s="32"/>
      <c r="U141" s="32"/>
      <c r="V141" s="32"/>
      <c r="W141" s="32"/>
      <c r="X141" s="32"/>
    </row>
    <row r="142" spans="1:24" x14ac:dyDescent="0.3">
      <c r="A142" s="2"/>
      <c r="B142" s="5"/>
      <c r="C142" s="5"/>
      <c r="D142" s="5"/>
      <c r="E142" s="7"/>
      <c r="F142" s="7"/>
      <c r="G142" s="7"/>
      <c r="H142" s="7"/>
      <c r="I142" s="7"/>
      <c r="J142" s="7"/>
      <c r="K142" s="2"/>
      <c r="L142" s="32"/>
      <c r="M142" s="32"/>
      <c r="N142" s="32"/>
      <c r="O142" s="32"/>
      <c r="P142" s="32"/>
      <c r="Q142" s="32"/>
      <c r="R142" s="32"/>
      <c r="S142" s="32"/>
      <c r="T142" s="32"/>
      <c r="U142" s="32"/>
      <c r="V142" s="32"/>
      <c r="W142" s="32"/>
      <c r="X142" s="32"/>
    </row>
    <row r="143" spans="1:24" x14ac:dyDescent="0.3">
      <c r="A143" s="2"/>
      <c r="B143" s="5"/>
      <c r="C143" s="5"/>
      <c r="D143" s="5"/>
      <c r="E143" s="7"/>
      <c r="F143" s="7"/>
      <c r="G143" s="7"/>
      <c r="H143" s="7"/>
      <c r="I143" s="7"/>
      <c r="J143" s="7"/>
      <c r="K143" s="2"/>
      <c r="L143" s="32"/>
      <c r="M143" s="32"/>
      <c r="N143" s="32"/>
      <c r="O143" s="32"/>
      <c r="P143" s="32"/>
      <c r="Q143" s="32"/>
      <c r="R143" s="32"/>
      <c r="S143" s="32"/>
      <c r="T143" s="32"/>
      <c r="U143" s="32"/>
      <c r="V143" s="32"/>
      <c r="W143" s="32"/>
      <c r="X143" s="32"/>
    </row>
    <row r="144" spans="1:24" x14ac:dyDescent="0.3">
      <c r="A144" s="2"/>
      <c r="B144" s="5"/>
      <c r="C144" s="5"/>
      <c r="D144" s="5"/>
      <c r="E144" s="7"/>
      <c r="F144" s="7"/>
      <c r="G144" s="7"/>
      <c r="H144" s="7"/>
      <c r="I144" s="7"/>
      <c r="J144" s="7"/>
      <c r="K144" s="2"/>
      <c r="L144" s="32"/>
      <c r="M144" s="32"/>
      <c r="N144" s="32"/>
      <c r="O144" s="32"/>
      <c r="P144" s="32"/>
      <c r="Q144" s="32"/>
      <c r="R144" s="32"/>
      <c r="S144" s="32"/>
      <c r="T144" s="32"/>
      <c r="U144" s="32"/>
      <c r="V144" s="32"/>
      <c r="W144" s="32"/>
      <c r="X144" s="32"/>
    </row>
    <row r="145" spans="1:24" x14ac:dyDescent="0.3">
      <c r="A145" s="2"/>
      <c r="B145" s="5"/>
      <c r="C145" s="5"/>
      <c r="D145" s="5"/>
      <c r="E145" s="7"/>
      <c r="F145" s="7"/>
      <c r="G145" s="7"/>
      <c r="H145" s="7"/>
      <c r="I145" s="7"/>
      <c r="J145" s="7"/>
      <c r="K145" s="2"/>
      <c r="L145" s="32"/>
      <c r="M145" s="32"/>
      <c r="N145" s="32"/>
      <c r="O145" s="32"/>
      <c r="P145" s="32"/>
      <c r="Q145" s="32"/>
      <c r="R145" s="32"/>
      <c r="S145" s="32"/>
      <c r="T145" s="32"/>
      <c r="U145" s="32"/>
      <c r="V145" s="32"/>
      <c r="W145" s="32"/>
      <c r="X145" s="32"/>
    </row>
    <row r="146" spans="1:24" x14ac:dyDescent="0.3">
      <c r="A146" s="2"/>
      <c r="B146" s="5"/>
      <c r="C146" s="5"/>
      <c r="D146" s="5"/>
      <c r="E146" s="7"/>
      <c r="F146" s="7"/>
      <c r="G146" s="7"/>
      <c r="H146" s="7"/>
      <c r="I146" s="7"/>
      <c r="J146" s="7"/>
      <c r="K146" s="2"/>
      <c r="L146" s="32"/>
      <c r="M146" s="32"/>
      <c r="N146" s="32"/>
      <c r="O146" s="32"/>
      <c r="P146" s="32"/>
      <c r="Q146" s="32"/>
      <c r="R146" s="32"/>
      <c r="S146" s="32"/>
      <c r="T146" s="32"/>
      <c r="U146" s="32"/>
      <c r="V146" s="32"/>
      <c r="W146" s="32"/>
      <c r="X146" s="32"/>
    </row>
    <row r="147" spans="1:24" x14ac:dyDescent="0.3">
      <c r="A147" s="2"/>
      <c r="B147" s="5"/>
      <c r="C147" s="5"/>
      <c r="D147" s="5"/>
      <c r="E147" s="7"/>
      <c r="F147" s="7"/>
      <c r="G147" s="7"/>
      <c r="H147" s="7"/>
      <c r="I147" s="7"/>
      <c r="J147" s="7"/>
      <c r="K147" s="2"/>
      <c r="L147" s="32"/>
      <c r="M147" s="32"/>
      <c r="N147" s="32"/>
      <c r="O147" s="32"/>
      <c r="P147" s="32"/>
      <c r="Q147" s="32"/>
      <c r="R147" s="32"/>
      <c r="S147" s="32"/>
      <c r="T147" s="32"/>
      <c r="U147" s="32"/>
      <c r="V147" s="32"/>
      <c r="W147" s="32"/>
      <c r="X147" s="32"/>
    </row>
    <row r="148" spans="1:24" x14ac:dyDescent="0.3">
      <c r="A148" s="2"/>
      <c r="B148" s="5"/>
      <c r="C148" s="5"/>
      <c r="D148" s="5"/>
      <c r="E148" s="7"/>
      <c r="F148" s="7"/>
      <c r="G148" s="7"/>
      <c r="H148" s="7"/>
      <c r="I148" s="7"/>
      <c r="J148" s="7"/>
      <c r="K148" s="2"/>
      <c r="L148" s="32"/>
      <c r="M148" s="32"/>
      <c r="N148" s="32"/>
      <c r="O148" s="32"/>
      <c r="P148" s="32"/>
      <c r="Q148" s="32"/>
      <c r="R148" s="32"/>
      <c r="S148" s="32"/>
      <c r="T148" s="32"/>
      <c r="U148" s="32"/>
      <c r="V148" s="32"/>
      <c r="W148" s="32"/>
      <c r="X148" s="32"/>
    </row>
    <row r="149" spans="1:24" x14ac:dyDescent="0.3">
      <c r="A149" s="2"/>
      <c r="B149" s="5"/>
      <c r="C149" s="5"/>
      <c r="D149" s="5"/>
      <c r="E149" s="7"/>
      <c r="F149" s="7"/>
      <c r="G149" s="7"/>
      <c r="H149" s="7"/>
      <c r="I149" s="7"/>
      <c r="J149" s="7"/>
      <c r="K149" s="2"/>
      <c r="L149" s="32"/>
      <c r="M149" s="32"/>
      <c r="N149" s="32"/>
      <c r="O149" s="32"/>
      <c r="P149" s="32"/>
      <c r="Q149" s="32"/>
      <c r="R149" s="32"/>
      <c r="S149" s="32"/>
      <c r="T149" s="32"/>
      <c r="U149" s="32"/>
      <c r="V149" s="32"/>
      <c r="W149" s="32"/>
      <c r="X149" s="32"/>
    </row>
    <row r="150" spans="1:24" x14ac:dyDescent="0.3">
      <c r="A150" s="2"/>
      <c r="B150" s="5"/>
      <c r="C150" s="5"/>
      <c r="D150" s="5"/>
      <c r="E150" s="7"/>
      <c r="F150" s="7"/>
      <c r="G150" s="7"/>
      <c r="H150" s="7"/>
      <c r="I150" s="7"/>
      <c r="J150" s="7"/>
      <c r="K150" s="2"/>
      <c r="L150" s="32"/>
      <c r="M150" s="32"/>
      <c r="N150" s="32"/>
      <c r="O150" s="32"/>
      <c r="P150" s="32"/>
      <c r="Q150" s="32"/>
      <c r="R150" s="32"/>
      <c r="S150" s="32"/>
      <c r="T150" s="32"/>
      <c r="U150" s="32"/>
      <c r="V150" s="32"/>
      <c r="W150" s="32"/>
      <c r="X150" s="32"/>
    </row>
    <row r="151" spans="1:24" x14ac:dyDescent="0.3">
      <c r="A151" s="2"/>
      <c r="B151" s="5"/>
      <c r="C151" s="5"/>
      <c r="D151" s="5"/>
      <c r="E151" s="7"/>
      <c r="F151" s="7"/>
      <c r="G151" s="7"/>
      <c r="H151" s="7"/>
      <c r="I151" s="7"/>
      <c r="J151" s="7"/>
      <c r="K151" s="2"/>
      <c r="L151" s="32"/>
      <c r="M151" s="32"/>
      <c r="N151" s="32"/>
      <c r="O151" s="32"/>
      <c r="P151" s="32"/>
      <c r="Q151" s="32"/>
      <c r="R151" s="32"/>
      <c r="S151" s="32"/>
      <c r="T151" s="32"/>
      <c r="U151" s="32"/>
      <c r="V151" s="32"/>
      <c r="W151" s="32"/>
      <c r="X151" s="32"/>
    </row>
    <row r="152" spans="1:24" x14ac:dyDescent="0.3">
      <c r="A152" s="2"/>
      <c r="B152" s="5"/>
      <c r="C152" s="5"/>
      <c r="D152" s="5"/>
      <c r="E152" s="7"/>
      <c r="F152" s="7"/>
      <c r="G152" s="7"/>
      <c r="H152" s="7"/>
      <c r="I152" s="7"/>
      <c r="J152" s="7"/>
      <c r="K152" s="2"/>
      <c r="L152" s="32"/>
      <c r="M152" s="32"/>
      <c r="N152" s="32"/>
      <c r="O152" s="32"/>
      <c r="P152" s="32"/>
      <c r="Q152" s="32"/>
      <c r="R152" s="32"/>
      <c r="S152" s="32"/>
      <c r="T152" s="32"/>
      <c r="U152" s="32"/>
      <c r="V152" s="32"/>
      <c r="W152" s="32"/>
      <c r="X152" s="32"/>
    </row>
    <row r="153" spans="1:24" x14ac:dyDescent="0.3">
      <c r="A153" s="2"/>
      <c r="B153" s="5"/>
      <c r="C153" s="5"/>
      <c r="D153" s="5"/>
      <c r="E153" s="7"/>
      <c r="F153" s="7"/>
      <c r="G153" s="7"/>
      <c r="H153" s="7"/>
      <c r="I153" s="7"/>
      <c r="J153" s="7"/>
      <c r="K153" s="2"/>
      <c r="L153" s="32"/>
      <c r="M153" s="32"/>
      <c r="N153" s="32"/>
      <c r="O153" s="32"/>
      <c r="P153" s="32"/>
      <c r="Q153" s="32"/>
      <c r="R153" s="32"/>
      <c r="S153" s="32"/>
      <c r="T153" s="32"/>
      <c r="U153" s="32"/>
      <c r="V153" s="32"/>
      <c r="W153" s="32"/>
      <c r="X153" s="32"/>
    </row>
    <row r="154" spans="1:24" x14ac:dyDescent="0.3">
      <c r="A154" s="2"/>
      <c r="B154" s="5"/>
      <c r="C154" s="5"/>
      <c r="D154" s="5"/>
      <c r="E154" s="7"/>
      <c r="F154" s="7"/>
      <c r="G154" s="7"/>
      <c r="H154" s="7"/>
      <c r="I154" s="7"/>
      <c r="J154" s="7"/>
      <c r="K154" s="2"/>
      <c r="L154" s="32"/>
      <c r="M154" s="32"/>
      <c r="N154" s="32"/>
      <c r="O154" s="32"/>
      <c r="P154" s="32"/>
      <c r="Q154" s="32"/>
      <c r="R154" s="32"/>
      <c r="S154" s="32"/>
      <c r="T154" s="32"/>
      <c r="U154" s="32"/>
      <c r="V154" s="32"/>
      <c r="W154" s="32"/>
      <c r="X154" s="32"/>
    </row>
    <row r="155" spans="1:24" x14ac:dyDescent="0.3">
      <c r="A155" s="2"/>
      <c r="B155" s="5"/>
      <c r="C155" s="5"/>
      <c r="D155" s="5"/>
      <c r="E155" s="7"/>
      <c r="F155" s="7"/>
      <c r="G155" s="7"/>
      <c r="H155" s="7"/>
      <c r="I155" s="7"/>
      <c r="J155" s="7"/>
      <c r="K155" s="2"/>
      <c r="L155" s="32"/>
      <c r="M155" s="32"/>
      <c r="N155" s="32"/>
      <c r="O155" s="32"/>
      <c r="P155" s="32"/>
      <c r="Q155" s="32"/>
      <c r="R155" s="32"/>
      <c r="S155" s="32"/>
      <c r="T155" s="32"/>
      <c r="U155" s="32"/>
      <c r="V155" s="32"/>
      <c r="W155" s="32"/>
      <c r="X155" s="32"/>
    </row>
    <row r="156" spans="1:24" x14ac:dyDescent="0.3">
      <c r="A156" s="2"/>
      <c r="B156" s="5"/>
      <c r="C156" s="5"/>
      <c r="D156" s="5"/>
      <c r="E156" s="7"/>
      <c r="F156" s="7"/>
      <c r="G156" s="7"/>
      <c r="H156" s="7"/>
      <c r="I156" s="7"/>
      <c r="J156" s="7"/>
      <c r="K156" s="2"/>
      <c r="L156" s="32"/>
      <c r="M156" s="32"/>
      <c r="N156" s="32"/>
      <c r="O156" s="32"/>
      <c r="P156" s="32"/>
      <c r="Q156" s="32"/>
      <c r="R156" s="32"/>
      <c r="S156" s="32"/>
      <c r="T156" s="32"/>
      <c r="U156" s="32"/>
      <c r="V156" s="32"/>
      <c r="W156" s="32"/>
      <c r="X156" s="32"/>
    </row>
    <row r="157" spans="1:24" x14ac:dyDescent="0.3">
      <c r="A157" s="2"/>
      <c r="B157" s="5"/>
      <c r="C157" s="5"/>
      <c r="D157" s="5"/>
      <c r="E157" s="7"/>
      <c r="F157" s="7"/>
      <c r="G157" s="7"/>
      <c r="H157" s="7"/>
      <c r="I157" s="7"/>
      <c r="J157" s="7"/>
      <c r="K157" s="2"/>
      <c r="L157" s="32"/>
      <c r="M157" s="32"/>
      <c r="N157" s="32"/>
      <c r="O157" s="32"/>
      <c r="P157" s="32"/>
      <c r="Q157" s="32"/>
      <c r="R157" s="32"/>
      <c r="S157" s="32"/>
      <c r="T157" s="32"/>
      <c r="U157" s="32"/>
      <c r="V157" s="32"/>
      <c r="W157" s="32"/>
      <c r="X157" s="32"/>
    </row>
    <row r="158" spans="1:24" x14ac:dyDescent="0.3">
      <c r="A158" s="2"/>
      <c r="B158" s="5"/>
      <c r="C158" s="5"/>
      <c r="D158" s="5"/>
      <c r="E158" s="7"/>
      <c r="F158" s="7"/>
      <c r="G158" s="7"/>
      <c r="H158" s="7"/>
      <c r="I158" s="7"/>
      <c r="J158" s="7"/>
      <c r="K158" s="2"/>
      <c r="L158" s="32"/>
      <c r="M158" s="32"/>
      <c r="N158" s="32"/>
      <c r="O158" s="32"/>
      <c r="P158" s="32"/>
      <c r="Q158" s="32"/>
      <c r="R158" s="32"/>
      <c r="S158" s="32"/>
      <c r="T158" s="32"/>
      <c r="U158" s="32"/>
      <c r="V158" s="32"/>
      <c r="W158" s="32"/>
      <c r="X158" s="32"/>
    </row>
    <row r="159" spans="1:24" x14ac:dyDescent="0.3">
      <c r="A159" s="2"/>
      <c r="B159" s="5"/>
      <c r="C159" s="5"/>
      <c r="D159" s="5"/>
      <c r="E159" s="7"/>
      <c r="F159" s="7"/>
      <c r="G159" s="7"/>
      <c r="H159" s="7"/>
      <c r="I159" s="7"/>
      <c r="J159" s="7"/>
      <c r="K159" s="2"/>
      <c r="L159" s="32"/>
      <c r="M159" s="32"/>
      <c r="N159" s="32"/>
      <c r="O159" s="32"/>
      <c r="P159" s="32"/>
      <c r="Q159" s="32"/>
      <c r="R159" s="32"/>
      <c r="S159" s="32"/>
      <c r="T159" s="32"/>
      <c r="U159" s="32"/>
      <c r="V159" s="32"/>
      <c r="W159" s="32"/>
      <c r="X159" s="32"/>
    </row>
    <row r="160" spans="1:24" x14ac:dyDescent="0.3">
      <c r="A160" s="2"/>
      <c r="B160" s="5"/>
      <c r="C160" s="5"/>
      <c r="D160" s="5"/>
      <c r="E160" s="7"/>
      <c r="F160" s="7"/>
      <c r="G160" s="7"/>
      <c r="H160" s="7"/>
      <c r="I160" s="7"/>
      <c r="J160" s="7"/>
      <c r="K160" s="2"/>
      <c r="L160" s="32"/>
      <c r="M160" s="32"/>
      <c r="N160" s="32"/>
      <c r="O160" s="32"/>
      <c r="P160" s="32"/>
      <c r="Q160" s="32"/>
      <c r="R160" s="32"/>
      <c r="S160" s="32"/>
      <c r="T160" s="32"/>
      <c r="U160" s="32"/>
      <c r="V160" s="32"/>
      <c r="W160" s="32"/>
      <c r="X160" s="32"/>
    </row>
    <row r="161" spans="1:24" x14ac:dyDescent="0.3">
      <c r="A161" s="2"/>
      <c r="B161" s="5"/>
      <c r="C161" s="5"/>
      <c r="D161" s="5"/>
      <c r="E161" s="7"/>
      <c r="F161" s="7"/>
      <c r="G161" s="7"/>
      <c r="H161" s="7"/>
      <c r="I161" s="7"/>
      <c r="J161" s="7"/>
      <c r="K161" s="2"/>
      <c r="L161" s="32"/>
      <c r="M161" s="32"/>
      <c r="N161" s="32"/>
      <c r="O161" s="32"/>
      <c r="P161" s="32"/>
      <c r="Q161" s="32"/>
      <c r="R161" s="32"/>
      <c r="S161" s="32"/>
      <c r="T161" s="32"/>
      <c r="U161" s="32"/>
      <c r="V161" s="32"/>
      <c r="W161" s="32"/>
      <c r="X161" s="32"/>
    </row>
    <row r="162" spans="1:24" x14ac:dyDescent="0.3">
      <c r="A162" s="2"/>
      <c r="B162" s="5"/>
      <c r="C162" s="5"/>
      <c r="D162" s="5"/>
      <c r="E162" s="7"/>
      <c r="F162" s="7"/>
      <c r="G162" s="7"/>
      <c r="H162" s="7"/>
      <c r="I162" s="7"/>
      <c r="J162" s="7"/>
      <c r="K162" s="2"/>
      <c r="L162" s="32"/>
      <c r="M162" s="32"/>
      <c r="N162" s="32"/>
      <c r="O162" s="32"/>
      <c r="P162" s="32"/>
      <c r="Q162" s="32"/>
      <c r="R162" s="32"/>
      <c r="S162" s="32"/>
      <c r="T162" s="32"/>
      <c r="U162" s="32"/>
      <c r="V162" s="32"/>
      <c r="W162" s="32"/>
      <c r="X162" s="32"/>
    </row>
    <row r="163" spans="1:24" x14ac:dyDescent="0.3">
      <c r="A163" s="2"/>
      <c r="B163" s="5"/>
      <c r="C163" s="5"/>
      <c r="D163" s="5"/>
      <c r="E163" s="7"/>
      <c r="F163" s="7"/>
      <c r="G163" s="7"/>
      <c r="H163" s="7"/>
      <c r="I163" s="7"/>
      <c r="J163" s="7"/>
      <c r="K163" s="2"/>
      <c r="L163" s="32"/>
      <c r="M163" s="32"/>
      <c r="N163" s="32"/>
      <c r="O163" s="32"/>
      <c r="P163" s="32"/>
      <c r="Q163" s="32"/>
      <c r="R163" s="32"/>
      <c r="S163" s="32"/>
      <c r="T163" s="32"/>
      <c r="U163" s="32"/>
      <c r="V163" s="32"/>
      <c r="W163" s="32"/>
      <c r="X163" s="32"/>
    </row>
    <row r="164" spans="1:24" x14ac:dyDescent="0.3">
      <c r="A164" s="2"/>
      <c r="B164" s="5"/>
      <c r="C164" s="5"/>
      <c r="D164" s="5"/>
      <c r="E164" s="7"/>
      <c r="F164" s="7"/>
      <c r="G164" s="7"/>
      <c r="H164" s="7"/>
      <c r="I164" s="7"/>
      <c r="J164" s="7"/>
      <c r="K164" s="2"/>
      <c r="L164" s="32"/>
      <c r="M164" s="32"/>
      <c r="N164" s="32"/>
      <c r="O164" s="32"/>
      <c r="P164" s="32"/>
      <c r="Q164" s="32"/>
      <c r="R164" s="32"/>
      <c r="S164" s="32"/>
      <c r="T164" s="32"/>
      <c r="U164" s="32"/>
      <c r="V164" s="32"/>
      <c r="W164" s="32"/>
      <c r="X164" s="32"/>
    </row>
    <row r="165" spans="1:24" x14ac:dyDescent="0.3">
      <c r="A165" s="2"/>
      <c r="B165" s="5"/>
      <c r="C165" s="5"/>
      <c r="D165" s="5"/>
      <c r="E165" s="7"/>
      <c r="F165" s="7"/>
      <c r="G165" s="7"/>
      <c r="H165" s="7"/>
      <c r="I165" s="7"/>
      <c r="J165" s="7"/>
      <c r="K165" s="2"/>
      <c r="L165" s="32"/>
      <c r="M165" s="32"/>
      <c r="N165" s="32"/>
      <c r="O165" s="32"/>
      <c r="P165" s="32"/>
      <c r="Q165" s="32"/>
      <c r="R165" s="32"/>
      <c r="S165" s="32"/>
      <c r="T165" s="32"/>
      <c r="U165" s="32"/>
      <c r="V165" s="32"/>
      <c r="W165" s="32"/>
      <c r="X165" s="32"/>
    </row>
    <row r="166" spans="1:24" x14ac:dyDescent="0.3">
      <c r="A166" s="2"/>
      <c r="B166" s="5"/>
      <c r="C166" s="5"/>
      <c r="D166" s="5"/>
      <c r="E166" s="7"/>
      <c r="F166" s="7"/>
      <c r="G166" s="7"/>
      <c r="H166" s="7"/>
      <c r="I166" s="7"/>
      <c r="J166" s="7"/>
      <c r="K166" s="2"/>
      <c r="L166" s="32"/>
      <c r="M166" s="32"/>
      <c r="N166" s="32"/>
      <c r="O166" s="32"/>
      <c r="P166" s="32"/>
      <c r="Q166" s="32"/>
      <c r="R166" s="32"/>
      <c r="S166" s="32"/>
      <c r="T166" s="32"/>
      <c r="U166" s="32"/>
      <c r="V166" s="32"/>
      <c r="W166" s="32"/>
      <c r="X166" s="32"/>
    </row>
    <row r="167" spans="1:24" x14ac:dyDescent="0.3">
      <c r="A167" s="2"/>
      <c r="B167" s="5"/>
      <c r="C167" s="5"/>
      <c r="D167" s="5"/>
      <c r="E167" s="7"/>
      <c r="F167" s="7"/>
      <c r="G167" s="7"/>
      <c r="H167" s="7"/>
      <c r="I167" s="7"/>
      <c r="J167" s="7"/>
      <c r="K167" s="2"/>
      <c r="L167" s="32"/>
      <c r="M167" s="32"/>
      <c r="N167" s="32"/>
      <c r="O167" s="32"/>
      <c r="P167" s="32"/>
      <c r="Q167" s="32"/>
      <c r="R167" s="32"/>
      <c r="S167" s="32"/>
      <c r="T167" s="32"/>
      <c r="U167" s="32"/>
      <c r="V167" s="32"/>
      <c r="W167" s="32"/>
      <c r="X167" s="32"/>
    </row>
    <row r="168" spans="1:24" x14ac:dyDescent="0.3">
      <c r="A168" s="2"/>
      <c r="B168" s="5"/>
      <c r="C168" s="5"/>
      <c r="D168" s="5"/>
      <c r="E168" s="7"/>
      <c r="F168" s="7"/>
      <c r="G168" s="7"/>
      <c r="H168" s="7"/>
      <c r="I168" s="7"/>
      <c r="J168" s="7"/>
      <c r="K168" s="2"/>
      <c r="L168" s="32"/>
      <c r="M168" s="32"/>
      <c r="N168" s="32"/>
      <c r="O168" s="32"/>
      <c r="P168" s="32"/>
      <c r="Q168" s="32"/>
      <c r="R168" s="32"/>
      <c r="S168" s="32"/>
      <c r="T168" s="32"/>
      <c r="U168" s="32"/>
      <c r="V168" s="32"/>
      <c r="W168" s="32"/>
      <c r="X168" s="32"/>
    </row>
    <row r="169" spans="1:24" x14ac:dyDescent="0.3">
      <c r="A169" s="2"/>
      <c r="B169" s="5"/>
      <c r="C169" s="5"/>
      <c r="D169" s="5"/>
      <c r="E169" s="7"/>
      <c r="F169" s="7"/>
      <c r="G169" s="7"/>
      <c r="H169" s="7"/>
      <c r="I169" s="7"/>
      <c r="J169" s="7"/>
      <c r="K169" s="2"/>
      <c r="L169" s="32"/>
      <c r="M169" s="32"/>
      <c r="N169" s="32"/>
      <c r="O169" s="32"/>
      <c r="P169" s="32"/>
      <c r="Q169" s="32"/>
      <c r="R169" s="32"/>
      <c r="S169" s="32"/>
      <c r="T169" s="32"/>
      <c r="U169" s="32"/>
      <c r="V169" s="32"/>
      <c r="W169" s="32"/>
      <c r="X169" s="32"/>
    </row>
    <row r="170" spans="1:24" x14ac:dyDescent="0.3">
      <c r="A170" s="2"/>
      <c r="B170" s="5"/>
      <c r="C170" s="5"/>
      <c r="D170" s="5"/>
      <c r="E170" s="7"/>
      <c r="F170" s="7"/>
      <c r="G170" s="7"/>
      <c r="H170" s="7"/>
      <c r="I170" s="7"/>
      <c r="J170" s="7"/>
      <c r="K170" s="2"/>
      <c r="L170" s="32"/>
      <c r="M170" s="32"/>
      <c r="N170" s="32"/>
      <c r="O170" s="32"/>
      <c r="P170" s="32"/>
      <c r="Q170" s="32"/>
      <c r="R170" s="32"/>
      <c r="S170" s="32"/>
      <c r="T170" s="32"/>
      <c r="U170" s="32"/>
      <c r="V170" s="32"/>
      <c r="W170" s="32"/>
      <c r="X170" s="32"/>
    </row>
    <row r="171" spans="1:24" x14ac:dyDescent="0.3">
      <c r="A171" s="2"/>
      <c r="B171" s="5"/>
      <c r="C171" s="5"/>
      <c r="D171" s="5"/>
      <c r="E171" s="7"/>
      <c r="F171" s="7"/>
      <c r="G171" s="7"/>
      <c r="H171" s="7"/>
      <c r="I171" s="7"/>
      <c r="J171" s="7"/>
      <c r="K171" s="2"/>
      <c r="L171" s="32"/>
      <c r="M171" s="32"/>
      <c r="N171" s="32"/>
      <c r="O171" s="32"/>
      <c r="P171" s="32"/>
      <c r="Q171" s="32"/>
      <c r="R171" s="32"/>
      <c r="S171" s="32"/>
      <c r="T171" s="32"/>
      <c r="U171" s="32"/>
      <c r="V171" s="32"/>
      <c r="W171" s="32"/>
      <c r="X171" s="32"/>
    </row>
    <row r="172" spans="1:24" x14ac:dyDescent="0.3">
      <c r="A172" s="2"/>
      <c r="B172" s="5"/>
      <c r="C172" s="5"/>
      <c r="D172" s="5"/>
      <c r="E172" s="7"/>
      <c r="F172" s="7"/>
      <c r="G172" s="7"/>
      <c r="H172" s="7"/>
      <c r="I172" s="7"/>
      <c r="J172" s="7"/>
      <c r="K172" s="2"/>
      <c r="L172" s="32"/>
      <c r="M172" s="32"/>
      <c r="N172" s="32"/>
      <c r="O172" s="32"/>
      <c r="P172" s="32"/>
      <c r="Q172" s="32"/>
      <c r="R172" s="32"/>
      <c r="S172" s="32"/>
      <c r="T172" s="32"/>
      <c r="U172" s="32"/>
      <c r="V172" s="32"/>
      <c r="W172" s="32"/>
      <c r="X172" s="32"/>
    </row>
    <row r="173" spans="1:24" x14ac:dyDescent="0.3">
      <c r="A173" s="2"/>
      <c r="B173" s="5"/>
      <c r="C173" s="5"/>
      <c r="D173" s="5"/>
      <c r="E173" s="7"/>
      <c r="F173" s="7"/>
      <c r="G173" s="7"/>
      <c r="H173" s="7"/>
      <c r="I173" s="7"/>
      <c r="J173" s="7"/>
      <c r="K173" s="2"/>
      <c r="L173" s="32"/>
      <c r="M173" s="32"/>
      <c r="N173" s="32"/>
      <c r="O173" s="32"/>
      <c r="P173" s="32"/>
      <c r="Q173" s="32"/>
      <c r="R173" s="32"/>
      <c r="S173" s="32"/>
      <c r="T173" s="32"/>
      <c r="U173" s="32"/>
      <c r="V173" s="32"/>
      <c r="W173" s="32"/>
      <c r="X173" s="32"/>
    </row>
    <row r="174" spans="1:24" x14ac:dyDescent="0.3">
      <c r="A174" s="2"/>
      <c r="B174" s="5"/>
      <c r="C174" s="5"/>
      <c r="D174" s="5"/>
      <c r="E174" s="7"/>
      <c r="F174" s="7"/>
      <c r="G174" s="7"/>
      <c r="H174" s="7"/>
      <c r="I174" s="7"/>
      <c r="J174" s="7"/>
      <c r="K174" s="2"/>
      <c r="L174" s="32"/>
      <c r="M174" s="32"/>
      <c r="N174" s="32"/>
      <c r="O174" s="32"/>
      <c r="P174" s="32"/>
      <c r="Q174" s="32"/>
      <c r="R174" s="32"/>
      <c r="S174" s="32"/>
      <c r="T174" s="32"/>
      <c r="U174" s="32"/>
      <c r="V174" s="32"/>
      <c r="W174" s="32"/>
      <c r="X174" s="32"/>
    </row>
    <row r="175" spans="1:24" x14ac:dyDescent="0.3">
      <c r="A175" s="2"/>
      <c r="B175" s="5"/>
      <c r="C175" s="5"/>
      <c r="D175" s="5"/>
      <c r="E175" s="7"/>
      <c r="F175" s="7"/>
      <c r="G175" s="7"/>
      <c r="H175" s="7"/>
      <c r="I175" s="7"/>
      <c r="J175" s="7"/>
      <c r="K175" s="2"/>
      <c r="L175" s="32"/>
      <c r="M175" s="32"/>
      <c r="N175" s="32"/>
      <c r="O175" s="32"/>
      <c r="P175" s="32"/>
      <c r="Q175" s="32"/>
      <c r="R175" s="32"/>
      <c r="S175" s="32"/>
      <c r="T175" s="32"/>
      <c r="U175" s="32"/>
      <c r="V175" s="32"/>
      <c r="W175" s="32"/>
      <c r="X175" s="32"/>
    </row>
    <row r="176" spans="1:24" x14ac:dyDescent="0.3">
      <c r="A176" s="2"/>
      <c r="B176" s="5"/>
      <c r="C176" s="5"/>
      <c r="D176" s="5"/>
      <c r="E176" s="7"/>
      <c r="F176" s="7"/>
      <c r="G176" s="7"/>
      <c r="H176" s="7"/>
      <c r="I176" s="7"/>
      <c r="J176" s="7"/>
      <c r="K176" s="2"/>
      <c r="L176" s="32"/>
      <c r="M176" s="32"/>
      <c r="N176" s="32"/>
      <c r="O176" s="32"/>
      <c r="P176" s="32"/>
      <c r="Q176" s="32"/>
      <c r="R176" s="32"/>
      <c r="S176" s="32"/>
      <c r="T176" s="32"/>
      <c r="U176" s="32"/>
      <c r="V176" s="32"/>
      <c r="W176" s="32"/>
      <c r="X176" s="32"/>
    </row>
    <row r="177" spans="1:24" x14ac:dyDescent="0.3">
      <c r="A177" s="2"/>
      <c r="B177" s="5"/>
      <c r="C177" s="5"/>
      <c r="D177" s="5"/>
      <c r="E177" s="7"/>
      <c r="F177" s="7"/>
      <c r="G177" s="7"/>
      <c r="H177" s="7"/>
      <c r="I177" s="7"/>
      <c r="J177" s="7"/>
      <c r="K177" s="2"/>
      <c r="L177" s="32"/>
      <c r="M177" s="32"/>
      <c r="N177" s="32"/>
      <c r="O177" s="32"/>
      <c r="P177" s="32"/>
      <c r="Q177" s="32"/>
      <c r="R177" s="32"/>
      <c r="S177" s="32"/>
      <c r="T177" s="32"/>
      <c r="U177" s="32"/>
      <c r="V177" s="32"/>
      <c r="W177" s="32"/>
      <c r="X177" s="32"/>
    </row>
    <row r="178" spans="1:24" x14ac:dyDescent="0.3">
      <c r="A178" s="2"/>
      <c r="B178" s="5"/>
      <c r="C178" s="5"/>
      <c r="D178" s="5"/>
      <c r="E178" s="7"/>
      <c r="F178" s="7"/>
      <c r="G178" s="7"/>
      <c r="H178" s="7"/>
      <c r="I178" s="7"/>
      <c r="J178" s="7"/>
      <c r="K178" s="2"/>
      <c r="L178" s="32"/>
      <c r="M178" s="32"/>
      <c r="N178" s="32"/>
      <c r="O178" s="32"/>
      <c r="P178" s="32"/>
      <c r="Q178" s="32"/>
      <c r="R178" s="32"/>
      <c r="S178" s="32"/>
      <c r="T178" s="32"/>
      <c r="U178" s="32"/>
      <c r="V178" s="32"/>
      <c r="W178" s="32"/>
      <c r="X178" s="32"/>
    </row>
    <row r="179" spans="1:24" x14ac:dyDescent="0.3">
      <c r="A179" s="2"/>
      <c r="B179" s="5"/>
      <c r="C179" s="5"/>
      <c r="D179" s="5"/>
      <c r="E179" s="7"/>
      <c r="F179" s="7"/>
      <c r="G179" s="7"/>
      <c r="H179" s="7"/>
      <c r="I179" s="7"/>
      <c r="J179" s="7"/>
      <c r="K179" s="2"/>
      <c r="L179" s="32"/>
      <c r="M179" s="32"/>
      <c r="N179" s="32"/>
      <c r="O179" s="32"/>
      <c r="P179" s="32"/>
      <c r="Q179" s="32"/>
      <c r="R179" s="32"/>
      <c r="S179" s="32"/>
      <c r="T179" s="32"/>
      <c r="U179" s="32"/>
      <c r="V179" s="32"/>
      <c r="W179" s="32"/>
      <c r="X179" s="32"/>
    </row>
    <row r="180" spans="1:24" x14ac:dyDescent="0.3">
      <c r="A180" s="2"/>
      <c r="B180" s="5"/>
      <c r="C180" s="5"/>
      <c r="D180" s="5"/>
      <c r="E180" s="7"/>
      <c r="F180" s="7"/>
      <c r="G180" s="7"/>
      <c r="H180" s="7"/>
      <c r="I180" s="7"/>
      <c r="J180" s="7"/>
      <c r="K180" s="2"/>
      <c r="L180" s="32"/>
      <c r="M180" s="32"/>
      <c r="N180" s="32"/>
      <c r="O180" s="32"/>
      <c r="P180" s="32"/>
      <c r="Q180" s="32"/>
      <c r="R180" s="32"/>
      <c r="S180" s="32"/>
      <c r="T180" s="32"/>
      <c r="U180" s="32"/>
      <c r="V180" s="32"/>
      <c r="W180" s="32"/>
      <c r="X180" s="32"/>
    </row>
    <row r="181" spans="1:24" x14ac:dyDescent="0.3">
      <c r="A181" s="2"/>
      <c r="B181" s="5"/>
      <c r="C181" s="5"/>
      <c r="D181" s="5"/>
      <c r="E181" s="7"/>
      <c r="F181" s="7"/>
      <c r="G181" s="7"/>
      <c r="H181" s="7"/>
      <c r="I181" s="7"/>
      <c r="J181" s="7"/>
      <c r="K181" s="2"/>
      <c r="L181" s="32"/>
      <c r="M181" s="32"/>
      <c r="N181" s="32"/>
      <c r="O181" s="32"/>
      <c r="P181" s="32"/>
      <c r="Q181" s="32"/>
      <c r="R181" s="32"/>
      <c r="S181" s="32"/>
      <c r="T181" s="32"/>
      <c r="U181" s="32"/>
      <c r="V181" s="32"/>
      <c r="W181" s="32"/>
      <c r="X181" s="32"/>
    </row>
    <row r="182" spans="1:24" x14ac:dyDescent="0.3">
      <c r="A182" s="2"/>
      <c r="B182" s="5"/>
      <c r="C182" s="5"/>
      <c r="D182" s="5"/>
      <c r="E182" s="7"/>
      <c r="F182" s="7"/>
      <c r="G182" s="7"/>
      <c r="H182" s="7"/>
      <c r="I182" s="7"/>
      <c r="J182" s="7"/>
      <c r="K182" s="2"/>
      <c r="L182" s="32"/>
      <c r="M182" s="32"/>
      <c r="N182" s="32"/>
      <c r="O182" s="32"/>
      <c r="P182" s="32"/>
      <c r="Q182" s="32"/>
      <c r="R182" s="32"/>
      <c r="S182" s="32"/>
      <c r="T182" s="32"/>
      <c r="U182" s="32"/>
      <c r="V182" s="32"/>
      <c r="W182" s="32"/>
      <c r="X182" s="32"/>
    </row>
    <row r="183" spans="1:24" x14ac:dyDescent="0.3">
      <c r="A183" s="2"/>
      <c r="B183" s="5"/>
      <c r="C183" s="5"/>
      <c r="D183" s="5"/>
      <c r="E183" s="7"/>
      <c r="F183" s="7"/>
      <c r="G183" s="7"/>
      <c r="H183" s="7"/>
      <c r="I183" s="7"/>
      <c r="J183" s="7"/>
      <c r="K183" s="2"/>
      <c r="L183" s="32"/>
      <c r="M183" s="32"/>
      <c r="N183" s="32"/>
      <c r="O183" s="32"/>
      <c r="P183" s="32"/>
      <c r="Q183" s="32"/>
      <c r="R183" s="32"/>
      <c r="S183" s="32"/>
      <c r="T183" s="32"/>
      <c r="U183" s="32"/>
      <c r="V183" s="32"/>
      <c r="W183" s="32"/>
      <c r="X183" s="32"/>
    </row>
    <row r="184" spans="1:24" x14ac:dyDescent="0.3">
      <c r="A184" s="2"/>
      <c r="B184" s="5"/>
      <c r="C184" s="5"/>
      <c r="D184" s="5"/>
      <c r="E184" s="7"/>
      <c r="F184" s="7"/>
      <c r="G184" s="7"/>
      <c r="H184" s="7"/>
      <c r="I184" s="7"/>
      <c r="J184" s="7"/>
      <c r="K184" s="2"/>
      <c r="L184" s="32"/>
      <c r="M184" s="32"/>
      <c r="N184" s="32"/>
      <c r="O184" s="32"/>
      <c r="P184" s="32"/>
      <c r="Q184" s="32"/>
      <c r="R184" s="32"/>
      <c r="S184" s="32"/>
      <c r="T184" s="32"/>
      <c r="U184" s="32"/>
      <c r="V184" s="32"/>
      <c r="W184" s="32"/>
      <c r="X184" s="32"/>
    </row>
    <row r="185" spans="1:24" x14ac:dyDescent="0.3">
      <c r="A185" s="2"/>
      <c r="B185" s="5"/>
      <c r="C185" s="5"/>
      <c r="D185" s="5"/>
      <c r="E185" s="7"/>
      <c r="F185" s="7"/>
      <c r="G185" s="7"/>
      <c r="H185" s="7"/>
      <c r="I185" s="7"/>
      <c r="J185" s="7"/>
      <c r="K185" s="2"/>
      <c r="L185" s="32"/>
      <c r="M185" s="32"/>
      <c r="N185" s="32"/>
      <c r="O185" s="32"/>
      <c r="P185" s="32"/>
      <c r="Q185" s="32"/>
      <c r="R185" s="32"/>
      <c r="S185" s="32"/>
      <c r="T185" s="32"/>
      <c r="U185" s="32"/>
      <c r="V185" s="32"/>
      <c r="W185" s="32"/>
      <c r="X185" s="32"/>
    </row>
    <row r="186" spans="1:24" x14ac:dyDescent="0.3">
      <c r="A186" s="2"/>
      <c r="B186" s="5"/>
      <c r="C186" s="5"/>
      <c r="D186" s="5"/>
      <c r="E186" s="7"/>
      <c r="F186" s="7"/>
      <c r="G186" s="7"/>
      <c r="H186" s="7"/>
      <c r="I186" s="7"/>
      <c r="J186" s="7"/>
      <c r="K186" s="2"/>
      <c r="L186" s="32"/>
      <c r="M186" s="32"/>
      <c r="N186" s="32"/>
      <c r="O186" s="32"/>
      <c r="P186" s="32"/>
      <c r="Q186" s="32"/>
      <c r="R186" s="32"/>
      <c r="S186" s="32"/>
      <c r="T186" s="32"/>
      <c r="U186" s="32"/>
      <c r="V186" s="32"/>
      <c r="W186" s="32"/>
      <c r="X186" s="32"/>
    </row>
    <row r="187" spans="1:24" x14ac:dyDescent="0.3">
      <c r="A187" s="2"/>
      <c r="B187" s="5"/>
      <c r="C187" s="5"/>
      <c r="D187" s="5"/>
      <c r="E187" s="7"/>
      <c r="F187" s="7"/>
      <c r="G187" s="7"/>
      <c r="H187" s="7"/>
      <c r="I187" s="7"/>
      <c r="J187" s="7"/>
      <c r="K187" s="2"/>
      <c r="L187" s="32"/>
      <c r="M187" s="32"/>
      <c r="N187" s="32"/>
      <c r="O187" s="32"/>
      <c r="P187" s="32"/>
      <c r="Q187" s="32"/>
      <c r="R187" s="32"/>
      <c r="S187" s="32"/>
      <c r="T187" s="32"/>
      <c r="U187" s="32"/>
      <c r="V187" s="32"/>
      <c r="W187" s="32"/>
      <c r="X187" s="32"/>
    </row>
    <row r="188" spans="1:24" x14ac:dyDescent="0.3">
      <c r="A188" s="2"/>
      <c r="B188" s="5"/>
      <c r="C188" s="5"/>
      <c r="D188" s="5"/>
      <c r="E188" s="7"/>
      <c r="F188" s="7"/>
      <c r="G188" s="7"/>
      <c r="H188" s="7"/>
      <c r="I188" s="7"/>
      <c r="J188" s="7"/>
      <c r="K188" s="2"/>
      <c r="L188" s="32"/>
      <c r="M188" s="32"/>
      <c r="N188" s="32"/>
      <c r="O188" s="32"/>
      <c r="P188" s="32"/>
      <c r="Q188" s="32"/>
      <c r="R188" s="32"/>
      <c r="S188" s="32"/>
      <c r="T188" s="32"/>
      <c r="U188" s="32"/>
      <c r="V188" s="32"/>
      <c r="W188" s="32"/>
      <c r="X188" s="32"/>
    </row>
    <row r="189" spans="1:24" x14ac:dyDescent="0.3">
      <c r="A189" s="2"/>
      <c r="B189" s="5"/>
      <c r="C189" s="5"/>
      <c r="D189" s="5"/>
      <c r="E189" s="7"/>
      <c r="F189" s="7"/>
      <c r="G189" s="7"/>
      <c r="H189" s="7"/>
      <c r="I189" s="7"/>
      <c r="J189" s="7"/>
      <c r="K189" s="2"/>
      <c r="L189" s="32"/>
      <c r="M189" s="32"/>
      <c r="N189" s="32"/>
      <c r="O189" s="32"/>
      <c r="P189" s="32"/>
      <c r="Q189" s="32"/>
      <c r="R189" s="32"/>
      <c r="S189" s="32"/>
      <c r="T189" s="32"/>
      <c r="U189" s="32"/>
      <c r="V189" s="32"/>
      <c r="W189" s="32"/>
      <c r="X189" s="32"/>
    </row>
    <row r="190" spans="1:24" x14ac:dyDescent="0.3">
      <c r="A190" s="2"/>
      <c r="B190" s="5"/>
      <c r="C190" s="5"/>
      <c r="D190" s="5"/>
      <c r="E190" s="7"/>
      <c r="F190" s="7"/>
      <c r="G190" s="7"/>
      <c r="H190" s="7"/>
      <c r="I190" s="7"/>
      <c r="J190" s="7"/>
      <c r="K190" s="2"/>
      <c r="L190" s="32"/>
      <c r="M190" s="32"/>
      <c r="N190" s="32"/>
      <c r="O190" s="32"/>
      <c r="P190" s="32"/>
      <c r="Q190" s="32"/>
      <c r="R190" s="32"/>
      <c r="S190" s="32"/>
      <c r="T190" s="32"/>
      <c r="U190" s="32"/>
      <c r="V190" s="32"/>
      <c r="W190" s="32"/>
      <c r="X190" s="32"/>
    </row>
    <row r="191" spans="1:24" x14ac:dyDescent="0.3">
      <c r="A191" s="2"/>
      <c r="B191" s="5"/>
      <c r="C191" s="5"/>
      <c r="D191" s="5"/>
      <c r="E191" s="7"/>
      <c r="F191" s="7"/>
      <c r="G191" s="7"/>
      <c r="H191" s="7"/>
      <c r="I191" s="7"/>
      <c r="J191" s="7"/>
      <c r="K191" s="2"/>
      <c r="L191" s="32"/>
      <c r="M191" s="32"/>
      <c r="N191" s="32"/>
      <c r="O191" s="32"/>
      <c r="P191" s="32"/>
      <c r="Q191" s="32"/>
      <c r="R191" s="32"/>
      <c r="S191" s="32"/>
      <c r="T191" s="32"/>
      <c r="U191" s="32"/>
      <c r="V191" s="32"/>
      <c r="W191" s="32"/>
      <c r="X191" s="32"/>
    </row>
    <row r="192" spans="1:24" x14ac:dyDescent="0.3">
      <c r="A192" s="2"/>
      <c r="B192" s="5"/>
      <c r="C192" s="5"/>
      <c r="D192" s="5"/>
      <c r="E192" s="7"/>
      <c r="F192" s="7"/>
      <c r="G192" s="7"/>
      <c r="H192" s="7"/>
      <c r="I192" s="7"/>
      <c r="J192" s="7"/>
      <c r="K192" s="2"/>
      <c r="L192" s="32"/>
      <c r="M192" s="32"/>
      <c r="N192" s="32"/>
      <c r="O192" s="32"/>
      <c r="P192" s="32"/>
      <c r="Q192" s="32"/>
      <c r="R192" s="32"/>
      <c r="S192" s="32"/>
      <c r="T192" s="32"/>
      <c r="U192" s="32"/>
      <c r="V192" s="32"/>
      <c r="W192" s="32"/>
      <c r="X192" s="32"/>
    </row>
    <row r="193" spans="1:24" x14ac:dyDescent="0.3">
      <c r="A193" s="2"/>
      <c r="B193" s="5"/>
      <c r="C193" s="5"/>
      <c r="D193" s="5"/>
      <c r="E193" s="7"/>
      <c r="F193" s="7"/>
      <c r="G193" s="7"/>
      <c r="H193" s="7"/>
      <c r="I193" s="7"/>
      <c r="J193" s="7"/>
      <c r="K193" s="2"/>
      <c r="L193" s="32"/>
      <c r="M193" s="32"/>
      <c r="N193" s="32"/>
      <c r="O193" s="32"/>
      <c r="P193" s="32"/>
      <c r="Q193" s="32"/>
      <c r="R193" s="32"/>
      <c r="S193" s="32"/>
      <c r="T193" s="32"/>
      <c r="U193" s="32"/>
      <c r="V193" s="32"/>
      <c r="W193" s="32"/>
      <c r="X193" s="32"/>
    </row>
  </sheetData>
  <mergeCells count="3">
    <mergeCell ref="A1:X1"/>
    <mergeCell ref="K3:X3"/>
    <mergeCell ref="L8:X8"/>
  </mergeCell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56"/>
  <sheetViews>
    <sheetView topLeftCell="A25" workbookViewId="0">
      <selection activeCell="I43" sqref="I43"/>
    </sheetView>
  </sheetViews>
  <sheetFormatPr baseColWidth="10" defaultColWidth="8.88671875" defaultRowHeight="14.4" x14ac:dyDescent="0.3"/>
  <cols>
    <col min="1" max="1" width="9.109375" style="149"/>
    <col min="2" max="2" width="13.88671875" bestFit="1" customWidth="1"/>
    <col min="3" max="3" width="12.109375" customWidth="1"/>
    <col min="4" max="4" width="15.109375" customWidth="1"/>
    <col min="5" max="5" width="13.88671875" customWidth="1"/>
    <col min="6" max="7" width="13.88671875" style="149" hidden="1" customWidth="1"/>
    <col min="8" max="8" width="13.88671875" style="149" customWidth="1"/>
    <col min="9" max="9" width="16.88671875" style="149" customWidth="1"/>
    <col min="10" max="13" width="13.88671875" style="149" customWidth="1"/>
    <col min="14" max="14" width="10.88671875" style="149" customWidth="1"/>
    <col min="17" max="17" width="3.109375" customWidth="1"/>
    <col min="18" max="19" width="9.109375" style="149"/>
    <col min="20" max="20" width="1.88671875" style="149" customWidth="1"/>
  </cols>
  <sheetData>
    <row r="1" spans="3:24" ht="15" x14ac:dyDescent="0.25">
      <c r="C1" s="10"/>
      <c r="D1" s="10"/>
      <c r="E1" s="10"/>
      <c r="I1" s="166"/>
    </row>
    <row r="2" spans="3:24" ht="15" x14ac:dyDescent="0.25">
      <c r="C2" s="10"/>
      <c r="D2" s="10"/>
      <c r="E2" s="10"/>
    </row>
    <row r="3" spans="3:24" ht="15" x14ac:dyDescent="0.25">
      <c r="C3" s="10"/>
      <c r="D3" s="10"/>
      <c r="E3" s="10"/>
    </row>
    <row r="4" spans="3:24" s="149" customFormat="1" ht="15" x14ac:dyDescent="0.25">
      <c r="C4" s="10"/>
      <c r="D4" s="10"/>
      <c r="E4" s="10"/>
    </row>
    <row r="5" spans="3:24" s="149" customFormat="1" ht="15" x14ac:dyDescent="0.25">
      <c r="C5" s="10"/>
      <c r="D5" s="10"/>
      <c r="E5" s="10"/>
    </row>
    <row r="6" spans="3:24" s="149" customFormat="1" ht="21" x14ac:dyDescent="0.35">
      <c r="C6" s="184" t="s">
        <v>407</v>
      </c>
      <c r="D6" s="10"/>
      <c r="E6" s="10"/>
    </row>
    <row r="7" spans="3:24" s="149" customFormat="1" ht="15" x14ac:dyDescent="0.25">
      <c r="C7" s="10"/>
      <c r="D7" s="10"/>
      <c r="E7" s="10"/>
    </row>
    <row r="8" spans="3:24" s="149" customFormat="1" ht="15" x14ac:dyDescent="0.25">
      <c r="C8" s="10"/>
      <c r="D8" s="10"/>
      <c r="E8" s="10"/>
    </row>
    <row r="9" spans="3:24" s="149" customFormat="1" ht="15" x14ac:dyDescent="0.25">
      <c r="C9" s="10"/>
      <c r="D9" s="387" t="s">
        <v>409</v>
      </c>
      <c r="E9" s="387"/>
      <c r="F9" s="387"/>
      <c r="G9" s="387"/>
      <c r="H9" s="387"/>
      <c r="I9" s="387"/>
      <c r="J9" s="387"/>
      <c r="K9" s="387"/>
      <c r="L9" s="387"/>
      <c r="M9" s="387"/>
      <c r="O9" s="379" t="s">
        <v>410</v>
      </c>
      <c r="P9" s="379"/>
      <c r="Q9" s="379"/>
      <c r="R9" s="379"/>
      <c r="S9" s="379"/>
      <c r="T9" s="379"/>
      <c r="U9" s="379"/>
      <c r="V9" s="379"/>
    </row>
    <row r="10" spans="3:24" ht="15.75" thickBot="1" x14ac:dyDescent="0.3">
      <c r="H10" s="149" t="s">
        <v>397</v>
      </c>
    </row>
    <row r="11" spans="3:24" s="149" customFormat="1" ht="15" x14ac:dyDescent="0.25">
      <c r="C11" s="149" t="s">
        <v>80</v>
      </c>
      <c r="D11" s="149" t="s">
        <v>367</v>
      </c>
      <c r="E11" s="149" t="s">
        <v>368</v>
      </c>
      <c r="F11" s="149" t="s">
        <v>340</v>
      </c>
      <c r="G11" s="149" t="s">
        <v>396</v>
      </c>
      <c r="H11" s="10" t="s">
        <v>282</v>
      </c>
      <c r="I11" s="149" t="s">
        <v>369</v>
      </c>
      <c r="J11" s="149" t="s">
        <v>338</v>
      </c>
      <c r="K11" s="149" t="s">
        <v>339</v>
      </c>
      <c r="L11" s="149" t="s">
        <v>343</v>
      </c>
      <c r="M11" s="213" t="s">
        <v>264</v>
      </c>
      <c r="O11" s="149" t="s">
        <v>341</v>
      </c>
      <c r="P11" s="149" t="s">
        <v>406</v>
      </c>
      <c r="R11" s="149" t="s">
        <v>336</v>
      </c>
      <c r="S11" s="149" t="s">
        <v>337</v>
      </c>
      <c r="U11" s="149" t="s">
        <v>345</v>
      </c>
      <c r="V11" s="213" t="s">
        <v>265</v>
      </c>
      <c r="W11" s="149" t="s">
        <v>433</v>
      </c>
      <c r="X11" s="149" t="s">
        <v>434</v>
      </c>
    </row>
    <row r="12" spans="3:24" s="149" customFormat="1" ht="15" x14ac:dyDescent="0.25">
      <c r="C12" s="149">
        <f>'Average Hourly Earnings'!A13</f>
        <v>1997</v>
      </c>
      <c r="D12" s="10"/>
      <c r="E12" s="10"/>
      <c r="F12" s="271"/>
      <c r="G12" s="271"/>
      <c r="H12" s="186"/>
      <c r="I12" s="10"/>
      <c r="M12" s="214"/>
      <c r="V12" s="214"/>
    </row>
    <row r="13" spans="3:24" s="149" customFormat="1" ht="15" x14ac:dyDescent="0.25">
      <c r="C13" s="149">
        <f>'Average Hourly Earnings'!A14</f>
        <v>1998</v>
      </c>
      <c r="D13" s="10"/>
      <c r="E13" s="177"/>
      <c r="F13" s="278"/>
      <c r="G13" s="278"/>
      <c r="H13" s="186"/>
      <c r="I13" s="177"/>
      <c r="M13" s="214"/>
      <c r="V13" s="214"/>
    </row>
    <row r="14" spans="3:24" s="149" customFormat="1" ht="15" x14ac:dyDescent="0.25">
      <c r="C14" s="149">
        <f>'Average Hourly Earnings'!A15</f>
        <v>1999</v>
      </c>
      <c r="D14" s="10"/>
      <c r="E14" s="177"/>
      <c r="F14" s="278"/>
      <c r="G14" s="278"/>
      <c r="H14" s="186"/>
      <c r="I14" s="177"/>
      <c r="M14" s="214"/>
      <c r="V14" s="214"/>
    </row>
    <row r="15" spans="3:24" s="149" customFormat="1" ht="15" x14ac:dyDescent="0.25">
      <c r="C15" s="149">
        <f>'Average Hourly Earnings'!A16</f>
        <v>2000</v>
      </c>
      <c r="D15" s="10"/>
      <c r="E15" s="177"/>
      <c r="F15" s="278"/>
      <c r="G15" s="278"/>
      <c r="H15" s="186"/>
      <c r="I15" s="177"/>
      <c r="M15" s="214"/>
      <c r="V15" s="214"/>
    </row>
    <row r="16" spans="3:24" s="149" customFormat="1" ht="15" x14ac:dyDescent="0.25">
      <c r="C16" s="149">
        <f>'Average Hourly Earnings'!A17</f>
        <v>2001</v>
      </c>
      <c r="D16" s="10"/>
      <c r="E16" s="177"/>
      <c r="F16" s="278"/>
      <c r="G16" s="278"/>
      <c r="H16" s="186"/>
      <c r="I16" s="177"/>
      <c r="M16" s="214"/>
      <c r="V16" s="214"/>
    </row>
    <row r="17" spans="2:24" s="149" customFormat="1" ht="15" x14ac:dyDescent="0.25">
      <c r="C17" s="149">
        <f>'Average Hourly Earnings'!A18</f>
        <v>2002</v>
      </c>
      <c r="D17" s="10"/>
      <c r="E17" s="177"/>
      <c r="F17" s="278"/>
      <c r="G17" s="278"/>
      <c r="H17" s="186"/>
      <c r="I17" s="177"/>
      <c r="M17" s="214"/>
      <c r="V17" s="214"/>
    </row>
    <row r="18" spans="2:24" s="149" customFormat="1" ht="15" x14ac:dyDescent="0.25">
      <c r="C18" s="149">
        <f>'Average Hourly Earnings'!A19</f>
        <v>2003</v>
      </c>
      <c r="D18" s="10"/>
      <c r="E18" s="177"/>
      <c r="F18" s="278"/>
      <c r="G18" s="278"/>
      <c r="H18" s="186"/>
      <c r="I18" s="177"/>
      <c r="M18" s="214"/>
      <c r="V18" s="214"/>
    </row>
    <row r="19" spans="2:24" s="149" customFormat="1" ht="15" x14ac:dyDescent="0.25">
      <c r="C19" s="149">
        <f>'Average Hourly Earnings'!A20</f>
        <v>2004</v>
      </c>
      <c r="D19" s="10"/>
      <c r="E19" s="177"/>
      <c r="F19" s="278"/>
      <c r="G19" s="278"/>
      <c r="H19" s="186"/>
      <c r="I19" s="177"/>
      <c r="M19" s="214"/>
      <c r="O19" s="159"/>
      <c r="V19" s="214"/>
    </row>
    <row r="20" spans="2:24" s="149" customFormat="1" ht="15" x14ac:dyDescent="0.25">
      <c r="C20" s="149">
        <f>'Average Hourly Earnings'!A21</f>
        <v>2005</v>
      </c>
      <c r="D20" s="10"/>
      <c r="E20" s="177"/>
      <c r="F20" s="278"/>
      <c r="G20" s="278"/>
      <c r="H20" s="186"/>
      <c r="I20" s="177"/>
      <c r="M20" s="214"/>
      <c r="O20" s="286"/>
      <c r="P20" s="10"/>
      <c r="Q20" s="10"/>
      <c r="R20" s="10"/>
      <c r="S20" s="10"/>
      <c r="V20" s="214"/>
    </row>
    <row r="21" spans="2:24" s="149" customFormat="1" ht="15" x14ac:dyDescent="0.25">
      <c r="C21" s="149">
        <f>'Average Hourly Earnings'!A22</f>
        <v>2006</v>
      </c>
      <c r="D21" s="10"/>
      <c r="E21" s="177"/>
      <c r="F21" s="278"/>
      <c r="G21" s="278"/>
      <c r="H21" s="186"/>
      <c r="I21" s="177"/>
      <c r="M21" s="214"/>
      <c r="O21" s="286"/>
      <c r="P21" s="177"/>
      <c r="Q21" s="10"/>
      <c r="R21" s="10"/>
      <c r="S21" s="10"/>
      <c r="U21" s="155"/>
      <c r="V21" s="214"/>
    </row>
    <row r="22" spans="2:24" s="149" customFormat="1" ht="15" x14ac:dyDescent="0.25">
      <c r="C22" s="149">
        <f>'Average Hourly Earnings'!A23</f>
        <v>2007</v>
      </c>
      <c r="D22" s="149">
        <f>'Average Hourly Earnings'!B23</f>
        <v>19.32</v>
      </c>
      <c r="E22" s="166"/>
      <c r="F22" s="185"/>
      <c r="G22" s="185"/>
      <c r="H22" s="186">
        <f>'Statistics Canada GDPIPIFDD'!P45</f>
        <v>91.8</v>
      </c>
      <c r="I22" s="166"/>
      <c r="J22" s="155">
        <f>'O&amp;M Cost Calculations'!BC12/'O&amp;M Cost Calculations'!AZ12</f>
        <v>0.36278790121808735</v>
      </c>
      <c r="K22" s="155">
        <f>1-J22</f>
        <v>0.63721209878191265</v>
      </c>
      <c r="M22" s="215">
        <f>M23/EXP(L23)</f>
        <v>0.90733691163759078</v>
      </c>
      <c r="O22" s="286">
        <f>'Capital Cost Calculations'!AF12</f>
        <v>4.9272985442227029</v>
      </c>
      <c r="P22" s="177"/>
      <c r="Q22" s="10"/>
      <c r="R22" s="177">
        <f>'HQ data for econometrics'!F2/('HQ data for econometrics'!F2+'HQ data for econometrics'!G2)</f>
        <v>0.29341771789777299</v>
      </c>
      <c r="S22" s="177">
        <f t="shared" ref="S22:S34" si="0">1-R22</f>
        <v>0.70658228210222696</v>
      </c>
      <c r="T22" s="166"/>
      <c r="U22" s="155"/>
      <c r="V22" s="214"/>
    </row>
    <row r="23" spans="2:24" s="149" customFormat="1" ht="15" x14ac:dyDescent="0.25">
      <c r="C23" s="149">
        <f>'Average Hourly Earnings'!A24</f>
        <v>2008</v>
      </c>
      <c r="D23" s="149">
        <f>'Average Hourly Earnings'!B24</f>
        <v>19.96</v>
      </c>
      <c r="E23" s="166">
        <f t="shared" ref="E23:I34" si="1">LN(D23/D22)</f>
        <v>3.2589442098945966E-2</v>
      </c>
      <c r="F23" s="185"/>
      <c r="G23" s="185"/>
      <c r="H23" s="186">
        <f>'Statistics Canada GDPIPIFDD'!P46</f>
        <v>94.1</v>
      </c>
      <c r="I23" s="166">
        <f t="shared" si="1"/>
        <v>2.4745748964889229E-2</v>
      </c>
      <c r="J23" s="155">
        <f>'O&amp;M Cost Calculations'!BC13/'O&amp;M Cost Calculations'!AZ13</f>
        <v>0.44135756119537456</v>
      </c>
      <c r="K23" s="155">
        <f t="shared" ref="K23:K34" si="2">1-J23</f>
        <v>0.55864243880462539</v>
      </c>
      <c r="L23" s="166">
        <f t="shared" ref="L23:L33" si="3">0.5*(J23+J22)*E23+0.5*(K23+K22)*I23</f>
        <v>2.7899484086046904E-2</v>
      </c>
      <c r="M23" s="215">
        <f t="shared" ref="M23:M32" si="4">M24/EXP(L24)</f>
        <v>0.9330075774215375</v>
      </c>
      <c r="O23" s="159">
        <f>'Capital Cost Calculations'!AF13</f>
        <v>4.0535239969804282</v>
      </c>
      <c r="P23" s="166">
        <f>'Capital Cost Calculations'!AH13</f>
        <v>-0.19520424974354789</v>
      </c>
      <c r="R23" s="166">
        <f>'HQ data for econometrics'!F3/('HQ data for econometrics'!F3+'HQ data for econometrics'!G3)</f>
        <v>0.2975331768324801</v>
      </c>
      <c r="S23" s="166">
        <f t="shared" si="0"/>
        <v>0.70246682316751996</v>
      </c>
      <c r="T23" s="166"/>
      <c r="U23" s="155">
        <f t="shared" ref="U23:U34" si="5">0.5*(R23+R22)*L23+0.5*(S23+S22)*P23</f>
        <v>-0.12928257418141825</v>
      </c>
      <c r="V23" s="216">
        <f>V24/EXP(U24)</f>
        <v>0.64429748420820643</v>
      </c>
    </row>
    <row r="24" spans="2:24" s="149" customFormat="1" ht="15" x14ac:dyDescent="0.25">
      <c r="C24" s="149">
        <f>'Average Hourly Earnings'!A25</f>
        <v>2009</v>
      </c>
      <c r="D24" s="149">
        <f>'Average Hourly Earnings'!B25</f>
        <v>20.74</v>
      </c>
      <c r="E24" s="166">
        <f t="shared" si="1"/>
        <v>3.8333931918063335E-2</v>
      </c>
      <c r="F24" s="185"/>
      <c r="G24" s="185"/>
      <c r="H24" s="186">
        <f>'Statistics Canada GDPIPIFDD'!P47</f>
        <v>95.1</v>
      </c>
      <c r="I24" s="166">
        <f t="shared" si="1"/>
        <v>1.0570922960010573E-2</v>
      </c>
      <c r="J24" s="155">
        <f>'O&amp;M Cost Calculations'!BC14/'O&amp;M Cost Calculations'!AZ14</f>
        <v>0.43857829216485439</v>
      </c>
      <c r="K24" s="155">
        <f t="shared" si="2"/>
        <v>0.56142170783514556</v>
      </c>
      <c r="L24" s="166">
        <f t="shared" si="3"/>
        <v>2.2785756449686494E-2</v>
      </c>
      <c r="M24" s="215">
        <f t="shared" si="4"/>
        <v>0.95451091540440747</v>
      </c>
      <c r="O24" s="159">
        <f>'Capital Cost Calculations'!AF14</f>
        <v>5.446094307442034</v>
      </c>
      <c r="P24" s="166">
        <f>'Capital Cost Calculations'!AH14</f>
        <v>0.29531208543668674</v>
      </c>
      <c r="R24" s="166">
        <f>'HQ data for econometrics'!F4/('HQ data for econometrics'!F4+'HQ data for econometrics'!G4)</f>
        <v>0.24456712052512405</v>
      </c>
      <c r="S24" s="166">
        <f t="shared" si="0"/>
        <v>0.75543287947487592</v>
      </c>
      <c r="T24" s="166"/>
      <c r="U24" s="155">
        <f t="shared" si="5"/>
        <v>0.22144378344587221</v>
      </c>
      <c r="V24" s="216">
        <f t="shared" ref="V24:V30" si="6">V25/EXP(U25)</f>
        <v>0.80400407284424169</v>
      </c>
      <c r="W24" s="155">
        <f>LN(V24/V23)</f>
        <v>0.22144378344587223</v>
      </c>
      <c r="X24" s="212">
        <f>W24-U24</f>
        <v>0</v>
      </c>
    </row>
    <row r="25" spans="2:24" s="149" customFormat="1" ht="15" x14ac:dyDescent="0.25">
      <c r="C25" s="149">
        <f>'Average Hourly Earnings'!A26</f>
        <v>2010</v>
      </c>
      <c r="D25" s="149">
        <f>'Average Hourly Earnings'!B26</f>
        <v>21.07</v>
      </c>
      <c r="E25" s="166">
        <f t="shared" si="1"/>
        <v>1.5786025014716393E-2</v>
      </c>
      <c r="F25" s="185"/>
      <c r="G25" s="185"/>
      <c r="H25" s="186">
        <f>'Statistics Canada GDPIPIFDD'!P48</f>
        <v>96.1</v>
      </c>
      <c r="I25" s="166">
        <f t="shared" si="1"/>
        <v>1.0460346424902121E-2</v>
      </c>
      <c r="J25" s="155">
        <f>'O&amp;M Cost Calculations'!BC15/'O&amp;M Cost Calculations'!AZ15</f>
        <v>0.43786854747077464</v>
      </c>
      <c r="K25" s="155">
        <f t="shared" si="2"/>
        <v>0.56213145252922536</v>
      </c>
      <c r="L25" s="166">
        <f>0.5*(J25+J24)*E25+0.5*(K25+K24)*I25</f>
        <v>1.2794183509381048E-2</v>
      </c>
      <c r="M25" s="215">
        <f t="shared" si="4"/>
        <v>0.96680155994330297</v>
      </c>
      <c r="O25" s="159">
        <f>'Capital Cost Calculations'!AF15</f>
        <v>6.3937383825857506</v>
      </c>
      <c r="P25" s="166">
        <f>'Capital Cost Calculations'!AH15</f>
        <v>0.16042042279172691</v>
      </c>
      <c r="R25" s="166">
        <f>'HQ data for econometrics'!F5/('HQ data for econometrics'!F5+'HQ data for econometrics'!G5)</f>
        <v>0.21367479000506132</v>
      </c>
      <c r="S25" s="166">
        <f t="shared" si="0"/>
        <v>0.78632520999493871</v>
      </c>
      <c r="T25" s="166"/>
      <c r="U25" s="155">
        <f t="shared" si="5"/>
        <v>0.12659615782516268</v>
      </c>
      <c r="V25" s="216">
        <f t="shared" si="6"/>
        <v>0.91251132169619031</v>
      </c>
      <c r="W25" s="155">
        <f t="shared" ref="W25:W34" si="7">LN(V25/V24)</f>
        <v>0.12659615782516259</v>
      </c>
      <c r="X25" s="212">
        <f t="shared" ref="X25:X34" si="8">W25-U25</f>
        <v>0</v>
      </c>
    </row>
    <row r="26" spans="2:24" s="149" customFormat="1" ht="15" x14ac:dyDescent="0.25">
      <c r="C26" s="149">
        <f>'Average Hourly Earnings'!A27</f>
        <v>2011</v>
      </c>
      <c r="D26" s="149">
        <f>'Average Hourly Earnings'!B27</f>
        <v>21.39</v>
      </c>
      <c r="E26" s="166">
        <f t="shared" si="1"/>
        <v>1.5073295278216693E-2</v>
      </c>
      <c r="F26" s="185"/>
      <c r="G26" s="185"/>
      <c r="H26" s="186">
        <f>'Statistics Canada GDPIPIFDD'!P49</f>
        <v>98.4</v>
      </c>
      <c r="I26" s="166">
        <f t="shared" si="1"/>
        <v>2.3651488081960981E-2</v>
      </c>
      <c r="J26" s="155">
        <f>'O&amp;M Cost Calculations'!BC16/'O&amp;M Cost Calculations'!AZ16</f>
        <v>0.43605888600943171</v>
      </c>
      <c r="K26" s="155">
        <f t="shared" si="2"/>
        <v>0.56394111399056834</v>
      </c>
      <c r="L26" s="166">
        <f t="shared" si="3"/>
        <v>1.9903129071523671E-2</v>
      </c>
      <c r="M26" s="215">
        <f t="shared" si="4"/>
        <v>0.98623670470127323</v>
      </c>
      <c r="O26" s="159">
        <f>'Capital Cost Calculations'!AF16</f>
        <v>7.9790678537395836</v>
      </c>
      <c r="P26" s="166">
        <f>'Capital Cost Calculations'!AH16</f>
        <v>0.22150246060977635</v>
      </c>
      <c r="R26" s="166">
        <f>'HQ data for econometrics'!F6/('HQ data for econometrics'!F6+'HQ data for econometrics'!G6)</f>
        <v>0.18147064000733848</v>
      </c>
      <c r="S26" s="166">
        <f t="shared" si="0"/>
        <v>0.81852935999266152</v>
      </c>
      <c r="T26" s="166"/>
      <c r="U26" s="155">
        <f t="shared" si="5"/>
        <v>0.18167193333432877</v>
      </c>
      <c r="V26" s="216">
        <f t="shared" si="6"/>
        <v>1.094302470524998</v>
      </c>
      <c r="W26" s="155">
        <f t="shared" si="7"/>
        <v>0.18167193333432879</v>
      </c>
      <c r="X26" s="212">
        <f t="shared" si="8"/>
        <v>0</v>
      </c>
    </row>
    <row r="27" spans="2:24" s="149" customFormat="1" ht="15" x14ac:dyDescent="0.25">
      <c r="C27" s="149">
        <f>'Average Hourly Earnings'!A28</f>
        <v>2012</v>
      </c>
      <c r="D27" s="149">
        <f>'Average Hourly Earnings'!B28</f>
        <v>22.06</v>
      </c>
      <c r="E27" s="166">
        <f t="shared" si="1"/>
        <v>3.0842490731042106E-2</v>
      </c>
      <c r="F27" s="185"/>
      <c r="G27" s="185"/>
      <c r="H27" s="186">
        <f>'Statistics Canada GDPIPIFDD'!P50</f>
        <v>100</v>
      </c>
      <c r="I27" s="166">
        <f t="shared" si="1"/>
        <v>1.6129381929883498E-2</v>
      </c>
      <c r="J27" s="155">
        <f>'O&amp;M Cost Calculations'!BC17/'O&amp;M Cost Calculations'!AZ17</f>
        <v>0.44589441228253063</v>
      </c>
      <c r="K27" s="155">
        <f t="shared" si="2"/>
        <v>0.55410558771746943</v>
      </c>
      <c r="L27" s="166">
        <f t="shared" si="3"/>
        <v>2.2617519347538667E-2</v>
      </c>
      <c r="M27" s="215">
        <f t="shared" si="4"/>
        <v>1.0087971008221956</v>
      </c>
      <c r="O27" s="159">
        <f>'Capital Cost Calculations'!AF17</f>
        <v>7.0713857173160619</v>
      </c>
      <c r="P27" s="166">
        <f>'Capital Cost Calculations'!AH17</f>
        <v>-0.12076513400709736</v>
      </c>
      <c r="R27" s="166">
        <f>'HQ data for econometrics'!F7/('HQ data for econometrics'!F7+'HQ data for econometrics'!G7)</f>
        <v>0.19277361561037804</v>
      </c>
      <c r="S27" s="166">
        <f t="shared" si="0"/>
        <v>0.80722638438962191</v>
      </c>
      <c r="T27" s="166"/>
      <c r="U27" s="155">
        <f t="shared" si="5"/>
        <v>-9.3935066820497945E-2</v>
      </c>
      <c r="V27" s="216">
        <f t="shared" si="6"/>
        <v>0.99618935923879204</v>
      </c>
      <c r="W27" s="155">
        <f t="shared" si="7"/>
        <v>-9.3935066820497917E-2</v>
      </c>
      <c r="X27" s="212">
        <f t="shared" si="8"/>
        <v>0</v>
      </c>
    </row>
    <row r="28" spans="2:24" s="149" customFormat="1" ht="15" x14ac:dyDescent="0.25">
      <c r="C28" s="149">
        <f>'Average Hourly Earnings'!A29</f>
        <v>2013</v>
      </c>
      <c r="D28" s="149">
        <f>'Average Hourly Earnings'!B29</f>
        <v>22.44</v>
      </c>
      <c r="E28" s="166">
        <f>LN(D28/D27)</f>
        <v>1.7079066829139362E-2</v>
      </c>
      <c r="F28" s="185"/>
      <c r="G28" s="185"/>
      <c r="H28" s="186">
        <f>'Statistics Canada GDPIPIFDD'!P51</f>
        <v>101.7</v>
      </c>
      <c r="I28" s="166">
        <f t="shared" si="1"/>
        <v>1.6857117066423025E-2</v>
      </c>
      <c r="J28" s="155">
        <f>'O&amp;M Cost Calculations'!BC18/'O&amp;M Cost Calculations'!AZ18</f>
        <v>0.42493425548322794</v>
      </c>
      <c r="K28" s="155">
        <f t="shared" si="2"/>
        <v>0.57506574451677206</v>
      </c>
      <c r="L28" s="166">
        <f t="shared" si="3"/>
        <v>1.695375717451162E-2</v>
      </c>
      <c r="M28" s="215">
        <f t="shared" si="4"/>
        <v>1.0260458039224423</v>
      </c>
      <c r="O28" s="159">
        <f>'Capital Cost Calculations'!AF18</f>
        <v>7.2130941377274125</v>
      </c>
      <c r="P28" s="166">
        <f>'Capital Cost Calculations'!AH18</f>
        <v>1.9841544232769556E-2</v>
      </c>
      <c r="R28" s="166">
        <f>'HQ data for econometrics'!F8/('HQ data for econometrics'!F8+'HQ data for econometrics'!G8)</f>
        <v>0.1950337848748675</v>
      </c>
      <c r="S28" s="166">
        <f t="shared" si="0"/>
        <v>0.80496621512513244</v>
      </c>
      <c r="T28" s="166"/>
      <c r="U28" s="155">
        <f t="shared" si="5"/>
        <v>1.9281591636660583E-2</v>
      </c>
      <c r="V28" s="216">
        <f t="shared" si="6"/>
        <v>1.0155838531424861</v>
      </c>
      <c r="W28" s="155">
        <f t="shared" si="7"/>
        <v>1.9281591636660544E-2</v>
      </c>
      <c r="X28" s="212">
        <f t="shared" si="8"/>
        <v>-3.8163916471489756E-17</v>
      </c>
    </row>
    <row r="29" spans="2:24" s="149" customFormat="1" ht="15" x14ac:dyDescent="0.25">
      <c r="C29" s="149">
        <f>'Average Hourly Earnings'!A30</f>
        <v>2014</v>
      </c>
      <c r="D29" s="149">
        <f>'Average Hourly Earnings'!B30</f>
        <v>23.06</v>
      </c>
      <c r="E29" s="166">
        <f t="shared" si="1"/>
        <v>2.7254434186417365E-2</v>
      </c>
      <c r="F29" s="185"/>
      <c r="G29" s="185"/>
      <c r="H29" s="186">
        <f>'Statistics Canada GDPIPIFDD'!P52</f>
        <v>104.1</v>
      </c>
      <c r="I29" s="166">
        <f t="shared" si="1"/>
        <v>2.3324672566408824E-2</v>
      </c>
      <c r="J29" s="155">
        <f>'O&amp;M Cost Calculations'!BC19/'O&amp;M Cost Calculations'!AZ19</f>
        <v>0.42063423873961725</v>
      </c>
      <c r="K29" s="155">
        <f t="shared" si="2"/>
        <v>0.57936576126038275</v>
      </c>
      <c r="L29" s="166">
        <f t="shared" si="3"/>
        <v>2.4986113874251498E-2</v>
      </c>
      <c r="M29" s="215">
        <f t="shared" si="4"/>
        <v>1.0520056687278927</v>
      </c>
      <c r="O29" s="159">
        <f>'Capital Cost Calculations'!AF19</f>
        <v>7.7027508243237719</v>
      </c>
      <c r="P29" s="166">
        <f>'Capital Cost Calculations'!AH19</f>
        <v>6.5679510417049322E-2</v>
      </c>
      <c r="R29" s="166">
        <f>'HQ data for econometrics'!F9/('HQ data for econometrics'!F9+'HQ data for econometrics'!G9)</f>
        <v>0.19261120116704003</v>
      </c>
      <c r="S29" s="166">
        <f t="shared" si="0"/>
        <v>0.80738879883296</v>
      </c>
      <c r="T29" s="166"/>
      <c r="U29" s="155">
        <f t="shared" si="5"/>
        <v>5.7792214849633983E-2</v>
      </c>
      <c r="V29" s="216">
        <f t="shared" si="6"/>
        <v>1.0760058373119197</v>
      </c>
      <c r="W29" s="155">
        <f t="shared" si="7"/>
        <v>5.7792214849633879E-2</v>
      </c>
      <c r="X29" s="212">
        <f t="shared" si="8"/>
        <v>-1.0408340855860843E-16</v>
      </c>
    </row>
    <row r="30" spans="2:24" ht="15" x14ac:dyDescent="0.25">
      <c r="B30" s="149"/>
      <c r="C30" s="149">
        <f>'Average Hourly Earnings'!A31</f>
        <v>2015</v>
      </c>
      <c r="D30" s="149">
        <f>'Average Hourly Earnings'!B31</f>
        <v>23.56</v>
      </c>
      <c r="E30" s="166">
        <f t="shared" si="1"/>
        <v>2.1450843942473024E-2</v>
      </c>
      <c r="F30" s="185"/>
      <c r="G30" s="185"/>
      <c r="H30" s="186">
        <f>'Statistics Canada GDPIPIFDD'!P53</f>
        <v>105.7</v>
      </c>
      <c r="I30" s="166">
        <f t="shared" si="1"/>
        <v>1.5252917255268724E-2</v>
      </c>
      <c r="J30" s="155">
        <f>'O&amp;M Cost Calculations'!BC20/'O&amp;M Cost Calculations'!AZ20</f>
        <v>0.40747627039447126</v>
      </c>
      <c r="K30" s="155">
        <f t="shared" si="2"/>
        <v>0.59252372960552879</v>
      </c>
      <c r="L30" s="166">
        <f t="shared" si="3"/>
        <v>1.7819201367526981E-2</v>
      </c>
      <c r="M30" s="215">
        <f t="shared" si="4"/>
        <v>1.0709195845503088</v>
      </c>
      <c r="O30" s="159">
        <f>'Capital Cost Calculations'!AF20</f>
        <v>8.1322517949532749</v>
      </c>
      <c r="P30" s="166">
        <f>'Capital Cost Calculations'!AH20</f>
        <v>5.4260343785354485E-2</v>
      </c>
      <c r="R30" s="166">
        <f>'HQ data for econometrics'!F10/('HQ data for econometrics'!F10+'HQ data for econometrics'!G10)</f>
        <v>0.1830328604114185</v>
      </c>
      <c r="S30" s="166">
        <f t="shared" si="0"/>
        <v>0.81696713958858147</v>
      </c>
      <c r="T30" s="166"/>
      <c r="U30" s="155">
        <f t="shared" si="5"/>
        <v>4.7415894412158599E-2</v>
      </c>
      <c r="V30" s="216">
        <f t="shared" si="6"/>
        <v>1.128254537179781</v>
      </c>
      <c r="W30" s="155">
        <f t="shared" si="7"/>
        <v>4.7415894412158648E-2</v>
      </c>
      <c r="X30" s="212">
        <f t="shared" si="8"/>
        <v>0</v>
      </c>
    </row>
    <row r="31" spans="2:24" s="149" customFormat="1" ht="15" x14ac:dyDescent="0.25">
      <c r="C31" s="149">
        <f>'Average Hourly Earnings'!A32</f>
        <v>2016</v>
      </c>
      <c r="D31" s="149">
        <f>'Average Hourly Earnings'!B32</f>
        <v>24.23</v>
      </c>
      <c r="E31" s="166">
        <f t="shared" si="1"/>
        <v>2.8041176045048372E-2</v>
      </c>
      <c r="F31" s="185"/>
      <c r="G31" s="185"/>
      <c r="H31" s="186">
        <f>'Statistics Canada GDPIPIFDD'!P54</f>
        <v>106.8</v>
      </c>
      <c r="I31" s="166">
        <f t="shared" si="1"/>
        <v>1.0353033649902442E-2</v>
      </c>
      <c r="J31" s="155">
        <f>'O&amp;M Cost Calculations'!BC21/'O&amp;M Cost Calculations'!AZ21</f>
        <v>0.39493654599022937</v>
      </c>
      <c r="K31" s="155">
        <f t="shared" si="2"/>
        <v>0.60506345400977057</v>
      </c>
      <c r="L31" s="166">
        <f t="shared" si="3"/>
        <v>1.7449629727853778E-2</v>
      </c>
      <c r="M31" s="215">
        <f t="shared" si="4"/>
        <v>1.0897707291869514</v>
      </c>
      <c r="O31" s="159">
        <f>'Capital Cost Calculations'!AF21</f>
        <v>8.7840885239318443</v>
      </c>
      <c r="P31" s="166">
        <f>'Capital Cost Calculations'!AH21</f>
        <v>7.7104103818871714E-2</v>
      </c>
      <c r="R31" s="166">
        <f>'HQ data for econometrics'!F11/('HQ data for econometrics'!F11+'HQ data for econometrics'!G11)</f>
        <v>0.17574639159506233</v>
      </c>
      <c r="S31" s="166">
        <f t="shared" si="0"/>
        <v>0.82425360840493767</v>
      </c>
      <c r="T31" s="166"/>
      <c r="U31" s="155">
        <f t="shared" si="5"/>
        <v>6.6402710022264014E-2</v>
      </c>
      <c r="V31" s="216">
        <f t="shared" ref="V31:V32" si="9">V32/EXP(U32)</f>
        <v>1.205717096982484</v>
      </c>
      <c r="W31" s="155">
        <f t="shared" si="7"/>
        <v>6.6402710022263972E-2</v>
      </c>
      <c r="X31" s="212">
        <f t="shared" si="8"/>
        <v>0</v>
      </c>
    </row>
    <row r="32" spans="2:24" s="149" customFormat="1" ht="15" x14ac:dyDescent="0.25">
      <c r="C32" s="149">
        <f>'Average Hourly Earnings'!A33</f>
        <v>2017</v>
      </c>
      <c r="D32" s="149">
        <f>'Average Hourly Earnings'!B33</f>
        <v>24.94</v>
      </c>
      <c r="E32" s="166">
        <f t="shared" si="1"/>
        <v>2.8881405423456144E-2</v>
      </c>
      <c r="F32" s="185"/>
      <c r="G32" s="185"/>
      <c r="H32" s="186">
        <f>'Statistics Canada GDPIPIFDD'!P55</f>
        <v>108.3</v>
      </c>
      <c r="I32" s="166">
        <f t="shared" si="1"/>
        <v>1.3947227480850552E-2</v>
      </c>
      <c r="J32" s="155">
        <f>'O&amp;M Cost Calculations'!BC22/'O&amp;M Cost Calculations'!AZ22</f>
        <v>0.39787105048104493</v>
      </c>
      <c r="K32" s="155">
        <f t="shared" si="2"/>
        <v>0.60212894951895501</v>
      </c>
      <c r="L32" s="166">
        <f>0.5*(J32+J31)*E32+0.5*(K32+K31)*I32</f>
        <v>1.9867192340826283E-2</v>
      </c>
      <c r="M32" s="215">
        <f t="shared" si="4"/>
        <v>1.1116379144053028</v>
      </c>
      <c r="O32" s="159">
        <f>'Capital Cost Calculations'!AF22</f>
        <v>9.0306030102404193</v>
      </c>
      <c r="P32" s="166">
        <f>'Capital Cost Calculations'!AH22</f>
        <v>2.7677181164501567E-2</v>
      </c>
      <c r="R32" s="166">
        <f>'HQ data for econometrics'!F12/('HQ data for econometrics'!F12+'HQ data for econometrics'!G12)</f>
        <v>0.18815853301023472</v>
      </c>
      <c r="S32" s="166">
        <f t="shared" si="0"/>
        <v>0.81184146698976534</v>
      </c>
      <c r="T32" s="166"/>
      <c r="U32" s="155">
        <f>0.5*(R32+R31)*L32+0.5*(S32+S31)*P32</f>
        <v>2.6256134467477685E-2</v>
      </c>
      <c r="V32" s="216">
        <f t="shared" si="9"/>
        <v>1.2377938299719524</v>
      </c>
      <c r="W32" s="155">
        <f t="shared" si="7"/>
        <v>2.6256134467477783E-2</v>
      </c>
      <c r="X32" s="212">
        <f t="shared" si="8"/>
        <v>9.7144514654701197E-17</v>
      </c>
    </row>
    <row r="33" spans="3:25" s="149" customFormat="1" ht="15.75" thickBot="1" x14ac:dyDescent="0.3">
      <c r="C33" s="149">
        <f>'Average Hourly Earnings'!A34</f>
        <v>2018</v>
      </c>
      <c r="D33" s="149">
        <f>'Average Hourly Earnings'!B34</f>
        <v>25.42</v>
      </c>
      <c r="E33" s="166">
        <f t="shared" si="1"/>
        <v>1.9063325509417708E-2</v>
      </c>
      <c r="F33" s="185"/>
      <c r="G33" s="185"/>
      <c r="H33" s="186">
        <f>'Statistics Canada GDPIPIFDD'!P56</f>
        <v>110</v>
      </c>
      <c r="I33" s="166">
        <f t="shared" si="1"/>
        <v>1.5575211785471372E-2</v>
      </c>
      <c r="J33" s="155">
        <f>'O&amp;M Cost Calculations'!BC23/'O&amp;M Cost Calculations'!AZ23</f>
        <v>0.40298489370801854</v>
      </c>
      <c r="K33" s="155">
        <f t="shared" si="2"/>
        <v>0.59701510629198151</v>
      </c>
      <c r="L33" s="166">
        <f t="shared" si="3"/>
        <v>1.6971950090386309E-2</v>
      </c>
      <c r="M33" s="215">
        <f>M34/EXP(L34)</f>
        <v>1.130665589244352</v>
      </c>
      <c r="O33" s="159">
        <f>'Capital Cost Calculations'!AF23</f>
        <v>9.1657309493845087</v>
      </c>
      <c r="P33" s="166">
        <f>'Capital Cost Calculations'!AH23</f>
        <v>1.4852488803125612E-2</v>
      </c>
      <c r="R33" s="166">
        <f>'HQ data for econometrics'!F13/('HQ data for econometrics'!F13+'HQ data for econometrics'!G13)</f>
        <v>0.19710945747344313</v>
      </c>
      <c r="S33" s="166">
        <f t="shared" si="0"/>
        <v>0.80289054252655689</v>
      </c>
      <c r="T33" s="166"/>
      <c r="U33" s="155">
        <f t="shared" si="5"/>
        <v>1.5260769098651051E-2</v>
      </c>
      <c r="V33" s="216">
        <f>V34/EXP(U34)</f>
        <v>1.2568283873822141</v>
      </c>
      <c r="W33" s="155">
        <f>LN(V33/V32)</f>
        <v>1.5260769098651115E-2</v>
      </c>
      <c r="X33" s="212">
        <f t="shared" si="8"/>
        <v>6.4184768611141862E-17</v>
      </c>
    </row>
    <row r="34" spans="3:25" s="149" customFormat="1" ht="15.75" thickBot="1" x14ac:dyDescent="0.3">
      <c r="C34" s="149">
        <f>'Average Hourly Earnings'!A35</f>
        <v>2019</v>
      </c>
      <c r="D34" s="149">
        <f>'Average Hourly Earnings'!B35</f>
        <v>26.65</v>
      </c>
      <c r="E34" s="166">
        <f t="shared" si="1"/>
        <v>4.7252884850545511E-2</v>
      </c>
      <c r="F34" s="185"/>
      <c r="G34" s="185"/>
      <c r="H34" s="186">
        <f>'Statistics Canada GDPIPIFDD'!P57</f>
        <v>112</v>
      </c>
      <c r="I34" s="166">
        <f t="shared" si="1"/>
        <v>1.8018505502678212E-2</v>
      </c>
      <c r="J34" s="155">
        <f>'O&amp;M Cost Calculations'!BC24/'O&amp;M Cost Calculations'!AZ24</f>
        <v>0.41208103186772216</v>
      </c>
      <c r="K34" s="155">
        <f t="shared" si="2"/>
        <v>0.58791896813227784</v>
      </c>
      <c r="L34" s="166">
        <f>0.5*(J34+J33)*E34+0.5*(K34+K33)*I34</f>
        <v>2.9932478733579102E-2</v>
      </c>
      <c r="M34" s="262">
        <f>EXP(AVERAGE(J34,J35)*LN(I43/J43)+AVERAGE(K34,K35)*LN(I46/J46))</f>
        <v>1.165020816485336</v>
      </c>
      <c r="O34" s="159">
        <f>'Capital Cost Calculations'!AF24</f>
        <v>8.597663024515823</v>
      </c>
      <c r="P34" s="166">
        <f>'Capital Cost Calculations'!AH24</f>
        <v>-6.3981207549388422E-2</v>
      </c>
      <c r="R34" s="166">
        <f>'HQ data for econometrics'!F14/('HQ data for econometrics'!F14+'HQ data for econometrics'!G14)</f>
        <v>0.20339944282655889</v>
      </c>
      <c r="S34" s="166">
        <f t="shared" si="0"/>
        <v>0.79660055717344114</v>
      </c>
      <c r="T34" s="166"/>
      <c r="U34" s="155">
        <f t="shared" si="5"/>
        <v>-4.5174573941233073E-2</v>
      </c>
      <c r="V34" s="263">
        <f>EXP(AVERAGE(R34,R35)*LN(M34/J45)+AVERAGE(S34,S35)*LN(O34/J44))</f>
        <v>1.2013150368263708</v>
      </c>
      <c r="W34" s="155">
        <f t="shared" si="7"/>
        <v>-4.5174573941233066E-2</v>
      </c>
      <c r="X34" s="212">
        <f t="shared" si="8"/>
        <v>0</v>
      </c>
    </row>
    <row r="35" spans="3:25" s="149" customFormat="1" ht="15.75" thickBot="1" x14ac:dyDescent="0.3">
      <c r="D35" s="165"/>
      <c r="I35" s="258" t="s">
        <v>553</v>
      </c>
      <c r="J35" s="259">
        <v>0.29680000000000001</v>
      </c>
      <c r="K35" s="260">
        <v>0.70320000000000005</v>
      </c>
      <c r="M35" s="10"/>
      <c r="P35" s="258" t="s">
        <v>553</v>
      </c>
      <c r="Q35" s="258"/>
      <c r="R35" s="259">
        <v>0.27572000000000002</v>
      </c>
      <c r="S35" s="260">
        <f>1-R35</f>
        <v>0.72428000000000003</v>
      </c>
      <c r="V35" s="159"/>
      <c r="W35" s="175"/>
    </row>
    <row r="36" spans="3:25" ht="15" x14ac:dyDescent="0.25">
      <c r="C36" s="290"/>
      <c r="D36" s="165"/>
      <c r="J36" s="212">
        <f>J35+K35</f>
        <v>1</v>
      </c>
      <c r="K36" s="10"/>
      <c r="L36" s="281"/>
      <c r="M36" s="284"/>
      <c r="N36" s="102"/>
      <c r="O36" t="s">
        <v>572</v>
      </c>
    </row>
    <row r="37" spans="3:25" ht="15" x14ac:dyDescent="0.25">
      <c r="C37" s="10"/>
      <c r="D37" s="272"/>
      <c r="E37" s="10"/>
      <c r="F37" s="10"/>
      <c r="G37" s="10"/>
      <c r="H37" s="177"/>
      <c r="I37" s="287"/>
      <c r="J37" s="287"/>
      <c r="K37" s="10"/>
      <c r="L37" s="10"/>
      <c r="M37" s="102"/>
      <c r="N37" s="102"/>
      <c r="O37" s="10"/>
      <c r="P37" s="10"/>
      <c r="Q37" s="10"/>
      <c r="R37" s="10"/>
      <c r="S37" s="10"/>
      <c r="T37" s="10"/>
      <c r="U37" s="10"/>
      <c r="V37" s="10"/>
      <c r="W37" s="10"/>
      <c r="X37" s="10"/>
      <c r="Y37" s="10"/>
    </row>
    <row r="38" spans="3:25" ht="15" x14ac:dyDescent="0.25">
      <c r="C38" s="10"/>
      <c r="D38" s="288"/>
      <c r="E38" s="227"/>
      <c r="F38" s="227"/>
      <c r="G38" s="227"/>
      <c r="H38" s="227"/>
      <c r="I38" s="227"/>
      <c r="J38" s="227"/>
      <c r="K38" s="227"/>
      <c r="L38" s="227"/>
      <c r="M38" s="285"/>
      <c r="N38" s="285"/>
      <c r="O38" s="227"/>
      <c r="P38" s="227"/>
      <c r="Q38" s="227"/>
      <c r="R38" s="227"/>
      <c r="S38" s="227"/>
      <c r="T38" s="227"/>
      <c r="U38" s="227"/>
      <c r="V38" s="289"/>
      <c r="W38" s="227"/>
      <c r="X38" s="227"/>
      <c r="Y38" s="227"/>
    </row>
    <row r="39" spans="3:25" ht="15" x14ac:dyDescent="0.25">
      <c r="D39" s="165"/>
      <c r="K39" s="10"/>
      <c r="L39" s="10"/>
      <c r="M39" s="102"/>
      <c r="N39" s="102"/>
    </row>
    <row r="40" spans="3:25" ht="15.75" thickBot="1" x14ac:dyDescent="0.3">
      <c r="D40" s="165"/>
      <c r="K40" s="10"/>
      <c r="L40" s="10"/>
      <c r="M40" s="102"/>
      <c r="N40" s="102"/>
    </row>
    <row r="41" spans="3:25" ht="15" x14ac:dyDescent="0.25">
      <c r="D41" s="165"/>
      <c r="H41" s="204" t="s">
        <v>411</v>
      </c>
      <c r="I41" s="205"/>
      <c r="J41" s="254" t="s">
        <v>553</v>
      </c>
      <c r="K41" s="10"/>
      <c r="L41" s="10"/>
      <c r="M41" s="102"/>
      <c r="N41" s="102"/>
      <c r="S41" s="159"/>
    </row>
    <row r="42" spans="3:25" ht="15.75" thickBot="1" x14ac:dyDescent="0.3">
      <c r="D42" s="165"/>
      <c r="H42" s="206"/>
      <c r="I42" s="207"/>
      <c r="J42" s="255"/>
      <c r="K42" s="10"/>
      <c r="L42" s="10"/>
      <c r="M42" s="102"/>
      <c r="N42" s="102"/>
    </row>
    <row r="43" spans="3:25" ht="30.75" thickBot="1" x14ac:dyDescent="0.3">
      <c r="D43" s="165"/>
      <c r="H43" s="208" t="s">
        <v>432</v>
      </c>
      <c r="I43" s="210">
        <f>'Quebec vs. US  Labor'!T39</f>
        <v>1.0458491938998911</v>
      </c>
      <c r="J43" s="256">
        <v>0.96660000000000001</v>
      </c>
      <c r="K43" s="10" t="s">
        <v>552</v>
      </c>
      <c r="L43" s="10"/>
      <c r="M43" s="102"/>
      <c r="N43" s="102"/>
    </row>
    <row r="44" spans="3:25" ht="15" x14ac:dyDescent="0.25">
      <c r="D44" s="165"/>
      <c r="H44" s="206" t="s">
        <v>555</v>
      </c>
      <c r="I44" s="207"/>
      <c r="J44" s="255">
        <v>7.0919100000000004</v>
      </c>
      <c r="K44" s="10"/>
      <c r="L44" s="10"/>
      <c r="M44" s="102"/>
      <c r="N44" s="102"/>
      <c r="P44" s="155"/>
    </row>
    <row r="45" spans="3:25" ht="15.75" thickBot="1" x14ac:dyDescent="0.3">
      <c r="D45" s="165"/>
      <c r="H45" s="206" t="s">
        <v>554</v>
      </c>
      <c r="I45" s="207"/>
      <c r="J45" s="255">
        <v>0.99826999999999999</v>
      </c>
      <c r="K45" s="10"/>
      <c r="L45" s="10"/>
      <c r="M45" s="102"/>
      <c r="N45" s="102"/>
      <c r="U45" s="159"/>
      <c r="W45" s="159"/>
    </row>
    <row r="46" spans="3:25" ht="15.75" thickBot="1" x14ac:dyDescent="0.3">
      <c r="D46" s="165"/>
      <c r="H46" s="209" t="s">
        <v>431</v>
      </c>
      <c r="I46" s="211">
        <f>'Asset Price Index'!K85</f>
        <v>1.2132890000000001</v>
      </c>
      <c r="J46" s="257">
        <v>1</v>
      </c>
      <c r="K46" s="218"/>
      <c r="L46" s="10"/>
      <c r="M46" s="102"/>
      <c r="N46" s="102"/>
    </row>
    <row r="47" spans="3:25" ht="15" x14ac:dyDescent="0.25">
      <c r="D47" s="165"/>
    </row>
    <row r="48" spans="3:25" ht="15" x14ac:dyDescent="0.25">
      <c r="D48" s="165"/>
      <c r="H48" s="264" t="s">
        <v>556</v>
      </c>
      <c r="J48" s="264">
        <v>93.978260000000006</v>
      </c>
    </row>
    <row r="49" spans="2:11" ht="15" x14ac:dyDescent="0.25">
      <c r="D49" s="165"/>
      <c r="H49" s="264" t="s">
        <v>347</v>
      </c>
      <c r="J49" s="144">
        <f>'HQ data for econometrics'!L14</f>
        <v>113.93170684770878</v>
      </c>
    </row>
    <row r="50" spans="2:11" ht="15" x14ac:dyDescent="0.25">
      <c r="D50" s="165"/>
    </row>
    <row r="51" spans="2:11" ht="15" x14ac:dyDescent="0.25">
      <c r="D51" s="165"/>
      <c r="H51" s="264" t="s">
        <v>557</v>
      </c>
      <c r="J51" s="266">
        <f>O34</f>
        <v>8.597663024515823</v>
      </c>
    </row>
    <row r="52" spans="2:11" ht="15" x14ac:dyDescent="0.25">
      <c r="B52" s="261">
        <v>44241.058333333334</v>
      </c>
      <c r="D52" s="165"/>
      <c r="H52" s="264" t="s">
        <v>558</v>
      </c>
      <c r="J52" s="150">
        <f>J44</f>
        <v>7.0919100000000004</v>
      </c>
    </row>
    <row r="53" spans="2:11" ht="15" x14ac:dyDescent="0.25">
      <c r="D53" s="165"/>
      <c r="H53" s="264" t="s">
        <v>559</v>
      </c>
      <c r="J53" s="267">
        <f>J51/J52</f>
        <v>1.2123198157500339</v>
      </c>
    </row>
    <row r="54" spans="2:11" ht="15" x14ac:dyDescent="0.25">
      <c r="D54" s="165"/>
    </row>
    <row r="55" spans="2:11" ht="15" x14ac:dyDescent="0.25">
      <c r="H55" s="264" t="s">
        <v>561</v>
      </c>
      <c r="J55" s="268">
        <f>J53*J48</f>
        <v>113.93170684770878</v>
      </c>
      <c r="K55" s="149" t="s">
        <v>560</v>
      </c>
    </row>
    <row r="56" spans="2:11" ht="15" x14ac:dyDescent="0.25">
      <c r="H56" s="264" t="s">
        <v>562</v>
      </c>
      <c r="J56" s="265">
        <f>J55/J48</f>
        <v>1.2123198157500339</v>
      </c>
    </row>
  </sheetData>
  <mergeCells count="2">
    <mergeCell ref="D9:M9"/>
    <mergeCell ref="O9:V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61"/>
  <sheetViews>
    <sheetView tabSelected="1" zoomScale="90" zoomScaleNormal="90" workbookViewId="0">
      <selection activeCell="U3" sqref="U3"/>
    </sheetView>
  </sheetViews>
  <sheetFormatPr baseColWidth="10" defaultColWidth="9.109375" defaultRowHeight="13.2" x14ac:dyDescent="0.25"/>
  <cols>
    <col min="1" max="1" width="55.44140625" style="187" customWidth="1"/>
    <col min="2" max="2" width="12.109375" style="187" customWidth="1"/>
    <col min="3" max="3" width="49.44140625" style="187" customWidth="1"/>
    <col min="4" max="4" width="10.88671875" style="187" customWidth="1"/>
    <col min="5" max="7" width="9.5546875" style="187" customWidth="1"/>
    <col min="8" max="8" width="11.33203125" style="187" customWidth="1"/>
    <col min="9" max="9" width="14.33203125" style="187" customWidth="1"/>
    <col min="10" max="10" width="11.33203125" style="187" customWidth="1"/>
    <col min="11" max="11" width="9.109375" style="187" hidden="1" customWidth="1"/>
    <col min="12" max="12" width="14" style="188" hidden="1" customWidth="1"/>
    <col min="13" max="13" width="9.109375" style="187" hidden="1" customWidth="1"/>
    <col min="14" max="16" width="11.109375" style="187" hidden="1" customWidth="1"/>
    <col min="17" max="19" width="9.109375" style="187" hidden="1" customWidth="1"/>
    <col min="20" max="16384" width="9.109375" style="187"/>
  </cols>
  <sheetData>
    <row r="2" spans="1:16" ht="23.25" x14ac:dyDescent="0.35">
      <c r="A2" s="388" t="s">
        <v>412</v>
      </c>
      <c r="B2" s="388"/>
      <c r="C2" s="388"/>
      <c r="D2" s="388"/>
      <c r="E2" s="388"/>
      <c r="F2" s="388"/>
      <c r="G2" s="388"/>
      <c r="H2" s="388"/>
      <c r="I2" s="388"/>
    </row>
    <row r="4" spans="1:16" ht="12.75" x14ac:dyDescent="0.2">
      <c r="B4" s="189" t="s">
        <v>413</v>
      </c>
      <c r="D4" s="189" t="s">
        <v>413</v>
      </c>
      <c r="E4" s="389" t="s">
        <v>414</v>
      </c>
      <c r="F4" s="389"/>
      <c r="G4" s="389"/>
      <c r="H4" s="389"/>
      <c r="I4" s="389"/>
      <c r="J4" s="189"/>
    </row>
    <row r="5" spans="1:16" ht="26.25" thickBot="1" x14ac:dyDescent="0.25">
      <c r="A5" s="190" t="s">
        <v>415</v>
      </c>
      <c r="B5" s="191" t="s">
        <v>416</v>
      </c>
      <c r="C5" s="190" t="s">
        <v>417</v>
      </c>
      <c r="D5" s="191" t="s">
        <v>416</v>
      </c>
      <c r="E5" s="192" t="s">
        <v>307</v>
      </c>
      <c r="F5" s="192" t="s">
        <v>293</v>
      </c>
      <c r="G5" s="193" t="s">
        <v>418</v>
      </c>
      <c r="H5" s="192" t="s">
        <v>349</v>
      </c>
      <c r="I5" s="192" t="s">
        <v>419</v>
      </c>
      <c r="J5" s="189" t="s">
        <v>550</v>
      </c>
    </row>
    <row r="6" spans="1:16" ht="13.5" thickTop="1" x14ac:dyDescent="0.2">
      <c r="D6" s="189"/>
    </row>
    <row r="7" spans="1:16" ht="12.75" x14ac:dyDescent="0.2">
      <c r="A7" s="187" t="s">
        <v>438</v>
      </c>
      <c r="B7" s="194">
        <v>0.13241897272846259</v>
      </c>
      <c r="C7" s="195" t="s">
        <v>421</v>
      </c>
      <c r="D7" s="196">
        <v>0.13241897272846259</v>
      </c>
      <c r="E7" s="197">
        <v>45.17</v>
      </c>
      <c r="F7" s="197">
        <v>42.56</v>
      </c>
      <c r="G7" s="198">
        <v>0.94221828647332306</v>
      </c>
      <c r="H7" s="197">
        <v>58.88</v>
      </c>
      <c r="I7" s="198">
        <v>0.72282608695652173</v>
      </c>
      <c r="J7" s="199">
        <f>LN(I7)</f>
        <v>-0.32458662938723187</v>
      </c>
      <c r="K7" s="188"/>
      <c r="M7" s="200"/>
      <c r="N7" s="201"/>
      <c r="O7" s="201"/>
      <c r="P7" s="201"/>
    </row>
    <row r="8" spans="1:16" ht="8.25" customHeight="1" x14ac:dyDescent="0.2">
      <c r="B8" s="194"/>
      <c r="C8" s="195"/>
      <c r="D8" s="196"/>
      <c r="E8" s="197"/>
      <c r="F8" s="197"/>
      <c r="G8" s="198"/>
      <c r="H8" s="197"/>
      <c r="I8" s="198"/>
      <c r="J8" s="199"/>
      <c r="K8" s="188"/>
      <c r="M8" s="200"/>
      <c r="N8" s="201"/>
      <c r="O8" s="201"/>
      <c r="P8" s="201"/>
    </row>
    <row r="9" spans="1:16" ht="12.75" x14ac:dyDescent="0.2">
      <c r="A9" s="187" t="s">
        <v>439</v>
      </c>
      <c r="B9" s="194">
        <v>9.749758268330487E-2</v>
      </c>
      <c r="C9" s="195" t="s">
        <v>422</v>
      </c>
      <c r="D9" s="196">
        <v>0.20645311836612795</v>
      </c>
      <c r="E9" s="197">
        <v>27.85</v>
      </c>
      <c r="F9" s="197">
        <v>26.61</v>
      </c>
      <c r="G9" s="198">
        <v>0.95547576301615789</v>
      </c>
      <c r="H9" s="197">
        <v>24.995454045178985</v>
      </c>
      <c r="I9" s="198">
        <v>1.0645935837733831</v>
      </c>
      <c r="J9" s="199">
        <f>LN(I9)</f>
        <v>6.2593114848806336E-2</v>
      </c>
      <c r="K9" s="188"/>
      <c r="M9" s="200"/>
      <c r="N9" s="201"/>
      <c r="O9" s="201"/>
      <c r="P9" s="201"/>
    </row>
    <row r="10" spans="1:16" ht="12.75" x14ac:dyDescent="0.2">
      <c r="A10" s="187" t="s">
        <v>440</v>
      </c>
      <c r="B10" s="194">
        <v>0.10895553568282307</v>
      </c>
      <c r="C10" s="195"/>
      <c r="D10" s="189"/>
      <c r="E10" s="197"/>
      <c r="F10" s="197"/>
      <c r="G10" s="189"/>
      <c r="H10" s="197"/>
      <c r="I10" s="198"/>
      <c r="J10" s="199"/>
      <c r="K10" s="188"/>
      <c r="M10" s="200"/>
      <c r="N10" s="201"/>
    </row>
    <row r="11" spans="1:16" ht="8.25" customHeight="1" x14ac:dyDescent="0.2">
      <c r="B11" s="194"/>
      <c r="C11" s="195"/>
      <c r="D11" s="189"/>
      <c r="E11" s="197"/>
      <c r="F11" s="197"/>
      <c r="G11" s="189"/>
      <c r="H11" s="197"/>
      <c r="I11" s="198"/>
      <c r="J11" s="199"/>
      <c r="K11" s="188"/>
      <c r="M11" s="200"/>
      <c r="N11" s="201"/>
    </row>
    <row r="12" spans="1:16" ht="25.5" x14ac:dyDescent="0.2">
      <c r="A12" s="187" t="s">
        <v>441</v>
      </c>
      <c r="B12" s="194">
        <v>4.1312821964782066E-2</v>
      </c>
      <c r="C12" s="195" t="s">
        <v>423</v>
      </c>
      <c r="D12" s="196">
        <v>0.17185950245411122</v>
      </c>
      <c r="E12" s="197">
        <v>37.799999999999997</v>
      </c>
      <c r="F12" s="197">
        <v>35.42</v>
      </c>
      <c r="G12" s="198">
        <v>0.93703703703703711</v>
      </c>
      <c r="H12" s="197">
        <v>43.153374861283687</v>
      </c>
      <c r="I12" s="198">
        <v>0.82079327778783051</v>
      </c>
      <c r="J12" s="199">
        <f>LN(I12)</f>
        <v>-0.19748399442880998</v>
      </c>
      <c r="M12" s="200"/>
      <c r="N12" s="201"/>
      <c r="O12" s="201"/>
      <c r="P12" s="201"/>
    </row>
    <row r="13" spans="1:16" ht="12.75" x14ac:dyDescent="0.2">
      <c r="A13" s="187" t="s">
        <v>442</v>
      </c>
      <c r="B13" s="194">
        <v>0.10960864282915216</v>
      </c>
      <c r="C13" s="195"/>
      <c r="D13" s="189"/>
      <c r="E13" s="197"/>
      <c r="F13" s="197"/>
      <c r="G13" s="189"/>
      <c r="H13" s="197"/>
      <c r="I13" s="198"/>
      <c r="J13" s="199"/>
      <c r="M13" s="200"/>
      <c r="N13" s="201"/>
    </row>
    <row r="14" spans="1:16" ht="12.75" x14ac:dyDescent="0.2">
      <c r="A14" s="187" t="s">
        <v>443</v>
      </c>
      <c r="B14" s="194">
        <v>2.0938037660176986E-2</v>
      </c>
      <c r="C14" s="195"/>
      <c r="D14" s="189"/>
      <c r="E14" s="197"/>
      <c r="F14" s="197"/>
      <c r="G14" s="189"/>
      <c r="H14" s="197"/>
      <c r="I14" s="198"/>
      <c r="J14" s="199"/>
      <c r="M14" s="200"/>
      <c r="N14" s="201"/>
    </row>
    <row r="15" spans="1:16" ht="8.25" customHeight="1" x14ac:dyDescent="0.2">
      <c r="B15" s="194"/>
      <c r="C15" s="195"/>
      <c r="D15" s="189"/>
      <c r="E15" s="197"/>
      <c r="F15" s="197"/>
      <c r="G15" s="189"/>
      <c r="H15" s="197"/>
      <c r="I15" s="198"/>
      <c r="J15" s="199"/>
      <c r="M15" s="200"/>
      <c r="N15" s="201"/>
    </row>
    <row r="16" spans="1:16" ht="12.75" x14ac:dyDescent="0.2">
      <c r="A16" s="187" t="s">
        <v>444</v>
      </c>
      <c r="B16" s="194">
        <v>2.8402570946381428E-4</v>
      </c>
      <c r="C16" s="195" t="s">
        <v>424</v>
      </c>
      <c r="D16" s="194">
        <v>2.8402570946381428E-4</v>
      </c>
      <c r="E16" s="197">
        <v>38.04</v>
      </c>
      <c r="F16" s="197">
        <v>28.1</v>
      </c>
      <c r="G16" s="198">
        <v>0.73869610935857</v>
      </c>
      <c r="H16" s="197">
        <v>40.21</v>
      </c>
      <c r="I16" s="198">
        <v>0.69883113653320073</v>
      </c>
      <c r="J16" s="199">
        <f>LN(I16)</f>
        <v>-0.35834614456948255</v>
      </c>
      <c r="M16" s="200"/>
      <c r="N16" s="201"/>
      <c r="O16" s="201"/>
      <c r="P16" s="201"/>
    </row>
    <row r="17" spans="1:16" ht="8.25" customHeight="1" x14ac:dyDescent="0.2">
      <c r="B17" s="194"/>
      <c r="C17" s="195"/>
      <c r="D17" s="194"/>
      <c r="E17" s="197"/>
      <c r="F17" s="197"/>
      <c r="G17" s="198"/>
      <c r="H17" s="197"/>
      <c r="I17" s="198"/>
      <c r="J17" s="199"/>
      <c r="M17" s="200"/>
      <c r="N17" s="201"/>
      <c r="O17" s="201"/>
      <c r="P17" s="201"/>
    </row>
    <row r="18" spans="1:16" ht="25.5" x14ac:dyDescent="0.2">
      <c r="A18" s="187" t="s">
        <v>445</v>
      </c>
      <c r="B18" s="194">
        <v>6.4932855452458403E-5</v>
      </c>
      <c r="C18" s="195" t="s">
        <v>425</v>
      </c>
      <c r="D18" s="194">
        <v>1.3804711039767641E-2</v>
      </c>
      <c r="E18" s="197">
        <v>33.28</v>
      </c>
      <c r="F18" s="197">
        <v>32.96</v>
      </c>
      <c r="G18" s="198">
        <v>0.99038461538461542</v>
      </c>
      <c r="H18" s="197">
        <v>28.239388732542526</v>
      </c>
      <c r="I18" s="198">
        <v>1.1671640739878173</v>
      </c>
      <c r="J18" s="199">
        <f>LN(I18)</f>
        <v>0.15457693809870651</v>
      </c>
      <c r="M18" s="200"/>
      <c r="N18" s="201"/>
      <c r="O18" s="201"/>
      <c r="P18" s="201"/>
    </row>
    <row r="19" spans="1:16" ht="12.75" x14ac:dyDescent="0.2">
      <c r="A19" s="187" t="s">
        <v>446</v>
      </c>
      <c r="B19" s="194">
        <v>5.3948750959355472E-3</v>
      </c>
      <c r="C19" s="202"/>
      <c r="D19" s="194"/>
      <c r="E19" s="197"/>
      <c r="F19" s="197"/>
      <c r="G19" s="189"/>
      <c r="H19" s="197"/>
      <c r="I19" s="198"/>
      <c r="J19" s="199"/>
      <c r="M19" s="200"/>
      <c r="N19" s="201"/>
    </row>
    <row r="20" spans="1:16" ht="12.75" x14ac:dyDescent="0.2">
      <c r="A20" s="187" t="s">
        <v>447</v>
      </c>
      <c r="B20" s="194">
        <v>2.7019737287231849E-4</v>
      </c>
      <c r="C20" s="195"/>
      <c r="D20" s="189"/>
      <c r="E20" s="197"/>
      <c r="F20" s="197"/>
      <c r="G20" s="189"/>
      <c r="H20" s="197"/>
      <c r="I20" s="198"/>
      <c r="J20" s="199"/>
      <c r="M20" s="200"/>
      <c r="N20" s="201"/>
    </row>
    <row r="21" spans="1:16" ht="12.75" x14ac:dyDescent="0.2">
      <c r="A21" s="187" t="s">
        <v>448</v>
      </c>
      <c r="B21" s="194">
        <v>8.0747057155073181E-3</v>
      </c>
      <c r="C21" s="195"/>
      <c r="D21" s="189"/>
      <c r="E21" s="197"/>
      <c r="F21" s="197"/>
      <c r="G21" s="189"/>
      <c r="H21" s="197"/>
      <c r="I21" s="198"/>
      <c r="J21" s="199"/>
      <c r="M21" s="200"/>
      <c r="N21" s="201"/>
    </row>
    <row r="22" spans="1:16" ht="8.25" customHeight="1" x14ac:dyDescent="0.2">
      <c r="B22" s="194"/>
      <c r="C22" s="195"/>
      <c r="D22" s="189"/>
      <c r="E22" s="197"/>
      <c r="F22" s="197"/>
      <c r="G22" s="189"/>
      <c r="H22" s="197"/>
      <c r="I22" s="198"/>
      <c r="J22" s="199"/>
      <c r="M22" s="200"/>
      <c r="N22" s="201"/>
    </row>
    <row r="23" spans="1:16" ht="12.75" x14ac:dyDescent="0.2">
      <c r="A23" s="187" t="s">
        <v>449</v>
      </c>
      <c r="B23" s="194">
        <v>3.8869924951367937E-3</v>
      </c>
      <c r="C23" s="195" t="s">
        <v>426</v>
      </c>
      <c r="D23" s="196">
        <v>3.8869924951367937E-3</v>
      </c>
      <c r="E23" s="197">
        <v>24.73</v>
      </c>
      <c r="F23" s="197">
        <v>24.83</v>
      </c>
      <c r="G23" s="198">
        <v>1.0040436716538617</v>
      </c>
      <c r="H23" s="197">
        <v>29.79</v>
      </c>
      <c r="I23" s="198">
        <v>0.83350117489090292</v>
      </c>
      <c r="J23" s="199">
        <f>LN(I23)</f>
        <v>-0.18212016720511576</v>
      </c>
      <c r="M23" s="200"/>
      <c r="N23" s="201"/>
      <c r="O23" s="201"/>
      <c r="P23" s="201"/>
    </row>
    <row r="24" spans="1:16" ht="8.25" customHeight="1" x14ac:dyDescent="0.2">
      <c r="B24" s="194"/>
      <c r="C24" s="195"/>
      <c r="D24" s="196"/>
      <c r="E24" s="197"/>
      <c r="F24" s="197"/>
      <c r="G24" s="198"/>
      <c r="H24" s="197"/>
      <c r="I24" s="198"/>
      <c r="J24" s="199"/>
      <c r="M24" s="200"/>
      <c r="N24" s="201"/>
      <c r="O24" s="201"/>
      <c r="P24" s="201"/>
    </row>
    <row r="25" spans="1:16" ht="12.75" x14ac:dyDescent="0.2">
      <c r="A25" s="187" t="s">
        <v>450</v>
      </c>
      <c r="B25" s="194">
        <v>1.5655201552425092E-2</v>
      </c>
      <c r="C25" s="195" t="s">
        <v>427</v>
      </c>
      <c r="D25" s="196">
        <v>1.5687282170963362E-2</v>
      </c>
      <c r="E25" s="197">
        <v>18.36</v>
      </c>
      <c r="F25" s="197">
        <v>17.54</v>
      </c>
      <c r="G25" s="198">
        <v>0.95533769063180829</v>
      </c>
      <c r="H25" s="197">
        <v>16.883974406086271</v>
      </c>
      <c r="I25" s="198">
        <v>1.0388549270530312</v>
      </c>
      <c r="J25" s="199">
        <f>LN(I25)</f>
        <v>3.8119074892839749E-2</v>
      </c>
      <c r="M25" s="200"/>
      <c r="N25" s="201"/>
      <c r="O25" s="201"/>
      <c r="P25" s="201"/>
    </row>
    <row r="26" spans="1:16" ht="12.75" x14ac:dyDescent="0.2">
      <c r="A26" s="187" t="s">
        <v>451</v>
      </c>
      <c r="B26" s="194">
        <v>3.2080618538268975E-5</v>
      </c>
      <c r="C26" s="202"/>
      <c r="D26" s="194"/>
      <c r="E26" s="197"/>
      <c r="F26" s="197"/>
      <c r="G26" s="189"/>
      <c r="H26" s="197"/>
      <c r="I26" s="198"/>
      <c r="J26" s="199"/>
      <c r="M26" s="200"/>
      <c r="N26" s="201"/>
    </row>
    <row r="27" spans="1:16" ht="8.25" customHeight="1" x14ac:dyDescent="0.2">
      <c r="B27" s="194"/>
      <c r="C27" s="202"/>
      <c r="D27" s="194"/>
      <c r="E27" s="197"/>
      <c r="F27" s="197"/>
      <c r="G27" s="189"/>
      <c r="H27" s="197"/>
      <c r="I27" s="198"/>
      <c r="J27" s="199"/>
      <c r="M27" s="200"/>
      <c r="N27" s="201"/>
    </row>
    <row r="28" spans="1:16" ht="25.5" x14ac:dyDescent="0.2">
      <c r="A28" s="187" t="s">
        <v>452</v>
      </c>
      <c r="B28" s="194">
        <v>4.9455055979369944E-2</v>
      </c>
      <c r="C28" s="195" t="s">
        <v>428</v>
      </c>
      <c r="D28" s="196">
        <v>0.32122032933270872</v>
      </c>
      <c r="E28" s="197">
        <v>27.25</v>
      </c>
      <c r="F28" s="197">
        <v>26.03</v>
      </c>
      <c r="G28" s="198">
        <v>0.9552293577981652</v>
      </c>
      <c r="H28" s="197">
        <v>20.413453873257978</v>
      </c>
      <c r="I28" s="198">
        <v>1.2751394331215948</v>
      </c>
      <c r="J28" s="199">
        <f>LN(I28)</f>
        <v>0.24305553194215071</v>
      </c>
      <c r="M28" s="200"/>
      <c r="N28" s="201"/>
      <c r="O28" s="201"/>
      <c r="P28" s="201"/>
    </row>
    <row r="29" spans="1:16" ht="12.75" x14ac:dyDescent="0.2">
      <c r="A29" s="187" t="s">
        <v>453</v>
      </c>
      <c r="B29" s="194">
        <v>0.25603527625967448</v>
      </c>
      <c r="C29" s="195"/>
      <c r="D29" s="189"/>
      <c r="E29" s="197"/>
      <c r="F29" s="197"/>
      <c r="G29" s="189"/>
      <c r="H29" s="197"/>
      <c r="I29" s="198"/>
      <c r="J29" s="199"/>
      <c r="M29" s="200"/>
      <c r="N29" s="201"/>
    </row>
    <row r="30" spans="1:16" ht="12.75" x14ac:dyDescent="0.2">
      <c r="A30" s="187" t="s">
        <v>454</v>
      </c>
      <c r="B30" s="194">
        <v>1.3527040659836408E-2</v>
      </c>
      <c r="C30" s="195"/>
      <c r="D30" s="189"/>
      <c r="E30" s="197"/>
      <c r="F30" s="197"/>
      <c r="G30" s="189"/>
      <c r="H30" s="197"/>
      <c r="I30" s="198"/>
      <c r="J30" s="199"/>
      <c r="M30" s="200"/>
      <c r="N30" s="201"/>
    </row>
    <row r="31" spans="1:16" ht="12.75" x14ac:dyDescent="0.2">
      <c r="A31" s="187" t="s">
        <v>455</v>
      </c>
      <c r="B31" s="194">
        <v>2.202956433827907E-3</v>
      </c>
      <c r="C31" s="195"/>
      <c r="D31" s="189"/>
      <c r="E31" s="197"/>
      <c r="F31" s="197"/>
      <c r="G31" s="189"/>
      <c r="H31" s="197"/>
      <c r="I31" s="198"/>
      <c r="J31" s="199"/>
      <c r="M31" s="200"/>
      <c r="N31" s="201"/>
    </row>
    <row r="32" spans="1:16" ht="8.25" customHeight="1" x14ac:dyDescent="0.2">
      <c r="B32" s="194"/>
      <c r="C32" s="195"/>
      <c r="D32" s="189"/>
      <c r="E32" s="197"/>
      <c r="F32" s="197"/>
      <c r="G32" s="189"/>
      <c r="H32" s="197"/>
      <c r="I32" s="198"/>
      <c r="J32" s="199"/>
      <c r="M32" s="200"/>
      <c r="N32" s="201"/>
    </row>
    <row r="33" spans="1:21" ht="25.5" x14ac:dyDescent="0.2">
      <c r="A33" s="187" t="s">
        <v>456</v>
      </c>
      <c r="B33" s="194">
        <v>2.9944404755720687E-4</v>
      </c>
      <c r="C33" s="195" t="s">
        <v>429</v>
      </c>
      <c r="D33" s="196">
        <v>2.9944404755720687E-4</v>
      </c>
      <c r="E33" s="197">
        <v>24.84</v>
      </c>
      <c r="F33" s="197">
        <v>21.83</v>
      </c>
      <c r="G33" s="198">
        <v>0.87882447665056351</v>
      </c>
      <c r="H33" s="197">
        <v>15.07</v>
      </c>
      <c r="I33" s="198">
        <v>1.4485733244857331</v>
      </c>
      <c r="J33" s="199">
        <f>LN(I33)</f>
        <v>0.37057915792344831</v>
      </c>
      <c r="M33" s="200"/>
      <c r="N33" s="201"/>
      <c r="O33" s="201"/>
      <c r="P33" s="201"/>
    </row>
    <row r="34" spans="1:21" ht="8.25" customHeight="1" x14ac:dyDescent="0.2">
      <c r="B34" s="194"/>
      <c r="C34" s="195"/>
      <c r="D34" s="196"/>
      <c r="E34" s="197"/>
      <c r="F34" s="197"/>
      <c r="G34" s="198"/>
      <c r="H34" s="197"/>
      <c r="I34" s="198"/>
      <c r="J34" s="199"/>
      <c r="M34" s="200"/>
      <c r="N34" s="201"/>
      <c r="O34" s="201"/>
      <c r="P34" s="201"/>
    </row>
    <row r="35" spans="1:21" ht="12.75" x14ac:dyDescent="0.2">
      <c r="A35" s="187" t="s">
        <v>457</v>
      </c>
      <c r="B35" s="194">
        <v>0.13408562165570076</v>
      </c>
      <c r="C35" s="195" t="s">
        <v>430</v>
      </c>
      <c r="D35" s="194">
        <v>0.13408562165570076</v>
      </c>
      <c r="E35" s="197">
        <v>23.91</v>
      </c>
      <c r="F35" s="197">
        <v>22.42</v>
      </c>
      <c r="G35" s="198">
        <v>0.93768297783354249</v>
      </c>
      <c r="H35" s="197">
        <v>19.3</v>
      </c>
      <c r="I35" s="198">
        <v>1.2388601036269429</v>
      </c>
      <c r="J35" s="199">
        <f>LN(I35)</f>
        <v>0.21419168555939339</v>
      </c>
      <c r="M35" s="200"/>
      <c r="N35" s="201"/>
      <c r="O35" s="201"/>
      <c r="P35" s="201"/>
    </row>
    <row r="36" spans="1:21" ht="12.75" x14ac:dyDescent="0.2">
      <c r="C36" s="195"/>
      <c r="D36" s="189"/>
      <c r="E36" s="197"/>
      <c r="F36" s="197"/>
      <c r="G36" s="189"/>
      <c r="H36" s="197"/>
      <c r="I36" s="189"/>
    </row>
    <row r="37" spans="1:21" ht="12.75" x14ac:dyDescent="0.2">
      <c r="A37" s="187" t="s">
        <v>190</v>
      </c>
      <c r="B37" s="196">
        <v>1.0000000000000002</v>
      </c>
      <c r="C37" s="195"/>
      <c r="D37" s="196">
        <v>1.0000000000000002</v>
      </c>
      <c r="E37" s="197"/>
      <c r="F37" s="197"/>
      <c r="G37" s="189"/>
      <c r="H37" s="197"/>
      <c r="I37" s="189"/>
    </row>
    <row r="38" spans="1:21" ht="13.5" thickBot="1" x14ac:dyDescent="0.25">
      <c r="C38" s="195"/>
      <c r="D38" s="189"/>
      <c r="E38" s="197"/>
      <c r="F38" s="197"/>
      <c r="G38" s="189"/>
      <c r="H38" s="197"/>
      <c r="I38" s="189"/>
    </row>
    <row r="39" spans="1:21" ht="13.5" thickBot="1" x14ac:dyDescent="0.25">
      <c r="D39" s="189"/>
      <c r="E39" s="360"/>
      <c r="F39" s="360"/>
      <c r="G39" s="361"/>
      <c r="H39" s="360"/>
      <c r="I39" s="314"/>
      <c r="J39" s="250">
        <f>SUMPRODUCT(J7:J35,D7:D35)</f>
        <v>4.482918115676543E-2</v>
      </c>
      <c r="K39" s="251"/>
      <c r="L39" s="252"/>
      <c r="M39" s="251"/>
      <c r="N39" s="251"/>
      <c r="O39" s="251"/>
      <c r="P39" s="251"/>
      <c r="Q39" s="251"/>
      <c r="R39" s="251"/>
      <c r="S39" s="251"/>
      <c r="T39" s="253">
        <f>EXP(J39)</f>
        <v>1.0458491938998911</v>
      </c>
      <c r="U39" s="187" t="s">
        <v>551</v>
      </c>
    </row>
    <row r="40" spans="1:21" ht="12.75" x14ac:dyDescent="0.2">
      <c r="D40" s="189"/>
      <c r="E40" s="197"/>
      <c r="F40" s="197"/>
      <c r="G40" s="189"/>
      <c r="I40" s="312"/>
      <c r="J40" s="313"/>
      <c r="U40" s="187" t="s">
        <v>586</v>
      </c>
    </row>
    <row r="41" spans="1:21" ht="12.75" x14ac:dyDescent="0.2">
      <c r="D41" s="189"/>
      <c r="E41" s="197"/>
      <c r="F41" s="197"/>
      <c r="I41" s="314"/>
      <c r="J41" s="315"/>
    </row>
    <row r="42" spans="1:21" ht="12.75" x14ac:dyDescent="0.2">
      <c r="D42" s="189"/>
      <c r="I42" s="312"/>
      <c r="J42" s="313"/>
    </row>
    <row r="43" spans="1:21" ht="12.75" x14ac:dyDescent="0.2">
      <c r="D43" s="189"/>
      <c r="I43" s="312"/>
      <c r="J43" s="313"/>
    </row>
    <row r="44" spans="1:21" ht="12.75" x14ac:dyDescent="0.2">
      <c r="D44" s="189"/>
    </row>
    <row r="45" spans="1:21" ht="12.75" x14ac:dyDescent="0.2">
      <c r="D45" s="189"/>
    </row>
    <row r="57" spans="2:2" x14ac:dyDescent="0.25">
      <c r="B57" s="189"/>
    </row>
    <row r="61" spans="2:2" x14ac:dyDescent="0.25">
      <c r="B61" s="203"/>
    </row>
  </sheetData>
  <mergeCells count="2">
    <mergeCell ref="A2:I2"/>
    <mergeCell ref="E4:I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7"/>
  <sheetViews>
    <sheetView workbookViewId="0">
      <selection activeCell="C61" sqref="C61"/>
    </sheetView>
  </sheetViews>
  <sheetFormatPr baseColWidth="10" defaultColWidth="9.109375" defaultRowHeight="14.4" x14ac:dyDescent="0.3"/>
  <cols>
    <col min="1" max="16384" width="9.109375" style="149"/>
  </cols>
  <sheetData>
    <row r="1" spans="1:40" ht="15" x14ac:dyDescent="0.25">
      <c r="A1" s="149" t="s">
        <v>352</v>
      </c>
    </row>
    <row r="2" spans="1:40" ht="15" x14ac:dyDescent="0.25">
      <c r="A2" s="149" t="s">
        <v>290</v>
      </c>
    </row>
    <row r="3" spans="1:40" ht="15" x14ac:dyDescent="0.25">
      <c r="A3" s="149" t="s">
        <v>353</v>
      </c>
    </row>
    <row r="4" spans="1:40" ht="15" x14ac:dyDescent="0.25">
      <c r="A4" s="149" t="s">
        <v>292</v>
      </c>
    </row>
    <row r="6" spans="1:40" ht="15" x14ac:dyDescent="0.25">
      <c r="B6" s="149" t="s">
        <v>354</v>
      </c>
    </row>
    <row r="7" spans="1:40" ht="15" x14ac:dyDescent="0.25">
      <c r="B7" s="149" t="s">
        <v>355</v>
      </c>
    </row>
    <row r="8" spans="1:40" ht="15" x14ac:dyDescent="0.25">
      <c r="A8" s="149" t="s">
        <v>356</v>
      </c>
      <c r="B8" s="149">
        <v>1981</v>
      </c>
      <c r="C8" s="149">
        <v>1982</v>
      </c>
      <c r="D8" s="149">
        <v>1983</v>
      </c>
      <c r="E8" s="149">
        <v>1984</v>
      </c>
      <c r="F8" s="149">
        <v>1985</v>
      </c>
      <c r="G8" s="149">
        <v>1986</v>
      </c>
      <c r="H8" s="149">
        <v>1987</v>
      </c>
      <c r="I8" s="149">
        <v>1988</v>
      </c>
      <c r="J8" s="149">
        <v>1989</v>
      </c>
      <c r="K8" s="149">
        <v>1990</v>
      </c>
      <c r="L8" s="149">
        <v>1991</v>
      </c>
      <c r="M8" s="149">
        <v>1992</v>
      </c>
      <c r="N8" s="149">
        <v>1993</v>
      </c>
      <c r="O8" s="149">
        <v>1994</v>
      </c>
      <c r="P8" s="149">
        <v>1995</v>
      </c>
      <c r="Q8" s="149">
        <v>1996</v>
      </c>
      <c r="R8" s="149">
        <v>1997</v>
      </c>
      <c r="S8" s="149">
        <v>1998</v>
      </c>
      <c r="T8" s="149">
        <v>1999</v>
      </c>
      <c r="U8" s="149">
        <v>2000</v>
      </c>
      <c r="V8" s="149">
        <v>2001</v>
      </c>
      <c r="W8" s="149">
        <v>2002</v>
      </c>
      <c r="X8" s="149">
        <v>2003</v>
      </c>
      <c r="Y8" s="149">
        <v>2004</v>
      </c>
      <c r="Z8" s="149">
        <v>2005</v>
      </c>
      <c r="AA8" s="149">
        <v>2006</v>
      </c>
      <c r="AB8" s="149">
        <v>2007</v>
      </c>
      <c r="AC8" s="149">
        <v>2008</v>
      </c>
      <c r="AD8" s="149">
        <v>2009</v>
      </c>
      <c r="AE8" s="149">
        <v>2010</v>
      </c>
      <c r="AF8" s="149">
        <v>2011</v>
      </c>
      <c r="AG8" s="149">
        <v>2012</v>
      </c>
      <c r="AH8" s="149">
        <v>2013</v>
      </c>
      <c r="AI8" s="149">
        <v>2014</v>
      </c>
      <c r="AJ8" s="149">
        <v>2015</v>
      </c>
      <c r="AK8" s="149">
        <v>2016</v>
      </c>
      <c r="AL8" s="149">
        <v>2017</v>
      </c>
      <c r="AM8" s="149">
        <v>2018</v>
      </c>
      <c r="AN8" s="149">
        <v>2019</v>
      </c>
    </row>
    <row r="9" spans="1:40" ht="15" x14ac:dyDescent="0.25">
      <c r="B9" s="149" t="s">
        <v>357</v>
      </c>
    </row>
    <row r="10" spans="1:40" ht="15" x14ac:dyDescent="0.25">
      <c r="A10" s="149" t="s">
        <v>358</v>
      </c>
      <c r="B10" s="149">
        <v>43.6</v>
      </c>
      <c r="C10" s="149">
        <v>47.8</v>
      </c>
      <c r="D10" s="149">
        <v>50.5</v>
      </c>
      <c r="E10" s="149">
        <v>52.6</v>
      </c>
      <c r="F10" s="149">
        <v>54.5</v>
      </c>
      <c r="G10" s="149">
        <v>56.7</v>
      </c>
      <c r="H10" s="149">
        <v>59</v>
      </c>
      <c r="I10" s="149">
        <v>61.3</v>
      </c>
      <c r="J10" s="149">
        <v>64</v>
      </c>
      <c r="K10" s="149">
        <v>66.5</v>
      </c>
      <c r="L10" s="149">
        <v>68.7</v>
      </c>
      <c r="M10" s="149">
        <v>70</v>
      </c>
      <c r="N10" s="149">
        <v>71.3</v>
      </c>
      <c r="O10" s="149">
        <v>72.5</v>
      </c>
      <c r="P10" s="149">
        <v>73.3</v>
      </c>
      <c r="Q10" s="149">
        <v>74.2</v>
      </c>
      <c r="R10" s="149">
        <v>75.3</v>
      </c>
      <c r="S10" s="149">
        <v>76.400000000000006</v>
      </c>
      <c r="T10" s="149">
        <v>77.5</v>
      </c>
      <c r="U10" s="149">
        <v>79.5</v>
      </c>
      <c r="V10" s="149">
        <v>81.099999999999994</v>
      </c>
      <c r="W10" s="149">
        <v>82.9</v>
      </c>
      <c r="X10" s="149">
        <v>84.3</v>
      </c>
      <c r="Y10" s="149">
        <v>85.8</v>
      </c>
      <c r="Z10" s="149">
        <v>87.6</v>
      </c>
      <c r="AA10" s="149">
        <v>89.6</v>
      </c>
      <c r="AB10" s="149">
        <v>91.8</v>
      </c>
      <c r="AC10" s="149">
        <v>94.1</v>
      </c>
      <c r="AD10" s="149">
        <v>95.1</v>
      </c>
      <c r="AE10" s="149">
        <v>96.1</v>
      </c>
      <c r="AF10" s="149">
        <v>98.4</v>
      </c>
      <c r="AG10" s="149">
        <v>100</v>
      </c>
      <c r="AH10" s="149">
        <v>101.7</v>
      </c>
      <c r="AI10" s="149">
        <v>104.1</v>
      </c>
      <c r="AJ10" s="149">
        <v>105.7</v>
      </c>
      <c r="AK10" s="149">
        <v>106.8</v>
      </c>
      <c r="AL10" s="149">
        <v>108.3</v>
      </c>
      <c r="AM10" s="149">
        <v>110</v>
      </c>
      <c r="AN10" s="149">
        <v>112</v>
      </c>
    </row>
    <row r="12" spans="1:40" ht="15" x14ac:dyDescent="0.25">
      <c r="A12" s="149" t="s">
        <v>301</v>
      </c>
    </row>
    <row r="14" spans="1:40" ht="15" x14ac:dyDescent="0.25">
      <c r="A14" s="149" t="s">
        <v>302</v>
      </c>
    </row>
    <row r="15" spans="1:40" ht="15" x14ac:dyDescent="0.25">
      <c r="A15" s="149">
        <v>1</v>
      </c>
      <c r="B15" s="149" t="s">
        <v>359</v>
      </c>
    </row>
    <row r="17" spans="1:16" ht="15" x14ac:dyDescent="0.25">
      <c r="A17" s="149" t="s">
        <v>360</v>
      </c>
    </row>
    <row r="18" spans="1:16" ht="15" x14ac:dyDescent="0.25">
      <c r="A18" s="149" t="s">
        <v>361</v>
      </c>
    </row>
    <row r="19" spans="1:16" ht="15" x14ac:dyDescent="0.25">
      <c r="A19" s="149" t="s">
        <v>362</v>
      </c>
      <c r="N19" s="149">
        <v>1981</v>
      </c>
      <c r="P19" s="149">
        <v>43.6</v>
      </c>
    </row>
    <row r="20" spans="1:16" ht="15" x14ac:dyDescent="0.25">
      <c r="N20" s="149">
        <v>1982</v>
      </c>
      <c r="P20" s="149">
        <v>47.8</v>
      </c>
    </row>
    <row r="21" spans="1:16" ht="15" x14ac:dyDescent="0.25">
      <c r="A21" s="149" t="s">
        <v>363</v>
      </c>
      <c r="N21" s="149">
        <v>1983</v>
      </c>
      <c r="P21" s="149">
        <v>50.5</v>
      </c>
    </row>
    <row r="22" spans="1:16" ht="15" x14ac:dyDescent="0.25">
      <c r="N22" s="149">
        <v>1984</v>
      </c>
      <c r="P22" s="149">
        <v>52.6</v>
      </c>
    </row>
    <row r="23" spans="1:16" ht="15" x14ac:dyDescent="0.25">
      <c r="N23" s="149">
        <v>1985</v>
      </c>
      <c r="P23" s="149">
        <v>54.5</v>
      </c>
    </row>
    <row r="24" spans="1:16" ht="15" x14ac:dyDescent="0.25">
      <c r="N24" s="149">
        <v>1986</v>
      </c>
      <c r="P24" s="149">
        <v>56.7</v>
      </c>
    </row>
    <row r="25" spans="1:16" ht="15" x14ac:dyDescent="0.25">
      <c r="N25" s="149">
        <v>1987</v>
      </c>
      <c r="P25" s="149">
        <v>59</v>
      </c>
    </row>
    <row r="26" spans="1:16" ht="15" x14ac:dyDescent="0.25">
      <c r="N26" s="149">
        <v>1988</v>
      </c>
      <c r="P26" s="149">
        <v>61.3</v>
      </c>
    </row>
    <row r="27" spans="1:16" ht="15" x14ac:dyDescent="0.25">
      <c r="N27" s="149">
        <v>1989</v>
      </c>
      <c r="P27" s="149">
        <v>64</v>
      </c>
    </row>
    <row r="28" spans="1:16" ht="15" x14ac:dyDescent="0.25">
      <c r="N28" s="149">
        <v>1990</v>
      </c>
      <c r="P28" s="149">
        <v>66.5</v>
      </c>
    </row>
    <row r="29" spans="1:16" ht="15" x14ac:dyDescent="0.25">
      <c r="N29" s="149">
        <v>1991</v>
      </c>
      <c r="P29" s="149">
        <v>68.7</v>
      </c>
    </row>
    <row r="30" spans="1:16" ht="15" x14ac:dyDescent="0.25">
      <c r="N30" s="149">
        <v>1992</v>
      </c>
      <c r="P30" s="149">
        <v>70</v>
      </c>
    </row>
    <row r="31" spans="1:16" ht="15" x14ac:dyDescent="0.25">
      <c r="N31" s="149">
        <v>1993</v>
      </c>
      <c r="P31" s="149">
        <v>71.3</v>
      </c>
    </row>
    <row r="32" spans="1:16" ht="15" x14ac:dyDescent="0.25">
      <c r="N32" s="149">
        <v>1994</v>
      </c>
      <c r="P32" s="149">
        <v>72.5</v>
      </c>
    </row>
    <row r="33" spans="14:16" ht="15" x14ac:dyDescent="0.25">
      <c r="N33" s="149">
        <v>1995</v>
      </c>
      <c r="P33" s="149">
        <v>73.3</v>
      </c>
    </row>
    <row r="34" spans="14:16" ht="15" x14ac:dyDescent="0.25">
      <c r="N34" s="149">
        <v>1996</v>
      </c>
      <c r="P34" s="149">
        <v>74.2</v>
      </c>
    </row>
    <row r="35" spans="14:16" ht="15" x14ac:dyDescent="0.25">
      <c r="N35" s="149">
        <v>1997</v>
      </c>
      <c r="P35" s="149">
        <v>75.3</v>
      </c>
    </row>
    <row r="36" spans="14:16" ht="15" x14ac:dyDescent="0.25">
      <c r="N36" s="149">
        <v>1998</v>
      </c>
      <c r="P36" s="149">
        <v>76.400000000000006</v>
      </c>
    </row>
    <row r="37" spans="14:16" ht="15" x14ac:dyDescent="0.25">
      <c r="N37" s="149">
        <v>1999</v>
      </c>
      <c r="P37" s="149">
        <v>77.5</v>
      </c>
    </row>
    <row r="38" spans="14:16" ht="15" x14ac:dyDescent="0.25">
      <c r="N38" s="149">
        <v>2000</v>
      </c>
      <c r="P38" s="149">
        <v>79.5</v>
      </c>
    </row>
    <row r="39" spans="14:16" ht="15" x14ac:dyDescent="0.25">
      <c r="N39" s="149">
        <v>2001</v>
      </c>
      <c r="P39" s="149">
        <v>81.099999999999994</v>
      </c>
    </row>
    <row r="40" spans="14:16" ht="15" x14ac:dyDescent="0.25">
      <c r="N40" s="149">
        <v>2002</v>
      </c>
      <c r="P40" s="149">
        <v>82.9</v>
      </c>
    </row>
    <row r="41" spans="14:16" ht="15" x14ac:dyDescent="0.25">
      <c r="N41" s="149">
        <v>2003</v>
      </c>
      <c r="P41" s="149">
        <v>84.3</v>
      </c>
    </row>
    <row r="42" spans="14:16" ht="15" x14ac:dyDescent="0.25">
      <c r="N42" s="149">
        <v>2004</v>
      </c>
      <c r="P42" s="149">
        <v>85.8</v>
      </c>
    </row>
    <row r="43" spans="14:16" x14ac:dyDescent="0.3">
      <c r="N43" s="149">
        <v>2005</v>
      </c>
      <c r="P43" s="149">
        <v>87.6</v>
      </c>
    </row>
    <row r="44" spans="14:16" x14ac:dyDescent="0.3">
      <c r="N44" s="149">
        <v>2006</v>
      </c>
      <c r="P44" s="149">
        <v>89.6</v>
      </c>
    </row>
    <row r="45" spans="14:16" x14ac:dyDescent="0.3">
      <c r="N45" s="149">
        <v>2007</v>
      </c>
      <c r="P45" s="149">
        <v>91.8</v>
      </c>
    </row>
    <row r="46" spans="14:16" x14ac:dyDescent="0.3">
      <c r="N46" s="149">
        <v>2008</v>
      </c>
      <c r="P46" s="149">
        <v>94.1</v>
      </c>
    </row>
    <row r="47" spans="14:16" x14ac:dyDescent="0.3">
      <c r="N47" s="149">
        <v>2009</v>
      </c>
      <c r="P47" s="149">
        <v>95.1</v>
      </c>
    </row>
    <row r="48" spans="14:16" x14ac:dyDescent="0.3">
      <c r="N48" s="149">
        <v>2010</v>
      </c>
      <c r="P48" s="149">
        <v>96.1</v>
      </c>
    </row>
    <row r="49" spans="14:16" x14ac:dyDescent="0.3">
      <c r="N49" s="149">
        <v>2011</v>
      </c>
      <c r="P49" s="149">
        <v>98.4</v>
      </c>
    </row>
    <row r="50" spans="14:16" x14ac:dyDescent="0.3">
      <c r="N50" s="149">
        <v>2012</v>
      </c>
      <c r="P50" s="149">
        <v>100</v>
      </c>
    </row>
    <row r="51" spans="14:16" x14ac:dyDescent="0.3">
      <c r="N51" s="149">
        <v>2013</v>
      </c>
      <c r="P51" s="149">
        <v>101.7</v>
      </c>
    </row>
    <row r="52" spans="14:16" x14ac:dyDescent="0.3">
      <c r="N52" s="149">
        <v>2014</v>
      </c>
      <c r="P52" s="149">
        <v>104.1</v>
      </c>
    </row>
    <row r="53" spans="14:16" x14ac:dyDescent="0.3">
      <c r="N53" s="149">
        <v>2015</v>
      </c>
      <c r="P53" s="149">
        <v>105.7</v>
      </c>
    </row>
    <row r="54" spans="14:16" x14ac:dyDescent="0.3">
      <c r="N54" s="149">
        <v>2016</v>
      </c>
      <c r="P54" s="149">
        <v>106.8</v>
      </c>
    </row>
    <row r="55" spans="14:16" x14ac:dyDescent="0.3">
      <c r="N55" s="149">
        <v>2017</v>
      </c>
      <c r="P55" s="149">
        <v>108.3</v>
      </c>
    </row>
    <row r="56" spans="14:16" x14ac:dyDescent="0.3">
      <c r="N56" s="149">
        <v>2018</v>
      </c>
      <c r="P56" s="149">
        <v>110</v>
      </c>
    </row>
    <row r="57" spans="14:16" x14ac:dyDescent="0.3">
      <c r="N57" s="149">
        <v>2019</v>
      </c>
      <c r="P57" s="149">
        <v>112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workbookViewId="0">
      <selection activeCell="C13" sqref="C13"/>
    </sheetView>
  </sheetViews>
  <sheetFormatPr baseColWidth="10" defaultColWidth="9.109375" defaultRowHeight="14.4" x14ac:dyDescent="0.3"/>
  <cols>
    <col min="1" max="16384" width="9.109375" style="149"/>
  </cols>
  <sheetData>
    <row r="1" spans="1:2" ht="15" x14ac:dyDescent="0.25">
      <c r="A1" s="149" t="s">
        <v>372</v>
      </c>
    </row>
    <row r="2" spans="1:2" ht="15" x14ac:dyDescent="0.25">
      <c r="A2" s="149" t="s">
        <v>290</v>
      </c>
    </row>
    <row r="3" spans="1:2" ht="15" x14ac:dyDescent="0.25">
      <c r="A3" s="149" t="s">
        <v>373</v>
      </c>
    </row>
    <row r="4" spans="1:2" ht="15" x14ac:dyDescent="0.25">
      <c r="A4" s="149" t="s">
        <v>292</v>
      </c>
    </row>
    <row r="6" spans="1:2" ht="15" x14ac:dyDescent="0.25">
      <c r="B6" s="149" t="s">
        <v>293</v>
      </c>
    </row>
    <row r="7" spans="1:2" ht="15" x14ac:dyDescent="0.25">
      <c r="B7" s="149" t="s">
        <v>374</v>
      </c>
    </row>
    <row r="8" spans="1:2" ht="15" x14ac:dyDescent="0.25">
      <c r="B8" s="149" t="s">
        <v>375</v>
      </c>
    </row>
    <row r="9" spans="1:2" ht="15" x14ac:dyDescent="0.25">
      <c r="B9" s="149" t="s">
        <v>376</v>
      </c>
    </row>
    <row r="10" spans="1:2" ht="15" x14ac:dyDescent="0.25">
      <c r="B10" s="149" t="s">
        <v>377</v>
      </c>
    </row>
    <row r="11" spans="1:2" ht="15" x14ac:dyDescent="0.25">
      <c r="A11" s="149" t="s">
        <v>378</v>
      </c>
      <c r="B11" s="149" t="s">
        <v>379</v>
      </c>
    </row>
    <row r="12" spans="1:2" ht="15" x14ac:dyDescent="0.25">
      <c r="B12" s="149" t="s">
        <v>364</v>
      </c>
    </row>
    <row r="13" spans="1:2" ht="15" x14ac:dyDescent="0.25">
      <c r="A13" s="149">
        <v>1997</v>
      </c>
      <c r="B13" s="149">
        <v>15.31</v>
      </c>
    </row>
    <row r="14" spans="1:2" ht="15" x14ac:dyDescent="0.25">
      <c r="A14" s="149">
        <v>1998</v>
      </c>
      <c r="B14" s="149">
        <v>15.49</v>
      </c>
    </row>
    <row r="15" spans="1:2" ht="15" x14ac:dyDescent="0.25">
      <c r="A15" s="149">
        <v>1999</v>
      </c>
      <c r="B15" s="149">
        <v>15.73</v>
      </c>
    </row>
    <row r="16" spans="1:2" ht="15" x14ac:dyDescent="0.25">
      <c r="A16" s="149">
        <v>2000</v>
      </c>
      <c r="B16" s="149">
        <v>16.079999999999998</v>
      </c>
    </row>
    <row r="17" spans="1:2" ht="15" x14ac:dyDescent="0.25">
      <c r="A17" s="149">
        <v>2001</v>
      </c>
      <c r="B17" s="149">
        <v>16.63</v>
      </c>
    </row>
    <row r="18" spans="1:2" ht="15" x14ac:dyDescent="0.25">
      <c r="A18" s="149">
        <v>2002</v>
      </c>
      <c r="B18" s="149">
        <v>16.97</v>
      </c>
    </row>
    <row r="19" spans="1:2" ht="15" x14ac:dyDescent="0.25">
      <c r="A19" s="149">
        <v>2003</v>
      </c>
      <c r="B19" s="149">
        <v>17.420000000000002</v>
      </c>
    </row>
    <row r="20" spans="1:2" ht="15" x14ac:dyDescent="0.25">
      <c r="A20" s="149">
        <v>2004</v>
      </c>
      <c r="B20" s="149">
        <v>17.989999999999998</v>
      </c>
    </row>
    <row r="21" spans="1:2" ht="15" x14ac:dyDescent="0.25">
      <c r="A21" s="149">
        <v>2005</v>
      </c>
      <c r="B21" s="149">
        <v>18.43</v>
      </c>
    </row>
    <row r="22" spans="1:2" ht="15" x14ac:dyDescent="0.25">
      <c r="A22" s="149">
        <v>2006</v>
      </c>
      <c r="B22" s="149">
        <v>18.84</v>
      </c>
    </row>
    <row r="23" spans="1:2" ht="15" x14ac:dyDescent="0.25">
      <c r="A23" s="149">
        <v>2007</v>
      </c>
      <c r="B23" s="149">
        <v>19.32</v>
      </c>
    </row>
    <row r="24" spans="1:2" ht="15" x14ac:dyDescent="0.25">
      <c r="A24" s="149">
        <v>2008</v>
      </c>
      <c r="B24" s="149">
        <v>19.96</v>
      </c>
    </row>
    <row r="25" spans="1:2" ht="15" x14ac:dyDescent="0.25">
      <c r="A25" s="149">
        <v>2009</v>
      </c>
      <c r="B25" s="149">
        <v>20.74</v>
      </c>
    </row>
    <row r="26" spans="1:2" ht="15" x14ac:dyDescent="0.25">
      <c r="A26" s="149">
        <v>2010</v>
      </c>
      <c r="B26" s="149">
        <v>21.07</v>
      </c>
    </row>
    <row r="27" spans="1:2" ht="15" x14ac:dyDescent="0.25">
      <c r="A27" s="149">
        <v>2011</v>
      </c>
      <c r="B27" s="149">
        <v>21.39</v>
      </c>
    </row>
    <row r="28" spans="1:2" ht="15" x14ac:dyDescent="0.25">
      <c r="A28" s="149">
        <v>2012</v>
      </c>
      <c r="B28" s="149">
        <v>22.06</v>
      </c>
    </row>
    <row r="29" spans="1:2" ht="15" x14ac:dyDescent="0.25">
      <c r="A29" s="149">
        <v>2013</v>
      </c>
      <c r="B29" s="149">
        <v>22.44</v>
      </c>
    </row>
    <row r="30" spans="1:2" ht="15" x14ac:dyDescent="0.25">
      <c r="A30" s="149">
        <v>2014</v>
      </c>
      <c r="B30" s="149">
        <v>23.06</v>
      </c>
    </row>
    <row r="31" spans="1:2" ht="15" x14ac:dyDescent="0.25">
      <c r="A31" s="149">
        <v>2015</v>
      </c>
      <c r="B31" s="149">
        <v>23.56</v>
      </c>
    </row>
    <row r="32" spans="1:2" ht="15" x14ac:dyDescent="0.25">
      <c r="A32" s="149">
        <v>2016</v>
      </c>
      <c r="B32" s="149">
        <v>24.23</v>
      </c>
    </row>
    <row r="33" spans="1:2" ht="15" x14ac:dyDescent="0.25">
      <c r="A33" s="149">
        <v>2017</v>
      </c>
      <c r="B33" s="149">
        <v>24.94</v>
      </c>
    </row>
    <row r="34" spans="1:2" ht="15" x14ac:dyDescent="0.25">
      <c r="A34" s="149">
        <v>2018</v>
      </c>
      <c r="B34" s="149">
        <v>25.42</v>
      </c>
    </row>
    <row r="35" spans="1:2" ht="15" x14ac:dyDescent="0.25">
      <c r="A35" s="149">
        <v>2019</v>
      </c>
      <c r="B35" s="149">
        <v>26.65</v>
      </c>
    </row>
    <row r="36" spans="1:2" ht="15" x14ac:dyDescent="0.25">
      <c r="A36" s="149">
        <v>2020</v>
      </c>
      <c r="B36" s="149">
        <v>28.27</v>
      </c>
    </row>
    <row r="38" spans="1:2" ht="15" x14ac:dyDescent="0.25">
      <c r="A38" s="149" t="s">
        <v>301</v>
      </c>
    </row>
    <row r="40" spans="1:2" ht="15" x14ac:dyDescent="0.25">
      <c r="A40" s="149" t="s">
        <v>380</v>
      </c>
    </row>
    <row r="41" spans="1:2" ht="15" x14ac:dyDescent="0.25">
      <c r="A41" s="149" t="s">
        <v>381</v>
      </c>
      <c r="B41" s="149" t="s">
        <v>382</v>
      </c>
    </row>
    <row r="42" spans="1:2" ht="15" x14ac:dyDescent="0.25">
      <c r="A42" s="149" t="s">
        <v>383</v>
      </c>
      <c r="B42" s="149" t="s">
        <v>384</v>
      </c>
    </row>
    <row r="44" spans="1:2" x14ac:dyDescent="0.3">
      <c r="A44" s="149" t="s">
        <v>302</v>
      </c>
    </row>
    <row r="45" spans="1:2" x14ac:dyDescent="0.3">
      <c r="A45" s="149">
        <v>1</v>
      </c>
      <c r="B45" s="149" t="s">
        <v>385</v>
      </c>
    </row>
    <row r="46" spans="1:2" x14ac:dyDescent="0.3">
      <c r="A46" s="149">
        <v>2</v>
      </c>
      <c r="B46" s="149" t="s">
        <v>386</v>
      </c>
    </row>
    <row r="47" spans="1:2" x14ac:dyDescent="0.3">
      <c r="A47" s="149">
        <v>3</v>
      </c>
      <c r="B47" s="149" t="s">
        <v>387</v>
      </c>
    </row>
    <row r="48" spans="1:2" x14ac:dyDescent="0.3">
      <c r="A48" s="149">
        <v>4</v>
      </c>
      <c r="B48" s="149" t="s">
        <v>388</v>
      </c>
    </row>
    <row r="49" spans="1:2" x14ac:dyDescent="0.3">
      <c r="A49" s="149">
        <v>5</v>
      </c>
      <c r="B49" s="149" t="s">
        <v>389</v>
      </c>
    </row>
    <row r="50" spans="1:2" x14ac:dyDescent="0.3">
      <c r="A50" s="149">
        <v>6</v>
      </c>
      <c r="B50" s="149" t="s">
        <v>390</v>
      </c>
    </row>
    <row r="51" spans="1:2" x14ac:dyDescent="0.3">
      <c r="A51" s="149">
        <v>7</v>
      </c>
      <c r="B51" s="149" t="s">
        <v>391</v>
      </c>
    </row>
    <row r="52" spans="1:2" x14ac:dyDescent="0.3">
      <c r="A52" s="149">
        <v>8</v>
      </c>
      <c r="B52" s="149" t="s">
        <v>392</v>
      </c>
    </row>
    <row r="54" spans="1:2" x14ac:dyDescent="0.3">
      <c r="A54" s="149" t="s">
        <v>393</v>
      </c>
    </row>
    <row r="55" spans="1:2" x14ac:dyDescent="0.3">
      <c r="A55" s="149" t="s">
        <v>394</v>
      </c>
    </row>
    <row r="56" spans="1:2" x14ac:dyDescent="0.3">
      <c r="A56" s="149" t="s">
        <v>395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8"/>
  <sheetViews>
    <sheetView showGridLines="0" topLeftCell="AJ2" workbookViewId="0">
      <selection activeCell="BL5" sqref="BL5"/>
    </sheetView>
  </sheetViews>
  <sheetFormatPr baseColWidth="10" defaultColWidth="9.109375" defaultRowHeight="13.2" x14ac:dyDescent="0.25"/>
  <cols>
    <col min="1" max="2" width="27.44140625" style="239" customWidth="1"/>
    <col min="3" max="3" width="2.44140625" style="239" customWidth="1"/>
    <col min="4" max="16384" width="9.109375" style="239"/>
  </cols>
  <sheetData>
    <row r="1" spans="1:64" ht="12.75" hidden="1" x14ac:dyDescent="0.2">
      <c r="A1" s="238" t="e">
        <f ca="1">DotStatQuery(B1)</f>
        <v>#NAME?</v>
      </c>
      <c r="B1" s="238" t="s">
        <v>475</v>
      </c>
    </row>
    <row r="2" spans="1:64" ht="23.25" x14ac:dyDescent="0.2">
      <c r="A2" s="240" t="s">
        <v>476</v>
      </c>
    </row>
    <row r="3" spans="1:64" ht="12.75" x14ac:dyDescent="0.2">
      <c r="A3" s="390" t="s">
        <v>477</v>
      </c>
      <c r="B3" s="391"/>
      <c r="C3" s="392"/>
      <c r="D3" s="393" t="s">
        <v>478</v>
      </c>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c r="AL3" s="394"/>
      <c r="AM3" s="394"/>
      <c r="AN3" s="394"/>
      <c r="AO3" s="394"/>
      <c r="AP3" s="394"/>
      <c r="AQ3" s="394"/>
      <c r="AR3" s="394"/>
      <c r="AS3" s="394"/>
      <c r="AT3" s="394"/>
      <c r="AU3" s="394"/>
      <c r="AV3" s="394"/>
      <c r="AW3" s="394"/>
      <c r="AX3" s="394"/>
      <c r="AY3" s="394"/>
      <c r="AZ3" s="394"/>
      <c r="BA3" s="394"/>
      <c r="BB3" s="394"/>
      <c r="BC3" s="394"/>
      <c r="BD3" s="394"/>
      <c r="BE3" s="394"/>
      <c r="BF3" s="394"/>
      <c r="BG3" s="394"/>
      <c r="BH3" s="394"/>
      <c r="BI3" s="394"/>
      <c r="BJ3" s="394"/>
      <c r="BK3" s="394"/>
      <c r="BL3" s="395"/>
    </row>
    <row r="4" spans="1:64" ht="12.75" x14ac:dyDescent="0.2">
      <c r="A4" s="390" t="s">
        <v>479</v>
      </c>
      <c r="B4" s="391"/>
      <c r="C4" s="392"/>
      <c r="D4" s="393" t="s">
        <v>480</v>
      </c>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c r="AR4" s="394"/>
      <c r="AS4" s="394"/>
      <c r="AT4" s="394"/>
      <c r="AU4" s="394"/>
      <c r="AV4" s="394"/>
      <c r="AW4" s="394"/>
      <c r="AX4" s="394"/>
      <c r="AY4" s="394"/>
      <c r="AZ4" s="394"/>
      <c r="BA4" s="394"/>
      <c r="BB4" s="394"/>
      <c r="BC4" s="394"/>
      <c r="BD4" s="394"/>
      <c r="BE4" s="394"/>
      <c r="BF4" s="394"/>
      <c r="BG4" s="394"/>
      <c r="BH4" s="394"/>
      <c r="BI4" s="394"/>
      <c r="BJ4" s="394"/>
      <c r="BK4" s="394"/>
      <c r="BL4" s="395"/>
    </row>
    <row r="5" spans="1:64" ht="12.75" x14ac:dyDescent="0.2">
      <c r="A5" s="396" t="s">
        <v>80</v>
      </c>
      <c r="B5" s="397"/>
      <c r="C5" s="398"/>
      <c r="D5" s="241" t="s">
        <v>481</v>
      </c>
      <c r="E5" s="241" t="s">
        <v>482</v>
      </c>
      <c r="F5" s="241" t="s">
        <v>483</v>
      </c>
      <c r="G5" s="241" t="s">
        <v>484</v>
      </c>
      <c r="H5" s="241" t="s">
        <v>485</v>
      </c>
      <c r="I5" s="241" t="s">
        <v>486</v>
      </c>
      <c r="J5" s="241" t="s">
        <v>487</v>
      </c>
      <c r="K5" s="241" t="s">
        <v>488</v>
      </c>
      <c r="L5" s="241" t="s">
        <v>489</v>
      </c>
      <c r="M5" s="241" t="s">
        <v>490</v>
      </c>
      <c r="N5" s="241" t="s">
        <v>491</v>
      </c>
      <c r="O5" s="241" t="s">
        <v>492</v>
      </c>
      <c r="P5" s="241" t="s">
        <v>493</v>
      </c>
      <c r="Q5" s="241" t="s">
        <v>494</v>
      </c>
      <c r="R5" s="241" t="s">
        <v>495</v>
      </c>
      <c r="S5" s="241" t="s">
        <v>496</v>
      </c>
      <c r="T5" s="241" t="s">
        <v>497</v>
      </c>
      <c r="U5" s="241" t="s">
        <v>498</v>
      </c>
      <c r="V5" s="241" t="s">
        <v>499</v>
      </c>
      <c r="W5" s="241" t="s">
        <v>500</v>
      </c>
      <c r="X5" s="241" t="s">
        <v>501</v>
      </c>
      <c r="Y5" s="241" t="s">
        <v>502</v>
      </c>
      <c r="Z5" s="241" t="s">
        <v>503</v>
      </c>
      <c r="AA5" s="241" t="s">
        <v>504</v>
      </c>
      <c r="AB5" s="241" t="s">
        <v>505</v>
      </c>
      <c r="AC5" s="241" t="s">
        <v>506</v>
      </c>
      <c r="AD5" s="241" t="s">
        <v>507</v>
      </c>
      <c r="AE5" s="241" t="s">
        <v>508</v>
      </c>
      <c r="AF5" s="241" t="s">
        <v>509</v>
      </c>
      <c r="AG5" s="241" t="s">
        <v>510</v>
      </c>
      <c r="AH5" s="241" t="s">
        <v>511</v>
      </c>
      <c r="AI5" s="241" t="s">
        <v>512</v>
      </c>
      <c r="AJ5" s="241" t="s">
        <v>513</v>
      </c>
      <c r="AK5" s="241" t="s">
        <v>514</v>
      </c>
      <c r="AL5" s="241" t="s">
        <v>515</v>
      </c>
      <c r="AM5" s="241" t="s">
        <v>516</v>
      </c>
      <c r="AN5" s="241" t="s">
        <v>517</v>
      </c>
      <c r="AO5" s="241" t="s">
        <v>518</v>
      </c>
      <c r="AP5" s="241" t="s">
        <v>519</v>
      </c>
      <c r="AQ5" s="241" t="s">
        <v>520</v>
      </c>
      <c r="AR5" s="241" t="s">
        <v>521</v>
      </c>
      <c r="AS5" s="241" t="s">
        <v>522</v>
      </c>
      <c r="AT5" s="241" t="s">
        <v>523</v>
      </c>
      <c r="AU5" s="241" t="s">
        <v>524</v>
      </c>
      <c r="AV5" s="241" t="s">
        <v>525</v>
      </c>
      <c r="AW5" s="241" t="s">
        <v>526</v>
      </c>
      <c r="AX5" s="241" t="s">
        <v>527</v>
      </c>
      <c r="AY5" s="241" t="s">
        <v>528</v>
      </c>
      <c r="AZ5" s="241" t="s">
        <v>529</v>
      </c>
      <c r="BA5" s="241" t="s">
        <v>530</v>
      </c>
      <c r="BB5" s="241" t="s">
        <v>531</v>
      </c>
      <c r="BC5" s="241" t="s">
        <v>532</v>
      </c>
      <c r="BD5" s="241" t="s">
        <v>533</v>
      </c>
      <c r="BE5" s="241" t="s">
        <v>534</v>
      </c>
      <c r="BF5" s="241" t="s">
        <v>535</v>
      </c>
      <c r="BG5" s="241" t="s">
        <v>536</v>
      </c>
      <c r="BH5" s="241" t="s">
        <v>537</v>
      </c>
      <c r="BI5" s="241" t="s">
        <v>538</v>
      </c>
      <c r="BJ5" s="241" t="s">
        <v>539</v>
      </c>
      <c r="BK5" s="241" t="s">
        <v>540</v>
      </c>
      <c r="BL5" s="241" t="s">
        <v>541</v>
      </c>
    </row>
    <row r="6" spans="1:64" ht="13.5" x14ac:dyDescent="0.25">
      <c r="A6" s="242" t="s">
        <v>542</v>
      </c>
      <c r="B6" s="242" t="s">
        <v>543</v>
      </c>
      <c r="C6" s="243" t="s">
        <v>544</v>
      </c>
      <c r="D6" s="243" t="s">
        <v>544</v>
      </c>
      <c r="E6" s="243" t="s">
        <v>544</v>
      </c>
      <c r="F6" s="243" t="s">
        <v>544</v>
      </c>
      <c r="G6" s="243" t="s">
        <v>544</v>
      </c>
      <c r="H6" s="243" t="s">
        <v>544</v>
      </c>
      <c r="I6" s="243" t="s">
        <v>544</v>
      </c>
      <c r="J6" s="243" t="s">
        <v>544</v>
      </c>
      <c r="K6" s="243" t="s">
        <v>544</v>
      </c>
      <c r="L6" s="243" t="s">
        <v>544</v>
      </c>
      <c r="M6" s="243" t="s">
        <v>544</v>
      </c>
      <c r="N6" s="243" t="s">
        <v>544</v>
      </c>
      <c r="O6" s="243" t="s">
        <v>544</v>
      </c>
      <c r="P6" s="243" t="s">
        <v>544</v>
      </c>
      <c r="Q6" s="243" t="s">
        <v>544</v>
      </c>
      <c r="R6" s="243" t="s">
        <v>544</v>
      </c>
      <c r="S6" s="243" t="s">
        <v>544</v>
      </c>
      <c r="T6" s="243" t="s">
        <v>544</v>
      </c>
      <c r="U6" s="243" t="s">
        <v>544</v>
      </c>
      <c r="V6" s="243" t="s">
        <v>544</v>
      </c>
      <c r="W6" s="243" t="s">
        <v>544</v>
      </c>
      <c r="X6" s="243" t="s">
        <v>544</v>
      </c>
      <c r="Y6" s="243" t="s">
        <v>544</v>
      </c>
      <c r="Z6" s="243" t="s">
        <v>544</v>
      </c>
      <c r="AA6" s="243" t="s">
        <v>544</v>
      </c>
      <c r="AB6" s="243" t="s">
        <v>544</v>
      </c>
      <c r="AC6" s="243" t="s">
        <v>544</v>
      </c>
      <c r="AD6" s="243" t="s">
        <v>544</v>
      </c>
      <c r="AE6" s="243" t="s">
        <v>544</v>
      </c>
      <c r="AF6" s="243" t="s">
        <v>544</v>
      </c>
      <c r="AG6" s="243" t="s">
        <v>544</v>
      </c>
      <c r="AH6" s="243" t="s">
        <v>544</v>
      </c>
      <c r="AI6" s="243" t="s">
        <v>544</v>
      </c>
      <c r="AJ6" s="243" t="s">
        <v>544</v>
      </c>
      <c r="AK6" s="243" t="s">
        <v>544</v>
      </c>
      <c r="AL6" s="243" t="s">
        <v>544</v>
      </c>
      <c r="AM6" s="243" t="s">
        <v>544</v>
      </c>
      <c r="AN6" s="243" t="s">
        <v>544</v>
      </c>
      <c r="AO6" s="243" t="s">
        <v>544</v>
      </c>
      <c r="AP6" s="243" t="s">
        <v>544</v>
      </c>
      <c r="AQ6" s="243" t="s">
        <v>544</v>
      </c>
      <c r="AR6" s="243" t="s">
        <v>544</v>
      </c>
      <c r="AS6" s="243" t="s">
        <v>544</v>
      </c>
      <c r="AT6" s="243" t="s">
        <v>544</v>
      </c>
      <c r="AU6" s="243" t="s">
        <v>544</v>
      </c>
      <c r="AV6" s="243" t="s">
        <v>544</v>
      </c>
      <c r="AW6" s="243" t="s">
        <v>544</v>
      </c>
      <c r="AX6" s="243" t="s">
        <v>544</v>
      </c>
      <c r="AY6" s="243" t="s">
        <v>544</v>
      </c>
      <c r="AZ6" s="243" t="s">
        <v>544</v>
      </c>
      <c r="BA6" s="243" t="s">
        <v>544</v>
      </c>
      <c r="BB6" s="243" t="s">
        <v>544</v>
      </c>
      <c r="BC6" s="243" t="s">
        <v>544</v>
      </c>
      <c r="BD6" s="243" t="s">
        <v>544</v>
      </c>
      <c r="BE6" s="243" t="s">
        <v>544</v>
      </c>
      <c r="BF6" s="243" t="s">
        <v>544</v>
      </c>
      <c r="BG6" s="243" t="s">
        <v>544</v>
      </c>
      <c r="BH6" s="243" t="s">
        <v>544</v>
      </c>
      <c r="BI6" s="243" t="s">
        <v>544</v>
      </c>
      <c r="BJ6" s="243" t="s">
        <v>544</v>
      </c>
      <c r="BK6" s="243" t="s">
        <v>544</v>
      </c>
      <c r="BL6" s="243" t="s">
        <v>544</v>
      </c>
    </row>
    <row r="7" spans="1:64" ht="13.5" x14ac:dyDescent="0.25">
      <c r="A7" s="244" t="s">
        <v>307</v>
      </c>
      <c r="B7" s="245" t="s">
        <v>545</v>
      </c>
      <c r="C7" s="243" t="s">
        <v>546</v>
      </c>
      <c r="D7" s="246">
        <v>0.95332399999999995</v>
      </c>
      <c r="E7" s="246">
        <v>0.94867000000000001</v>
      </c>
      <c r="F7" s="246">
        <v>0.94162599999999996</v>
      </c>
      <c r="G7" s="246">
        <v>0.94810700000000003</v>
      </c>
      <c r="H7" s="246">
        <v>0.957314</v>
      </c>
      <c r="I7" s="246">
        <v>0.96387400000000001</v>
      </c>
      <c r="J7" s="246">
        <v>0.97776399999999997</v>
      </c>
      <c r="K7" s="246">
        <v>0.99230399999999996</v>
      </c>
      <c r="L7" s="246">
        <v>0.98069799999999996</v>
      </c>
      <c r="M7" s="246">
        <v>0.97448000000000001</v>
      </c>
      <c r="N7" s="246">
        <v>0.93705499999999997</v>
      </c>
      <c r="O7" s="246">
        <v>0.93628500000000003</v>
      </c>
      <c r="P7" s="246">
        <v>0.94972000000000001</v>
      </c>
      <c r="Q7" s="246">
        <v>0.98707900000000004</v>
      </c>
      <c r="R7" s="246">
        <v>1.0430330000000001</v>
      </c>
      <c r="S7" s="246">
        <v>1.0581769999999999</v>
      </c>
      <c r="T7" s="246">
        <v>1.0960639999999999</v>
      </c>
      <c r="U7" s="246">
        <v>1.1021129999999999</v>
      </c>
      <c r="V7" s="246">
        <v>1.099866</v>
      </c>
      <c r="W7" s="246">
        <v>1.1173029999999999</v>
      </c>
      <c r="X7" s="246">
        <v>1.12581</v>
      </c>
      <c r="Y7" s="246">
        <v>1.1344289999999999</v>
      </c>
      <c r="Z7" s="246">
        <v>1.1629830000000001</v>
      </c>
      <c r="AA7" s="246">
        <v>1.1838820000000001</v>
      </c>
      <c r="AB7" s="246">
        <v>1.1830590000000001</v>
      </c>
      <c r="AC7" s="246">
        <v>1.1850799999999999</v>
      </c>
      <c r="AD7" s="246">
        <v>1.1977979999999999</v>
      </c>
      <c r="AE7" s="246">
        <v>1.2248950000000001</v>
      </c>
      <c r="AF7" s="246">
        <v>1.2368840000000001</v>
      </c>
      <c r="AG7" s="246">
        <v>1.2461880000000001</v>
      </c>
      <c r="AH7" s="246">
        <v>1.241965</v>
      </c>
      <c r="AI7" s="246">
        <v>1.2379979999999999</v>
      </c>
      <c r="AJ7" s="246">
        <v>1.2280979999999999</v>
      </c>
      <c r="AK7" s="246">
        <v>1.2151019999999999</v>
      </c>
      <c r="AL7" s="246">
        <v>1.2070099999999999</v>
      </c>
      <c r="AM7" s="246">
        <v>1.2088410000000001</v>
      </c>
      <c r="AN7" s="246">
        <v>1.207821</v>
      </c>
      <c r="AO7" s="246">
        <v>1.200974</v>
      </c>
      <c r="AP7" s="246">
        <v>1.1854480000000001</v>
      </c>
      <c r="AQ7" s="246">
        <v>1.1908099999999999</v>
      </c>
      <c r="AR7" s="246">
        <v>1.227563</v>
      </c>
      <c r="AS7" s="246">
        <v>1.221139</v>
      </c>
      <c r="AT7" s="246">
        <v>1.229333</v>
      </c>
      <c r="AU7" s="246">
        <v>1.2263379999999999</v>
      </c>
      <c r="AV7" s="246">
        <v>1.233195</v>
      </c>
      <c r="AW7" s="246">
        <v>1.2136439999999999</v>
      </c>
      <c r="AX7" s="246">
        <v>1.205778</v>
      </c>
      <c r="AY7" s="246">
        <v>1.2127060000000001</v>
      </c>
      <c r="AZ7" s="246">
        <v>1.2343900000000001</v>
      </c>
      <c r="BA7" s="246">
        <v>1.2013689999999999</v>
      </c>
      <c r="BB7" s="246">
        <v>1.221371</v>
      </c>
      <c r="BC7" s="246">
        <v>1.2399039999999999</v>
      </c>
      <c r="BD7" s="246">
        <v>1.244607</v>
      </c>
      <c r="BE7" s="246">
        <v>1.224</v>
      </c>
      <c r="BF7" s="246">
        <v>1.2303580000000001</v>
      </c>
      <c r="BG7" s="246">
        <v>1.2480420000000001</v>
      </c>
      <c r="BH7" s="246">
        <v>1.2070449999999999</v>
      </c>
      <c r="BI7" s="246">
        <v>1.212304</v>
      </c>
      <c r="BJ7" s="246">
        <v>1.1981649999999999</v>
      </c>
      <c r="BK7" s="246">
        <v>1.2132890000000001</v>
      </c>
      <c r="BL7" s="246">
        <v>1.198088</v>
      </c>
    </row>
    <row r="8" spans="1:64" ht="12.75" x14ac:dyDescent="0.2">
      <c r="A8" s="247" t="s">
        <v>547</v>
      </c>
    </row>
  </sheetData>
  <mergeCells count="5">
    <mergeCell ref="A3:C3"/>
    <mergeCell ref="D3:BL3"/>
    <mergeCell ref="A4:C4"/>
    <mergeCell ref="D4:BL4"/>
    <mergeCell ref="A5:C5"/>
  </mergeCells>
  <hyperlinks>
    <hyperlink ref="A2" r:id="rId1" display="http://localhost/OECDStat_Metadata/ShowMetadata.ashx?Dataset=SNA_TABLE4&amp;ShowOnWeb=true&amp;Lang=en"/>
    <hyperlink ref="A7" r:id="rId2" display="http://localhost/OECDStat_Metadata/ShowMetadata.ashx?Dataset=SNA_TABLE4&amp;Coords=[LOCATION].[CAN]&amp;ShowOnWeb=true&amp;Lang=en"/>
    <hyperlink ref="C7" r:id="rId3" display="http://localhost/OECDStat_Metadata/ShowMetadata.ashx?Dataset=SNA_TABLE4&amp;Coords=[TRANSACT].[PPPGDP],[MEASURE].[CD],[LOCATION].[CAN]&amp;ShowOnWeb=true&amp;Lang=en"/>
    <hyperlink ref="A8" r:id="rId4" display="https://stats-3.oecd.org/index.aspx?DatasetCode=SNA_TABLE4"/>
  </hyperlinks>
  <pageMargins left="0.75" right="0.75" top="1" bottom="1" header="0.5" footer="0.5"/>
  <pageSetup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workbookViewId="0">
      <selection activeCell="A16" sqref="A16:R28"/>
    </sheetView>
  </sheetViews>
  <sheetFormatPr baseColWidth="10" defaultColWidth="9.109375" defaultRowHeight="14.4" x14ac:dyDescent="0.3"/>
  <cols>
    <col min="1" max="5" width="9.109375" style="23"/>
    <col min="6" max="6" width="19.6640625" style="23" customWidth="1"/>
    <col min="7" max="8" width="18" style="23" customWidth="1"/>
    <col min="9" max="11" width="9.109375" style="23"/>
    <col min="12" max="12" width="9.109375" style="149"/>
    <col min="13" max="13" width="9.109375" style="23"/>
    <col min="14" max="14" width="11.33203125" style="23" customWidth="1"/>
    <col min="15" max="16384" width="9.109375" style="23"/>
  </cols>
  <sheetData>
    <row r="1" spans="1:21" x14ac:dyDescent="0.25">
      <c r="A1" s="10" t="s">
        <v>255</v>
      </c>
      <c r="B1" s="10" t="s">
        <v>256</v>
      </c>
      <c r="C1" s="10" t="s">
        <v>257</v>
      </c>
      <c r="D1" s="10" t="s">
        <v>258</v>
      </c>
      <c r="E1" s="10" t="s">
        <v>259</v>
      </c>
      <c r="F1" s="10" t="s">
        <v>310</v>
      </c>
      <c r="G1" s="10" t="s">
        <v>260</v>
      </c>
      <c r="H1" s="10" t="s">
        <v>261</v>
      </c>
      <c r="I1" s="10" t="s">
        <v>262</v>
      </c>
      <c r="J1" s="10" t="s">
        <v>263</v>
      </c>
      <c r="K1" s="10" t="s">
        <v>264</v>
      </c>
      <c r="L1" s="10" t="s">
        <v>344</v>
      </c>
      <c r="M1" s="10" t="s">
        <v>265</v>
      </c>
      <c r="N1" s="10" t="s">
        <v>266</v>
      </c>
      <c r="O1" s="10" t="s">
        <v>267</v>
      </c>
      <c r="P1" s="10" t="s">
        <v>268</v>
      </c>
      <c r="Q1" s="10" t="s">
        <v>269</v>
      </c>
      <c r="R1" s="10" t="s">
        <v>568</v>
      </c>
      <c r="S1" s="10"/>
    </row>
    <row r="2" spans="1:21" x14ac:dyDescent="0.25">
      <c r="A2" s="10">
        <v>13</v>
      </c>
      <c r="B2" s="10">
        <v>1</v>
      </c>
      <c r="C2" s="10">
        <v>1000000</v>
      </c>
      <c r="D2" s="10">
        <v>2007</v>
      </c>
      <c r="E2" s="10">
        <v>0</v>
      </c>
      <c r="F2" s="269">
        <f>'O&amp;M Cost Calculations'!AZ12*1000000</f>
        <v>688187181.79770207</v>
      </c>
      <c r="G2" s="270">
        <f>'Capital Cost Calculations'!AI12</f>
        <v>1657230766.1309474</v>
      </c>
      <c r="H2" s="270">
        <f>F2+G2</f>
        <v>2345417947.9286494</v>
      </c>
      <c r="I2" s="180">
        <f>'HQT Output and HQ Plant Data'!N27</f>
        <v>20511.171199999997</v>
      </c>
      <c r="J2" s="180">
        <v>37535</v>
      </c>
      <c r="K2" s="274">
        <f>'Input Price'!M22</f>
        <v>0.90733691163759078</v>
      </c>
      <c r="L2" s="271">
        <f>'Capital Cost Calculations'!AG12</f>
        <v>65.293967871360863</v>
      </c>
      <c r="M2" s="272"/>
      <c r="N2" s="52">
        <v>213339</v>
      </c>
      <c r="O2" s="10">
        <v>0.86680000000000001</v>
      </c>
      <c r="P2" s="131">
        <v>509</v>
      </c>
      <c r="Q2" s="10">
        <v>0.95</v>
      </c>
      <c r="R2" s="273">
        <v>0.31307864797567786</v>
      </c>
      <c r="S2" s="10"/>
      <c r="T2" s="149"/>
    </row>
    <row r="3" spans="1:21" x14ac:dyDescent="0.25">
      <c r="A3" s="10">
        <v>14</v>
      </c>
      <c r="B3" s="10">
        <v>1</v>
      </c>
      <c r="C3" s="10">
        <v>1000000</v>
      </c>
      <c r="D3" s="10">
        <v>2008</v>
      </c>
      <c r="E3" s="10">
        <v>0</v>
      </c>
      <c r="F3" s="269">
        <f>'O&amp;M Cost Calculations'!AZ13*1000000</f>
        <v>570771428.57142866</v>
      </c>
      <c r="G3" s="270">
        <f>'Capital Cost Calculations'!AI13</f>
        <v>1347574063.678633</v>
      </c>
      <c r="H3" s="270">
        <f t="shared" ref="H3:H14" si="0">F3+G3</f>
        <v>1918345492.2500615</v>
      </c>
      <c r="I3" s="180">
        <f>'HQT Output and HQ Plant Data'!O27</f>
        <v>20542.241199999997</v>
      </c>
      <c r="J3" s="180">
        <v>37535</v>
      </c>
      <c r="K3" s="274">
        <f>'Input Price'!M23</f>
        <v>0.9330075774215375</v>
      </c>
      <c r="L3" s="271">
        <f>'Capital Cost Calculations'!AG13</f>
        <v>53.715167296887017</v>
      </c>
      <c r="M3" s="272">
        <f>'Input Price'!V23</f>
        <v>0.64429748420820643</v>
      </c>
      <c r="N3" s="52">
        <v>214392</v>
      </c>
      <c r="O3" s="10">
        <v>0.86680000000000001</v>
      </c>
      <c r="P3" s="131">
        <v>510</v>
      </c>
      <c r="Q3" s="10">
        <v>0.95</v>
      </c>
      <c r="R3" s="273">
        <v>0.31045703887686116</v>
      </c>
      <c r="S3" s="10"/>
      <c r="T3" s="149"/>
      <c r="U3" s="149"/>
    </row>
    <row r="4" spans="1:21" x14ac:dyDescent="0.25">
      <c r="A4" s="10">
        <v>15</v>
      </c>
      <c r="B4" s="10">
        <v>1</v>
      </c>
      <c r="C4" s="10">
        <v>1000000</v>
      </c>
      <c r="D4" s="10">
        <v>2009</v>
      </c>
      <c r="E4" s="10">
        <v>0</v>
      </c>
      <c r="F4" s="269">
        <f>'O&amp;M Cost Calculations'!AZ14*1000000</f>
        <v>579370083.34369957</v>
      </c>
      <c r="G4" s="270">
        <f>'Capital Cost Calculations'!AI14</f>
        <v>1789591378.4411101</v>
      </c>
      <c r="H4" s="270">
        <f t="shared" si="0"/>
        <v>2368961461.7848096</v>
      </c>
      <c r="I4" s="180">
        <f>'HQT Output and HQ Plant Data'!P27</f>
        <v>20657.821599999999</v>
      </c>
      <c r="J4" s="180">
        <v>37535</v>
      </c>
      <c r="K4" s="274">
        <f>'Input Price'!M24</f>
        <v>0.95451091540440747</v>
      </c>
      <c r="L4" s="271">
        <f>'Capital Cost Calculations'!AG14</f>
        <v>72.168776367622769</v>
      </c>
      <c r="M4" s="272">
        <f>'Input Price'!V24</f>
        <v>0.80400407284424169</v>
      </c>
      <c r="N4" s="52">
        <v>220107</v>
      </c>
      <c r="O4" s="10">
        <v>0.86680000000000001</v>
      </c>
      <c r="P4" s="131">
        <v>515</v>
      </c>
      <c r="Q4" s="10">
        <v>0.95</v>
      </c>
      <c r="R4" s="273">
        <v>0.3077679816696553</v>
      </c>
      <c r="S4" s="10"/>
      <c r="T4" s="149"/>
      <c r="U4" s="149"/>
    </row>
    <row r="5" spans="1:21" x14ac:dyDescent="0.25">
      <c r="A5" s="10">
        <v>16</v>
      </c>
      <c r="B5" s="10">
        <v>1</v>
      </c>
      <c r="C5" s="10">
        <v>1000000</v>
      </c>
      <c r="D5" s="10">
        <v>2010</v>
      </c>
      <c r="E5" s="10">
        <v>0</v>
      </c>
      <c r="F5" s="269">
        <f>'O&amp;M Cost Calculations'!AZ15*1000000</f>
        <v>577513597.62875152</v>
      </c>
      <c r="G5" s="270">
        <f>'Capital Cost Calculations'!AI15</f>
        <v>2125255398.26015</v>
      </c>
      <c r="H5" s="270">
        <f t="shared" si="0"/>
        <v>2702768995.8889017</v>
      </c>
      <c r="I5" s="180">
        <f>'HQT Output and HQ Plant Data'!Q27</f>
        <v>20787.694199999998</v>
      </c>
      <c r="J5" s="180">
        <v>38053</v>
      </c>
      <c r="K5" s="274">
        <f>'Input Price'!M25</f>
        <v>0.96680155994330297</v>
      </c>
      <c r="L5" s="271">
        <f>'Capital Cost Calculations'!AG15</f>
        <v>84.726457060315667</v>
      </c>
      <c r="M5" s="272">
        <f>'Input Price'!V25</f>
        <v>0.91251132169619031</v>
      </c>
      <c r="N5" s="52">
        <v>218978</v>
      </c>
      <c r="O5" s="10">
        <v>0.86680000000000001</v>
      </c>
      <c r="P5" s="131">
        <v>514</v>
      </c>
      <c r="Q5" s="10">
        <v>0.95</v>
      </c>
      <c r="R5" s="273">
        <v>0.3102096923948825</v>
      </c>
      <c r="S5" s="10"/>
      <c r="T5" s="149"/>
      <c r="U5" s="149"/>
    </row>
    <row r="6" spans="1:21" x14ac:dyDescent="0.25">
      <c r="A6" s="10">
        <v>17</v>
      </c>
      <c r="B6" s="10">
        <v>1</v>
      </c>
      <c r="C6" s="10">
        <v>1000000</v>
      </c>
      <c r="D6" s="10">
        <v>2011</v>
      </c>
      <c r="E6" s="10">
        <v>0</v>
      </c>
      <c r="F6" s="269">
        <f>'O&amp;M Cost Calculations'!AZ16*1000000</f>
        <v>588700047.01457441</v>
      </c>
      <c r="G6" s="270">
        <f>'Capital Cost Calculations'!AI16</f>
        <v>2655351150.4175172</v>
      </c>
      <c r="H6" s="270">
        <f t="shared" si="0"/>
        <v>3244051197.4320917</v>
      </c>
      <c r="I6" s="180">
        <f>'HQT Output and HQ Plant Data'!R27</f>
        <v>20897.681999999997</v>
      </c>
      <c r="J6" s="180">
        <v>39847</v>
      </c>
      <c r="K6" s="274">
        <f>'Input Price'!M26</f>
        <v>0.98623670470127323</v>
      </c>
      <c r="L6" s="271">
        <f>'Capital Cost Calculations'!AG16</f>
        <v>105.7344091107164</v>
      </c>
      <c r="M6" s="272">
        <f>'Input Price'!V26</f>
        <v>1.094302470524998</v>
      </c>
      <c r="N6" s="52">
        <v>219925</v>
      </c>
      <c r="O6" s="10">
        <v>0.86680000000000001</v>
      </c>
      <c r="P6" s="131">
        <v>514</v>
      </c>
      <c r="Q6" s="10">
        <v>0.95</v>
      </c>
      <c r="R6" s="273">
        <v>0.31036685208626075</v>
      </c>
      <c r="S6" s="10"/>
      <c r="T6" s="149"/>
      <c r="U6" s="149"/>
    </row>
    <row r="7" spans="1:21" x14ac:dyDescent="0.25">
      <c r="A7" s="10">
        <v>18</v>
      </c>
      <c r="B7" s="10">
        <v>1</v>
      </c>
      <c r="C7" s="10">
        <v>1000000</v>
      </c>
      <c r="D7" s="10">
        <v>2012</v>
      </c>
      <c r="E7" s="10">
        <v>0</v>
      </c>
      <c r="F7" s="269">
        <f>'O&amp;M Cost Calculations'!AZ17*1000000</f>
        <v>562413051.05853057</v>
      </c>
      <c r="G7" s="270">
        <f>'Capital Cost Calculations'!AI17</f>
        <v>2355066341.947433</v>
      </c>
      <c r="H7" s="270">
        <f t="shared" si="0"/>
        <v>2917479393.0059633</v>
      </c>
      <c r="I7" s="180">
        <f>'HQT Output and HQ Plant Data'!S27</f>
        <v>20903.274599999997</v>
      </c>
      <c r="J7" s="180">
        <v>39847</v>
      </c>
      <c r="K7" s="274">
        <f>'Input Price'!M27</f>
        <v>1.0087971008221956</v>
      </c>
      <c r="L7" s="271">
        <f>'Capital Cost Calculations'!AG17</f>
        <v>93.706283004467835</v>
      </c>
      <c r="M7" s="272">
        <f>'Input Price'!V27</f>
        <v>0.99618935923879204</v>
      </c>
      <c r="N7" s="52">
        <v>221020</v>
      </c>
      <c r="O7" s="10">
        <v>0.86680000000000001</v>
      </c>
      <c r="P7" s="131">
        <v>516</v>
      </c>
      <c r="Q7" s="10">
        <v>0.95</v>
      </c>
      <c r="R7" s="273">
        <v>0.31084386465552383</v>
      </c>
      <c r="S7" s="10"/>
      <c r="T7" s="149"/>
      <c r="U7" s="149"/>
    </row>
    <row r="8" spans="1:21" x14ac:dyDescent="0.25">
      <c r="A8" s="10">
        <v>19</v>
      </c>
      <c r="B8" s="10">
        <v>1</v>
      </c>
      <c r="C8" s="10">
        <v>1000000</v>
      </c>
      <c r="D8" s="10">
        <v>2013</v>
      </c>
      <c r="E8" s="10">
        <v>0</v>
      </c>
      <c r="F8" s="269">
        <f>'O&amp;M Cost Calculations'!AZ18*1000000</f>
        <v>577914841.96060455</v>
      </c>
      <c r="G8" s="270">
        <f>'Capital Cost Calculations'!AI18</f>
        <v>2385237630.9885883</v>
      </c>
      <c r="H8" s="270">
        <f t="shared" si="0"/>
        <v>2963152472.949193</v>
      </c>
      <c r="I8" s="180">
        <f>'HQT Output and HQ Plant Data'!T27</f>
        <v>20887.118199999997</v>
      </c>
      <c r="J8" s="180">
        <v>40790</v>
      </c>
      <c r="K8" s="274">
        <f>'Input Price'!M28</f>
        <v>1.0260458039224423</v>
      </c>
      <c r="L8" s="271">
        <f>'Capital Cost Calculations'!AG18</f>
        <v>95.584128433640956</v>
      </c>
      <c r="M8" s="272">
        <f>'Input Price'!V28</f>
        <v>1.0155838531424861</v>
      </c>
      <c r="N8" s="52">
        <v>219228</v>
      </c>
      <c r="O8" s="10">
        <v>0.86680000000000001</v>
      </c>
      <c r="P8" s="131">
        <v>516</v>
      </c>
      <c r="Q8" s="10">
        <v>0.95</v>
      </c>
      <c r="R8" s="273">
        <v>0.32131154899232461</v>
      </c>
      <c r="S8" s="10"/>
      <c r="T8" s="149"/>
      <c r="U8" s="149"/>
    </row>
    <row r="9" spans="1:21" x14ac:dyDescent="0.25">
      <c r="A9" s="10">
        <v>20</v>
      </c>
      <c r="B9" s="10">
        <v>1</v>
      </c>
      <c r="C9" s="10">
        <v>1000000</v>
      </c>
      <c r="D9" s="10">
        <v>2014</v>
      </c>
      <c r="E9" s="10">
        <v>0</v>
      </c>
      <c r="F9" s="269">
        <f>'O&amp;M Cost Calculations'!AZ19*1000000</f>
        <v>607297973.65754807</v>
      </c>
      <c r="G9" s="270">
        <f>'Capital Cost Calculations'!AI19</f>
        <v>2545675321.6539502</v>
      </c>
      <c r="H9" s="270">
        <f t="shared" si="0"/>
        <v>3152973295.3114982</v>
      </c>
      <c r="I9" s="180">
        <f>'HQT Output and HQ Plant Data'!U27</f>
        <v>21074.780999999999</v>
      </c>
      <c r="J9" s="180">
        <v>40790</v>
      </c>
      <c r="K9" s="274">
        <f>'Input Price'!M29</f>
        <v>1.0520056687278927</v>
      </c>
      <c r="L9" s="271">
        <f>'Capital Cost Calculations'!AG19</f>
        <v>102.07280121765699</v>
      </c>
      <c r="M9" s="272">
        <f>'Input Price'!V29</f>
        <v>1.0760058373119197</v>
      </c>
      <c r="N9" s="52">
        <v>223389</v>
      </c>
      <c r="O9" s="10">
        <v>0.86680000000000001</v>
      </c>
      <c r="P9" s="131">
        <v>519</v>
      </c>
      <c r="Q9" s="10">
        <v>0.95</v>
      </c>
      <c r="R9" s="273">
        <v>0.32148581931650599</v>
      </c>
      <c r="S9" s="10"/>
      <c r="T9" s="149"/>
      <c r="U9" s="149"/>
    </row>
    <row r="10" spans="1:21" x14ac:dyDescent="0.25">
      <c r="A10" s="10">
        <v>21</v>
      </c>
      <c r="B10" s="10">
        <v>1</v>
      </c>
      <c r="C10" s="10">
        <v>1000000</v>
      </c>
      <c r="D10" s="10">
        <v>2015</v>
      </c>
      <c r="E10" s="10">
        <v>0</v>
      </c>
      <c r="F10" s="269">
        <f>'O&amp;M Cost Calculations'!AZ20*1000000</f>
        <v>610698498.06736612</v>
      </c>
      <c r="G10" s="270">
        <f>'Capital Cost Calculations'!AI20</f>
        <v>2725852636.4920087</v>
      </c>
      <c r="H10" s="270">
        <f t="shared" si="0"/>
        <v>3336551134.5593748</v>
      </c>
      <c r="I10" s="180">
        <f>'HQT Output and HQ Plant Data'!V27</f>
        <v>21127.599999999999</v>
      </c>
      <c r="J10" s="180">
        <v>40790</v>
      </c>
      <c r="K10" s="274">
        <f>'Input Price'!M30</f>
        <v>1.0709195845503088</v>
      </c>
      <c r="L10" s="271">
        <f>'Capital Cost Calculations'!AG20</f>
        <v>107.76432210385997</v>
      </c>
      <c r="M10" s="272">
        <f>'Input Price'!V30</f>
        <v>1.128254537179781</v>
      </c>
      <c r="N10" s="52">
        <v>236087</v>
      </c>
      <c r="O10" s="10">
        <v>0.86680000000000001</v>
      </c>
      <c r="P10" s="131">
        <v>522</v>
      </c>
      <c r="Q10" s="10">
        <v>0.95</v>
      </c>
      <c r="R10" s="273">
        <v>0.3275846015373633</v>
      </c>
      <c r="S10" s="10"/>
      <c r="T10" s="149"/>
      <c r="U10" s="149"/>
    </row>
    <row r="11" spans="1:21" x14ac:dyDescent="0.25">
      <c r="A11" s="10">
        <v>22</v>
      </c>
      <c r="B11" s="10">
        <v>1</v>
      </c>
      <c r="C11" s="10">
        <v>1000000</v>
      </c>
      <c r="D11" s="10">
        <v>2016</v>
      </c>
      <c r="E11" s="10">
        <v>0</v>
      </c>
      <c r="F11" s="269">
        <f>'O&amp;M Cost Calculations'!AZ21*1000000</f>
        <v>635469713.50613916</v>
      </c>
      <c r="G11" s="270">
        <f>'Capital Cost Calculations'!AI21</f>
        <v>2980363918.9153237</v>
      </c>
      <c r="H11" s="270">
        <f t="shared" si="0"/>
        <v>3615833632.421463</v>
      </c>
      <c r="I11" s="180">
        <f>'HQT Output and HQ Plant Data'!W27</f>
        <v>21140.027999999998</v>
      </c>
      <c r="J11" s="180">
        <v>40790</v>
      </c>
      <c r="K11" s="274">
        <f>'Input Price'!M31</f>
        <v>1.0897707291869514</v>
      </c>
      <c r="L11" s="271">
        <f>'Capital Cost Calculations'!AG21</f>
        <v>116.40211948051838</v>
      </c>
      <c r="M11" s="272">
        <f>'Input Price'!V31</f>
        <v>1.205717096982484</v>
      </c>
      <c r="N11" s="52">
        <v>235656</v>
      </c>
      <c r="O11" s="10">
        <v>0.86680000000000001</v>
      </c>
      <c r="P11" s="131">
        <v>525</v>
      </c>
      <c r="Q11" s="10">
        <v>0.95</v>
      </c>
      <c r="R11" s="273">
        <v>0.33094532613548727</v>
      </c>
      <c r="S11" s="10"/>
      <c r="T11" s="149"/>
      <c r="U11" s="149"/>
    </row>
    <row r="12" spans="1:21" x14ac:dyDescent="0.25">
      <c r="A12" s="10">
        <v>23</v>
      </c>
      <c r="B12" s="10">
        <v>1</v>
      </c>
      <c r="C12" s="10">
        <v>1000000</v>
      </c>
      <c r="D12" s="10">
        <v>2017</v>
      </c>
      <c r="E12" s="10">
        <v>0</v>
      </c>
      <c r="F12" s="269">
        <f>'O&amp;M Cost Calculations'!AZ22*1000000</f>
        <v>703823300.38329649</v>
      </c>
      <c r="G12" s="270">
        <f>'Capital Cost Calculations'!AI22</f>
        <v>3036763369.3959188</v>
      </c>
      <c r="H12" s="270">
        <f t="shared" si="0"/>
        <v>3740586669.7792153</v>
      </c>
      <c r="I12" s="180">
        <f>'HQT Output and HQ Plant Data'!X27</f>
        <v>21256.229799999997</v>
      </c>
      <c r="J12" s="180">
        <v>40812</v>
      </c>
      <c r="K12" s="274">
        <f>'Input Price'!M32</f>
        <v>1.1116379144053028</v>
      </c>
      <c r="L12" s="271">
        <f>'Capital Cost Calculations'!AG22</f>
        <v>119.66879975255705</v>
      </c>
      <c r="M12" s="272">
        <f>'Input Price'!V32</f>
        <v>1.2377938299719524</v>
      </c>
      <c r="N12" s="52">
        <v>238930</v>
      </c>
      <c r="O12" s="10">
        <v>0.86680000000000001</v>
      </c>
      <c r="P12" s="131">
        <v>522</v>
      </c>
      <c r="Q12" s="10">
        <v>0.95</v>
      </c>
      <c r="R12" s="273">
        <v>0.3321885489127791</v>
      </c>
      <c r="S12" s="10"/>
      <c r="T12" s="149"/>
      <c r="U12" s="149"/>
    </row>
    <row r="13" spans="1:21" x14ac:dyDescent="0.25">
      <c r="A13" s="10">
        <v>24</v>
      </c>
      <c r="B13" s="10">
        <v>1</v>
      </c>
      <c r="C13" s="10">
        <v>1000000</v>
      </c>
      <c r="D13" s="10">
        <v>2018</v>
      </c>
      <c r="E13" s="10">
        <v>0</v>
      </c>
      <c r="F13" s="269">
        <f>'O&amp;M Cost Calculations'!AZ23*1000000</f>
        <v>773058813.23136461</v>
      </c>
      <c r="G13" s="270">
        <f>'Capital Cost Calculations'!AI23</f>
        <v>3148918463.4577565</v>
      </c>
      <c r="H13" s="270">
        <f t="shared" si="0"/>
        <v>3921977276.6891212</v>
      </c>
      <c r="I13" s="180">
        <f>'HQT Output and HQ Plant Data'!Y27</f>
        <v>21182.904599999998</v>
      </c>
      <c r="J13" s="180">
        <v>40812</v>
      </c>
      <c r="K13" s="274">
        <f>'Input Price'!M33</f>
        <v>1.130665589244352</v>
      </c>
      <c r="L13" s="271">
        <f>'Capital Cost Calculations'!AG23</f>
        <v>121.45944410621458</v>
      </c>
      <c r="M13" s="272">
        <f>'Input Price'!V33</f>
        <v>1.2568283873822141</v>
      </c>
      <c r="N13" s="52">
        <v>237177</v>
      </c>
      <c r="O13" s="10">
        <v>0.86680000000000001</v>
      </c>
      <c r="P13" s="131">
        <v>521</v>
      </c>
      <c r="Q13" s="10">
        <v>0.95</v>
      </c>
      <c r="R13" s="273">
        <v>0.33747425825642591</v>
      </c>
      <c r="S13" s="10"/>
      <c r="T13" s="149"/>
      <c r="U13" s="149"/>
    </row>
    <row r="14" spans="1:21" x14ac:dyDescent="0.25">
      <c r="A14" s="10">
        <v>25</v>
      </c>
      <c r="B14" s="10">
        <v>1</v>
      </c>
      <c r="C14" s="10">
        <v>1000000</v>
      </c>
      <c r="D14" s="10">
        <v>2019</v>
      </c>
      <c r="E14" s="10">
        <v>0</v>
      </c>
      <c r="F14" s="269">
        <f>'O&amp;M Cost Calculations'!AZ24*1000000</f>
        <v>756724251.27142584</v>
      </c>
      <c r="G14" s="270">
        <f>'Capital Cost Calculations'!AI24</f>
        <v>2963660823.3164806</v>
      </c>
      <c r="H14" s="270">
        <f t="shared" si="0"/>
        <v>3720385074.5879064</v>
      </c>
      <c r="I14" s="180">
        <f>'HQT Output and HQ Plant Data'!Z27</f>
        <v>21456.941999999999</v>
      </c>
      <c r="J14" s="180">
        <v>40812</v>
      </c>
      <c r="K14" s="274">
        <f>'Input Price'!M34</f>
        <v>1.165020816485336</v>
      </c>
      <c r="L14" s="271">
        <f>'Capital Cost Calculations'!AG24</f>
        <v>113.93170684770878</v>
      </c>
      <c r="M14" s="272">
        <f>'Input Price'!V34</f>
        <v>1.2013150368263708</v>
      </c>
      <c r="N14" s="52">
        <v>239182</v>
      </c>
      <c r="O14" s="10">
        <v>0.86680000000000001</v>
      </c>
      <c r="P14" s="131">
        <v>523</v>
      </c>
      <c r="Q14" s="10">
        <v>0.95</v>
      </c>
      <c r="R14" s="273">
        <v>0.34679052484904782</v>
      </c>
      <c r="S14" s="10"/>
      <c r="T14" s="149"/>
      <c r="U14" s="149"/>
    </row>
    <row r="15" spans="1:21" x14ac:dyDescent="0.25">
      <c r="A15" s="10"/>
      <c r="B15" s="10"/>
      <c r="C15" s="10"/>
      <c r="D15" s="10"/>
      <c r="E15" s="10"/>
      <c r="F15" s="10"/>
      <c r="G15" s="270"/>
      <c r="H15" s="10"/>
      <c r="I15" s="10"/>
      <c r="J15" s="10"/>
      <c r="K15" s="271"/>
      <c r="L15" s="10"/>
      <c r="M15" s="275"/>
      <c r="N15" s="10"/>
      <c r="O15" s="10"/>
      <c r="P15" s="10"/>
      <c r="Q15" s="10"/>
      <c r="R15" s="10"/>
      <c r="S15" s="10"/>
    </row>
    <row r="17" spans="1:18" x14ac:dyDescent="0.25">
      <c r="B17" s="149"/>
      <c r="C17" s="149"/>
      <c r="D17" s="149"/>
      <c r="E17" s="149"/>
      <c r="F17" s="149"/>
      <c r="G17" s="149"/>
      <c r="H17" s="149"/>
      <c r="I17" s="149"/>
      <c r="J17" s="149"/>
      <c r="K17" s="149"/>
      <c r="M17" s="149"/>
      <c r="N17" s="149"/>
      <c r="O17" s="149"/>
      <c r="P17" s="149"/>
      <c r="Q17" s="149"/>
      <c r="R17" s="149"/>
    </row>
    <row r="18" spans="1:18" x14ac:dyDescent="0.25">
      <c r="A18" s="149"/>
      <c r="B18" s="149"/>
      <c r="C18" s="149"/>
      <c r="D18" s="149"/>
      <c r="E18" s="149"/>
      <c r="F18" s="149"/>
      <c r="G18" s="149"/>
      <c r="H18" s="149"/>
      <c r="I18" s="149"/>
      <c r="J18" s="149"/>
      <c r="K18" s="149"/>
      <c r="M18" s="149"/>
      <c r="N18" s="149"/>
      <c r="O18" s="149"/>
      <c r="P18" s="149"/>
      <c r="Q18" s="149"/>
      <c r="R18" s="149"/>
    </row>
    <row r="19" spans="1:18" x14ac:dyDescent="0.25">
      <c r="A19" s="149"/>
      <c r="B19" s="149"/>
      <c r="C19" s="149"/>
      <c r="D19" s="149"/>
      <c r="E19" s="149"/>
      <c r="F19" s="149"/>
      <c r="G19" s="149"/>
      <c r="H19" s="149"/>
      <c r="I19" s="149"/>
      <c r="J19" s="149"/>
      <c r="K19" s="149"/>
      <c r="M19" s="149"/>
      <c r="N19" s="149"/>
      <c r="O19" s="149"/>
      <c r="P19" s="149"/>
      <c r="Q19" s="149"/>
      <c r="R19" s="149"/>
    </row>
    <row r="20" spans="1:18" x14ac:dyDescent="0.25">
      <c r="A20" s="149"/>
      <c r="B20" s="149"/>
      <c r="C20" s="149"/>
      <c r="D20" s="149"/>
      <c r="E20" s="149"/>
      <c r="F20" s="149"/>
      <c r="G20" s="149"/>
      <c r="H20" s="149"/>
      <c r="I20" s="149"/>
      <c r="J20" s="149"/>
      <c r="K20" s="149"/>
      <c r="M20" s="149"/>
      <c r="N20" s="149"/>
      <c r="O20" s="149"/>
      <c r="P20" s="149"/>
      <c r="Q20" s="149"/>
      <c r="R20" s="149"/>
    </row>
    <row r="21" spans="1:18" x14ac:dyDescent="0.25">
      <c r="A21" s="149"/>
      <c r="B21" s="149"/>
      <c r="C21" s="149"/>
      <c r="D21" s="149"/>
      <c r="E21" s="149"/>
      <c r="F21" s="149"/>
      <c r="G21" s="149"/>
      <c r="H21" s="149"/>
      <c r="I21" s="149"/>
      <c r="J21" s="149"/>
      <c r="K21" s="149"/>
      <c r="M21" s="149"/>
      <c r="N21" s="149"/>
      <c r="O21" s="149"/>
      <c r="P21" s="149"/>
      <c r="Q21" s="149"/>
      <c r="R21" s="149"/>
    </row>
    <row r="22" spans="1:18" x14ac:dyDescent="0.25">
      <c r="A22" s="149"/>
      <c r="B22" s="149"/>
      <c r="C22" s="149"/>
      <c r="D22" s="149"/>
      <c r="E22" s="149"/>
      <c r="F22" s="149"/>
      <c r="G22" s="149"/>
      <c r="H22" s="149"/>
      <c r="I22" s="149"/>
      <c r="J22" s="149"/>
      <c r="K22" s="149"/>
      <c r="M22" s="149"/>
      <c r="N22" s="149"/>
      <c r="O22" s="149"/>
      <c r="P22" s="149"/>
      <c r="Q22" s="149"/>
      <c r="R22" s="149"/>
    </row>
    <row r="23" spans="1:18" x14ac:dyDescent="0.25">
      <c r="A23" s="149"/>
      <c r="B23" s="149"/>
      <c r="C23" s="149"/>
      <c r="D23" s="149"/>
      <c r="E23" s="149"/>
      <c r="F23" s="149"/>
      <c r="G23" s="149"/>
      <c r="H23" s="149"/>
      <c r="I23" s="149"/>
      <c r="J23" s="149"/>
      <c r="K23" s="149"/>
      <c r="M23" s="149"/>
      <c r="N23" s="149"/>
      <c r="O23" s="149"/>
      <c r="P23" s="149"/>
      <c r="Q23" s="149"/>
      <c r="R23" s="149"/>
    </row>
    <row r="24" spans="1:18" x14ac:dyDescent="0.25">
      <c r="A24" s="149"/>
      <c r="B24" s="149"/>
      <c r="C24" s="149"/>
      <c r="D24" s="149"/>
      <c r="E24" s="149"/>
      <c r="F24" s="149"/>
      <c r="G24" s="149"/>
      <c r="H24" s="149"/>
      <c r="I24" s="149"/>
      <c r="J24" s="149"/>
      <c r="K24" s="149"/>
      <c r="M24" s="149"/>
      <c r="N24" s="149"/>
      <c r="O24" s="149"/>
      <c r="P24" s="149"/>
      <c r="Q24" s="149"/>
      <c r="R24" s="149"/>
    </row>
    <row r="25" spans="1:18" x14ac:dyDescent="0.25">
      <c r="A25" s="149"/>
      <c r="B25" s="149"/>
      <c r="C25" s="149"/>
      <c r="D25" s="149"/>
      <c r="E25" s="149"/>
      <c r="F25" s="149"/>
      <c r="G25" s="149"/>
      <c r="H25" s="149"/>
      <c r="I25" s="149"/>
      <c r="J25" s="149"/>
      <c r="K25" s="149"/>
      <c r="M25" s="149"/>
      <c r="N25" s="149"/>
      <c r="O25" s="149"/>
      <c r="P25" s="149"/>
      <c r="Q25" s="149"/>
      <c r="R25" s="149"/>
    </row>
    <row r="26" spans="1:18" x14ac:dyDescent="0.25">
      <c r="A26" s="149"/>
      <c r="B26" s="149"/>
      <c r="C26" s="149"/>
      <c r="D26" s="149"/>
      <c r="E26" s="149"/>
      <c r="F26" s="149"/>
      <c r="G26" s="149"/>
      <c r="H26" s="149"/>
      <c r="I26" s="149"/>
      <c r="J26" s="149"/>
      <c r="K26" s="149"/>
      <c r="M26" s="149"/>
      <c r="N26" s="149"/>
      <c r="O26" s="149"/>
      <c r="P26" s="149"/>
      <c r="Q26" s="149"/>
      <c r="R26" s="149"/>
    </row>
    <row r="27" spans="1:18" x14ac:dyDescent="0.25">
      <c r="A27" s="149"/>
      <c r="B27" s="149"/>
      <c r="C27" s="149"/>
      <c r="D27" s="149"/>
      <c r="E27" s="149"/>
      <c r="F27" s="149"/>
      <c r="G27" s="149"/>
      <c r="H27" s="149"/>
      <c r="I27" s="149"/>
      <c r="J27" s="149"/>
      <c r="K27" s="149"/>
      <c r="M27" s="149"/>
      <c r="N27" s="149"/>
      <c r="O27" s="149"/>
      <c r="P27" s="149"/>
      <c r="Q27" s="149"/>
      <c r="R27" s="149"/>
    </row>
    <row r="28" spans="1:18" x14ac:dyDescent="0.25">
      <c r="A28" s="149"/>
      <c r="B28" s="149"/>
      <c r="C28" s="149"/>
      <c r="D28" s="149"/>
      <c r="E28" s="149"/>
      <c r="F28" s="149"/>
      <c r="G28" s="149"/>
      <c r="H28" s="149"/>
      <c r="I28" s="149"/>
      <c r="J28" s="149"/>
      <c r="K28" s="149"/>
      <c r="M28" s="149"/>
      <c r="N28" s="149"/>
      <c r="O28" s="149"/>
      <c r="P28" s="149"/>
      <c r="Q28" s="149"/>
      <c r="R28" s="149"/>
    </row>
    <row r="29" spans="1:18" x14ac:dyDescent="0.25">
      <c r="A29" s="149"/>
      <c r="B29" s="149"/>
      <c r="C29" s="149"/>
      <c r="D29" s="149"/>
      <c r="E29" s="149"/>
      <c r="F29" s="149"/>
      <c r="G29" s="149"/>
      <c r="H29" s="149"/>
      <c r="I29" s="149"/>
      <c r="J29" s="149"/>
      <c r="K29" s="149"/>
      <c r="M29" s="149"/>
      <c r="N29" s="149"/>
      <c r="O29" s="149"/>
      <c r="P29" s="149"/>
      <c r="Q29" s="149"/>
      <c r="R29" s="149"/>
    </row>
    <row r="30" spans="1:18" x14ac:dyDescent="0.25">
      <c r="A30" s="149"/>
      <c r="B30" s="149"/>
      <c r="C30" s="149"/>
      <c r="D30" s="149"/>
      <c r="E30" s="149"/>
      <c r="F30" s="149"/>
      <c r="G30" s="149"/>
      <c r="H30" s="149"/>
      <c r="I30" s="149"/>
      <c r="J30" s="149"/>
      <c r="K30" s="149"/>
      <c r="M30" s="149"/>
      <c r="N30" s="149"/>
      <c r="O30" s="149"/>
      <c r="P30" s="149"/>
      <c r="Q30" s="149"/>
      <c r="R30" s="149"/>
    </row>
    <row r="31" spans="1:18" x14ac:dyDescent="0.25">
      <c r="A31" s="149"/>
      <c r="B31" s="149"/>
      <c r="C31" s="149"/>
      <c r="D31" s="149"/>
      <c r="E31" s="149"/>
      <c r="F31" s="149"/>
      <c r="G31" s="149"/>
      <c r="H31" s="149"/>
      <c r="I31" s="149"/>
      <c r="J31" s="149"/>
      <c r="K31" s="149"/>
      <c r="M31" s="149"/>
      <c r="N31" s="149"/>
      <c r="O31" s="149"/>
      <c r="P31" s="149"/>
      <c r="Q31" s="149"/>
      <c r="R31" s="149"/>
    </row>
    <row r="32" spans="1:18" x14ac:dyDescent="0.25">
      <c r="A32" s="149"/>
      <c r="B32" s="149"/>
      <c r="C32" s="149"/>
      <c r="D32" s="149"/>
      <c r="E32" s="149"/>
      <c r="F32" s="149"/>
      <c r="G32" s="149"/>
      <c r="H32" s="149"/>
      <c r="I32" s="149"/>
      <c r="J32" s="149"/>
      <c r="K32" s="149"/>
      <c r="M32" s="149"/>
      <c r="N32" s="149"/>
      <c r="O32" s="149"/>
      <c r="P32" s="149"/>
      <c r="Q32" s="149"/>
      <c r="R32" s="14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7"/>
  <sheetViews>
    <sheetView workbookViewId="0">
      <selection activeCell="H17" sqref="H17"/>
    </sheetView>
  </sheetViews>
  <sheetFormatPr baseColWidth="10" defaultColWidth="8.88671875" defaultRowHeight="14.4" x14ac:dyDescent="0.3"/>
  <cols>
    <col min="1" max="1" width="2.109375" customWidth="1"/>
    <col min="2" max="2" width="2.33203125" customWidth="1"/>
    <col min="3" max="3" width="1.88671875" customWidth="1"/>
    <col min="4" max="4" width="25.33203125" customWidth="1"/>
    <col min="5" max="5" width="7.33203125" customWidth="1"/>
    <col min="6" max="6" width="5.33203125" customWidth="1"/>
    <col min="7" max="7" width="2.88671875" customWidth="1"/>
    <col min="8" max="8" width="53.5546875" customWidth="1"/>
    <col min="9" max="9" width="1.88671875" customWidth="1"/>
    <col min="10" max="11" width="6.5546875" customWidth="1"/>
    <col min="12" max="12" width="7" customWidth="1"/>
    <col min="13" max="13" width="8.6640625" bestFit="1" customWidth="1"/>
    <col min="14" max="14" width="8.44140625" customWidth="1"/>
    <col min="15" max="15" width="7.109375" customWidth="1"/>
    <col min="16" max="16" width="6.88671875" customWidth="1"/>
    <col min="17" max="17" width="7.33203125" bestFit="1" customWidth="1"/>
    <col min="18" max="18" width="8.88671875" customWidth="1"/>
    <col min="19" max="19" width="8.44140625" customWidth="1"/>
    <col min="20" max="20" width="10.33203125" customWidth="1"/>
    <col min="21" max="21" width="9.88671875" customWidth="1"/>
    <col min="22" max="22" width="11.109375" customWidth="1"/>
    <col min="23" max="23" width="2" customWidth="1"/>
  </cols>
  <sheetData>
    <row r="1" spans="1:30" ht="20.25" x14ac:dyDescent="0.3">
      <c r="A1" s="362" t="s">
        <v>329</v>
      </c>
      <c r="B1" s="362"/>
      <c r="C1" s="362"/>
      <c r="D1" s="362"/>
      <c r="E1" s="362"/>
      <c r="F1" s="362"/>
      <c r="G1" s="362"/>
      <c r="H1" s="362"/>
      <c r="I1" s="362"/>
      <c r="J1" s="362"/>
      <c r="K1" s="362"/>
      <c r="L1" s="362"/>
      <c r="M1" s="362"/>
      <c r="N1" s="362"/>
      <c r="O1" s="362"/>
      <c r="P1" s="362"/>
      <c r="Q1" s="362"/>
      <c r="R1" s="362"/>
      <c r="S1" s="362"/>
      <c r="T1" s="362"/>
      <c r="U1" s="362"/>
      <c r="V1" s="362"/>
      <c r="W1" s="23"/>
      <c r="X1" s="23"/>
      <c r="Y1" s="23"/>
      <c r="Z1" s="23"/>
      <c r="AA1" s="23"/>
      <c r="AB1" s="23"/>
    </row>
    <row r="2" spans="1:30" ht="15" x14ac:dyDescent="0.25">
      <c r="A2" s="1"/>
      <c r="B2" s="16"/>
      <c r="C2" s="16"/>
      <c r="D2" s="16"/>
      <c r="E2" s="22"/>
      <c r="F2" s="22"/>
      <c r="G2" s="22"/>
      <c r="H2" s="22"/>
      <c r="I2" s="22"/>
      <c r="J2" s="31"/>
      <c r="K2" s="31"/>
      <c r="L2" s="31"/>
      <c r="M2" s="31"/>
      <c r="N2" s="31"/>
      <c r="O2" s="31"/>
      <c r="P2" s="31"/>
      <c r="Q2" s="31"/>
      <c r="R2" s="32"/>
      <c r="S2" s="32"/>
      <c r="T2" s="32"/>
      <c r="U2" s="32"/>
      <c r="V2" s="32"/>
      <c r="W2" s="23"/>
      <c r="X2" s="11" t="s">
        <v>0</v>
      </c>
      <c r="Y2" s="9"/>
      <c r="Z2" s="9"/>
      <c r="AA2" s="9"/>
      <c r="AB2" s="9"/>
    </row>
    <row r="3" spans="1:30" ht="16.5" x14ac:dyDescent="0.25">
      <c r="A3" s="355" t="s">
        <v>1</v>
      </c>
      <c r="B3" s="32"/>
      <c r="C3" s="32"/>
      <c r="D3" s="32"/>
      <c r="E3" s="6" t="s">
        <v>179</v>
      </c>
      <c r="F3" s="4"/>
      <c r="G3" s="96"/>
      <c r="H3" s="96"/>
      <c r="I3" s="96"/>
      <c r="J3" s="363"/>
      <c r="K3" s="363"/>
      <c r="L3" s="363"/>
      <c r="M3" s="363"/>
      <c r="N3" s="363"/>
      <c r="O3" s="363"/>
      <c r="P3" s="363"/>
      <c r="Q3" s="363"/>
      <c r="R3" s="363"/>
      <c r="S3" s="363"/>
      <c r="T3" s="363"/>
      <c r="U3" s="363"/>
      <c r="V3" s="363"/>
      <c r="W3" s="23"/>
      <c r="X3" s="23"/>
      <c r="Y3" s="23"/>
      <c r="Z3" s="23"/>
      <c r="AA3" s="23"/>
      <c r="AB3" s="23"/>
    </row>
    <row r="4" spans="1:30" ht="15" x14ac:dyDescent="0.25">
      <c r="A4" s="32"/>
      <c r="B4" s="32"/>
      <c r="C4" s="32"/>
      <c r="D4" s="32"/>
      <c r="E4" s="4"/>
      <c r="F4" s="4"/>
      <c r="G4" s="20"/>
      <c r="H4" s="20"/>
      <c r="I4" s="20"/>
      <c r="J4" s="25">
        <f t="shared" ref="J4:T4" si="0">K4-1</f>
        <v>2007</v>
      </c>
      <c r="K4" s="25">
        <f t="shared" si="0"/>
        <v>2008</v>
      </c>
      <c r="L4" s="25">
        <f t="shared" si="0"/>
        <v>2009</v>
      </c>
      <c r="M4" s="25">
        <f t="shared" si="0"/>
        <v>2010</v>
      </c>
      <c r="N4" s="25">
        <f t="shared" si="0"/>
        <v>2011</v>
      </c>
      <c r="O4" s="25">
        <f t="shared" si="0"/>
        <v>2012</v>
      </c>
      <c r="P4" s="25">
        <f t="shared" si="0"/>
        <v>2013</v>
      </c>
      <c r="Q4" s="25">
        <f t="shared" si="0"/>
        <v>2014</v>
      </c>
      <c r="R4" s="25">
        <f t="shared" si="0"/>
        <v>2015</v>
      </c>
      <c r="S4" s="25">
        <f t="shared" si="0"/>
        <v>2016</v>
      </c>
      <c r="T4" s="25">
        <f t="shared" si="0"/>
        <v>2017</v>
      </c>
      <c r="U4" s="25">
        <f>V4-1</f>
        <v>2018</v>
      </c>
      <c r="V4" s="25">
        <v>2019</v>
      </c>
      <c r="W4" s="23"/>
      <c r="X4" s="12"/>
      <c r="Y4" s="23" t="s">
        <v>2</v>
      </c>
      <c r="Z4" s="23"/>
      <c r="AA4" s="23"/>
      <c r="AB4" s="23"/>
    </row>
    <row r="5" spans="1:30" ht="15" x14ac:dyDescent="0.25">
      <c r="A5" s="36"/>
      <c r="B5" s="32" t="s">
        <v>3</v>
      </c>
      <c r="C5" s="32"/>
      <c r="D5" s="32"/>
      <c r="E5" s="4" t="s">
        <v>4</v>
      </c>
      <c r="F5" s="4"/>
      <c r="G5" s="4"/>
      <c r="H5" s="4"/>
      <c r="I5" s="4"/>
      <c r="J5" s="26"/>
      <c r="K5" s="26"/>
      <c r="L5" s="26"/>
      <c r="M5" s="26"/>
      <c r="N5" s="26"/>
      <c r="O5" s="26"/>
      <c r="P5" s="26"/>
      <c r="Q5" s="26"/>
      <c r="R5" s="26"/>
      <c r="S5" s="26"/>
      <c r="T5" s="26"/>
      <c r="U5" s="26"/>
      <c r="V5" s="26"/>
      <c r="W5" s="23"/>
      <c r="X5" s="13"/>
      <c r="Y5" s="23" t="s">
        <v>5</v>
      </c>
      <c r="Z5" s="23"/>
      <c r="AA5" s="23"/>
      <c r="AB5" s="23"/>
    </row>
    <row r="6" spans="1:30" ht="15" x14ac:dyDescent="0.25">
      <c r="A6" s="32"/>
      <c r="B6" s="32"/>
      <c r="C6" s="32"/>
      <c r="D6" s="32"/>
      <c r="E6" s="4"/>
      <c r="F6" s="4"/>
      <c r="G6" s="4"/>
      <c r="H6" s="4"/>
      <c r="I6" s="4"/>
      <c r="J6" s="366" t="s">
        <v>253</v>
      </c>
      <c r="K6" s="366"/>
      <c r="L6" s="366"/>
      <c r="M6" s="366"/>
      <c r="N6" s="366"/>
      <c r="O6" s="366"/>
      <c r="P6" s="366"/>
      <c r="Q6" s="366"/>
      <c r="R6" s="366"/>
      <c r="S6" s="366"/>
      <c r="T6" s="366"/>
      <c r="U6" s="366"/>
      <c r="V6" s="366"/>
      <c r="W6" s="23"/>
      <c r="X6" s="14"/>
      <c r="Y6" s="23" t="s">
        <v>6</v>
      </c>
      <c r="Z6" s="23"/>
      <c r="AA6" s="23"/>
      <c r="AB6" s="23"/>
    </row>
    <row r="7" spans="1:30" ht="15" x14ac:dyDescent="0.25">
      <c r="A7" s="32"/>
      <c r="B7" s="344" t="s">
        <v>7</v>
      </c>
      <c r="C7" s="26"/>
      <c r="D7" s="26"/>
      <c r="E7" s="4"/>
      <c r="F7" s="4"/>
      <c r="G7" s="4"/>
      <c r="H7" s="4"/>
      <c r="I7" s="4"/>
      <c r="J7" s="26"/>
      <c r="K7" s="26"/>
      <c r="L7" s="26"/>
      <c r="M7" s="26"/>
      <c r="N7" s="26"/>
      <c r="O7" s="26"/>
      <c r="P7" s="26"/>
      <c r="Q7" s="26"/>
      <c r="R7" s="26"/>
      <c r="S7" s="26"/>
      <c r="T7" s="26"/>
      <c r="U7" s="26"/>
      <c r="V7" s="26"/>
      <c r="W7" s="23"/>
      <c r="X7" s="15"/>
      <c r="Y7" s="23" t="s">
        <v>8</v>
      </c>
      <c r="Z7" s="23"/>
      <c r="AA7" s="23"/>
      <c r="AB7" s="23"/>
    </row>
    <row r="8" spans="1:30" ht="15" x14ac:dyDescent="0.25">
      <c r="A8" s="32"/>
      <c r="B8" s="26"/>
      <c r="C8" s="26"/>
      <c r="D8" s="26"/>
      <c r="E8" s="4"/>
      <c r="F8" s="4"/>
      <c r="G8" s="4"/>
      <c r="H8" s="4"/>
      <c r="I8" s="4"/>
      <c r="J8" s="365" t="s">
        <v>252</v>
      </c>
      <c r="K8" s="365"/>
      <c r="L8" s="365"/>
      <c r="M8" s="365"/>
      <c r="N8" s="365"/>
      <c r="O8" s="365"/>
      <c r="P8" s="365"/>
      <c r="Q8" s="365"/>
      <c r="R8" s="365"/>
      <c r="S8" s="365"/>
      <c r="T8" s="365"/>
      <c r="U8" s="365"/>
      <c r="V8" s="365"/>
      <c r="W8" s="23"/>
      <c r="X8" s="103"/>
      <c r="Y8" s="102" t="s">
        <v>199</v>
      </c>
      <c r="Z8" s="23"/>
      <c r="AA8" s="23"/>
      <c r="AB8" s="23"/>
    </row>
    <row r="9" spans="1:30" ht="15" x14ac:dyDescent="0.25">
      <c r="A9" s="32"/>
      <c r="B9" s="26" t="s">
        <v>9</v>
      </c>
      <c r="C9" s="26"/>
      <c r="D9" s="26"/>
      <c r="E9" s="6" t="s">
        <v>251</v>
      </c>
      <c r="F9" s="4"/>
      <c r="G9" s="4"/>
      <c r="H9" s="4"/>
      <c r="I9" s="4"/>
      <c r="J9" s="123"/>
      <c r="K9" s="123"/>
      <c r="L9" s="123"/>
      <c r="M9" s="123"/>
      <c r="N9" s="123"/>
      <c r="O9" s="123"/>
      <c r="P9" s="123"/>
      <c r="Q9" s="123"/>
      <c r="R9" s="123"/>
      <c r="S9" s="123"/>
      <c r="T9" s="123"/>
      <c r="U9" s="123"/>
      <c r="V9" s="123"/>
      <c r="W9" s="23"/>
      <c r="X9" s="23"/>
      <c r="Y9" s="23"/>
      <c r="Z9" s="23"/>
      <c r="AA9" s="23"/>
      <c r="AB9" s="23"/>
    </row>
    <row r="10" spans="1:30" ht="15" x14ac:dyDescent="0.25">
      <c r="A10" s="32"/>
      <c r="B10" s="26"/>
      <c r="C10" s="26"/>
      <c r="D10" s="26"/>
      <c r="E10" s="4"/>
      <c r="F10" s="4"/>
      <c r="G10" s="4"/>
      <c r="H10" s="4"/>
      <c r="I10" s="4"/>
      <c r="J10" s="26"/>
      <c r="K10" s="26"/>
      <c r="L10" s="26"/>
      <c r="M10" s="26"/>
      <c r="N10" s="26"/>
      <c r="O10" s="26"/>
      <c r="P10" s="26"/>
      <c r="Q10" s="26"/>
      <c r="R10" s="26"/>
      <c r="S10" s="26"/>
      <c r="T10" s="26"/>
      <c r="U10" s="26"/>
      <c r="V10" s="26"/>
      <c r="W10" s="23"/>
      <c r="X10" s="23"/>
      <c r="Y10" s="124"/>
      <c r="Z10" s="125"/>
      <c r="AA10" s="125"/>
      <c r="AB10" s="126"/>
      <c r="AC10" s="126"/>
      <c r="AD10" s="126"/>
    </row>
    <row r="11" spans="1:30" ht="15" x14ac:dyDescent="0.25">
      <c r="A11" s="32"/>
      <c r="B11" s="26"/>
      <c r="C11" s="26" t="s">
        <v>12</v>
      </c>
      <c r="D11" s="26"/>
      <c r="E11" s="4"/>
      <c r="F11" s="4" t="s">
        <v>13</v>
      </c>
      <c r="G11" s="4"/>
      <c r="H11" s="4"/>
      <c r="I11" s="4"/>
      <c r="J11" s="131"/>
      <c r="K11" s="131"/>
      <c r="L11" s="131"/>
      <c r="M11" s="131"/>
      <c r="N11" s="131"/>
      <c r="O11" s="131"/>
      <c r="P11" s="131"/>
      <c r="Q11" s="131"/>
      <c r="R11" s="116" t="s">
        <v>242</v>
      </c>
      <c r="S11" s="116" t="s">
        <v>243</v>
      </c>
      <c r="T11" s="116" t="s">
        <v>244</v>
      </c>
      <c r="U11" s="116" t="s">
        <v>245</v>
      </c>
      <c r="V11" s="116" t="s">
        <v>246</v>
      </c>
      <c r="W11" s="23"/>
      <c r="X11" s="23"/>
      <c r="Y11" s="127"/>
      <c r="Z11" s="128"/>
      <c r="AA11" s="128"/>
      <c r="AB11" s="128"/>
      <c r="AC11" s="128"/>
      <c r="AD11" s="128"/>
    </row>
    <row r="12" spans="1:30" ht="15" x14ac:dyDescent="0.25">
      <c r="A12" s="32"/>
      <c r="B12" s="26"/>
      <c r="C12" s="26"/>
      <c r="D12" s="26"/>
      <c r="E12" s="4"/>
      <c r="F12" s="4"/>
      <c r="G12" s="4"/>
      <c r="H12" s="4"/>
      <c r="I12" s="4"/>
      <c r="J12" s="131"/>
      <c r="K12" s="131"/>
      <c r="L12" s="131"/>
      <c r="M12" s="131"/>
      <c r="N12" s="131"/>
      <c r="O12" s="131"/>
      <c r="P12" s="131"/>
      <c r="Q12" s="131"/>
      <c r="R12" s="132"/>
      <c r="S12" s="132"/>
      <c r="T12" s="132"/>
      <c r="U12" s="132"/>
      <c r="V12" s="132"/>
      <c r="W12" s="23"/>
      <c r="X12" s="23"/>
      <c r="Y12" s="129"/>
      <c r="Z12" s="128"/>
      <c r="AA12" s="128"/>
      <c r="AB12" s="128"/>
      <c r="AC12" s="128"/>
      <c r="AD12" s="128"/>
    </row>
    <row r="13" spans="1:30" ht="15" x14ac:dyDescent="0.25">
      <c r="A13" s="32"/>
      <c r="B13" s="26"/>
      <c r="C13" s="26" t="s">
        <v>14</v>
      </c>
      <c r="D13" s="26"/>
      <c r="E13" s="4"/>
      <c r="F13" s="4"/>
      <c r="G13" s="4" t="s">
        <v>70</v>
      </c>
      <c r="H13" s="4"/>
      <c r="I13" s="4"/>
      <c r="J13" s="131"/>
      <c r="K13" s="131"/>
      <c r="L13" s="131"/>
      <c r="M13" s="131"/>
      <c r="N13" s="131"/>
      <c r="O13" s="131"/>
      <c r="P13" s="131"/>
      <c r="Q13" s="131"/>
      <c r="R13" s="116" t="s">
        <v>226</v>
      </c>
      <c r="S13" s="116" t="s">
        <v>228</v>
      </c>
      <c r="T13" s="116" t="s">
        <v>230</v>
      </c>
      <c r="U13" s="116" t="s">
        <v>233</v>
      </c>
      <c r="V13" s="116" t="s">
        <v>236</v>
      </c>
      <c r="W13" s="23"/>
      <c r="X13" s="23"/>
      <c r="Y13" s="129"/>
      <c r="Z13" s="128"/>
      <c r="AA13" s="128"/>
      <c r="AB13" s="128"/>
      <c r="AC13" s="128"/>
      <c r="AD13" s="128"/>
    </row>
    <row r="14" spans="1:30" ht="15" x14ac:dyDescent="0.25">
      <c r="A14" s="32"/>
      <c r="B14" s="26"/>
      <c r="C14" s="26"/>
      <c r="D14" s="26"/>
      <c r="E14" s="4"/>
      <c r="F14" s="4"/>
      <c r="G14" s="4"/>
      <c r="H14" s="4"/>
      <c r="I14" s="4"/>
      <c r="J14" s="131"/>
      <c r="K14" s="131"/>
      <c r="L14" s="131"/>
      <c r="M14" s="131"/>
      <c r="N14" s="131"/>
      <c r="O14" s="131"/>
      <c r="P14" s="131"/>
      <c r="Q14" s="131"/>
      <c r="R14" s="132"/>
      <c r="S14" s="132"/>
      <c r="T14" s="132"/>
      <c r="U14" s="132"/>
      <c r="V14" s="132"/>
      <c r="W14" s="23"/>
      <c r="X14" s="23"/>
      <c r="Y14" s="129"/>
      <c r="Z14" s="130"/>
      <c r="AA14" s="130"/>
      <c r="AB14" s="130"/>
      <c r="AC14" s="130"/>
      <c r="AD14" s="130"/>
    </row>
    <row r="15" spans="1:30" ht="15" x14ac:dyDescent="0.25">
      <c r="A15" s="32"/>
      <c r="B15" s="26"/>
      <c r="C15" s="26" t="s">
        <v>15</v>
      </c>
      <c r="D15" s="26"/>
      <c r="E15" s="4"/>
      <c r="F15" s="4"/>
      <c r="G15" s="4" t="s">
        <v>16</v>
      </c>
      <c r="H15" s="4"/>
      <c r="I15" s="4"/>
      <c r="J15" s="131"/>
      <c r="K15" s="131"/>
      <c r="L15" s="131"/>
      <c r="M15" s="131"/>
      <c r="N15" s="131"/>
      <c r="O15" s="131"/>
      <c r="P15" s="131"/>
      <c r="Q15" s="131"/>
      <c r="R15" s="133"/>
      <c r="S15" s="133"/>
      <c r="T15" s="133"/>
      <c r="U15" s="133"/>
      <c r="V15" s="133"/>
      <c r="W15" s="23"/>
      <c r="X15" s="23"/>
      <c r="Y15" s="127"/>
      <c r="Z15" s="128"/>
      <c r="AA15" s="128"/>
      <c r="AB15" s="128"/>
      <c r="AC15" s="128"/>
      <c r="AD15" s="128"/>
    </row>
    <row r="16" spans="1:30" ht="15" x14ac:dyDescent="0.25">
      <c r="A16" s="32"/>
      <c r="B16" s="26"/>
      <c r="C16" s="26"/>
      <c r="D16" s="26" t="s">
        <v>247</v>
      </c>
      <c r="E16" s="4"/>
      <c r="F16" s="4"/>
      <c r="G16" s="4"/>
      <c r="H16" s="4" t="s">
        <v>249</v>
      </c>
      <c r="I16" s="4"/>
      <c r="J16" s="131"/>
      <c r="K16" s="131"/>
      <c r="L16" s="131"/>
      <c r="M16" s="131"/>
      <c r="N16" s="131"/>
      <c r="O16" s="131"/>
      <c r="P16" s="131"/>
      <c r="Q16" s="131"/>
      <c r="R16" s="134" t="s">
        <v>227</v>
      </c>
      <c r="S16" s="134" t="s">
        <v>229</v>
      </c>
      <c r="T16" s="134" t="s">
        <v>231</v>
      </c>
      <c r="U16" s="134" t="s">
        <v>234</v>
      </c>
      <c r="V16" s="134" t="s">
        <v>237</v>
      </c>
      <c r="W16" s="23"/>
      <c r="X16" s="23"/>
      <c r="Y16" s="127"/>
      <c r="Z16" s="128"/>
      <c r="AA16" s="128"/>
      <c r="AB16" s="128"/>
      <c r="AC16" s="128"/>
      <c r="AD16" s="128"/>
    </row>
    <row r="17" spans="1:28" x14ac:dyDescent="0.3">
      <c r="A17" s="32"/>
      <c r="B17" s="26"/>
      <c r="C17" s="26"/>
      <c r="D17" s="26" t="s">
        <v>248</v>
      </c>
      <c r="E17" s="4"/>
      <c r="F17" s="4"/>
      <c r="G17" s="4"/>
      <c r="H17" s="4" t="s">
        <v>250</v>
      </c>
      <c r="I17" s="4"/>
      <c r="J17" s="131"/>
      <c r="K17" s="131"/>
      <c r="L17" s="131"/>
      <c r="M17" s="131"/>
      <c r="N17" s="131"/>
      <c r="O17" s="131"/>
      <c r="P17" s="131"/>
      <c r="Q17" s="131"/>
      <c r="R17" s="135" t="s">
        <v>202</v>
      </c>
      <c r="S17" s="135" t="s">
        <v>203</v>
      </c>
      <c r="T17" s="135" t="s">
        <v>232</v>
      </c>
      <c r="U17" s="135" t="s">
        <v>235</v>
      </c>
      <c r="V17" s="135" t="s">
        <v>238</v>
      </c>
      <c r="W17" s="23"/>
      <c r="X17" s="23"/>
      <c r="Y17" s="23"/>
      <c r="Z17" s="23"/>
      <c r="AA17" s="23"/>
      <c r="AB17" s="23"/>
    </row>
    <row r="18" spans="1:28" ht="15" x14ac:dyDescent="0.25">
      <c r="A18" s="32"/>
      <c r="B18" s="26"/>
      <c r="C18" s="26"/>
      <c r="D18" s="26"/>
      <c r="E18" s="4"/>
      <c r="F18" s="4"/>
      <c r="G18" s="4"/>
      <c r="H18" s="4"/>
      <c r="I18" s="4"/>
      <c r="J18" s="131"/>
      <c r="K18" s="131"/>
      <c r="L18" s="131"/>
      <c r="M18" s="131"/>
      <c r="N18" s="131"/>
      <c r="O18" s="131"/>
      <c r="P18" s="131"/>
      <c r="Q18" s="131"/>
      <c r="R18" s="132"/>
      <c r="S18" s="132"/>
      <c r="T18" s="132"/>
      <c r="U18" s="132"/>
      <c r="V18" s="132"/>
      <c r="W18" s="23"/>
      <c r="X18" s="23"/>
      <c r="Y18" s="23"/>
      <c r="Z18" s="23"/>
      <c r="AA18" s="23"/>
      <c r="AB18" s="23"/>
    </row>
    <row r="19" spans="1:28" ht="15" x14ac:dyDescent="0.25">
      <c r="A19" s="32"/>
      <c r="B19" s="26"/>
      <c r="C19" s="26" t="s">
        <v>21</v>
      </c>
      <c r="D19" s="26"/>
      <c r="E19" s="4"/>
      <c r="F19" s="10"/>
      <c r="G19" s="4" t="s">
        <v>22</v>
      </c>
      <c r="H19" s="4"/>
      <c r="I19" s="4"/>
      <c r="J19" s="131"/>
      <c r="K19" s="131"/>
      <c r="L19" s="131"/>
      <c r="M19" s="131"/>
      <c r="N19" s="131"/>
      <c r="O19" s="131"/>
      <c r="P19" s="131"/>
      <c r="Q19" s="131"/>
      <c r="R19" s="116" t="s">
        <v>239</v>
      </c>
      <c r="S19" s="116" t="s">
        <v>240</v>
      </c>
      <c r="T19" s="116" t="s">
        <v>229</v>
      </c>
      <c r="U19" s="116" t="s">
        <v>201</v>
      </c>
      <c r="V19" s="116" t="s">
        <v>241</v>
      </c>
      <c r="W19" s="23"/>
      <c r="X19" s="23"/>
      <c r="Y19" s="23"/>
      <c r="Z19" s="23"/>
      <c r="AA19" s="23"/>
      <c r="AB19" s="23"/>
    </row>
    <row r="20" spans="1:28" ht="15" x14ac:dyDescent="0.25">
      <c r="A20" s="32"/>
      <c r="B20" s="26"/>
      <c r="C20" s="26"/>
      <c r="D20" s="26" t="s">
        <v>23</v>
      </c>
      <c r="E20" s="4"/>
      <c r="F20" s="4"/>
      <c r="G20" s="4"/>
      <c r="H20" s="4" t="s">
        <v>24</v>
      </c>
      <c r="I20" s="4"/>
      <c r="J20" s="26"/>
      <c r="K20" s="26"/>
      <c r="L20" s="26"/>
      <c r="M20" s="26"/>
      <c r="N20" s="26"/>
      <c r="O20" s="26"/>
      <c r="P20" s="26"/>
      <c r="Q20" s="26"/>
      <c r="R20" s="132"/>
      <c r="S20" s="132"/>
      <c r="T20" s="132"/>
      <c r="U20" s="132"/>
      <c r="V20" s="132"/>
      <c r="W20" s="23"/>
      <c r="X20" s="23"/>
      <c r="Y20" s="23"/>
      <c r="Z20" s="23"/>
      <c r="AA20" s="23"/>
      <c r="AB20" s="23"/>
    </row>
    <row r="21" spans="1:28" ht="15" x14ac:dyDescent="0.25">
      <c r="A21" s="32"/>
      <c r="B21" s="26"/>
      <c r="C21" s="26"/>
      <c r="D21" s="26"/>
      <c r="E21" s="4"/>
      <c r="F21" s="4"/>
      <c r="G21" s="4"/>
      <c r="H21" s="4"/>
      <c r="I21" s="4"/>
      <c r="J21" s="26"/>
      <c r="K21" s="26"/>
      <c r="L21" s="26"/>
      <c r="M21" s="26"/>
      <c r="N21" s="26"/>
      <c r="O21" s="26"/>
      <c r="P21" s="26"/>
      <c r="Q21" s="26"/>
      <c r="R21" s="132"/>
      <c r="S21" s="132"/>
      <c r="T21" s="132"/>
      <c r="U21" s="132"/>
      <c r="V21" s="132"/>
      <c r="W21" s="23"/>
      <c r="X21" s="4"/>
      <c r="Y21" s="10"/>
      <c r="Z21" s="10"/>
      <c r="AA21" s="10"/>
      <c r="AB21" s="10"/>
    </row>
    <row r="22" spans="1:28" ht="15" x14ac:dyDescent="0.25">
      <c r="A22" s="32"/>
      <c r="B22" s="32"/>
      <c r="C22" s="32"/>
      <c r="D22" s="32"/>
      <c r="E22" s="4"/>
      <c r="F22" s="4"/>
      <c r="G22" s="4"/>
      <c r="H22" s="4"/>
      <c r="I22" s="4"/>
      <c r="J22" s="26"/>
      <c r="K22" s="26"/>
      <c r="L22" s="26"/>
      <c r="M22" s="26"/>
      <c r="N22" s="26"/>
      <c r="O22" s="26"/>
      <c r="P22" s="26"/>
      <c r="Q22" s="26"/>
      <c r="R22" s="132"/>
      <c r="S22" s="132"/>
      <c r="T22" s="132"/>
      <c r="U22" s="132"/>
      <c r="V22" s="132"/>
      <c r="W22" s="23"/>
      <c r="X22" s="23"/>
      <c r="Y22" s="23"/>
      <c r="Z22" s="23"/>
      <c r="AA22" s="23"/>
      <c r="AB22" s="23"/>
    </row>
    <row r="23" spans="1:28" ht="15" x14ac:dyDescent="0.25">
      <c r="A23" s="32"/>
      <c r="B23" s="32"/>
      <c r="C23" s="32"/>
      <c r="D23" s="32"/>
      <c r="E23" s="4"/>
      <c r="F23" s="4"/>
      <c r="G23" s="4"/>
      <c r="H23" s="4"/>
      <c r="I23" s="4"/>
      <c r="J23" s="32"/>
      <c r="K23" s="32"/>
      <c r="L23" s="32"/>
      <c r="M23" s="32"/>
      <c r="N23" s="32"/>
      <c r="O23" s="32"/>
      <c r="P23" s="32"/>
      <c r="Q23" s="32"/>
      <c r="R23" s="136"/>
      <c r="S23" s="136"/>
      <c r="T23" s="136"/>
      <c r="U23" s="136"/>
      <c r="V23" s="136"/>
      <c r="W23" s="23"/>
      <c r="X23" s="23"/>
      <c r="Y23" s="23"/>
      <c r="Z23" s="23"/>
      <c r="AA23" s="23"/>
      <c r="AB23" s="23"/>
    </row>
    <row r="24" spans="1:28" ht="15" thickBot="1" x14ac:dyDescent="0.35">
      <c r="A24" s="36"/>
      <c r="B24" s="359" t="s">
        <v>204</v>
      </c>
      <c r="C24" s="36"/>
      <c r="D24" s="36"/>
      <c r="E24" s="120" t="s">
        <v>207</v>
      </c>
      <c r="R24" s="137"/>
      <c r="S24" s="137"/>
      <c r="T24" s="137"/>
      <c r="U24" s="137"/>
      <c r="V24" s="137"/>
    </row>
    <row r="25" spans="1:28" ht="15" thickBot="1" x14ac:dyDescent="0.35">
      <c r="A25" s="36"/>
      <c r="B25" s="36"/>
      <c r="C25" s="36" t="s">
        <v>205</v>
      </c>
      <c r="D25" s="36"/>
      <c r="F25" s="121" t="s">
        <v>208</v>
      </c>
      <c r="R25" s="116" t="s">
        <v>211</v>
      </c>
      <c r="S25" s="116" t="s">
        <v>212</v>
      </c>
      <c r="T25" s="116" t="s">
        <v>213</v>
      </c>
      <c r="U25" s="116" t="s">
        <v>214</v>
      </c>
      <c r="V25" s="116" t="s">
        <v>215</v>
      </c>
      <c r="W25" s="23"/>
    </row>
    <row r="26" spans="1:28" x14ac:dyDescent="0.3">
      <c r="A26" s="36"/>
      <c r="B26" s="36"/>
      <c r="C26" s="36" t="s">
        <v>206</v>
      </c>
      <c r="D26" s="36"/>
      <c r="F26" s="122" t="s">
        <v>209</v>
      </c>
      <c r="R26" s="116" t="s">
        <v>216</v>
      </c>
      <c r="S26" s="116" t="s">
        <v>217</v>
      </c>
      <c r="T26" s="116" t="s">
        <v>218</v>
      </c>
      <c r="U26" s="116" t="s">
        <v>219</v>
      </c>
      <c r="V26" s="116" t="s">
        <v>220</v>
      </c>
      <c r="W26" s="23"/>
    </row>
    <row r="27" spans="1:28" ht="15" x14ac:dyDescent="0.25">
      <c r="A27" s="36"/>
      <c r="B27" s="36"/>
      <c r="C27" s="36" t="s">
        <v>158</v>
      </c>
      <c r="D27" s="36"/>
      <c r="F27" s="122" t="s">
        <v>210</v>
      </c>
      <c r="R27" s="116" t="s">
        <v>221</v>
      </c>
      <c r="S27" s="116" t="s">
        <v>222</v>
      </c>
      <c r="T27" s="116" t="s">
        <v>223</v>
      </c>
      <c r="U27" s="116" t="s">
        <v>224</v>
      </c>
      <c r="V27" s="116" t="s">
        <v>225</v>
      </c>
      <c r="W27" s="23"/>
    </row>
  </sheetData>
  <mergeCells count="4">
    <mergeCell ref="A1:V1"/>
    <mergeCell ref="J3:V3"/>
    <mergeCell ref="J8:V8"/>
    <mergeCell ref="J6:V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79"/>
  <sheetViews>
    <sheetView topLeftCell="H1" workbookViewId="0">
      <pane ySplit="4" topLeftCell="A5" activePane="bottomLeft" state="frozen"/>
      <selection pane="bottomLeft" activeCell="I22" sqref="I22"/>
    </sheetView>
  </sheetViews>
  <sheetFormatPr baseColWidth="10" defaultColWidth="9.109375" defaultRowHeight="14.4" x14ac:dyDescent="0.3"/>
  <cols>
    <col min="1" max="1" width="2.109375" style="36" customWidth="1"/>
    <col min="2" max="2" width="2.33203125" style="36" customWidth="1"/>
    <col min="3" max="3" width="1.88671875" style="36" customWidth="1"/>
    <col min="4" max="4" width="32.5546875" style="36" customWidth="1"/>
    <col min="5" max="5" width="7.33203125" style="8" customWidth="1"/>
    <col min="6" max="6" width="5.33203125" style="8" customWidth="1"/>
    <col min="7" max="7" width="2.88671875" style="8" customWidth="1"/>
    <col min="8" max="9" width="53.5546875" style="8" customWidth="1"/>
    <col min="10" max="10" width="6.6640625" style="8" customWidth="1"/>
    <col min="11" max="11" width="9.109375" style="8" customWidth="1"/>
    <col min="12" max="12" width="9.109375" style="19" customWidth="1"/>
    <col min="13" max="13" width="6.44140625" style="19" customWidth="1"/>
    <col min="14" max="14" width="5.88671875" style="23" customWidth="1"/>
    <col min="15" max="15" width="6" style="23" customWidth="1"/>
    <col min="16" max="16" width="6.5546875" style="23" customWidth="1"/>
    <col min="17" max="17" width="7.109375" style="19" customWidth="1"/>
    <col min="18" max="18" width="7.5546875" style="19" customWidth="1"/>
    <col min="19" max="19" width="8" style="23" customWidth="1"/>
    <col min="20" max="20" width="7.5546875" style="23" customWidth="1"/>
    <col min="21" max="21" width="7.109375" style="23" customWidth="1"/>
    <col min="22" max="22" width="7.44140625" style="23" customWidth="1"/>
    <col min="23" max="24" width="8.33203125" style="19" customWidth="1"/>
    <col min="25" max="25" width="7.44140625" style="23" customWidth="1"/>
    <col min="26" max="26" width="8.6640625" style="23" customWidth="1"/>
    <col min="27" max="27" width="8.5546875" style="23" customWidth="1"/>
    <col min="28" max="28" width="11.109375" style="23" customWidth="1"/>
    <col min="29" max="29" width="2" style="23" customWidth="1"/>
    <col min="30" max="16384" width="9.109375" style="23"/>
  </cols>
  <sheetData>
    <row r="1" spans="1:35" ht="24" thickBot="1" x14ac:dyDescent="0.4">
      <c r="A1" s="367" t="s">
        <v>186</v>
      </c>
      <c r="B1" s="367"/>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row>
    <row r="2" spans="1:35" ht="18.75" x14ac:dyDescent="0.3">
      <c r="A2" s="31"/>
      <c r="B2" s="31"/>
      <c r="C2" s="31"/>
      <c r="D2" s="31"/>
      <c r="E2" s="1"/>
      <c r="F2" s="1"/>
      <c r="G2" s="1"/>
      <c r="H2" s="1"/>
      <c r="I2" s="1"/>
      <c r="J2" s="1"/>
      <c r="K2" s="1"/>
      <c r="L2" s="16"/>
      <c r="M2" s="16"/>
      <c r="N2" s="1"/>
      <c r="O2" s="1"/>
      <c r="P2" s="1"/>
      <c r="Q2" s="16"/>
      <c r="R2" s="16"/>
      <c r="S2" s="1"/>
      <c r="T2" s="1"/>
      <c r="U2" s="1"/>
      <c r="V2" s="1"/>
      <c r="W2" s="16"/>
      <c r="X2" s="5"/>
      <c r="Y2" s="2"/>
      <c r="Z2" s="2"/>
      <c r="AA2" s="2"/>
      <c r="AB2" s="2"/>
      <c r="AD2" s="63" t="s">
        <v>0</v>
      </c>
      <c r="AE2" s="9"/>
      <c r="AF2" s="9"/>
      <c r="AG2" s="9"/>
      <c r="AH2" s="9"/>
      <c r="AI2" s="9"/>
    </row>
    <row r="3" spans="1:35" ht="16.5" x14ac:dyDescent="0.25">
      <c r="A3" s="355" t="s">
        <v>1</v>
      </c>
      <c r="B3" s="32"/>
      <c r="C3" s="32"/>
      <c r="D3" s="32"/>
      <c r="E3" s="3" t="s">
        <v>179</v>
      </c>
      <c r="F3" s="2"/>
      <c r="G3" s="30"/>
      <c r="H3" s="30"/>
      <c r="I3" s="97"/>
      <c r="J3" s="363" t="s">
        <v>80</v>
      </c>
      <c r="K3" s="363"/>
      <c r="L3" s="363"/>
      <c r="M3" s="363"/>
      <c r="N3" s="363"/>
      <c r="O3" s="363"/>
      <c r="P3" s="363"/>
      <c r="Q3" s="363"/>
      <c r="R3" s="363"/>
      <c r="S3" s="363"/>
      <c r="T3" s="363"/>
      <c r="U3" s="363"/>
      <c r="V3" s="363"/>
      <c r="W3" s="363"/>
      <c r="X3" s="363"/>
      <c r="Y3" s="363"/>
      <c r="Z3" s="363"/>
      <c r="AA3" s="363"/>
      <c r="AB3" s="363"/>
    </row>
    <row r="4" spans="1:35" ht="15" x14ac:dyDescent="0.25">
      <c r="A4" s="32"/>
      <c r="B4" s="32"/>
      <c r="C4" s="32"/>
      <c r="D4" s="32"/>
      <c r="E4" s="2"/>
      <c r="F4" s="2"/>
      <c r="G4" s="39"/>
      <c r="H4" s="39"/>
      <c r="I4" s="39"/>
      <c r="J4" s="25">
        <f t="shared" ref="J4:Z4" si="0">K4-1</f>
        <v>2001</v>
      </c>
      <c r="K4" s="25">
        <f t="shared" si="0"/>
        <v>2002</v>
      </c>
      <c r="L4" s="25">
        <f t="shared" si="0"/>
        <v>2003</v>
      </c>
      <c r="M4" s="25">
        <f t="shared" si="0"/>
        <v>2004</v>
      </c>
      <c r="N4" s="25">
        <f t="shared" si="0"/>
        <v>2005</v>
      </c>
      <c r="O4" s="25">
        <f t="shared" si="0"/>
        <v>2006</v>
      </c>
      <c r="P4" s="25">
        <f t="shared" si="0"/>
        <v>2007</v>
      </c>
      <c r="Q4" s="25">
        <f t="shared" si="0"/>
        <v>2008</v>
      </c>
      <c r="R4" s="25">
        <f t="shared" si="0"/>
        <v>2009</v>
      </c>
      <c r="S4" s="25">
        <f t="shared" si="0"/>
        <v>2010</v>
      </c>
      <c r="T4" s="25">
        <f t="shared" si="0"/>
        <v>2011</v>
      </c>
      <c r="U4" s="25">
        <f t="shared" si="0"/>
        <v>2012</v>
      </c>
      <c r="V4" s="25">
        <f t="shared" si="0"/>
        <v>2013</v>
      </c>
      <c r="W4" s="25">
        <f t="shared" si="0"/>
        <v>2014</v>
      </c>
      <c r="X4" s="25">
        <f t="shared" si="0"/>
        <v>2015</v>
      </c>
      <c r="Y4" s="25">
        <f t="shared" si="0"/>
        <v>2016</v>
      </c>
      <c r="Z4" s="25">
        <f t="shared" si="0"/>
        <v>2017</v>
      </c>
      <c r="AA4" s="25">
        <f>AB4-1</f>
        <v>2018</v>
      </c>
      <c r="AB4" s="25">
        <v>2019</v>
      </c>
      <c r="AD4" s="12"/>
      <c r="AE4" s="23" t="s">
        <v>123</v>
      </c>
    </row>
    <row r="5" spans="1:35" ht="15" x14ac:dyDescent="0.25">
      <c r="B5" s="32" t="s">
        <v>3</v>
      </c>
      <c r="C5" s="32"/>
      <c r="D5" s="32"/>
      <c r="E5" s="2" t="s">
        <v>4</v>
      </c>
      <c r="F5" s="2"/>
      <c r="G5" s="2"/>
      <c r="H5" s="2"/>
      <c r="I5" s="2"/>
      <c r="J5" s="2"/>
      <c r="K5" s="2"/>
      <c r="L5" s="5"/>
      <c r="M5" s="5"/>
      <c r="N5" s="2"/>
      <c r="O5" s="2"/>
      <c r="P5" s="2"/>
      <c r="Q5" s="5"/>
      <c r="R5" s="5"/>
      <c r="S5" s="2"/>
      <c r="T5" s="2"/>
      <c r="U5" s="2"/>
      <c r="V5" s="2"/>
      <c r="W5" s="5"/>
      <c r="X5" s="5"/>
      <c r="Y5" s="2"/>
      <c r="Z5" s="2"/>
      <c r="AA5" s="5"/>
      <c r="AB5" s="5"/>
      <c r="AD5" s="13"/>
      <c r="AE5" s="23" t="s">
        <v>5</v>
      </c>
    </row>
    <row r="6" spans="1:35" ht="15" x14ac:dyDescent="0.25">
      <c r="A6" s="32"/>
      <c r="B6" s="32"/>
      <c r="C6" s="32"/>
      <c r="D6" s="32"/>
      <c r="E6" s="2"/>
      <c r="F6" s="2"/>
      <c r="G6" s="2"/>
      <c r="H6" s="2"/>
      <c r="I6" s="2"/>
      <c r="J6" s="2"/>
      <c r="K6" s="2"/>
      <c r="L6" s="368" t="s">
        <v>124</v>
      </c>
      <c r="M6" s="368"/>
      <c r="N6" s="368"/>
      <c r="O6" s="368"/>
      <c r="P6" s="368"/>
      <c r="Q6" s="368"/>
      <c r="R6" s="368"/>
      <c r="S6" s="368"/>
      <c r="T6" s="368"/>
      <c r="U6" s="368"/>
      <c r="V6" s="368"/>
      <c r="W6" s="368"/>
      <c r="X6" s="368"/>
      <c r="Y6" s="368"/>
      <c r="Z6" s="368"/>
      <c r="AA6" s="368"/>
      <c r="AB6" s="368"/>
      <c r="AD6" s="14"/>
      <c r="AE6" s="23" t="s">
        <v>125</v>
      </c>
    </row>
    <row r="7" spans="1:35" ht="15" x14ac:dyDescent="0.25">
      <c r="A7" s="32"/>
      <c r="B7" s="347"/>
      <c r="C7" s="32"/>
      <c r="D7" s="32"/>
      <c r="E7" s="2"/>
      <c r="F7" s="2"/>
      <c r="G7" s="2"/>
      <c r="H7" s="2"/>
      <c r="I7" s="2"/>
      <c r="J7" s="2"/>
      <c r="K7" s="2"/>
      <c r="L7" s="5"/>
      <c r="M7" s="5"/>
      <c r="N7" s="2"/>
      <c r="O7" s="2"/>
      <c r="P7" s="2"/>
      <c r="Q7" s="5"/>
      <c r="R7" s="5"/>
      <c r="S7" s="2"/>
      <c r="T7" s="2"/>
      <c r="U7" s="2"/>
      <c r="V7" s="2"/>
      <c r="W7" s="5"/>
      <c r="X7" s="5"/>
      <c r="Y7" s="2"/>
      <c r="Z7" s="2"/>
      <c r="AA7" s="5"/>
      <c r="AB7" s="5"/>
      <c r="AD7" s="15"/>
      <c r="AE7" s="23" t="s">
        <v>8</v>
      </c>
    </row>
    <row r="8" spans="1:35" ht="15" x14ac:dyDescent="0.25">
      <c r="A8" s="32"/>
      <c r="B8" s="347" t="s">
        <v>126</v>
      </c>
      <c r="C8" s="32"/>
      <c r="D8" s="32"/>
      <c r="E8" s="2"/>
      <c r="F8" s="2"/>
      <c r="G8" s="2"/>
      <c r="H8" s="2"/>
      <c r="I8" s="2"/>
      <c r="J8" s="2"/>
      <c r="K8" s="2"/>
      <c r="L8" s="5"/>
      <c r="M8" s="5"/>
      <c r="N8" s="2"/>
      <c r="O8" s="2"/>
      <c r="P8" s="2"/>
      <c r="Q8" s="5"/>
      <c r="R8" s="5"/>
      <c r="S8" s="2"/>
      <c r="T8" s="2"/>
      <c r="U8" s="2"/>
      <c r="V8" s="2"/>
      <c r="W8" s="5"/>
      <c r="X8" s="5"/>
      <c r="Y8" s="2"/>
      <c r="Z8" s="2"/>
      <c r="AA8" s="5"/>
      <c r="AB8" s="5"/>
      <c r="AD8" s="170"/>
      <c r="AE8" s="102" t="s">
        <v>199</v>
      </c>
    </row>
    <row r="9" spans="1:35" ht="15" x14ac:dyDescent="0.25">
      <c r="A9" s="32"/>
      <c r="B9" s="32"/>
      <c r="C9" s="32"/>
      <c r="D9" s="32"/>
      <c r="E9" s="2"/>
      <c r="F9" s="2"/>
      <c r="G9" s="2"/>
      <c r="H9" s="2"/>
      <c r="I9" s="2"/>
      <c r="J9" s="2"/>
      <c r="K9" s="2"/>
      <c r="L9" s="5"/>
      <c r="M9" s="5"/>
      <c r="N9" s="2"/>
      <c r="O9" s="2"/>
      <c r="P9" s="2"/>
      <c r="Q9" s="5"/>
      <c r="R9" s="5"/>
      <c r="S9" s="2"/>
      <c r="T9" s="2"/>
      <c r="U9" s="2"/>
      <c r="V9" s="2"/>
      <c r="W9" s="5"/>
      <c r="X9" s="5"/>
      <c r="Y9" s="2"/>
      <c r="Z9" s="2"/>
      <c r="AA9" s="5"/>
      <c r="AB9" s="5"/>
    </row>
    <row r="10" spans="1:35" ht="15" x14ac:dyDescent="0.25">
      <c r="A10" s="32"/>
      <c r="B10" s="32" t="s">
        <v>127</v>
      </c>
      <c r="C10" s="32"/>
      <c r="D10" s="32"/>
      <c r="E10" s="2" t="s">
        <v>128</v>
      </c>
      <c r="F10" s="2"/>
      <c r="G10" s="2"/>
      <c r="H10" s="2"/>
      <c r="I10" s="2"/>
      <c r="J10" s="2"/>
      <c r="K10" s="2"/>
      <c r="L10" s="369"/>
      <c r="M10" s="369"/>
      <c r="N10" s="369"/>
      <c r="O10" s="369"/>
      <c r="P10" s="369"/>
      <c r="Q10" s="369"/>
      <c r="R10" s="369"/>
      <c r="S10" s="369"/>
      <c r="T10" s="369"/>
      <c r="U10" s="369"/>
      <c r="V10" s="369"/>
      <c r="W10" s="369"/>
      <c r="X10" s="369"/>
      <c r="Y10" s="369"/>
      <c r="Z10" s="369"/>
      <c r="AA10" s="369"/>
      <c r="AB10" s="369"/>
    </row>
    <row r="11" spans="1:35" ht="15" x14ac:dyDescent="0.25">
      <c r="A11" s="32"/>
      <c r="B11" s="32"/>
      <c r="C11" s="32"/>
      <c r="D11" s="32"/>
      <c r="E11" s="2"/>
      <c r="F11" s="2" t="s">
        <v>190</v>
      </c>
      <c r="G11" s="2"/>
      <c r="H11" s="2"/>
      <c r="I11" s="2"/>
      <c r="J11" s="116">
        <v>435.8</v>
      </c>
      <c r="K11" s="117">
        <v>375.1</v>
      </c>
      <c r="L11" s="116">
        <v>997.2</v>
      </c>
      <c r="M11" s="116">
        <v>520.79999999999995</v>
      </c>
      <c r="N11" s="116">
        <v>677.3</v>
      </c>
      <c r="O11" s="117">
        <v>784.7</v>
      </c>
      <c r="P11" s="116">
        <v>732.7</v>
      </c>
      <c r="Q11" s="116">
        <v>784.8</v>
      </c>
      <c r="R11" s="118">
        <v>1440</v>
      </c>
      <c r="S11" s="118">
        <v>1152.5999999999999</v>
      </c>
      <c r="T11" s="118">
        <v>1261.7</v>
      </c>
      <c r="U11" s="118">
        <v>1041.5999999999999</v>
      </c>
      <c r="V11" s="118">
        <v>1401.3</v>
      </c>
      <c r="W11" s="118">
        <v>1786.3</v>
      </c>
      <c r="X11" s="118">
        <v>1768.6</v>
      </c>
      <c r="Y11" s="118">
        <v>1087.8</v>
      </c>
      <c r="Z11" s="118">
        <v>2045.5</v>
      </c>
      <c r="AA11" s="118">
        <v>1629.7</v>
      </c>
      <c r="AB11" s="118">
        <v>2277.1</v>
      </c>
    </row>
    <row r="12" spans="1:35" ht="15" x14ac:dyDescent="0.25">
      <c r="A12" s="32"/>
      <c r="B12" s="32"/>
      <c r="C12" s="32" t="s">
        <v>331</v>
      </c>
      <c r="D12" s="32"/>
      <c r="E12" s="2"/>
      <c r="F12" s="2" t="s">
        <v>130</v>
      </c>
      <c r="G12" s="2"/>
      <c r="H12" s="2"/>
      <c r="I12" s="2"/>
      <c r="J12" s="111">
        <v>435.8</v>
      </c>
      <c r="K12" s="111">
        <v>355.4</v>
      </c>
      <c r="L12" s="114">
        <v>984</v>
      </c>
      <c r="M12" s="114">
        <v>483.3</v>
      </c>
      <c r="N12" s="114">
        <v>628.5</v>
      </c>
      <c r="O12" s="114">
        <v>777.6</v>
      </c>
      <c r="P12" s="114">
        <v>711.4</v>
      </c>
      <c r="Q12" s="114">
        <v>806</v>
      </c>
      <c r="R12" s="114">
        <v>1438.3</v>
      </c>
      <c r="S12" s="114">
        <v>1128.0999999999999</v>
      </c>
      <c r="T12" s="114">
        <v>1230.2</v>
      </c>
      <c r="U12" s="114">
        <v>984.8</v>
      </c>
      <c r="V12" s="114">
        <v>1386.5</v>
      </c>
      <c r="W12" s="114">
        <v>1808</v>
      </c>
      <c r="X12" s="114">
        <v>1837.9</v>
      </c>
      <c r="Y12" s="114">
        <v>1346.6</v>
      </c>
      <c r="Z12" s="114">
        <v>2033.4</v>
      </c>
      <c r="AA12" s="115">
        <v>1635.4</v>
      </c>
      <c r="AB12" s="114">
        <v>2241.3000000000002</v>
      </c>
      <c r="AD12" s="23" t="s">
        <v>188</v>
      </c>
    </row>
    <row r="13" spans="1:35" ht="15" x14ac:dyDescent="0.25">
      <c r="A13" s="32"/>
      <c r="B13" s="32"/>
      <c r="C13" s="32"/>
      <c r="D13" s="32" t="s">
        <v>102</v>
      </c>
      <c r="E13" s="2"/>
      <c r="F13" s="2"/>
      <c r="G13" s="2" t="s">
        <v>182</v>
      </c>
      <c r="H13" s="2"/>
      <c r="I13" s="2"/>
      <c r="J13" s="2"/>
      <c r="K13" s="2"/>
      <c r="L13" s="69"/>
      <c r="M13" s="69"/>
      <c r="N13" s="70"/>
      <c r="O13" s="70"/>
      <c r="P13" s="70"/>
      <c r="Q13" s="69"/>
      <c r="R13" s="69"/>
      <c r="S13" s="70"/>
      <c r="T13" s="70"/>
      <c r="U13" s="70"/>
      <c r="V13" s="70"/>
      <c r="W13" s="69"/>
      <c r="X13" s="69"/>
      <c r="Y13" s="94"/>
      <c r="Z13" s="70"/>
      <c r="AA13" s="69"/>
      <c r="AB13" s="95"/>
      <c r="AD13" s="23" t="s">
        <v>200</v>
      </c>
    </row>
    <row r="14" spans="1:35" ht="15" x14ac:dyDescent="0.25">
      <c r="A14" s="32"/>
      <c r="B14" s="32"/>
      <c r="C14" s="32"/>
      <c r="D14" s="32" t="s">
        <v>131</v>
      </c>
      <c r="E14" s="2"/>
      <c r="F14" s="2"/>
      <c r="G14" s="2" t="s">
        <v>181</v>
      </c>
      <c r="H14" s="2"/>
      <c r="I14" s="2"/>
      <c r="J14" s="2"/>
      <c r="K14" s="2"/>
      <c r="L14" s="69"/>
      <c r="M14" s="69"/>
      <c r="N14" s="70"/>
      <c r="O14" s="70"/>
      <c r="P14" s="70"/>
      <c r="Q14" s="69"/>
      <c r="R14" s="69"/>
      <c r="S14" s="70"/>
      <c r="T14" s="70"/>
      <c r="U14" s="70"/>
      <c r="V14" s="70"/>
      <c r="W14" s="69"/>
      <c r="X14" s="69"/>
      <c r="Y14" s="94"/>
      <c r="Z14" s="70"/>
      <c r="AA14" s="69"/>
      <c r="AB14" s="95"/>
    </row>
    <row r="15" spans="1:35" ht="15" x14ac:dyDescent="0.25">
      <c r="A15" s="32"/>
      <c r="B15" s="32"/>
      <c r="C15" s="32"/>
      <c r="D15" s="32" t="s">
        <v>132</v>
      </c>
      <c r="E15" s="2"/>
      <c r="F15" s="2"/>
      <c r="G15" s="2" t="s">
        <v>133</v>
      </c>
      <c r="H15" s="2"/>
      <c r="I15" s="2"/>
      <c r="J15" s="2"/>
      <c r="K15" s="2"/>
      <c r="L15" s="69"/>
      <c r="M15" s="69"/>
      <c r="N15" s="70"/>
      <c r="O15" s="70"/>
      <c r="P15" s="70"/>
      <c r="Q15" s="69"/>
      <c r="R15" s="69"/>
      <c r="S15" s="70"/>
      <c r="T15" s="70"/>
      <c r="U15" s="70"/>
      <c r="V15" s="70"/>
      <c r="W15" s="69"/>
      <c r="X15" s="69"/>
      <c r="Y15" s="94"/>
      <c r="Z15" s="70"/>
      <c r="AA15" s="69"/>
      <c r="AB15" s="95"/>
    </row>
    <row r="16" spans="1:35" ht="15" x14ac:dyDescent="0.25">
      <c r="A16" s="32"/>
      <c r="B16" s="32"/>
      <c r="C16" s="32"/>
      <c r="D16" s="32" t="s">
        <v>134</v>
      </c>
      <c r="E16" s="2"/>
      <c r="F16" s="2"/>
      <c r="G16" s="2" t="s">
        <v>180</v>
      </c>
      <c r="H16" s="2"/>
      <c r="I16" s="2"/>
      <c r="J16" s="2"/>
      <c r="K16" s="2"/>
      <c r="L16" s="69"/>
      <c r="M16" s="69"/>
      <c r="N16" s="70"/>
      <c r="O16" s="70"/>
      <c r="P16" s="70"/>
      <c r="Q16" s="69"/>
      <c r="R16" s="69"/>
      <c r="S16" s="70"/>
      <c r="T16" s="70"/>
      <c r="U16" s="70"/>
      <c r="V16" s="70"/>
      <c r="W16" s="69"/>
      <c r="X16" s="69"/>
      <c r="Y16" s="94"/>
      <c r="Z16" s="70"/>
      <c r="AA16" s="69"/>
      <c r="AB16" s="95"/>
    </row>
    <row r="17" spans="1:33" ht="15" x14ac:dyDescent="0.25">
      <c r="A17" s="32"/>
      <c r="B17" s="32"/>
      <c r="C17" s="32"/>
      <c r="D17" s="32"/>
      <c r="E17" s="2"/>
      <c r="F17" s="2"/>
      <c r="G17" s="2" t="s">
        <v>135</v>
      </c>
      <c r="H17" s="2"/>
      <c r="I17" s="2"/>
      <c r="J17" s="2"/>
      <c r="K17" s="2"/>
      <c r="L17" s="69"/>
      <c r="M17" s="69"/>
      <c r="N17" s="70"/>
      <c r="O17" s="70"/>
      <c r="P17" s="70"/>
      <c r="Q17" s="69"/>
      <c r="R17" s="69"/>
      <c r="S17" s="70"/>
      <c r="T17" s="70"/>
      <c r="U17" s="70"/>
      <c r="V17" s="70"/>
      <c r="W17" s="69"/>
      <c r="X17" s="69"/>
      <c r="Y17" s="94"/>
      <c r="Z17" s="70"/>
      <c r="AA17" s="69"/>
      <c r="AB17" s="69"/>
    </row>
    <row r="18" spans="1:33" ht="15" x14ac:dyDescent="0.25">
      <c r="A18" s="32"/>
      <c r="B18" s="32"/>
      <c r="C18" s="32"/>
      <c r="D18" s="32"/>
      <c r="E18" s="2"/>
      <c r="F18" s="2"/>
      <c r="G18" s="2"/>
      <c r="H18" s="2"/>
      <c r="I18" s="2"/>
      <c r="J18" s="2"/>
      <c r="K18" s="2"/>
      <c r="L18" s="64"/>
      <c r="M18" s="64"/>
      <c r="N18" s="65"/>
      <c r="O18" s="65"/>
      <c r="P18" s="65"/>
      <c r="Q18" s="64"/>
      <c r="R18" s="64"/>
      <c r="S18" s="65"/>
      <c r="T18" s="65"/>
      <c r="U18" s="65"/>
      <c r="V18" s="65"/>
      <c r="W18" s="64"/>
      <c r="X18" s="64"/>
      <c r="Y18" s="66"/>
      <c r="Z18" s="65"/>
      <c r="AA18" s="64"/>
      <c r="AB18" s="64"/>
    </row>
    <row r="19" spans="1:33" ht="15" x14ac:dyDescent="0.25">
      <c r="A19" s="32"/>
      <c r="B19" s="32"/>
      <c r="C19" s="32" t="s">
        <v>332</v>
      </c>
      <c r="E19" s="23"/>
      <c r="F19" s="23" t="s">
        <v>183</v>
      </c>
      <c r="G19" s="23"/>
      <c r="H19" s="23"/>
      <c r="I19" s="23"/>
      <c r="J19" s="358"/>
      <c r="K19" s="357">
        <v>19.7</v>
      </c>
      <c r="L19" s="109">
        <v>8.4</v>
      </c>
      <c r="M19" s="67">
        <v>34</v>
      </c>
      <c r="N19" s="67">
        <v>32</v>
      </c>
      <c r="O19" s="67">
        <v>32.6</v>
      </c>
      <c r="P19" s="67">
        <v>9.4</v>
      </c>
      <c r="Q19" s="67">
        <v>17</v>
      </c>
      <c r="R19" s="67">
        <v>14.3</v>
      </c>
      <c r="S19" s="67">
        <v>27.9</v>
      </c>
      <c r="T19" s="67">
        <v>35.200000000000003</v>
      </c>
      <c r="U19" s="67">
        <v>26.4</v>
      </c>
      <c r="V19" s="67">
        <v>72.900000000000006</v>
      </c>
      <c r="W19" s="67">
        <v>37.4</v>
      </c>
      <c r="X19" s="67">
        <v>25.1</v>
      </c>
      <c r="Y19" s="67">
        <v>25</v>
      </c>
      <c r="Z19" s="67">
        <v>14.1</v>
      </c>
      <c r="AA19" s="67">
        <v>33.1</v>
      </c>
      <c r="AB19" s="68">
        <v>31.5</v>
      </c>
      <c r="AD19" s="23" t="s">
        <v>188</v>
      </c>
    </row>
    <row r="20" spans="1:33" ht="15" x14ac:dyDescent="0.25">
      <c r="A20" s="32"/>
      <c r="B20" s="32"/>
      <c r="C20" s="32"/>
      <c r="D20" s="32" t="s">
        <v>137</v>
      </c>
      <c r="E20" s="23"/>
      <c r="F20" s="23"/>
      <c r="G20" s="2" t="s">
        <v>138</v>
      </c>
      <c r="H20" s="23"/>
      <c r="I20" s="23"/>
      <c r="J20" s="23"/>
      <c r="K20" s="23"/>
      <c r="L20" s="64"/>
      <c r="M20" s="64"/>
      <c r="N20" s="65"/>
      <c r="O20" s="65"/>
      <c r="P20" s="65"/>
      <c r="Q20" s="64"/>
      <c r="R20" s="64"/>
      <c r="S20" s="65"/>
      <c r="T20" s="65"/>
      <c r="U20" s="65"/>
      <c r="V20" s="65"/>
      <c r="W20" s="64"/>
      <c r="X20" s="64"/>
      <c r="Y20" s="65"/>
      <c r="Z20" s="65"/>
      <c r="AA20" s="64"/>
      <c r="AB20" s="64"/>
    </row>
    <row r="21" spans="1:33" ht="15" x14ac:dyDescent="0.25">
      <c r="A21" s="32"/>
      <c r="B21" s="32"/>
      <c r="C21" s="32"/>
      <c r="D21" s="32" t="s">
        <v>139</v>
      </c>
      <c r="E21" s="23"/>
      <c r="F21" s="23"/>
      <c r="G21" s="2" t="s">
        <v>140</v>
      </c>
      <c r="H21" s="23"/>
      <c r="I21" s="23"/>
      <c r="J21" s="23"/>
      <c r="K21" s="23"/>
      <c r="L21" s="64"/>
      <c r="M21" s="64"/>
      <c r="N21" s="65"/>
      <c r="O21" s="65"/>
      <c r="P21" s="65"/>
      <c r="Q21" s="64"/>
      <c r="R21" s="64"/>
      <c r="S21" s="65"/>
      <c r="T21" s="65"/>
      <c r="U21" s="65"/>
      <c r="V21" s="65"/>
      <c r="W21" s="64"/>
      <c r="X21" s="64"/>
      <c r="Y21" s="65"/>
      <c r="Z21" s="65"/>
      <c r="AA21" s="64"/>
      <c r="AB21" s="64"/>
    </row>
    <row r="22" spans="1:33" ht="15" x14ac:dyDescent="0.25">
      <c r="A22" s="32"/>
      <c r="B22" s="32"/>
      <c r="C22" s="32"/>
      <c r="D22" s="32" t="s">
        <v>119</v>
      </c>
      <c r="E22" s="2"/>
      <c r="F22" s="2"/>
      <c r="G22" s="2" t="s">
        <v>141</v>
      </c>
      <c r="H22" s="2"/>
      <c r="I22" s="2"/>
      <c r="J22" s="2"/>
      <c r="K22" s="2"/>
      <c r="L22" s="64"/>
      <c r="M22" s="64"/>
      <c r="N22" s="65"/>
      <c r="O22" s="65"/>
      <c r="P22" s="65"/>
      <c r="Q22" s="64"/>
      <c r="R22" s="64"/>
      <c r="S22" s="65"/>
      <c r="T22" s="65"/>
      <c r="U22" s="65"/>
      <c r="V22" s="65"/>
      <c r="W22" s="64"/>
      <c r="X22" s="64"/>
      <c r="Y22" s="65"/>
      <c r="Z22" s="65"/>
      <c r="AA22" s="64"/>
      <c r="AB22" s="64"/>
    </row>
    <row r="23" spans="1:33" ht="15" x14ac:dyDescent="0.25">
      <c r="A23" s="32"/>
      <c r="B23" s="32"/>
      <c r="C23" s="32"/>
      <c r="D23" s="32"/>
      <c r="E23" s="2"/>
      <c r="F23" s="2"/>
      <c r="G23" s="2"/>
      <c r="H23" s="2"/>
      <c r="I23" s="2"/>
      <c r="J23" s="2"/>
      <c r="K23" s="2"/>
      <c r="L23" s="64"/>
      <c r="M23" s="64"/>
      <c r="N23" s="65"/>
      <c r="O23" s="65"/>
      <c r="P23" s="65"/>
      <c r="Q23" s="64"/>
      <c r="R23" s="64"/>
      <c r="S23" s="65"/>
      <c r="T23" s="65"/>
      <c r="U23" s="65"/>
      <c r="V23" s="65"/>
      <c r="W23" s="64"/>
      <c r="X23" s="64"/>
      <c r="Y23" s="65"/>
      <c r="Z23" s="65"/>
      <c r="AA23" s="64"/>
      <c r="AB23" s="64"/>
    </row>
    <row r="24" spans="1:33" ht="15" x14ac:dyDescent="0.25">
      <c r="A24" s="32"/>
      <c r="B24" s="32"/>
      <c r="C24" s="32" t="s">
        <v>142</v>
      </c>
      <c r="D24" s="32"/>
      <c r="E24" s="2"/>
      <c r="F24" s="2" t="s">
        <v>143</v>
      </c>
      <c r="G24" s="2"/>
      <c r="H24" s="2"/>
      <c r="I24" s="2"/>
      <c r="J24" s="109">
        <f t="shared" ref="J24" si="1">J25+J26</f>
        <v>0</v>
      </c>
      <c r="K24" s="109">
        <f t="shared" ref="K24" si="2">K25+K26</f>
        <v>0</v>
      </c>
      <c r="L24" s="109">
        <f t="shared" ref="L24:T24" si="3">L25+L26</f>
        <v>4.8</v>
      </c>
      <c r="M24" s="109">
        <f t="shared" si="3"/>
        <v>3.5</v>
      </c>
      <c r="N24" s="109">
        <f t="shared" si="3"/>
        <v>16.8</v>
      </c>
      <c r="O24" s="109">
        <f t="shared" si="3"/>
        <v>-25.5</v>
      </c>
      <c r="P24" s="109">
        <f t="shared" si="3"/>
        <v>11.899999999999999</v>
      </c>
      <c r="Q24" s="109">
        <f t="shared" si="3"/>
        <v>-38.199999999999996</v>
      </c>
      <c r="R24" s="109">
        <f t="shared" si="3"/>
        <v>-12.600000000000001</v>
      </c>
      <c r="S24" s="109">
        <f t="shared" si="3"/>
        <v>-3.4</v>
      </c>
      <c r="T24" s="109">
        <f t="shared" si="3"/>
        <v>-3.7</v>
      </c>
      <c r="U24" s="109">
        <f>U25+U26</f>
        <v>30.4</v>
      </c>
      <c r="V24" s="34">
        <v>-58.1</v>
      </c>
      <c r="W24" s="34">
        <v>-59.1</v>
      </c>
      <c r="X24" s="34">
        <v>-94.4</v>
      </c>
      <c r="Y24" s="34">
        <v>-283.8</v>
      </c>
      <c r="Z24" s="34">
        <v>-2</v>
      </c>
      <c r="AA24" s="34">
        <v>-38.799999999999997</v>
      </c>
      <c r="AB24" s="34">
        <v>4.3</v>
      </c>
    </row>
    <row r="25" spans="1:33" ht="15" x14ac:dyDescent="0.25">
      <c r="A25" s="32"/>
      <c r="B25" s="32"/>
      <c r="C25" s="32"/>
      <c r="D25" s="32" t="s">
        <v>144</v>
      </c>
      <c r="E25" s="2"/>
      <c r="F25" s="2"/>
      <c r="G25" s="2" t="s">
        <v>145</v>
      </c>
      <c r="H25" s="2"/>
      <c r="I25" s="2"/>
      <c r="J25" s="111">
        <v>0</v>
      </c>
      <c r="K25" s="111">
        <v>0</v>
      </c>
      <c r="L25" s="109">
        <v>0</v>
      </c>
      <c r="M25" s="109">
        <v>0</v>
      </c>
      <c r="N25" s="109">
        <v>0</v>
      </c>
      <c r="O25" s="109">
        <v>11</v>
      </c>
      <c r="P25" s="109">
        <v>8.6</v>
      </c>
      <c r="Q25" s="109">
        <v>6.7</v>
      </c>
      <c r="R25" s="109">
        <v>4.2</v>
      </c>
      <c r="S25" s="110">
        <v>0.9</v>
      </c>
      <c r="T25" s="109">
        <v>0</v>
      </c>
      <c r="U25" s="109">
        <v>0</v>
      </c>
      <c r="V25" s="34">
        <v>0</v>
      </c>
      <c r="W25" s="34">
        <v>0</v>
      </c>
      <c r="X25" s="34">
        <v>1.3</v>
      </c>
      <c r="Y25" s="34">
        <v>1.3</v>
      </c>
      <c r="Z25" s="34">
        <v>1.7</v>
      </c>
      <c r="AA25" s="34">
        <v>6.6</v>
      </c>
      <c r="AB25" s="34">
        <v>6.1</v>
      </c>
      <c r="AD25" s="23" t="s">
        <v>188</v>
      </c>
    </row>
    <row r="26" spans="1:33" ht="15" x14ac:dyDescent="0.25">
      <c r="A26" s="32"/>
      <c r="B26" s="32"/>
      <c r="C26" s="32"/>
      <c r="D26" s="32" t="s">
        <v>146</v>
      </c>
      <c r="E26" s="2"/>
      <c r="F26" s="2"/>
      <c r="G26" s="2" t="s">
        <v>147</v>
      </c>
      <c r="H26" s="2"/>
      <c r="I26" s="2"/>
      <c r="J26" s="111">
        <v>0</v>
      </c>
      <c r="K26" s="111">
        <v>0</v>
      </c>
      <c r="L26" s="109">
        <v>4.8</v>
      </c>
      <c r="M26" s="109">
        <v>3.5</v>
      </c>
      <c r="N26" s="109">
        <v>16.8</v>
      </c>
      <c r="O26" s="109">
        <v>-36.5</v>
      </c>
      <c r="P26" s="109">
        <v>3.3</v>
      </c>
      <c r="Q26" s="109">
        <v>-44.9</v>
      </c>
      <c r="R26" s="109">
        <v>-16.8</v>
      </c>
      <c r="S26" s="110">
        <v>-4.3</v>
      </c>
      <c r="T26" s="109">
        <v>-3.7</v>
      </c>
      <c r="U26" s="109">
        <v>30.4</v>
      </c>
      <c r="V26" s="34">
        <v>-58.1</v>
      </c>
      <c r="W26" s="34">
        <v>-59.1</v>
      </c>
      <c r="X26" s="34">
        <v>-95.7</v>
      </c>
      <c r="Y26" s="34">
        <v>-285.10000000000002</v>
      </c>
      <c r="Z26" s="34">
        <v>-3.7</v>
      </c>
      <c r="AA26" s="34">
        <v>-45.4</v>
      </c>
      <c r="AB26" s="34">
        <v>-1.8</v>
      </c>
      <c r="AD26" s="23" t="s">
        <v>189</v>
      </c>
    </row>
    <row r="27" spans="1:33" ht="15" x14ac:dyDescent="0.25">
      <c r="A27" s="32"/>
      <c r="B27" s="32"/>
      <c r="C27" s="32"/>
      <c r="D27" s="32" t="s">
        <v>148</v>
      </c>
      <c r="E27" s="2"/>
      <c r="F27" s="2"/>
      <c r="G27" s="2" t="s">
        <v>149</v>
      </c>
      <c r="H27" s="2"/>
      <c r="I27" s="2"/>
      <c r="J27" s="119">
        <v>0</v>
      </c>
      <c r="K27" s="119">
        <v>0</v>
      </c>
      <c r="L27" s="109">
        <v>0</v>
      </c>
      <c r="M27" s="109">
        <v>0</v>
      </c>
      <c r="N27" s="109">
        <v>0</v>
      </c>
      <c r="O27" s="109">
        <v>0</v>
      </c>
      <c r="P27" s="109">
        <v>0</v>
      </c>
      <c r="Q27" s="109">
        <v>0</v>
      </c>
      <c r="R27" s="109">
        <v>0</v>
      </c>
      <c r="S27" s="109">
        <v>0</v>
      </c>
      <c r="T27" s="34">
        <v>0</v>
      </c>
      <c r="U27" s="34">
        <v>0</v>
      </c>
      <c r="V27" s="34">
        <v>0</v>
      </c>
      <c r="W27" s="34">
        <v>0</v>
      </c>
      <c r="X27" s="34">
        <v>0</v>
      </c>
      <c r="Y27" s="34">
        <v>0</v>
      </c>
      <c r="Z27" s="34">
        <v>0</v>
      </c>
      <c r="AA27" s="34">
        <v>0</v>
      </c>
      <c r="AB27" s="34">
        <v>0</v>
      </c>
    </row>
    <row r="28" spans="1:33" ht="15" x14ac:dyDescent="0.25">
      <c r="A28" s="32"/>
      <c r="B28" s="32"/>
      <c r="C28" s="32"/>
      <c r="D28" s="32"/>
      <c r="E28" s="2"/>
      <c r="F28" s="2"/>
      <c r="G28" s="2"/>
      <c r="H28" s="2"/>
      <c r="I28" s="2"/>
      <c r="J28" s="2"/>
      <c r="K28" s="2"/>
      <c r="L28" s="39"/>
      <c r="M28" s="39"/>
      <c r="N28" s="39"/>
      <c r="O28" s="39"/>
      <c r="P28" s="39"/>
      <c r="Q28" s="39"/>
      <c r="R28" s="39"/>
      <c r="S28" s="39"/>
      <c r="T28" s="39"/>
      <c r="U28" s="39"/>
      <c r="V28" s="39"/>
      <c r="W28" s="39"/>
      <c r="X28" s="39"/>
      <c r="Y28" s="39"/>
      <c r="Z28" s="39"/>
      <c r="AA28" s="39"/>
      <c r="AB28" s="39"/>
    </row>
    <row r="29" spans="1:33" ht="15" x14ac:dyDescent="0.25">
      <c r="A29" s="32"/>
      <c r="B29" s="32" t="s">
        <v>150</v>
      </c>
      <c r="C29" s="32"/>
      <c r="D29" s="32"/>
      <c r="E29" s="2" t="s">
        <v>151</v>
      </c>
      <c r="F29" s="2"/>
      <c r="G29" s="2"/>
      <c r="H29" s="2"/>
      <c r="I29" s="2"/>
      <c r="J29" s="7"/>
      <c r="K29" s="7"/>
      <c r="L29" s="91"/>
      <c r="M29" s="91"/>
      <c r="N29" s="92"/>
      <c r="O29" s="92"/>
      <c r="P29" s="92"/>
      <c r="Q29" s="91"/>
      <c r="R29" s="93"/>
      <c r="S29" s="8"/>
      <c r="T29" s="8"/>
      <c r="U29" s="8"/>
      <c r="V29" s="8"/>
      <c r="W29" s="93"/>
      <c r="X29" s="93"/>
      <c r="Y29" s="8"/>
      <c r="Z29" s="8"/>
      <c r="AA29" s="8"/>
      <c r="AB29" s="8"/>
    </row>
    <row r="30" spans="1:33" ht="15" x14ac:dyDescent="0.25">
      <c r="A30" s="32"/>
      <c r="B30" s="32"/>
      <c r="C30" s="32" t="s">
        <v>117</v>
      </c>
      <c r="D30" s="32"/>
      <c r="E30" s="2"/>
      <c r="F30" s="2" t="s">
        <v>190</v>
      </c>
      <c r="G30" s="2"/>
      <c r="H30" s="2"/>
      <c r="I30" s="2"/>
      <c r="J30" s="111">
        <v>26.8</v>
      </c>
      <c r="K30" s="111">
        <v>31.2</v>
      </c>
      <c r="L30" s="109">
        <v>34.200000000000003</v>
      </c>
      <c r="M30" s="109">
        <v>10.1</v>
      </c>
      <c r="N30" s="109">
        <v>6.7</v>
      </c>
      <c r="O30" s="109">
        <v>26.6</v>
      </c>
      <c r="P30" s="109">
        <v>31.3</v>
      </c>
      <c r="Q30" s="109">
        <v>22.1</v>
      </c>
      <c r="R30" s="109">
        <v>157.4</v>
      </c>
      <c r="S30" s="109">
        <v>87.7</v>
      </c>
      <c r="T30" s="109">
        <v>71.2</v>
      </c>
      <c r="U30" s="109">
        <v>68.2</v>
      </c>
      <c r="V30" s="109">
        <v>48.3</v>
      </c>
      <c r="W30" s="109">
        <v>70.7</v>
      </c>
      <c r="X30" s="71">
        <v>48.8</v>
      </c>
      <c r="Y30" s="71">
        <v>50.1</v>
      </c>
      <c r="Z30" s="71">
        <v>87.7</v>
      </c>
      <c r="AA30" s="71">
        <v>62.8</v>
      </c>
      <c r="AB30" s="71">
        <v>39.200000000000003</v>
      </c>
      <c r="AD30" s="23" t="s">
        <v>188</v>
      </c>
      <c r="AE30" s="8"/>
      <c r="AF30" s="8"/>
      <c r="AG30" s="8"/>
    </row>
    <row r="31" spans="1:33" ht="15" x14ac:dyDescent="0.25">
      <c r="A31" s="32"/>
      <c r="B31" s="32"/>
      <c r="C31" s="32"/>
      <c r="D31" s="32" t="s">
        <v>129</v>
      </c>
      <c r="E31" s="2"/>
      <c r="F31" s="2" t="s">
        <v>130</v>
      </c>
      <c r="G31" s="2"/>
      <c r="H31" s="2"/>
      <c r="I31" s="2"/>
      <c r="J31" s="111">
        <v>0</v>
      </c>
      <c r="K31" s="111">
        <v>0</v>
      </c>
      <c r="L31" s="112">
        <v>0</v>
      </c>
      <c r="M31" s="112">
        <v>0</v>
      </c>
      <c r="N31" s="112">
        <v>0</v>
      </c>
      <c r="O31" s="112">
        <v>0</v>
      </c>
      <c r="P31" s="112">
        <v>0</v>
      </c>
      <c r="Q31" s="112">
        <v>0</v>
      </c>
      <c r="R31" s="72">
        <v>55.3</v>
      </c>
      <c r="S31" s="72">
        <v>36.299999999999997</v>
      </c>
      <c r="T31" s="72">
        <v>71.2</v>
      </c>
      <c r="U31" s="72">
        <v>68.2</v>
      </c>
      <c r="V31" s="72">
        <v>48.3</v>
      </c>
      <c r="W31" s="72">
        <v>70.7</v>
      </c>
      <c r="X31" s="72">
        <v>47.8</v>
      </c>
      <c r="Y31" s="72">
        <v>50.1</v>
      </c>
      <c r="Z31" s="72">
        <v>87.7</v>
      </c>
      <c r="AA31" s="72">
        <v>59.8</v>
      </c>
      <c r="AB31" s="72">
        <v>39.200000000000003</v>
      </c>
      <c r="AD31" s="23" t="s">
        <v>189</v>
      </c>
      <c r="AE31" s="8"/>
      <c r="AF31" s="8"/>
      <c r="AG31" s="8"/>
    </row>
    <row r="32" spans="1:33" ht="15" x14ac:dyDescent="0.25">
      <c r="A32" s="32"/>
      <c r="B32" s="32"/>
      <c r="C32" s="32"/>
      <c r="D32" s="32" t="s">
        <v>136</v>
      </c>
      <c r="E32" s="2"/>
      <c r="F32" s="2" t="s">
        <v>183</v>
      </c>
      <c r="G32" s="2"/>
      <c r="H32" s="2"/>
      <c r="I32" s="2"/>
      <c r="J32" s="111">
        <v>0</v>
      </c>
      <c r="K32" s="111">
        <v>0</v>
      </c>
      <c r="L32" s="113">
        <v>0</v>
      </c>
      <c r="M32" s="113">
        <v>0</v>
      </c>
      <c r="N32" s="113">
        <v>0</v>
      </c>
      <c r="O32" s="113">
        <v>0</v>
      </c>
      <c r="P32" s="113">
        <v>0</v>
      </c>
      <c r="Q32" s="113">
        <v>0</v>
      </c>
      <c r="R32" s="113">
        <v>1.3</v>
      </c>
      <c r="S32" s="113">
        <v>0.1</v>
      </c>
      <c r="T32" s="73">
        <v>0</v>
      </c>
      <c r="U32" s="73">
        <v>0</v>
      </c>
      <c r="V32" s="73">
        <v>0</v>
      </c>
      <c r="W32" s="73">
        <v>0</v>
      </c>
      <c r="X32" s="73">
        <v>1</v>
      </c>
      <c r="Y32" s="73">
        <v>0</v>
      </c>
      <c r="Z32" s="73">
        <v>0</v>
      </c>
      <c r="AA32" s="73">
        <v>3</v>
      </c>
      <c r="AB32" s="73">
        <v>0</v>
      </c>
      <c r="AD32" s="23" t="s">
        <v>188</v>
      </c>
      <c r="AE32" s="8"/>
      <c r="AF32" s="8"/>
      <c r="AG32" s="8"/>
    </row>
    <row r="33" spans="1:43" ht="15" x14ac:dyDescent="0.25">
      <c r="A33" s="32"/>
      <c r="B33" s="32"/>
      <c r="C33" s="32"/>
      <c r="D33" s="32"/>
      <c r="E33" s="2"/>
      <c r="F33" s="2" t="s">
        <v>191</v>
      </c>
      <c r="G33" s="2"/>
      <c r="H33" s="2"/>
      <c r="I33" s="2"/>
      <c r="J33" s="111">
        <v>26.8</v>
      </c>
      <c r="K33" s="111">
        <v>31.2</v>
      </c>
      <c r="L33" s="109">
        <v>34.200000000000003</v>
      </c>
      <c r="M33" s="109">
        <v>10.1</v>
      </c>
      <c r="N33" s="109">
        <v>6.7</v>
      </c>
      <c r="O33" s="109">
        <v>26.6</v>
      </c>
      <c r="P33" s="109">
        <v>31.3</v>
      </c>
      <c r="Q33" s="109">
        <v>22.1</v>
      </c>
      <c r="R33" s="109">
        <v>100.8</v>
      </c>
      <c r="S33" s="109">
        <v>51.3</v>
      </c>
      <c r="T33" s="109">
        <v>0</v>
      </c>
      <c r="U33" s="109">
        <v>0</v>
      </c>
      <c r="V33" s="109">
        <v>0</v>
      </c>
      <c r="W33" s="109">
        <v>0</v>
      </c>
      <c r="X33" s="67">
        <v>0</v>
      </c>
      <c r="Y33" s="67">
        <v>0</v>
      </c>
      <c r="Z33" s="67">
        <v>0</v>
      </c>
      <c r="AA33" s="67">
        <v>0</v>
      </c>
      <c r="AB33" s="67">
        <v>0</v>
      </c>
      <c r="AD33" s="23" t="s">
        <v>189</v>
      </c>
      <c r="AE33" s="8"/>
      <c r="AF33" s="8"/>
      <c r="AG33" s="8"/>
    </row>
    <row r="34" spans="1:43" ht="15" x14ac:dyDescent="0.25">
      <c r="A34" s="32"/>
      <c r="B34" s="32"/>
      <c r="C34" s="32" t="s">
        <v>134</v>
      </c>
      <c r="D34" s="32"/>
      <c r="E34" s="2"/>
      <c r="F34" s="2"/>
      <c r="G34" s="2"/>
      <c r="H34" s="2"/>
      <c r="I34" s="2"/>
      <c r="J34" s="99"/>
      <c r="K34" s="99"/>
      <c r="L34" s="100"/>
      <c r="M34" s="100"/>
      <c r="N34" s="101"/>
      <c r="O34" s="101"/>
      <c r="P34" s="101"/>
      <c r="Q34" s="100"/>
      <c r="R34" s="100"/>
      <c r="S34" s="101"/>
      <c r="T34" s="101"/>
      <c r="U34" s="101"/>
      <c r="V34" s="101"/>
      <c r="W34" s="100"/>
      <c r="X34" s="100"/>
      <c r="Y34" s="101"/>
      <c r="Z34" s="101"/>
      <c r="AA34" s="100"/>
      <c r="AB34" s="100"/>
    </row>
    <row r="35" spans="1:43" ht="15" x14ac:dyDescent="0.25">
      <c r="A35" s="32"/>
      <c r="B35" s="32"/>
      <c r="C35" s="32"/>
      <c r="D35" s="32"/>
      <c r="E35" s="2"/>
      <c r="F35" s="2"/>
      <c r="G35" s="2"/>
      <c r="H35" s="2"/>
      <c r="I35" s="2"/>
      <c r="J35" s="2"/>
      <c r="K35" s="74" t="s">
        <v>152</v>
      </c>
      <c r="L35" s="74"/>
      <c r="M35" s="64"/>
      <c r="N35" s="75"/>
      <c r="O35" s="75"/>
      <c r="P35" s="75"/>
      <c r="Q35" s="75"/>
      <c r="R35" s="75"/>
      <c r="S35" s="75"/>
      <c r="T35" s="75"/>
      <c r="U35" s="75"/>
      <c r="V35" s="75"/>
      <c r="W35" s="75"/>
      <c r="X35" s="75"/>
      <c r="Y35" s="75"/>
      <c r="Z35" s="75"/>
      <c r="AA35" s="370" t="s">
        <v>153</v>
      </c>
      <c r="AB35" s="370"/>
    </row>
    <row r="36" spans="1:43" ht="15" x14ac:dyDescent="0.25">
      <c r="A36" s="32"/>
      <c r="B36" s="32" t="s">
        <v>154</v>
      </c>
      <c r="C36" s="32"/>
      <c r="D36" s="32"/>
      <c r="E36" s="2"/>
      <c r="F36" s="2" t="s">
        <v>155</v>
      </c>
      <c r="G36" s="2"/>
      <c r="H36" s="2"/>
      <c r="I36" s="2"/>
      <c r="J36" s="2"/>
      <c r="K36" s="76">
        <v>18428.192999999999</v>
      </c>
      <c r="L36" s="77">
        <f>K36+K41+K45</f>
        <v>19175.183999999997</v>
      </c>
      <c r="M36" s="64"/>
      <c r="N36" s="65"/>
      <c r="O36" s="65"/>
      <c r="P36" s="78"/>
      <c r="Q36" s="64"/>
      <c r="R36" s="64"/>
      <c r="S36" s="65"/>
      <c r="T36" s="65"/>
      <c r="U36" s="65"/>
      <c r="V36" s="65"/>
      <c r="W36" s="64"/>
      <c r="X36" s="64"/>
      <c r="Y36" s="65"/>
      <c r="Z36" s="65"/>
      <c r="AA36" s="65"/>
      <c r="AB36" s="79">
        <v>37316.400000000001</v>
      </c>
      <c r="AQ36" s="80"/>
    </row>
    <row r="37" spans="1:43" ht="15" x14ac:dyDescent="0.25">
      <c r="A37" s="32"/>
      <c r="B37" s="32" t="s">
        <v>156</v>
      </c>
      <c r="C37" s="32"/>
      <c r="D37" s="32"/>
      <c r="E37" s="2"/>
      <c r="F37" s="2" t="s">
        <v>157</v>
      </c>
      <c r="G37" s="2"/>
      <c r="H37" s="2"/>
      <c r="I37" s="2"/>
      <c r="J37" s="2"/>
      <c r="K37" s="76">
        <v>5027.1980000000003</v>
      </c>
      <c r="L37" s="77">
        <f>K37+K42</f>
        <v>5201.9160000000002</v>
      </c>
      <c r="M37" s="64"/>
      <c r="N37" s="65"/>
      <c r="O37" s="65"/>
      <c r="P37" s="78"/>
      <c r="Q37" s="64"/>
      <c r="R37" s="64"/>
      <c r="S37" s="65"/>
      <c r="T37" s="65"/>
      <c r="U37" s="65"/>
      <c r="V37" s="65"/>
      <c r="W37" s="64"/>
      <c r="X37" s="64"/>
      <c r="Y37" s="65"/>
      <c r="Z37" s="65"/>
      <c r="AA37" s="65"/>
      <c r="AB37" s="79">
        <v>15190.8</v>
      </c>
      <c r="AQ37" s="80"/>
    </row>
    <row r="38" spans="1:43" ht="15" x14ac:dyDescent="0.25">
      <c r="A38" s="32"/>
      <c r="B38" s="32" t="s">
        <v>158</v>
      </c>
      <c r="C38" s="32"/>
      <c r="D38" s="32"/>
      <c r="E38" s="23"/>
      <c r="F38" s="2" t="s">
        <v>159</v>
      </c>
      <c r="G38" s="2"/>
      <c r="H38" s="2"/>
      <c r="I38" s="2"/>
      <c r="J38" s="2"/>
      <c r="K38" s="76">
        <v>13400.995000000001</v>
      </c>
      <c r="L38" s="77">
        <f>L36-L37</f>
        <v>13973.267999999996</v>
      </c>
      <c r="M38" s="64"/>
      <c r="N38" s="65"/>
      <c r="O38" s="65"/>
      <c r="P38" s="78"/>
      <c r="Q38" s="64"/>
      <c r="R38" s="64"/>
      <c r="S38" s="65"/>
      <c r="T38" s="65"/>
      <c r="U38" s="65"/>
      <c r="V38" s="65"/>
      <c r="W38" s="64"/>
      <c r="X38" s="64"/>
      <c r="Y38" s="65"/>
      <c r="Z38" s="65"/>
      <c r="AA38" s="65"/>
      <c r="AB38" s="79">
        <v>22125.7</v>
      </c>
      <c r="AQ38" s="80"/>
    </row>
    <row r="39" spans="1:43" ht="15" x14ac:dyDescent="0.25">
      <c r="A39" s="32"/>
      <c r="B39" s="32"/>
      <c r="C39" s="32"/>
      <c r="D39" s="32"/>
      <c r="E39" s="2"/>
      <c r="F39" s="2"/>
      <c r="G39" s="2"/>
      <c r="H39" s="2"/>
      <c r="I39" s="2"/>
      <c r="J39" s="2"/>
      <c r="K39" s="32"/>
      <c r="L39" s="32"/>
      <c r="M39" s="5"/>
      <c r="N39" s="2"/>
      <c r="O39" s="2"/>
      <c r="P39" s="2"/>
      <c r="Q39" s="5"/>
      <c r="R39" s="5"/>
      <c r="S39" s="2"/>
      <c r="T39" s="2"/>
      <c r="U39" s="2"/>
      <c r="V39" s="2"/>
      <c r="W39" s="5"/>
      <c r="X39" s="5"/>
      <c r="Y39" s="2"/>
      <c r="Z39" s="2"/>
      <c r="AA39" s="2"/>
      <c r="AB39" s="32"/>
    </row>
    <row r="40" spans="1:43" ht="15" x14ac:dyDescent="0.25">
      <c r="A40" s="32"/>
      <c r="B40" s="32"/>
      <c r="C40" s="32"/>
      <c r="D40" s="32"/>
      <c r="E40" s="2"/>
      <c r="F40" s="2" t="s">
        <v>160</v>
      </c>
      <c r="G40" s="2"/>
      <c r="H40" s="2"/>
      <c r="I40" s="2"/>
      <c r="J40" s="2"/>
      <c r="K40" s="32"/>
      <c r="L40" s="32"/>
      <c r="M40" s="5"/>
      <c r="N40" s="2"/>
      <c r="O40" s="2"/>
      <c r="P40" s="2"/>
      <c r="Q40" s="5"/>
      <c r="R40" s="5"/>
      <c r="S40" s="2"/>
      <c r="T40" s="2"/>
      <c r="U40" s="2"/>
      <c r="V40" s="2"/>
      <c r="W40" s="5"/>
      <c r="X40" s="5"/>
      <c r="Y40" s="2"/>
      <c r="Z40" s="2"/>
      <c r="AA40" s="2"/>
      <c r="AB40" s="32"/>
    </row>
    <row r="41" spans="1:43" ht="15" x14ac:dyDescent="0.25">
      <c r="A41" s="32"/>
      <c r="B41" s="32"/>
      <c r="C41" s="32"/>
      <c r="D41" s="32"/>
      <c r="E41" s="2"/>
      <c r="F41" s="2"/>
      <c r="G41" s="2" t="s">
        <v>161</v>
      </c>
      <c r="H41" s="2"/>
      <c r="I41" s="2"/>
      <c r="J41" s="2"/>
      <c r="K41" s="81">
        <v>561.779</v>
      </c>
      <c r="L41" s="81"/>
      <c r="M41" s="5"/>
      <c r="N41" s="2"/>
      <c r="O41" s="2"/>
      <c r="P41" s="2"/>
      <c r="Q41" s="5"/>
      <c r="R41" s="5"/>
      <c r="S41" s="2"/>
      <c r="T41" s="2"/>
      <c r="U41" s="2"/>
      <c r="V41" s="2"/>
      <c r="W41" s="5"/>
      <c r="X41" s="5"/>
      <c r="Y41" s="2"/>
      <c r="Z41" s="2"/>
      <c r="AA41" s="2"/>
      <c r="AB41" s="79">
        <v>1018.5</v>
      </c>
    </row>
    <row r="42" spans="1:43" ht="15" x14ac:dyDescent="0.25">
      <c r="A42" s="32"/>
      <c r="B42" s="32"/>
      <c r="C42" s="32"/>
      <c r="D42" s="32"/>
      <c r="E42" s="2"/>
      <c r="F42" s="2"/>
      <c r="G42" s="2" t="s">
        <v>157</v>
      </c>
      <c r="H42" s="2"/>
      <c r="I42" s="2"/>
      <c r="J42" s="2"/>
      <c r="K42" s="81">
        <v>174.71799999999999</v>
      </c>
      <c r="L42" s="81"/>
      <c r="M42" s="5"/>
      <c r="N42" s="2"/>
      <c r="O42" s="2"/>
      <c r="P42" s="2"/>
      <c r="Q42" s="5"/>
      <c r="R42" s="5"/>
      <c r="S42" s="2"/>
      <c r="T42" s="2"/>
      <c r="U42" s="2"/>
      <c r="V42" s="2"/>
      <c r="W42" s="5"/>
      <c r="X42" s="5"/>
      <c r="Y42" s="2"/>
      <c r="Z42" s="2"/>
      <c r="AA42" s="2"/>
      <c r="AB42" s="79">
        <v>516.4</v>
      </c>
    </row>
    <row r="43" spans="1:43" ht="15" x14ac:dyDescent="0.25">
      <c r="A43" s="32"/>
      <c r="B43" s="32"/>
      <c r="C43" s="32"/>
      <c r="D43" s="32"/>
      <c r="E43" s="2"/>
      <c r="F43" s="2"/>
      <c r="G43" s="2" t="s">
        <v>159</v>
      </c>
      <c r="H43" s="2"/>
      <c r="I43" s="2"/>
      <c r="J43" s="2"/>
      <c r="K43" s="81">
        <v>387.06099999999998</v>
      </c>
      <c r="L43" s="81"/>
      <c r="M43" s="5"/>
      <c r="N43" s="2"/>
      <c r="O43" s="2"/>
      <c r="P43" s="2"/>
      <c r="Q43" s="5"/>
      <c r="R43" s="5"/>
      <c r="S43" s="2"/>
      <c r="T43" s="2"/>
      <c r="U43" s="2"/>
      <c r="V43" s="2"/>
      <c r="W43" s="5"/>
      <c r="X43" s="5"/>
      <c r="Y43" s="2"/>
      <c r="Z43" s="2"/>
      <c r="AA43" s="2"/>
      <c r="AB43" s="79">
        <v>502.2</v>
      </c>
    </row>
    <row r="44" spans="1:43" ht="15" x14ac:dyDescent="0.25">
      <c r="A44" s="32"/>
      <c r="B44" s="32"/>
      <c r="C44" s="32"/>
      <c r="D44" s="32"/>
      <c r="E44" s="2"/>
      <c r="F44" s="2"/>
      <c r="G44" s="2"/>
      <c r="H44" s="2"/>
      <c r="I44" s="2"/>
      <c r="J44" s="2"/>
      <c r="K44" s="81"/>
      <c r="L44" s="81"/>
      <c r="M44" s="5"/>
      <c r="N44" s="2"/>
      <c r="O44" s="2"/>
      <c r="P44" s="2"/>
      <c r="Q44" s="5"/>
      <c r="R44" s="5"/>
      <c r="S44" s="2"/>
      <c r="T44" s="2"/>
      <c r="U44" s="2"/>
      <c r="V44" s="2"/>
      <c r="W44" s="5"/>
      <c r="X44" s="5"/>
      <c r="Y44" s="2"/>
      <c r="Z44" s="2"/>
      <c r="AA44" s="2"/>
      <c r="AB44" s="32"/>
    </row>
    <row r="45" spans="1:43" ht="15" x14ac:dyDescent="0.25">
      <c r="A45" s="32"/>
      <c r="B45" s="32"/>
      <c r="C45" s="32"/>
      <c r="D45" s="32"/>
      <c r="E45" s="2"/>
      <c r="F45" s="2" t="s">
        <v>162</v>
      </c>
      <c r="G45" s="2"/>
      <c r="H45" s="2"/>
      <c r="I45" s="2"/>
      <c r="J45" s="2"/>
      <c r="K45" s="81">
        <v>185.21199999999999</v>
      </c>
      <c r="L45" s="81"/>
      <c r="M45" s="5"/>
      <c r="N45" s="2"/>
      <c r="O45" s="2"/>
      <c r="P45" s="2"/>
      <c r="Q45" s="5"/>
      <c r="R45" s="5"/>
      <c r="S45" s="2"/>
      <c r="T45" s="2"/>
      <c r="U45" s="2"/>
      <c r="V45" s="2"/>
      <c r="W45" s="5"/>
      <c r="X45" s="5"/>
      <c r="Y45" s="2"/>
      <c r="Z45" s="2"/>
      <c r="AA45" s="2"/>
      <c r="AB45" s="32">
        <v>-569.79999999999995</v>
      </c>
    </row>
    <row r="46" spans="1:43" x14ac:dyDescent="0.3">
      <c r="A46" s="32"/>
      <c r="B46" s="32"/>
      <c r="C46" s="32"/>
      <c r="D46" s="26"/>
      <c r="E46" s="4"/>
      <c r="F46" s="4"/>
      <c r="G46" s="4" t="s">
        <v>147</v>
      </c>
      <c r="H46" s="4"/>
      <c r="I46" s="4"/>
      <c r="J46" s="4"/>
      <c r="K46" s="356">
        <v>2.8</v>
      </c>
      <c r="L46" s="81"/>
      <c r="M46" s="17"/>
      <c r="N46" s="4"/>
      <c r="O46" s="2"/>
      <c r="P46" s="2"/>
      <c r="Q46" s="5"/>
      <c r="R46" s="5"/>
      <c r="S46" s="2"/>
      <c r="T46" s="2"/>
      <c r="U46" s="2"/>
      <c r="V46" s="2"/>
      <c r="W46" s="5"/>
      <c r="X46" s="5"/>
      <c r="Y46" s="2"/>
      <c r="Z46" s="2"/>
      <c r="AA46" s="2"/>
      <c r="AB46" s="32">
        <v>-587</v>
      </c>
      <c r="AD46" s="23" t="s">
        <v>403</v>
      </c>
    </row>
    <row r="47" spans="1:43" x14ac:dyDescent="0.3">
      <c r="A47" s="32"/>
      <c r="B47" s="32"/>
      <c r="C47" s="32"/>
      <c r="D47" s="26"/>
      <c r="E47" s="4"/>
      <c r="F47" s="4"/>
      <c r="G47" s="4" t="s">
        <v>149</v>
      </c>
      <c r="H47" s="4"/>
      <c r="I47" s="4"/>
      <c r="J47" s="4"/>
      <c r="K47" s="81">
        <v>118.36499999999999</v>
      </c>
      <c r="L47" s="81"/>
      <c r="M47" s="17"/>
      <c r="N47" s="4"/>
      <c r="O47" s="2"/>
      <c r="P47" s="2"/>
      <c r="Q47" s="5"/>
      <c r="R47" s="5"/>
      <c r="S47" s="2"/>
      <c r="T47" s="2"/>
      <c r="U47" s="2"/>
      <c r="V47" s="2"/>
      <c r="W47" s="5"/>
      <c r="X47" s="5"/>
      <c r="Y47" s="2"/>
      <c r="Z47" s="2"/>
      <c r="AA47" s="2"/>
      <c r="AB47" s="32">
        <v>0</v>
      </c>
    </row>
    <row r="48" spans="1:43" x14ac:dyDescent="0.3">
      <c r="A48" s="32"/>
      <c r="B48" s="32"/>
      <c r="C48" s="32"/>
      <c r="D48" s="26"/>
      <c r="E48" s="4"/>
      <c r="F48" s="4"/>
      <c r="G48" s="4"/>
      <c r="H48" s="4"/>
      <c r="I48" s="4"/>
      <c r="J48" s="4"/>
      <c r="K48" s="81"/>
      <c r="L48" s="81"/>
      <c r="M48" s="17"/>
      <c r="N48" s="4"/>
      <c r="O48" s="2"/>
      <c r="P48" s="2"/>
      <c r="Q48" s="5"/>
      <c r="R48" s="5"/>
      <c r="S48" s="2"/>
      <c r="T48" s="2"/>
      <c r="U48" s="2"/>
      <c r="V48" s="2"/>
      <c r="W48" s="5"/>
      <c r="X48" s="5"/>
      <c r="Y48" s="2"/>
      <c r="Z48" s="2"/>
      <c r="AA48" s="2"/>
      <c r="AB48" s="32"/>
    </row>
    <row r="49" spans="1:30" x14ac:dyDescent="0.3">
      <c r="A49" s="32"/>
      <c r="B49" s="32"/>
      <c r="C49" s="32" t="s">
        <v>330</v>
      </c>
      <c r="D49" s="26"/>
      <c r="E49" s="4"/>
      <c r="F49" s="4" t="s">
        <v>163</v>
      </c>
      <c r="G49" s="4"/>
      <c r="H49" s="4"/>
      <c r="I49" s="4"/>
      <c r="J49" s="4"/>
      <c r="K49" s="81">
        <v>142.11600000000001</v>
      </c>
      <c r="L49" s="81"/>
      <c r="M49" s="17"/>
      <c r="N49" s="4"/>
      <c r="O49" s="2"/>
      <c r="P49" s="2"/>
      <c r="Q49" s="5"/>
      <c r="R49" s="5"/>
      <c r="S49" s="2"/>
      <c r="T49" s="2"/>
      <c r="U49" s="2"/>
      <c r="V49" s="2"/>
      <c r="W49" s="5"/>
      <c r="X49" s="5"/>
      <c r="Y49" s="2"/>
      <c r="Z49" s="2"/>
      <c r="AA49" s="2"/>
      <c r="AB49" s="32">
        <v>255.4</v>
      </c>
    </row>
    <row r="50" spans="1:30" x14ac:dyDescent="0.3">
      <c r="A50" s="32"/>
      <c r="B50" s="32"/>
      <c r="C50" s="32"/>
      <c r="D50" s="26"/>
      <c r="E50" s="4"/>
      <c r="F50" s="4"/>
      <c r="G50" s="4"/>
      <c r="H50" s="4"/>
      <c r="I50" s="4"/>
      <c r="J50" s="4"/>
      <c r="K50" s="81"/>
      <c r="L50" s="81"/>
      <c r="M50" s="17"/>
      <c r="N50" s="4"/>
      <c r="O50" s="2"/>
      <c r="P50" s="2"/>
      <c r="Q50" s="5"/>
      <c r="R50" s="5"/>
      <c r="S50" s="2"/>
      <c r="T50" s="2"/>
      <c r="U50" s="2"/>
      <c r="V50" s="2"/>
      <c r="W50" s="5"/>
      <c r="X50" s="5"/>
      <c r="Y50" s="2"/>
      <c r="Z50" s="2"/>
      <c r="AA50" s="2"/>
      <c r="AB50" s="32"/>
    </row>
    <row r="51" spans="1:30" x14ac:dyDescent="0.3">
      <c r="A51" s="32"/>
      <c r="B51" s="32" t="s">
        <v>164</v>
      </c>
      <c r="C51" s="32"/>
      <c r="D51" s="26"/>
      <c r="E51" s="4" t="s">
        <v>165</v>
      </c>
      <c r="F51" s="4"/>
      <c r="G51" s="10"/>
      <c r="H51" s="10"/>
      <c r="I51" s="10"/>
      <c r="J51" s="10"/>
      <c r="K51" s="10"/>
      <c r="L51" s="218"/>
      <c r="M51" s="17"/>
      <c r="N51" s="4"/>
      <c r="O51" s="2"/>
      <c r="P51" s="2"/>
      <c r="Q51" s="5"/>
      <c r="R51" s="5"/>
      <c r="S51" s="2"/>
      <c r="T51" s="2"/>
      <c r="U51" s="2"/>
      <c r="V51" s="2"/>
      <c r="W51" s="5"/>
      <c r="X51" s="5"/>
      <c r="Y51" s="2"/>
      <c r="Z51" s="2"/>
      <c r="AA51" s="2"/>
      <c r="AB51" s="2"/>
    </row>
    <row r="52" spans="1:30" x14ac:dyDescent="0.3">
      <c r="A52" s="32"/>
      <c r="B52" s="32"/>
      <c r="D52" s="37"/>
      <c r="E52" s="10"/>
      <c r="F52" s="10"/>
      <c r="G52" s="4"/>
      <c r="H52" s="4"/>
      <c r="I52" s="4"/>
      <c r="J52" s="4"/>
      <c r="K52" s="4"/>
      <c r="L52" s="17"/>
      <c r="M52" s="17"/>
      <c r="N52" s="4"/>
      <c r="O52" s="2"/>
      <c r="P52" s="2"/>
      <c r="Q52" s="5"/>
      <c r="R52" s="5"/>
      <c r="S52" s="2"/>
      <c r="T52" s="2"/>
      <c r="U52" s="2"/>
      <c r="V52" s="2"/>
      <c r="W52" s="5"/>
      <c r="X52" s="5"/>
      <c r="Y52" s="2"/>
      <c r="Z52" s="2"/>
      <c r="AA52" s="2"/>
      <c r="AB52" s="2"/>
    </row>
    <row r="53" spans="1:30" x14ac:dyDescent="0.3">
      <c r="A53" s="32"/>
      <c r="B53" s="32"/>
      <c r="C53" s="32" t="s">
        <v>166</v>
      </c>
      <c r="D53" s="26"/>
      <c r="E53" s="4"/>
      <c r="F53" s="4"/>
      <c r="G53" s="4"/>
      <c r="H53" s="4"/>
      <c r="I53" s="4"/>
      <c r="J53" s="4"/>
      <c r="K53" s="4"/>
      <c r="L53" s="17"/>
      <c r="M53" s="17"/>
      <c r="N53" s="4"/>
      <c r="O53" s="2"/>
      <c r="P53" s="82"/>
      <c r="Q53" s="82"/>
      <c r="R53" s="82"/>
      <c r="S53" s="82"/>
      <c r="T53" s="82"/>
      <c r="U53" s="82"/>
      <c r="V53" s="82"/>
      <c r="W53" s="82"/>
      <c r="X53" s="82"/>
      <c r="Y53" s="82"/>
      <c r="Z53" s="82"/>
      <c r="AA53" s="82"/>
      <c r="AB53" s="82"/>
      <c r="AD53" s="8"/>
    </row>
    <row r="54" spans="1:30" x14ac:dyDescent="0.3">
      <c r="A54" s="32"/>
      <c r="B54" s="32"/>
      <c r="C54" s="32" t="s">
        <v>167</v>
      </c>
      <c r="D54" s="26"/>
      <c r="E54" s="4" t="s">
        <v>168</v>
      </c>
      <c r="F54" s="4"/>
      <c r="G54" s="4"/>
      <c r="H54" s="4"/>
      <c r="I54" s="4"/>
      <c r="J54" s="4"/>
      <c r="K54" s="4"/>
      <c r="L54" s="17"/>
      <c r="M54" s="17"/>
      <c r="N54" s="4"/>
      <c r="O54" s="2"/>
      <c r="P54" s="27">
        <v>7.9</v>
      </c>
      <c r="Q54" s="27">
        <v>7.8410000000000002</v>
      </c>
      <c r="R54" s="27">
        <v>7.6559999999999997</v>
      </c>
      <c r="S54" s="27">
        <v>7.3760000000000003</v>
      </c>
      <c r="T54" s="27">
        <v>7.234</v>
      </c>
      <c r="U54" s="27">
        <v>7.03</v>
      </c>
      <c r="V54" s="27">
        <v>6.5339999999999998</v>
      </c>
      <c r="W54" s="27">
        <v>6.5609999999999999</v>
      </c>
      <c r="X54" s="27">
        <v>6.4429999999999996</v>
      </c>
      <c r="Y54" s="27">
        <v>6.2759999999999998</v>
      </c>
      <c r="Z54" s="27">
        <v>6.1980000000000004</v>
      </c>
      <c r="AA54" s="27">
        <v>6.4820000000000002</v>
      </c>
      <c r="AB54" s="27">
        <v>6.55</v>
      </c>
    </row>
    <row r="55" spans="1:30" x14ac:dyDescent="0.3">
      <c r="A55" s="32"/>
      <c r="B55" s="32"/>
      <c r="C55" s="32"/>
      <c r="D55" s="26"/>
      <c r="E55" s="4" t="s">
        <v>169</v>
      </c>
      <c r="F55" s="4"/>
      <c r="G55" s="4"/>
      <c r="H55" s="4"/>
      <c r="I55" s="4"/>
      <c r="J55" s="4"/>
      <c r="K55" s="4"/>
      <c r="L55" s="17"/>
      <c r="M55" s="17"/>
      <c r="N55" s="4"/>
      <c r="O55" s="2"/>
      <c r="P55" s="27">
        <v>8.3699999999999992</v>
      </c>
      <c r="Q55" s="27">
        <v>7.99</v>
      </c>
      <c r="R55" s="27">
        <v>7.26</v>
      </c>
      <c r="S55" s="27">
        <v>7.181</v>
      </c>
      <c r="T55" s="27">
        <v>7.1040000000000001</v>
      </c>
      <c r="U55" s="27">
        <v>6.7789999999999999</v>
      </c>
      <c r="V55" s="27">
        <v>6.5570000000000004</v>
      </c>
      <c r="W55" s="27">
        <v>6.556</v>
      </c>
      <c r="X55" s="27">
        <v>6.3120000000000003</v>
      </c>
      <c r="Y55" s="27">
        <v>6.1829999999999998</v>
      </c>
      <c r="Z55" s="27">
        <v>6.3230000000000004</v>
      </c>
      <c r="AA55" s="27">
        <v>6.6159999999999997</v>
      </c>
      <c r="AB55" s="27">
        <v>6.4589999999999996</v>
      </c>
    </row>
    <row r="56" spans="1:30" x14ac:dyDescent="0.3">
      <c r="A56" s="32"/>
      <c r="B56" s="32"/>
      <c r="C56" s="32" t="s">
        <v>170</v>
      </c>
      <c r="D56" s="26"/>
      <c r="E56" s="4" t="s">
        <v>171</v>
      </c>
      <c r="F56" s="4"/>
      <c r="G56" s="4"/>
      <c r="H56" s="4"/>
      <c r="I56" s="4"/>
      <c r="J56" s="4"/>
      <c r="K56" s="4"/>
      <c r="L56" s="17"/>
      <c r="M56" s="17"/>
      <c r="N56" s="4"/>
      <c r="O56" s="2"/>
      <c r="P56" s="84">
        <v>0.7</v>
      </c>
      <c r="Q56" s="84">
        <v>0.7</v>
      </c>
      <c r="R56" s="84">
        <v>0.7</v>
      </c>
      <c r="S56" s="84">
        <v>0.7</v>
      </c>
      <c r="T56" s="84">
        <v>0.7</v>
      </c>
      <c r="U56" s="84">
        <v>0.7</v>
      </c>
      <c r="V56" s="84">
        <v>0.7</v>
      </c>
      <c r="W56" s="84">
        <v>0.7</v>
      </c>
      <c r="X56" s="84">
        <v>0.7</v>
      </c>
      <c r="Y56" s="84">
        <v>0.7</v>
      </c>
      <c r="Z56" s="84">
        <v>0.7</v>
      </c>
      <c r="AA56" s="84">
        <v>0.7</v>
      </c>
      <c r="AB56" s="83">
        <v>0.7</v>
      </c>
    </row>
    <row r="57" spans="1:30" x14ac:dyDescent="0.3">
      <c r="A57" s="32"/>
      <c r="B57" s="32" t="s">
        <v>172</v>
      </c>
      <c r="C57" s="32" t="s">
        <v>173</v>
      </c>
      <c r="D57" s="26"/>
      <c r="E57" s="4" t="s">
        <v>174</v>
      </c>
      <c r="F57" s="4"/>
      <c r="G57" s="4"/>
      <c r="H57" s="4"/>
      <c r="I57" s="4"/>
      <c r="J57" s="4"/>
      <c r="K57" s="4"/>
      <c r="L57" s="17"/>
      <c r="M57" s="17"/>
      <c r="N57" s="4"/>
      <c r="O57" s="2"/>
      <c r="P57" s="27">
        <v>7.5</v>
      </c>
      <c r="Q57" s="27">
        <v>7.8470000000000004</v>
      </c>
      <c r="R57" s="27">
        <v>7.63</v>
      </c>
      <c r="S57" s="27">
        <v>7.5869999999999997</v>
      </c>
      <c r="T57" s="27">
        <v>7.1369999999999996</v>
      </c>
      <c r="U57" s="27">
        <v>6.391</v>
      </c>
      <c r="V57" s="27">
        <v>6.4089999999999998</v>
      </c>
      <c r="W57" s="27">
        <v>8.1999999999999993</v>
      </c>
      <c r="X57" s="27">
        <v>8.1999999999999993</v>
      </c>
      <c r="Y57" s="27">
        <v>8.1999999999999993</v>
      </c>
      <c r="Z57" s="27">
        <v>8.1999999999999993</v>
      </c>
      <c r="AA57" s="27">
        <v>8.1999999999999993</v>
      </c>
      <c r="AB57" s="27">
        <v>8.1999999999999993</v>
      </c>
    </row>
    <row r="58" spans="1:30" x14ac:dyDescent="0.3">
      <c r="A58" s="32"/>
      <c r="B58" s="32"/>
      <c r="C58" s="32" t="s">
        <v>175</v>
      </c>
      <c r="D58" s="26"/>
      <c r="E58" s="4" t="s">
        <v>176</v>
      </c>
      <c r="F58" s="4"/>
      <c r="G58" s="4"/>
      <c r="H58" s="4"/>
      <c r="I58" s="4"/>
      <c r="J58" s="4"/>
      <c r="K58" s="4"/>
      <c r="L58" s="17"/>
      <c r="M58" s="17"/>
      <c r="N58" s="4"/>
      <c r="O58" s="2"/>
      <c r="P58" s="84">
        <v>0.3</v>
      </c>
      <c r="Q58" s="84">
        <v>0.3</v>
      </c>
      <c r="R58" s="84">
        <v>0.3</v>
      </c>
      <c r="S58" s="84">
        <v>0.3</v>
      </c>
      <c r="T58" s="84">
        <v>0.3</v>
      </c>
      <c r="U58" s="84">
        <v>0.3</v>
      </c>
      <c r="V58" s="84">
        <v>0.3</v>
      </c>
      <c r="W58" s="84">
        <v>0.3</v>
      </c>
      <c r="X58" s="84">
        <v>0.3</v>
      </c>
      <c r="Y58" s="84">
        <v>0.3</v>
      </c>
      <c r="Z58" s="84">
        <v>0.3</v>
      </c>
      <c r="AA58" s="84">
        <v>0.3</v>
      </c>
      <c r="AB58" s="84">
        <f>1-AB56</f>
        <v>0.30000000000000004</v>
      </c>
    </row>
    <row r="59" spans="1:30" x14ac:dyDescent="0.3">
      <c r="A59" s="32"/>
      <c r="B59" s="32"/>
      <c r="C59" s="32" t="s">
        <v>164</v>
      </c>
      <c r="D59" s="26"/>
      <c r="E59" s="4" t="s">
        <v>177</v>
      </c>
      <c r="F59" s="4"/>
      <c r="G59" s="4"/>
      <c r="H59" s="4"/>
      <c r="I59" s="4"/>
      <c r="J59" s="4"/>
      <c r="K59" s="4"/>
      <c r="L59" s="17"/>
      <c r="M59" s="17"/>
      <c r="N59" s="4"/>
      <c r="O59" s="2"/>
      <c r="P59" s="85">
        <v>7.78</v>
      </c>
      <c r="Q59" s="85">
        <v>7.843</v>
      </c>
      <c r="R59" s="85">
        <v>7.6479999999999997</v>
      </c>
      <c r="S59" s="85">
        <v>7.4390000000000001</v>
      </c>
      <c r="T59" s="85">
        <v>7.2050000000000001</v>
      </c>
      <c r="U59" s="85">
        <v>6.8380000000000001</v>
      </c>
      <c r="V59" s="85">
        <v>6.4969999999999999</v>
      </c>
      <c r="W59" s="85">
        <v>7.0529999999999999</v>
      </c>
      <c r="X59" s="85">
        <v>6.97</v>
      </c>
      <c r="Y59" s="85">
        <v>6.8529999999999998</v>
      </c>
      <c r="Z59" s="85">
        <v>6.7990000000000004</v>
      </c>
      <c r="AA59" s="85">
        <v>6.9969999999999999</v>
      </c>
      <c r="AB59" s="85">
        <v>7.0449999999999999</v>
      </c>
    </row>
    <row r="60" spans="1:30" x14ac:dyDescent="0.3">
      <c r="A60" s="32"/>
      <c r="B60" s="32"/>
      <c r="C60" s="32"/>
      <c r="D60" s="26"/>
      <c r="E60" s="4" t="s">
        <v>178</v>
      </c>
      <c r="F60" s="4"/>
      <c r="G60" s="4"/>
      <c r="H60" s="4"/>
      <c r="I60" s="4"/>
      <c r="J60" s="4"/>
      <c r="K60" s="4"/>
      <c r="L60" s="17"/>
      <c r="M60" s="17"/>
      <c r="N60" s="4"/>
      <c r="O60" s="2"/>
      <c r="P60" s="182">
        <f>(P54*P56)+(P57*P58)</f>
        <v>7.78</v>
      </c>
      <c r="Q60" s="54">
        <f t="shared" ref="Q60:AB60" si="4">(Q54*Q56)+(Q57*Q58)</f>
        <v>7.8427999999999995</v>
      </c>
      <c r="R60" s="86">
        <f t="shared" si="4"/>
        <v>7.6481999999999992</v>
      </c>
      <c r="S60" s="54">
        <f t="shared" si="4"/>
        <v>7.4392999999999994</v>
      </c>
      <c r="T60" s="54">
        <f t="shared" si="4"/>
        <v>7.2048999999999994</v>
      </c>
      <c r="U60" s="54">
        <f t="shared" si="4"/>
        <v>6.8383000000000003</v>
      </c>
      <c r="V60" s="54">
        <f t="shared" si="4"/>
        <v>6.4964999999999993</v>
      </c>
      <c r="W60" s="54">
        <f t="shared" si="4"/>
        <v>7.0526999999999997</v>
      </c>
      <c r="X60" s="54">
        <f t="shared" si="4"/>
        <v>6.9700999999999986</v>
      </c>
      <c r="Y60" s="54">
        <f t="shared" si="4"/>
        <v>6.8531999999999993</v>
      </c>
      <c r="Z60" s="54">
        <f t="shared" si="4"/>
        <v>6.7985999999999986</v>
      </c>
      <c r="AA60" s="54">
        <f t="shared" si="4"/>
        <v>6.997399999999999</v>
      </c>
      <c r="AB60" s="54">
        <f t="shared" si="4"/>
        <v>7.0449999999999999</v>
      </c>
    </row>
    <row r="61" spans="1:30" ht="16.8" x14ac:dyDescent="0.3">
      <c r="A61" s="355"/>
      <c r="B61" s="32"/>
      <c r="C61" s="32"/>
      <c r="D61" s="26"/>
      <c r="E61" s="4"/>
      <c r="F61" s="4"/>
      <c r="G61" s="4"/>
      <c r="H61" s="4"/>
      <c r="I61" s="4"/>
      <c r="J61" s="4"/>
      <c r="K61" s="4"/>
      <c r="L61" s="17"/>
      <c r="M61" s="17"/>
      <c r="N61" s="4"/>
      <c r="O61" s="2"/>
      <c r="P61" s="87"/>
      <c r="Q61" s="87"/>
      <c r="R61" s="87"/>
      <c r="S61" s="87"/>
      <c r="T61" s="87"/>
      <c r="U61" s="87"/>
      <c r="V61" s="87"/>
      <c r="W61" s="87"/>
      <c r="X61" s="87"/>
      <c r="Y61" s="87"/>
      <c r="Z61" s="2"/>
      <c r="AA61" s="2"/>
      <c r="AB61" s="2"/>
    </row>
    <row r="62" spans="1:30" x14ac:dyDescent="0.3">
      <c r="A62" s="32"/>
      <c r="B62" s="26"/>
      <c r="C62" s="37"/>
      <c r="D62" s="26"/>
      <c r="E62" s="4"/>
      <c r="F62" s="4"/>
      <c r="G62" s="4"/>
      <c r="H62" s="4"/>
      <c r="I62" s="4"/>
      <c r="J62" s="4"/>
      <c r="K62" s="4"/>
      <c r="L62" s="17"/>
      <c r="M62" s="17"/>
      <c r="N62" s="4"/>
      <c r="O62" s="4"/>
      <c r="P62" s="4"/>
      <c r="Q62" s="17"/>
      <c r="R62" s="5"/>
      <c r="S62" s="2"/>
      <c r="T62" s="2"/>
      <c r="U62" s="2"/>
      <c r="V62" s="2"/>
      <c r="W62" s="5"/>
      <c r="X62" s="5"/>
      <c r="Y62" s="2"/>
      <c r="Z62" s="2"/>
      <c r="AA62" s="2"/>
      <c r="AB62" s="2"/>
    </row>
    <row r="63" spans="1:30" x14ac:dyDescent="0.3">
      <c r="A63" s="32"/>
      <c r="B63" s="26"/>
      <c r="C63" s="26"/>
      <c r="D63" s="26"/>
      <c r="E63" s="4"/>
      <c r="F63" s="4"/>
      <c r="G63" s="4"/>
      <c r="H63" s="4"/>
      <c r="I63" s="4"/>
      <c r="J63" s="4"/>
      <c r="K63" s="4"/>
      <c r="L63" s="17"/>
      <c r="M63" s="17"/>
      <c r="N63" s="4"/>
      <c r="O63" s="4"/>
      <c r="P63" s="4"/>
      <c r="Q63" s="17"/>
      <c r="R63" s="5"/>
      <c r="S63" s="2"/>
      <c r="T63" s="2"/>
      <c r="U63" s="2"/>
      <c r="V63" s="2"/>
      <c r="W63" s="5"/>
      <c r="X63" s="5"/>
      <c r="Y63" s="2"/>
      <c r="Z63" s="2"/>
      <c r="AA63" s="2"/>
      <c r="AB63" s="2"/>
    </row>
    <row r="64" spans="1:30" x14ac:dyDescent="0.3">
      <c r="A64" s="32"/>
      <c r="B64" s="26"/>
      <c r="C64" s="26"/>
      <c r="D64" s="26"/>
      <c r="E64" s="4"/>
      <c r="F64" s="4"/>
      <c r="G64" s="4"/>
      <c r="H64" s="4"/>
      <c r="I64" s="4"/>
      <c r="J64" s="4"/>
      <c r="K64" s="4"/>
      <c r="L64" s="17"/>
      <c r="M64" s="17"/>
      <c r="N64" s="4"/>
      <c r="O64" s="4"/>
      <c r="P64" s="4"/>
      <c r="Q64" s="17"/>
      <c r="R64" s="5"/>
      <c r="S64" s="2"/>
      <c r="T64" s="2"/>
      <c r="U64" s="2"/>
      <c r="V64" s="2"/>
      <c r="W64" s="5"/>
      <c r="X64" s="5"/>
      <c r="Y64" s="2"/>
      <c r="Z64" s="2"/>
      <c r="AA64" s="2"/>
      <c r="AB64" s="2"/>
    </row>
    <row r="65" spans="1:28" x14ac:dyDescent="0.3">
      <c r="A65" s="32"/>
      <c r="B65" s="26"/>
      <c r="C65" s="26"/>
      <c r="D65" s="26"/>
      <c r="E65" s="4"/>
      <c r="F65" s="4"/>
      <c r="G65" s="4"/>
      <c r="H65" s="4"/>
      <c r="I65" s="4"/>
      <c r="J65" s="4"/>
      <c r="K65" s="4"/>
      <c r="L65" s="17"/>
      <c r="M65" s="17"/>
      <c r="N65" s="4"/>
      <c r="O65" s="4"/>
      <c r="P65" s="4"/>
      <c r="Q65" s="17"/>
      <c r="R65" s="5"/>
      <c r="S65" s="2"/>
      <c r="T65" s="2"/>
      <c r="U65" s="2"/>
      <c r="V65" s="2"/>
      <c r="W65" s="5"/>
      <c r="X65" s="5"/>
      <c r="Y65" s="2"/>
      <c r="Z65" s="2"/>
      <c r="AA65" s="2"/>
      <c r="AB65" s="2"/>
    </row>
    <row r="66" spans="1:28" s="10" customFormat="1" x14ac:dyDescent="0.3">
      <c r="A66" s="26"/>
      <c r="B66" s="26"/>
      <c r="C66" s="26" t="s">
        <v>400</v>
      </c>
      <c r="D66" s="26"/>
      <c r="E66" s="4" t="s">
        <v>401</v>
      </c>
      <c r="F66" s="4"/>
      <c r="G66" s="4"/>
      <c r="H66" s="4"/>
      <c r="I66" s="4"/>
      <c r="J66" s="26">
        <v>0</v>
      </c>
      <c r="K66" s="26">
        <v>0</v>
      </c>
      <c r="L66" s="26">
        <v>0</v>
      </c>
      <c r="M66" s="26">
        <v>0</v>
      </c>
      <c r="N66" s="26">
        <v>0</v>
      </c>
      <c r="O66" s="26">
        <v>0</v>
      </c>
      <c r="P66" s="26">
        <v>30</v>
      </c>
      <c r="Q66" s="26">
        <v>21.2</v>
      </c>
      <c r="R66" s="26">
        <v>51</v>
      </c>
      <c r="S66" s="26">
        <v>1.3</v>
      </c>
      <c r="T66" s="26">
        <v>72.400000000000006</v>
      </c>
      <c r="U66" s="26">
        <v>62.3</v>
      </c>
      <c r="V66" s="26">
        <v>166.7</v>
      </c>
      <c r="W66" s="26">
        <v>88.1</v>
      </c>
      <c r="X66" s="26">
        <v>76.400000000000006</v>
      </c>
      <c r="Y66" s="26">
        <v>80.3</v>
      </c>
      <c r="Z66" s="26">
        <v>4.5</v>
      </c>
      <c r="AA66" s="26">
        <v>110.5</v>
      </c>
      <c r="AB66" s="26">
        <v>-12.7</v>
      </c>
    </row>
    <row r="67" spans="1:28" s="10" customFormat="1" x14ac:dyDescent="0.3">
      <c r="A67" s="26"/>
      <c r="B67" s="26"/>
      <c r="C67" s="26"/>
      <c r="D67" s="26" t="s">
        <v>398</v>
      </c>
      <c r="E67" s="4"/>
      <c r="F67" s="4"/>
      <c r="G67" s="4"/>
      <c r="H67" s="4"/>
      <c r="I67" s="4"/>
      <c r="J67" s="4"/>
      <c r="K67" s="4"/>
      <c r="L67" s="17"/>
      <c r="M67" s="17"/>
      <c r="N67" s="4"/>
      <c r="O67" s="4"/>
      <c r="P67" s="4"/>
      <c r="Q67" s="17"/>
      <c r="R67" s="17"/>
      <c r="S67" s="4"/>
      <c r="T67" s="4"/>
      <c r="U67" s="4"/>
      <c r="V67" s="4"/>
      <c r="W67" s="17"/>
      <c r="X67" s="17"/>
      <c r="Y67" s="4"/>
      <c r="Z67" s="4"/>
      <c r="AA67" s="4"/>
      <c r="AB67" s="4"/>
    </row>
    <row r="68" spans="1:28" s="10" customFormat="1" x14ac:dyDescent="0.3">
      <c r="A68" s="26"/>
      <c r="B68" s="26"/>
      <c r="C68" s="26"/>
      <c r="D68" s="26" t="s">
        <v>399</v>
      </c>
      <c r="E68" s="4"/>
      <c r="F68" s="4"/>
      <c r="G68" s="4"/>
      <c r="H68" s="4"/>
      <c r="I68" s="4"/>
      <c r="J68" s="4"/>
      <c r="K68" s="4"/>
      <c r="L68" s="17"/>
      <c r="M68" s="17"/>
      <c r="N68" s="4"/>
      <c r="O68" s="4"/>
      <c r="P68" s="4"/>
      <c r="Q68" s="17"/>
      <c r="R68" s="17"/>
      <c r="S68" s="4"/>
      <c r="T68" s="4"/>
      <c r="U68" s="4"/>
      <c r="V68" s="4"/>
      <c r="W68" s="17"/>
      <c r="X68" s="17"/>
      <c r="Y68" s="4"/>
      <c r="Z68" s="4"/>
      <c r="AA68" s="4"/>
      <c r="AB68" s="4"/>
    </row>
    <row r="69" spans="1:28" s="10" customFormat="1" x14ac:dyDescent="0.3">
      <c r="A69" s="26"/>
      <c r="B69" s="26"/>
      <c r="C69" s="26"/>
      <c r="D69" s="26"/>
      <c r="E69" s="4"/>
      <c r="F69" s="4"/>
      <c r="G69" s="4"/>
      <c r="H69" s="4"/>
      <c r="I69" s="4"/>
      <c r="J69" s="4"/>
      <c r="K69" s="4"/>
      <c r="L69" s="17"/>
      <c r="M69" s="17"/>
      <c r="N69" s="4"/>
      <c r="O69" s="4"/>
      <c r="P69" s="4"/>
      <c r="Q69" s="17"/>
      <c r="R69" s="17"/>
      <c r="S69" s="4"/>
      <c r="T69" s="4"/>
      <c r="U69" s="4"/>
      <c r="V69" s="4"/>
      <c r="W69" s="17"/>
      <c r="X69" s="17"/>
      <c r="Y69" s="4"/>
      <c r="Z69" s="4"/>
      <c r="AA69" s="4"/>
      <c r="AB69" s="4"/>
    </row>
    <row r="70" spans="1:28" s="10" customFormat="1" x14ac:dyDescent="0.3">
      <c r="A70" s="26"/>
      <c r="B70" s="26"/>
      <c r="C70" s="26"/>
      <c r="D70" s="26"/>
      <c r="E70" s="4"/>
      <c r="F70" s="4"/>
      <c r="G70" s="4"/>
      <c r="H70" s="4"/>
      <c r="I70" s="4"/>
      <c r="J70" s="4"/>
      <c r="K70" s="4"/>
      <c r="L70" s="17"/>
      <c r="M70" s="17"/>
      <c r="N70" s="4"/>
      <c r="O70" s="4"/>
      <c r="P70" s="4"/>
      <c r="Q70" s="17"/>
      <c r="R70" s="17"/>
      <c r="S70" s="4"/>
      <c r="T70" s="4"/>
      <c r="U70" s="4"/>
      <c r="V70" s="4"/>
      <c r="W70" s="17"/>
      <c r="X70" s="17"/>
      <c r="Y70" s="4"/>
      <c r="Z70" s="4"/>
      <c r="AA70" s="4"/>
      <c r="AB70" s="4"/>
    </row>
    <row r="71" spans="1:28" s="10" customFormat="1" x14ac:dyDescent="0.3">
      <c r="A71" s="26"/>
      <c r="B71" s="26"/>
      <c r="C71" s="26"/>
      <c r="D71" s="26"/>
      <c r="E71" s="4"/>
      <c r="F71" s="4"/>
      <c r="G71" s="4"/>
      <c r="H71" s="4"/>
      <c r="I71" s="4"/>
      <c r="J71" s="4"/>
      <c r="K71" s="4"/>
      <c r="L71" s="17"/>
      <c r="M71" s="17"/>
      <c r="N71" s="4"/>
      <c r="O71" s="4"/>
      <c r="P71" s="4"/>
      <c r="Q71" s="17"/>
      <c r="R71" s="17"/>
      <c r="S71" s="4"/>
      <c r="T71" s="4"/>
      <c r="U71" s="4"/>
      <c r="V71" s="4"/>
      <c r="W71" s="17"/>
      <c r="X71" s="17"/>
      <c r="Y71" s="4"/>
      <c r="Z71" s="4"/>
      <c r="AA71" s="4"/>
      <c r="AB71" s="4"/>
    </row>
    <row r="72" spans="1:28" s="10" customFormat="1" x14ac:dyDescent="0.3">
      <c r="A72" s="26"/>
      <c r="B72" s="26"/>
      <c r="C72" s="26"/>
      <c r="D72" s="26"/>
      <c r="E72" s="4"/>
      <c r="F72" s="4"/>
      <c r="G72" s="4"/>
      <c r="H72" s="4"/>
      <c r="I72" s="4"/>
      <c r="J72" s="4"/>
      <c r="K72" s="4"/>
      <c r="L72" s="17"/>
      <c r="M72" s="17"/>
      <c r="N72" s="4"/>
      <c r="O72" s="4"/>
      <c r="P72" s="4"/>
      <c r="Q72" s="17"/>
      <c r="R72" s="17"/>
      <c r="S72" s="4"/>
      <c r="T72" s="4"/>
      <c r="U72" s="4"/>
      <c r="V72" s="4"/>
      <c r="W72" s="17"/>
      <c r="X72" s="17"/>
      <c r="Y72" s="4"/>
      <c r="Z72" s="4"/>
      <c r="AA72" s="4"/>
      <c r="AB72" s="4"/>
    </row>
    <row r="73" spans="1:28" s="10" customFormat="1" x14ac:dyDescent="0.3">
      <c r="A73" s="26"/>
      <c r="B73" s="26"/>
      <c r="C73" s="26"/>
      <c r="D73" s="26"/>
      <c r="E73" s="4"/>
      <c r="F73" s="4"/>
      <c r="G73" s="4"/>
      <c r="H73" s="4"/>
      <c r="I73" s="4"/>
      <c r="J73" s="4"/>
      <c r="K73" s="4"/>
      <c r="L73" s="17"/>
      <c r="M73" s="17"/>
      <c r="N73" s="4"/>
      <c r="O73" s="4"/>
      <c r="P73" s="4"/>
      <c r="Q73" s="17"/>
      <c r="R73" s="17"/>
      <c r="S73" s="4"/>
      <c r="T73" s="4"/>
      <c r="U73" s="4"/>
      <c r="V73" s="4"/>
      <c r="W73" s="17"/>
      <c r="X73" s="17"/>
      <c r="Y73" s="4"/>
      <c r="Z73" s="4"/>
      <c r="AA73" s="4"/>
      <c r="AB73" s="4"/>
    </row>
    <row r="74" spans="1:28" s="10" customFormat="1" x14ac:dyDescent="0.3">
      <c r="A74" s="26"/>
      <c r="B74" s="26"/>
      <c r="C74" s="26"/>
      <c r="D74" s="26"/>
      <c r="E74" s="4"/>
      <c r="F74" s="4"/>
      <c r="G74" s="4"/>
      <c r="H74" s="4"/>
      <c r="I74" s="4"/>
      <c r="J74" s="4"/>
      <c r="K74" s="4"/>
      <c r="L74" s="17"/>
      <c r="M74" s="17"/>
      <c r="N74" s="4"/>
      <c r="O74" s="4"/>
      <c r="P74" s="4"/>
      <c r="Q74" s="17"/>
      <c r="R74" s="17"/>
      <c r="S74" s="4"/>
      <c r="T74" s="4"/>
      <c r="U74" s="4"/>
      <c r="V74" s="4"/>
      <c r="W74" s="17"/>
      <c r="X74" s="17"/>
      <c r="Y74" s="4"/>
      <c r="Z74" s="4"/>
      <c r="AA74" s="4"/>
      <c r="AB74" s="4"/>
    </row>
    <row r="75" spans="1:28" x14ac:dyDescent="0.3">
      <c r="A75" s="32"/>
      <c r="B75" s="32"/>
      <c r="C75" s="32"/>
      <c r="D75" s="32"/>
      <c r="E75" s="7"/>
      <c r="F75" s="7"/>
      <c r="G75" s="7"/>
      <c r="H75" s="7"/>
      <c r="I75" s="7"/>
      <c r="J75" s="7"/>
      <c r="K75" s="7"/>
      <c r="L75" s="5"/>
      <c r="M75" s="5"/>
      <c r="N75" s="2"/>
      <c r="O75" s="2"/>
      <c r="P75" s="2"/>
      <c r="Q75" s="5"/>
      <c r="R75" s="5"/>
      <c r="S75" s="2"/>
      <c r="T75" s="2"/>
      <c r="U75" s="2"/>
      <c r="V75" s="2"/>
      <c r="W75" s="5"/>
      <c r="X75" s="5"/>
      <c r="Y75" s="2"/>
      <c r="Z75" s="2"/>
      <c r="AA75" s="2"/>
      <c r="AB75" s="2"/>
    </row>
    <row r="76" spans="1:28" x14ac:dyDescent="0.3">
      <c r="A76" s="32"/>
      <c r="B76" s="32"/>
      <c r="C76" s="32"/>
      <c r="D76" s="32"/>
      <c r="E76" s="7"/>
      <c r="F76" s="7"/>
      <c r="G76" s="7"/>
      <c r="H76" s="7"/>
      <c r="I76" s="7"/>
      <c r="J76" s="7"/>
      <c r="K76" s="7"/>
      <c r="L76" s="5"/>
      <c r="M76" s="5"/>
      <c r="N76" s="2"/>
      <c r="O76" s="2"/>
      <c r="P76" s="2"/>
      <c r="Q76" s="5"/>
      <c r="R76" s="5"/>
      <c r="S76" s="2"/>
      <c r="T76" s="2"/>
      <c r="U76" s="2"/>
      <c r="V76" s="2"/>
      <c r="W76" s="5"/>
      <c r="X76" s="5"/>
      <c r="Y76" s="2"/>
      <c r="Z76" s="2"/>
      <c r="AA76" s="2"/>
      <c r="AB76" s="2"/>
    </row>
    <row r="77" spans="1:28" x14ac:dyDescent="0.3">
      <c r="A77" s="32"/>
      <c r="B77" s="32"/>
      <c r="C77" s="32"/>
      <c r="D77" s="32"/>
      <c r="E77" s="7"/>
      <c r="F77" s="7"/>
      <c r="G77" s="7"/>
      <c r="H77" s="7"/>
      <c r="I77" s="7"/>
      <c r="J77" s="7"/>
      <c r="K77" s="7"/>
      <c r="L77" s="5"/>
      <c r="M77" s="5"/>
      <c r="N77" s="2"/>
      <c r="O77" s="2"/>
      <c r="P77" s="2"/>
      <c r="Q77" s="5"/>
      <c r="R77" s="5"/>
      <c r="S77" s="2"/>
      <c r="T77" s="2"/>
      <c r="U77" s="2"/>
      <c r="V77" s="2"/>
      <c r="W77" s="5"/>
      <c r="X77" s="5"/>
      <c r="Y77" s="2"/>
      <c r="Z77" s="2"/>
      <c r="AA77" s="2"/>
      <c r="AB77" s="2"/>
    </row>
    <row r="78" spans="1:28" x14ac:dyDescent="0.3">
      <c r="A78" s="32"/>
      <c r="B78" s="32"/>
      <c r="C78" s="32"/>
      <c r="D78" s="32"/>
      <c r="E78" s="7"/>
      <c r="F78" s="7"/>
      <c r="G78" s="7"/>
      <c r="H78" s="7"/>
      <c r="I78" s="7"/>
      <c r="J78" s="7"/>
      <c r="K78" s="7"/>
      <c r="L78" s="5"/>
      <c r="M78" s="5"/>
      <c r="N78" s="2"/>
      <c r="O78" s="2"/>
      <c r="P78" s="2"/>
      <c r="Q78" s="5"/>
      <c r="R78" s="5"/>
      <c r="S78" s="2"/>
      <c r="T78" s="2"/>
      <c r="U78" s="2"/>
      <c r="V78" s="2"/>
      <c r="W78" s="5"/>
      <c r="X78" s="5"/>
      <c r="Y78" s="2"/>
      <c r="Z78" s="2"/>
      <c r="AA78" s="2"/>
      <c r="AB78" s="2"/>
    </row>
    <row r="79" spans="1:28" x14ac:dyDescent="0.3">
      <c r="A79" s="32"/>
      <c r="B79" s="32"/>
      <c r="C79" s="32"/>
      <c r="D79" s="32"/>
      <c r="E79" s="7"/>
      <c r="F79" s="7"/>
      <c r="G79" s="7"/>
      <c r="H79" s="7"/>
      <c r="I79" s="7"/>
      <c r="J79" s="7"/>
      <c r="K79" s="7"/>
      <c r="L79" s="5"/>
      <c r="M79" s="5"/>
      <c r="N79" s="2"/>
      <c r="O79" s="2"/>
      <c r="P79" s="2"/>
      <c r="Q79" s="5"/>
      <c r="R79" s="5"/>
      <c r="S79" s="2"/>
      <c r="T79" s="2"/>
      <c r="U79" s="2"/>
      <c r="V79" s="2"/>
      <c r="W79" s="5"/>
      <c r="X79" s="5"/>
      <c r="Y79" s="2"/>
      <c r="Z79" s="2"/>
      <c r="AA79" s="2"/>
      <c r="AB79" s="2"/>
    </row>
    <row r="80" spans="1:28" x14ac:dyDescent="0.3">
      <c r="A80" s="32"/>
      <c r="B80" s="32"/>
      <c r="C80" s="32"/>
      <c r="D80" s="32"/>
      <c r="E80" s="7"/>
      <c r="F80" s="7"/>
      <c r="G80" s="7"/>
      <c r="H80" s="7"/>
      <c r="I80" s="7"/>
      <c r="J80" s="7"/>
      <c r="K80" s="7"/>
      <c r="L80" s="5"/>
      <c r="M80" s="5"/>
      <c r="N80" s="2"/>
      <c r="O80" s="2"/>
      <c r="P80" s="2"/>
      <c r="Q80" s="5"/>
      <c r="R80" s="5"/>
      <c r="S80" s="2"/>
      <c r="T80" s="2"/>
      <c r="U80" s="2"/>
      <c r="V80" s="2"/>
      <c r="W80" s="5"/>
      <c r="X80" s="5"/>
      <c r="Y80" s="2"/>
      <c r="Z80" s="2"/>
      <c r="AA80" s="2"/>
      <c r="AB80" s="2"/>
    </row>
    <row r="81" spans="1:28" x14ac:dyDescent="0.3">
      <c r="A81" s="32"/>
      <c r="B81" s="32"/>
      <c r="C81" s="32"/>
      <c r="D81" s="32"/>
      <c r="E81" s="7"/>
      <c r="F81" s="7"/>
      <c r="G81" s="7"/>
      <c r="H81" s="7"/>
      <c r="I81" s="7"/>
      <c r="J81" s="7"/>
      <c r="K81" s="7"/>
      <c r="L81" s="5"/>
      <c r="M81" s="5"/>
      <c r="N81" s="2"/>
      <c r="O81" s="2"/>
      <c r="P81" s="2"/>
      <c r="Q81" s="5"/>
      <c r="R81" s="5"/>
      <c r="S81" s="2"/>
      <c r="T81" s="2"/>
      <c r="U81" s="2"/>
      <c r="V81" s="2"/>
      <c r="W81" s="5"/>
      <c r="X81" s="5"/>
      <c r="Y81" s="2"/>
      <c r="Z81" s="2"/>
      <c r="AA81" s="2"/>
      <c r="AB81" s="2"/>
    </row>
    <row r="82" spans="1:28" x14ac:dyDescent="0.3">
      <c r="A82" s="32"/>
      <c r="B82" s="32"/>
      <c r="C82" s="32"/>
      <c r="D82" s="32"/>
      <c r="E82" s="7"/>
      <c r="F82" s="7"/>
      <c r="G82" s="7"/>
      <c r="H82" s="7"/>
      <c r="I82" s="7"/>
      <c r="J82" s="7"/>
      <c r="K82" s="7"/>
      <c r="L82" s="5"/>
      <c r="M82" s="5"/>
      <c r="N82" s="2"/>
      <c r="O82" s="2"/>
      <c r="P82" s="2"/>
      <c r="Q82" s="5"/>
      <c r="R82" s="5"/>
      <c r="S82" s="2"/>
      <c r="T82" s="2"/>
      <c r="U82" s="2"/>
      <c r="V82" s="2"/>
      <c r="W82" s="5"/>
      <c r="X82" s="5"/>
      <c r="Y82" s="2"/>
      <c r="Z82" s="2"/>
      <c r="AA82" s="2"/>
      <c r="AB82" s="2"/>
    </row>
    <row r="83" spans="1:28" x14ac:dyDescent="0.3">
      <c r="A83" s="32"/>
      <c r="B83" s="32"/>
      <c r="C83" s="32"/>
      <c r="D83" s="32"/>
      <c r="E83" s="7"/>
      <c r="F83" s="7"/>
      <c r="G83" s="7"/>
      <c r="H83" s="7"/>
      <c r="I83" s="7"/>
      <c r="J83" s="7"/>
      <c r="K83" s="7"/>
      <c r="L83" s="5"/>
      <c r="M83" s="5"/>
      <c r="N83" s="2"/>
      <c r="O83" s="2"/>
      <c r="P83" s="2"/>
      <c r="Q83" s="5"/>
      <c r="R83" s="5"/>
      <c r="S83" s="2"/>
      <c r="T83" s="2"/>
      <c r="U83" s="2"/>
      <c r="V83" s="2"/>
      <c r="W83" s="5"/>
      <c r="X83" s="5"/>
      <c r="Y83" s="2"/>
      <c r="Z83" s="2"/>
      <c r="AA83" s="2"/>
      <c r="AB83" s="2"/>
    </row>
    <row r="84" spans="1:28" x14ac:dyDescent="0.3">
      <c r="A84" s="32"/>
      <c r="B84" s="32"/>
      <c r="C84" s="32"/>
      <c r="D84" s="32"/>
      <c r="E84" s="7"/>
      <c r="F84" s="7"/>
      <c r="G84" s="7"/>
      <c r="H84" s="7"/>
      <c r="I84" s="7"/>
      <c r="J84" s="7"/>
      <c r="K84" s="7"/>
      <c r="L84" s="5"/>
      <c r="M84" s="5"/>
      <c r="N84" s="2"/>
      <c r="O84" s="2"/>
      <c r="P84" s="2"/>
      <c r="Q84" s="5"/>
      <c r="R84" s="5"/>
      <c r="S84" s="2"/>
      <c r="T84" s="2"/>
      <c r="U84" s="2"/>
      <c r="V84" s="2"/>
      <c r="W84" s="5"/>
      <c r="X84" s="5"/>
      <c r="Y84" s="2"/>
      <c r="Z84" s="2"/>
      <c r="AA84" s="2"/>
      <c r="AB84" s="2"/>
    </row>
    <row r="85" spans="1:28" x14ac:dyDescent="0.3">
      <c r="A85" s="32"/>
      <c r="B85" s="32"/>
      <c r="C85" s="32"/>
      <c r="D85" s="32"/>
      <c r="E85" s="7"/>
      <c r="F85" s="7"/>
      <c r="G85" s="7"/>
      <c r="H85" s="7"/>
      <c r="I85" s="7"/>
      <c r="J85" s="7"/>
      <c r="K85" s="7"/>
      <c r="L85" s="5"/>
      <c r="M85" s="5"/>
      <c r="N85" s="2"/>
      <c r="O85" s="2"/>
      <c r="P85" s="2"/>
      <c r="Q85" s="5"/>
      <c r="R85" s="5"/>
      <c r="S85" s="2"/>
      <c r="T85" s="2"/>
      <c r="U85" s="2"/>
      <c r="V85" s="2"/>
      <c r="W85" s="5"/>
      <c r="X85" s="5"/>
      <c r="Y85" s="2"/>
      <c r="Z85" s="2"/>
      <c r="AA85" s="2"/>
      <c r="AB85" s="2"/>
    </row>
    <row r="86" spans="1:28" x14ac:dyDescent="0.3">
      <c r="A86" s="32"/>
      <c r="B86" s="32"/>
      <c r="C86" s="32"/>
      <c r="D86" s="32"/>
      <c r="E86" s="7"/>
      <c r="F86" s="7"/>
      <c r="G86" s="7"/>
      <c r="H86" s="7"/>
      <c r="I86" s="7"/>
      <c r="J86" s="7"/>
      <c r="K86" s="7"/>
      <c r="L86" s="5"/>
      <c r="M86" s="5"/>
      <c r="N86" s="2"/>
      <c r="O86" s="2"/>
      <c r="P86" s="2"/>
      <c r="Q86" s="5"/>
      <c r="R86" s="5"/>
      <c r="S86" s="2"/>
      <c r="T86" s="2"/>
      <c r="U86" s="2"/>
      <c r="V86" s="2"/>
      <c r="W86" s="5"/>
      <c r="X86" s="5"/>
      <c r="Y86" s="2"/>
      <c r="Z86" s="2"/>
      <c r="AA86" s="2"/>
      <c r="AB86" s="2"/>
    </row>
    <row r="87" spans="1:28" x14ac:dyDescent="0.3">
      <c r="A87" s="32"/>
      <c r="B87" s="32"/>
      <c r="C87" s="32"/>
      <c r="D87" s="32"/>
      <c r="E87" s="7"/>
      <c r="F87" s="7"/>
      <c r="G87" s="7"/>
      <c r="H87" s="7"/>
      <c r="I87" s="7"/>
      <c r="J87" s="7"/>
      <c r="K87" s="7"/>
      <c r="L87" s="5"/>
      <c r="M87" s="5"/>
      <c r="N87" s="2"/>
      <c r="O87" s="2"/>
      <c r="P87" s="2"/>
      <c r="Q87" s="5"/>
      <c r="R87" s="5"/>
      <c r="S87" s="2"/>
      <c r="T87" s="2"/>
      <c r="U87" s="2"/>
      <c r="V87" s="2"/>
      <c r="W87" s="5"/>
      <c r="X87" s="5"/>
      <c r="Y87" s="2"/>
      <c r="Z87" s="2"/>
      <c r="AA87" s="2"/>
      <c r="AB87" s="2"/>
    </row>
    <row r="88" spans="1:28" x14ac:dyDescent="0.3">
      <c r="A88" s="32"/>
      <c r="B88" s="32"/>
      <c r="C88" s="32"/>
      <c r="D88" s="32"/>
      <c r="E88" s="7"/>
      <c r="F88" s="7"/>
      <c r="G88" s="7"/>
      <c r="H88" s="7"/>
      <c r="I88" s="7"/>
      <c r="J88" s="7"/>
      <c r="K88" s="7"/>
      <c r="L88" s="5"/>
      <c r="M88" s="5"/>
      <c r="N88" s="2"/>
      <c r="O88" s="2"/>
      <c r="P88" s="2"/>
      <c r="Q88" s="5"/>
      <c r="R88" s="5"/>
      <c r="S88" s="2"/>
      <c r="T88" s="2"/>
      <c r="U88" s="2"/>
      <c r="V88" s="2"/>
      <c r="W88" s="5"/>
      <c r="X88" s="5"/>
      <c r="Y88" s="2"/>
      <c r="Z88" s="2"/>
      <c r="AA88" s="2"/>
      <c r="AB88" s="2"/>
    </row>
    <row r="89" spans="1:28" x14ac:dyDescent="0.3">
      <c r="A89" s="32"/>
      <c r="B89" s="32"/>
      <c r="C89" s="32"/>
      <c r="D89" s="32"/>
      <c r="E89" s="7"/>
      <c r="F89" s="7"/>
      <c r="G89" s="7"/>
      <c r="H89" s="7"/>
      <c r="I89" s="7"/>
      <c r="J89" s="7"/>
      <c r="K89" s="7"/>
      <c r="L89" s="5"/>
      <c r="M89" s="5"/>
      <c r="N89" s="2"/>
      <c r="O89" s="2"/>
      <c r="P89" s="2"/>
      <c r="Q89" s="5"/>
      <c r="R89" s="5"/>
      <c r="S89" s="2"/>
      <c r="T89" s="2"/>
      <c r="U89" s="2"/>
      <c r="V89" s="2"/>
      <c r="W89" s="5"/>
      <c r="X89" s="5"/>
      <c r="Y89" s="2"/>
      <c r="Z89" s="2"/>
      <c r="AA89" s="2"/>
      <c r="AB89" s="2"/>
    </row>
    <row r="90" spans="1:28" x14ac:dyDescent="0.3">
      <c r="A90" s="32"/>
      <c r="B90" s="32"/>
      <c r="C90" s="32"/>
      <c r="D90" s="32"/>
      <c r="E90" s="7"/>
      <c r="F90" s="7"/>
      <c r="G90" s="7"/>
      <c r="H90" s="7"/>
      <c r="I90" s="7"/>
      <c r="J90" s="7"/>
      <c r="K90" s="7"/>
      <c r="L90" s="5"/>
      <c r="M90" s="5"/>
      <c r="N90" s="2"/>
      <c r="O90" s="2"/>
      <c r="P90" s="2"/>
      <c r="Q90" s="5"/>
      <c r="R90" s="5"/>
      <c r="S90" s="2"/>
      <c r="T90" s="2"/>
      <c r="U90" s="2"/>
      <c r="V90" s="2"/>
      <c r="W90" s="5"/>
      <c r="X90" s="5"/>
      <c r="Y90" s="2"/>
      <c r="Z90" s="2"/>
      <c r="AA90" s="2"/>
      <c r="AB90" s="2"/>
    </row>
    <row r="91" spans="1:28" x14ac:dyDescent="0.3">
      <c r="A91" s="32"/>
      <c r="B91" s="32"/>
      <c r="C91" s="32"/>
      <c r="D91" s="32"/>
      <c r="E91" s="7"/>
      <c r="F91" s="7"/>
      <c r="G91" s="7"/>
      <c r="H91" s="7"/>
      <c r="I91" s="7"/>
      <c r="J91" s="7"/>
      <c r="K91" s="7"/>
      <c r="L91" s="5"/>
      <c r="M91" s="5"/>
      <c r="N91" s="2"/>
      <c r="O91" s="2"/>
      <c r="P91" s="2"/>
      <c r="Q91" s="5"/>
      <c r="R91" s="5"/>
      <c r="S91" s="2"/>
      <c r="T91" s="2"/>
      <c r="U91" s="2"/>
      <c r="V91" s="2"/>
      <c r="W91" s="5"/>
      <c r="X91" s="5"/>
      <c r="Y91" s="2"/>
      <c r="Z91" s="2"/>
      <c r="AA91" s="2"/>
      <c r="AB91" s="2"/>
    </row>
    <row r="92" spans="1:28" x14ac:dyDescent="0.3">
      <c r="A92" s="32"/>
      <c r="B92" s="32"/>
      <c r="C92" s="32"/>
      <c r="D92" s="32"/>
      <c r="E92" s="7"/>
      <c r="F92" s="7"/>
      <c r="G92" s="7"/>
      <c r="H92" s="7"/>
      <c r="I92" s="7"/>
      <c r="J92" s="7"/>
      <c r="K92" s="7"/>
      <c r="L92" s="5"/>
      <c r="M92" s="5"/>
      <c r="N92" s="2"/>
      <c r="O92" s="2"/>
      <c r="P92" s="2"/>
      <c r="Q92" s="5"/>
      <c r="R92" s="5"/>
      <c r="S92" s="2"/>
      <c r="T92" s="2"/>
      <c r="U92" s="2"/>
      <c r="V92" s="2"/>
      <c r="W92" s="5"/>
      <c r="X92" s="5"/>
      <c r="Y92" s="2"/>
      <c r="Z92" s="2"/>
      <c r="AA92" s="2"/>
      <c r="AB92" s="2"/>
    </row>
    <row r="93" spans="1:28" x14ac:dyDescent="0.3">
      <c r="A93" s="32"/>
      <c r="B93" s="32"/>
      <c r="C93" s="32"/>
      <c r="D93" s="32"/>
      <c r="E93" s="7"/>
      <c r="F93" s="7"/>
      <c r="G93" s="7"/>
      <c r="H93" s="7"/>
      <c r="I93" s="7"/>
      <c r="J93" s="7"/>
      <c r="K93" s="7"/>
      <c r="L93" s="5"/>
      <c r="M93" s="5"/>
      <c r="N93" s="2"/>
      <c r="O93" s="2"/>
      <c r="P93" s="2"/>
      <c r="Q93" s="5"/>
      <c r="R93" s="5"/>
      <c r="S93" s="2"/>
      <c r="T93" s="2"/>
      <c r="U93" s="2"/>
      <c r="V93" s="2"/>
      <c r="W93" s="5"/>
      <c r="X93" s="5"/>
      <c r="Y93" s="2"/>
      <c r="Z93" s="2"/>
      <c r="AA93" s="2"/>
      <c r="AB93" s="2"/>
    </row>
    <row r="94" spans="1:28" x14ac:dyDescent="0.3">
      <c r="A94" s="32"/>
      <c r="B94" s="32"/>
      <c r="C94" s="32"/>
      <c r="D94" s="32"/>
      <c r="E94" s="7"/>
      <c r="F94" s="7"/>
      <c r="G94" s="7"/>
      <c r="H94" s="7"/>
      <c r="I94" s="7"/>
      <c r="J94" s="7"/>
      <c r="K94" s="7"/>
      <c r="L94" s="5"/>
      <c r="M94" s="5"/>
      <c r="N94" s="2"/>
      <c r="O94" s="2"/>
      <c r="P94" s="2"/>
      <c r="Q94" s="5"/>
      <c r="R94" s="5"/>
      <c r="S94" s="2"/>
      <c r="T94" s="2"/>
      <c r="U94" s="2"/>
      <c r="V94" s="2"/>
      <c r="W94" s="5"/>
      <c r="X94" s="5"/>
      <c r="Y94" s="2"/>
      <c r="Z94" s="2"/>
      <c r="AA94" s="2"/>
      <c r="AB94" s="2"/>
    </row>
    <row r="95" spans="1:28" x14ac:dyDescent="0.3">
      <c r="A95" s="32"/>
      <c r="B95" s="32"/>
      <c r="C95" s="32"/>
      <c r="D95" s="32"/>
      <c r="E95" s="7"/>
      <c r="F95" s="7"/>
      <c r="G95" s="7"/>
      <c r="H95" s="7"/>
      <c r="I95" s="7"/>
      <c r="J95" s="7"/>
      <c r="K95" s="7"/>
      <c r="L95" s="5"/>
      <c r="M95" s="5"/>
      <c r="N95" s="2"/>
      <c r="O95" s="2"/>
      <c r="P95" s="2"/>
      <c r="Q95" s="5"/>
      <c r="R95" s="5"/>
      <c r="S95" s="2"/>
      <c r="T95" s="2"/>
      <c r="U95" s="2"/>
      <c r="V95" s="2"/>
      <c r="W95" s="5"/>
      <c r="X95" s="5"/>
      <c r="Y95" s="2"/>
      <c r="Z95" s="2"/>
      <c r="AA95" s="2"/>
      <c r="AB95" s="2"/>
    </row>
    <row r="96" spans="1:28" x14ac:dyDescent="0.3">
      <c r="A96" s="32"/>
      <c r="B96" s="32"/>
      <c r="C96" s="32"/>
      <c r="D96" s="32"/>
      <c r="E96" s="7"/>
      <c r="F96" s="7"/>
      <c r="G96" s="7"/>
      <c r="H96" s="7"/>
      <c r="I96" s="7"/>
      <c r="J96" s="7"/>
      <c r="K96" s="7"/>
      <c r="L96" s="5"/>
      <c r="M96" s="5"/>
      <c r="N96" s="2"/>
      <c r="O96" s="2"/>
      <c r="P96" s="2"/>
      <c r="Q96" s="5"/>
      <c r="R96" s="5"/>
      <c r="S96" s="2"/>
      <c r="T96" s="2"/>
      <c r="U96" s="2"/>
      <c r="V96" s="2"/>
      <c r="W96" s="5"/>
      <c r="X96" s="5"/>
      <c r="Y96" s="2"/>
      <c r="Z96" s="2"/>
      <c r="AA96" s="2"/>
      <c r="AB96" s="2"/>
    </row>
    <row r="97" spans="1:28" x14ac:dyDescent="0.3">
      <c r="A97" s="32"/>
      <c r="B97" s="32"/>
      <c r="C97" s="32"/>
      <c r="D97" s="32"/>
      <c r="E97" s="7"/>
      <c r="F97" s="7"/>
      <c r="G97" s="7"/>
      <c r="H97" s="7"/>
      <c r="I97" s="7"/>
      <c r="J97" s="7"/>
      <c r="K97" s="7"/>
      <c r="L97" s="5"/>
      <c r="M97" s="5"/>
      <c r="N97" s="2"/>
      <c r="O97" s="2"/>
      <c r="P97" s="2"/>
      <c r="Q97" s="5"/>
      <c r="R97" s="5"/>
      <c r="S97" s="2"/>
      <c r="T97" s="2"/>
      <c r="U97" s="2"/>
      <c r="V97" s="2"/>
      <c r="W97" s="5"/>
      <c r="X97" s="5"/>
      <c r="Y97" s="2"/>
      <c r="Z97" s="2"/>
      <c r="AA97" s="2"/>
      <c r="AB97" s="2"/>
    </row>
    <row r="98" spans="1:28" x14ac:dyDescent="0.3">
      <c r="A98" s="32"/>
      <c r="B98" s="32"/>
      <c r="C98" s="32"/>
      <c r="D98" s="32"/>
      <c r="E98" s="7"/>
      <c r="F98" s="7"/>
      <c r="G98" s="7"/>
      <c r="H98" s="7"/>
      <c r="I98" s="7"/>
      <c r="J98" s="7"/>
      <c r="K98" s="7"/>
      <c r="L98" s="5"/>
      <c r="M98" s="5"/>
      <c r="N98" s="2"/>
      <c r="O98" s="2"/>
      <c r="P98" s="2"/>
      <c r="Q98" s="5"/>
      <c r="R98" s="5"/>
      <c r="S98" s="2"/>
      <c r="T98" s="2"/>
      <c r="U98" s="2"/>
      <c r="V98" s="2"/>
      <c r="W98" s="5"/>
      <c r="X98" s="5"/>
      <c r="Y98" s="2"/>
      <c r="Z98" s="2"/>
      <c r="AA98" s="2"/>
      <c r="AB98" s="2"/>
    </row>
    <row r="99" spans="1:28" x14ac:dyDescent="0.3">
      <c r="A99" s="32"/>
      <c r="B99" s="32"/>
      <c r="C99" s="32"/>
      <c r="D99" s="32"/>
      <c r="E99" s="7"/>
      <c r="F99" s="7"/>
      <c r="G99" s="7"/>
      <c r="H99" s="7"/>
      <c r="I99" s="7"/>
      <c r="J99" s="7"/>
      <c r="K99" s="7"/>
      <c r="L99" s="5"/>
      <c r="M99" s="5"/>
      <c r="N99" s="2"/>
      <c r="O99" s="2"/>
      <c r="P99" s="2"/>
      <c r="Q99" s="5"/>
      <c r="R99" s="5"/>
      <c r="S99" s="2"/>
      <c r="T99" s="2"/>
      <c r="U99" s="2"/>
      <c r="V99" s="2"/>
      <c r="W99" s="5"/>
      <c r="X99" s="5"/>
      <c r="Y99" s="2"/>
      <c r="Z99" s="2"/>
      <c r="AA99" s="2"/>
      <c r="AB99" s="2"/>
    </row>
    <row r="100" spans="1:28" x14ac:dyDescent="0.3">
      <c r="A100" s="32"/>
      <c r="B100" s="32"/>
      <c r="C100" s="32"/>
      <c r="D100" s="32"/>
      <c r="E100" s="7"/>
      <c r="F100" s="7"/>
      <c r="G100" s="7"/>
      <c r="H100" s="7"/>
      <c r="I100" s="7"/>
      <c r="J100" s="7"/>
      <c r="K100" s="7"/>
      <c r="L100" s="5"/>
      <c r="M100" s="5"/>
      <c r="N100" s="2"/>
      <c r="O100" s="2"/>
      <c r="P100" s="2"/>
      <c r="Q100" s="5"/>
      <c r="R100" s="5"/>
      <c r="S100" s="2"/>
      <c r="T100" s="2"/>
      <c r="U100" s="2"/>
      <c r="V100" s="2"/>
      <c r="W100" s="5"/>
      <c r="X100" s="5"/>
      <c r="Y100" s="2"/>
      <c r="Z100" s="2"/>
      <c r="AA100" s="2"/>
      <c r="AB100" s="2"/>
    </row>
    <row r="101" spans="1:28" x14ac:dyDescent="0.3">
      <c r="A101" s="32"/>
      <c r="B101" s="32"/>
      <c r="C101" s="32"/>
      <c r="D101" s="32"/>
      <c r="E101" s="7"/>
      <c r="F101" s="7"/>
      <c r="G101" s="7"/>
      <c r="H101" s="7"/>
      <c r="I101" s="7"/>
      <c r="J101" s="7"/>
      <c r="K101" s="7"/>
      <c r="L101" s="5"/>
      <c r="M101" s="5"/>
      <c r="N101" s="2"/>
      <c r="O101" s="2"/>
      <c r="P101" s="2"/>
      <c r="Q101" s="5"/>
      <c r="R101" s="5"/>
      <c r="S101" s="2"/>
      <c r="T101" s="2"/>
      <c r="U101" s="2"/>
      <c r="V101" s="2"/>
      <c r="W101" s="5"/>
      <c r="X101" s="5"/>
      <c r="Y101" s="2"/>
      <c r="Z101" s="2"/>
      <c r="AA101" s="2"/>
      <c r="AB101" s="2"/>
    </row>
    <row r="102" spans="1:28" x14ac:dyDescent="0.3">
      <c r="A102" s="32"/>
      <c r="B102" s="32"/>
      <c r="C102" s="32"/>
      <c r="D102" s="32"/>
      <c r="E102" s="7"/>
      <c r="F102" s="7"/>
      <c r="G102" s="7"/>
      <c r="H102" s="7"/>
      <c r="I102" s="7"/>
      <c r="J102" s="7"/>
      <c r="K102" s="7"/>
      <c r="L102" s="5"/>
      <c r="M102" s="5"/>
      <c r="N102" s="2"/>
      <c r="O102" s="2"/>
      <c r="P102" s="2"/>
      <c r="Q102" s="5"/>
      <c r="R102" s="5"/>
      <c r="S102" s="2"/>
      <c r="T102" s="2"/>
      <c r="U102" s="2"/>
      <c r="V102" s="2"/>
      <c r="W102" s="5"/>
      <c r="X102" s="5"/>
      <c r="Y102" s="2"/>
      <c r="Z102" s="2"/>
      <c r="AA102" s="2"/>
      <c r="AB102" s="2"/>
    </row>
    <row r="103" spans="1:28" x14ac:dyDescent="0.3">
      <c r="A103" s="32"/>
      <c r="B103" s="32"/>
      <c r="C103" s="32"/>
      <c r="D103" s="32"/>
      <c r="E103" s="7"/>
      <c r="F103" s="7"/>
      <c r="G103" s="7"/>
      <c r="H103" s="7"/>
      <c r="I103" s="7"/>
      <c r="J103" s="7"/>
      <c r="K103" s="7"/>
      <c r="L103" s="5"/>
      <c r="M103" s="5"/>
      <c r="N103" s="2"/>
      <c r="O103" s="2"/>
      <c r="P103" s="2"/>
      <c r="Q103" s="5"/>
      <c r="R103" s="5"/>
      <c r="S103" s="2"/>
      <c r="T103" s="2"/>
      <c r="U103" s="2"/>
      <c r="V103" s="2"/>
      <c r="W103" s="5"/>
      <c r="X103" s="5"/>
      <c r="Y103" s="2"/>
      <c r="Z103" s="2"/>
      <c r="AA103" s="2"/>
      <c r="AB103" s="2"/>
    </row>
    <row r="104" spans="1:28" x14ac:dyDescent="0.3">
      <c r="A104" s="32"/>
      <c r="B104" s="32"/>
      <c r="C104" s="32"/>
      <c r="D104" s="32"/>
      <c r="E104" s="7"/>
      <c r="F104" s="7"/>
      <c r="G104" s="7"/>
      <c r="H104" s="7"/>
      <c r="I104" s="7"/>
      <c r="J104" s="7"/>
      <c r="K104" s="7"/>
      <c r="L104" s="5"/>
      <c r="M104" s="5"/>
      <c r="N104" s="2"/>
      <c r="O104" s="2"/>
      <c r="P104" s="2"/>
      <c r="Q104" s="5"/>
      <c r="R104" s="5"/>
      <c r="S104" s="2"/>
      <c r="T104" s="2"/>
      <c r="U104" s="2"/>
      <c r="V104" s="2"/>
      <c r="W104" s="5"/>
      <c r="X104" s="5"/>
      <c r="Y104" s="2"/>
      <c r="Z104" s="2"/>
      <c r="AA104" s="2"/>
      <c r="AB104" s="2"/>
    </row>
    <row r="105" spans="1:28" x14ac:dyDescent="0.3">
      <c r="A105" s="32"/>
      <c r="B105" s="32"/>
      <c r="C105" s="32"/>
      <c r="D105" s="32"/>
      <c r="E105" s="7"/>
      <c r="F105" s="7"/>
      <c r="G105" s="7"/>
      <c r="H105" s="7"/>
      <c r="I105" s="7"/>
      <c r="J105" s="7"/>
      <c r="K105" s="7"/>
      <c r="L105" s="5"/>
      <c r="M105" s="5"/>
      <c r="N105" s="2"/>
      <c r="O105" s="2"/>
      <c r="P105" s="2"/>
      <c r="Q105" s="5"/>
      <c r="R105" s="5"/>
      <c r="S105" s="2"/>
      <c r="T105" s="2"/>
      <c r="U105" s="2"/>
      <c r="V105" s="2"/>
      <c r="W105" s="5"/>
      <c r="X105" s="5"/>
      <c r="Y105" s="2"/>
      <c r="Z105" s="2"/>
      <c r="AA105" s="2"/>
      <c r="AB105" s="2"/>
    </row>
    <row r="106" spans="1:28" x14ac:dyDescent="0.3">
      <c r="A106" s="32"/>
      <c r="B106" s="32"/>
      <c r="C106" s="32"/>
      <c r="D106" s="32"/>
      <c r="E106" s="7"/>
      <c r="F106" s="7"/>
      <c r="G106" s="7"/>
      <c r="H106" s="7"/>
      <c r="I106" s="7"/>
      <c r="J106" s="7"/>
      <c r="K106" s="7"/>
      <c r="L106" s="5"/>
      <c r="M106" s="5"/>
      <c r="N106" s="2"/>
      <c r="O106" s="2"/>
      <c r="P106" s="2"/>
      <c r="Q106" s="5"/>
      <c r="R106" s="5"/>
      <c r="S106" s="2"/>
      <c r="T106" s="2"/>
      <c r="U106" s="2"/>
      <c r="V106" s="2"/>
      <c r="W106" s="5"/>
      <c r="X106" s="5"/>
      <c r="Y106" s="2"/>
      <c r="Z106" s="2"/>
      <c r="AA106" s="2"/>
      <c r="AB106" s="2"/>
    </row>
    <row r="107" spans="1:28" x14ac:dyDescent="0.3">
      <c r="A107" s="32"/>
      <c r="B107" s="32"/>
      <c r="C107" s="32"/>
      <c r="D107" s="32"/>
      <c r="E107" s="7"/>
      <c r="F107" s="7"/>
      <c r="G107" s="7"/>
      <c r="H107" s="7"/>
      <c r="I107" s="7"/>
      <c r="J107" s="7"/>
      <c r="K107" s="7"/>
      <c r="L107" s="5"/>
      <c r="M107" s="5"/>
      <c r="N107" s="2"/>
      <c r="O107" s="2"/>
      <c r="P107" s="2"/>
      <c r="Q107" s="5"/>
      <c r="R107" s="5"/>
      <c r="S107" s="2"/>
      <c r="T107" s="2"/>
      <c r="U107" s="2"/>
      <c r="V107" s="2"/>
      <c r="W107" s="5"/>
      <c r="X107" s="5"/>
      <c r="Y107" s="2"/>
      <c r="Z107" s="2"/>
      <c r="AA107" s="2"/>
      <c r="AB107" s="2"/>
    </row>
    <row r="108" spans="1:28" x14ac:dyDescent="0.3">
      <c r="A108" s="32"/>
      <c r="B108" s="32"/>
      <c r="C108" s="32"/>
      <c r="D108" s="32"/>
      <c r="E108" s="7"/>
      <c r="F108" s="7"/>
      <c r="G108" s="7"/>
      <c r="H108" s="7"/>
      <c r="I108" s="7"/>
      <c r="J108" s="7"/>
      <c r="K108" s="7"/>
      <c r="L108" s="5"/>
      <c r="M108" s="5"/>
      <c r="N108" s="2"/>
      <c r="O108" s="2"/>
      <c r="P108" s="2"/>
      <c r="Q108" s="5"/>
      <c r="R108" s="5"/>
      <c r="S108" s="2"/>
      <c r="T108" s="2"/>
      <c r="U108" s="2"/>
      <c r="V108" s="2"/>
      <c r="W108" s="5"/>
      <c r="X108" s="5"/>
      <c r="Y108" s="2"/>
      <c r="Z108" s="2"/>
      <c r="AA108" s="2"/>
      <c r="AB108" s="2"/>
    </row>
    <row r="109" spans="1:28" x14ac:dyDescent="0.3">
      <c r="A109" s="32"/>
      <c r="B109" s="32"/>
      <c r="C109" s="32"/>
      <c r="D109" s="32"/>
      <c r="E109" s="7"/>
      <c r="F109" s="7"/>
      <c r="G109" s="7"/>
      <c r="H109" s="7"/>
      <c r="I109" s="7"/>
      <c r="J109" s="7"/>
      <c r="K109" s="7"/>
      <c r="L109" s="5"/>
      <c r="M109" s="5"/>
      <c r="N109" s="2"/>
      <c r="O109" s="2"/>
      <c r="P109" s="2"/>
      <c r="Q109" s="5"/>
      <c r="R109" s="5"/>
      <c r="S109" s="2"/>
      <c r="T109" s="2"/>
      <c r="U109" s="2"/>
      <c r="V109" s="2"/>
      <c r="W109" s="5"/>
      <c r="X109" s="5"/>
      <c r="Y109" s="2"/>
      <c r="Z109" s="2"/>
      <c r="AA109" s="2"/>
      <c r="AB109" s="2"/>
    </row>
    <row r="110" spans="1:28" x14ac:dyDescent="0.3">
      <c r="A110" s="32"/>
      <c r="B110" s="32"/>
      <c r="C110" s="32"/>
      <c r="D110" s="32"/>
      <c r="E110" s="7"/>
      <c r="F110" s="7"/>
      <c r="G110" s="7"/>
      <c r="H110" s="7"/>
      <c r="I110" s="7"/>
      <c r="J110" s="7"/>
      <c r="K110" s="7"/>
      <c r="L110" s="5"/>
      <c r="M110" s="5"/>
      <c r="N110" s="2"/>
      <c r="O110" s="2"/>
      <c r="P110" s="2"/>
      <c r="Q110" s="5"/>
      <c r="R110" s="5"/>
      <c r="S110" s="2"/>
      <c r="T110" s="2"/>
      <c r="U110" s="2"/>
      <c r="V110" s="2"/>
      <c r="W110" s="5"/>
      <c r="X110" s="5"/>
      <c r="Y110" s="2"/>
      <c r="Z110" s="2"/>
      <c r="AA110" s="2"/>
      <c r="AB110" s="2"/>
    </row>
    <row r="111" spans="1:28" x14ac:dyDescent="0.3">
      <c r="A111" s="32"/>
      <c r="B111" s="32"/>
      <c r="C111" s="32"/>
      <c r="D111" s="32"/>
      <c r="E111" s="7"/>
      <c r="F111" s="7"/>
      <c r="G111" s="7"/>
      <c r="H111" s="7"/>
      <c r="I111" s="7"/>
      <c r="J111" s="7"/>
      <c r="K111" s="7"/>
      <c r="L111" s="5"/>
      <c r="M111" s="5"/>
      <c r="N111" s="2"/>
      <c r="O111" s="2"/>
      <c r="P111" s="2"/>
      <c r="Q111" s="5"/>
      <c r="R111" s="5"/>
      <c r="S111" s="2"/>
      <c r="T111" s="2"/>
      <c r="U111" s="2"/>
      <c r="V111" s="2"/>
      <c r="W111" s="5"/>
      <c r="X111" s="5"/>
      <c r="Y111" s="2"/>
      <c r="Z111" s="2"/>
      <c r="AA111" s="2"/>
      <c r="AB111" s="2"/>
    </row>
    <row r="112" spans="1:28" x14ac:dyDescent="0.3">
      <c r="A112" s="32"/>
      <c r="B112" s="32"/>
      <c r="C112" s="32"/>
      <c r="D112" s="32"/>
      <c r="E112" s="7"/>
      <c r="F112" s="7"/>
      <c r="G112" s="7"/>
      <c r="H112" s="7"/>
      <c r="I112" s="7"/>
      <c r="J112" s="7"/>
      <c r="K112" s="7"/>
      <c r="L112" s="5"/>
      <c r="M112" s="5"/>
      <c r="N112" s="2"/>
      <c r="O112" s="2"/>
      <c r="P112" s="2"/>
      <c r="Q112" s="5"/>
      <c r="R112" s="5"/>
      <c r="S112" s="2"/>
      <c r="T112" s="2"/>
      <c r="U112" s="2"/>
      <c r="V112" s="2"/>
      <c r="W112" s="5"/>
      <c r="X112" s="5"/>
      <c r="Y112" s="2"/>
      <c r="Z112" s="2"/>
      <c r="AA112" s="2"/>
      <c r="AB112" s="2"/>
    </row>
    <row r="113" spans="1:28" x14ac:dyDescent="0.3">
      <c r="A113" s="32"/>
      <c r="B113" s="32"/>
      <c r="C113" s="32"/>
      <c r="D113" s="32"/>
      <c r="E113" s="7"/>
      <c r="F113" s="7"/>
      <c r="G113" s="7"/>
      <c r="H113" s="7"/>
      <c r="I113" s="7"/>
      <c r="J113" s="7"/>
      <c r="K113" s="7"/>
      <c r="L113" s="5"/>
      <c r="M113" s="5"/>
      <c r="N113" s="2"/>
      <c r="O113" s="2"/>
      <c r="P113" s="2"/>
      <c r="Q113" s="5"/>
      <c r="R113" s="5"/>
      <c r="S113" s="2"/>
      <c r="T113" s="2"/>
      <c r="U113" s="2"/>
      <c r="V113" s="2"/>
      <c r="W113" s="5"/>
      <c r="X113" s="5"/>
      <c r="Y113" s="2"/>
      <c r="Z113" s="2"/>
      <c r="AA113" s="2"/>
      <c r="AB113" s="2"/>
    </row>
    <row r="114" spans="1:28" x14ac:dyDescent="0.3">
      <c r="A114" s="32"/>
      <c r="B114" s="32"/>
      <c r="C114" s="32"/>
      <c r="D114" s="32"/>
      <c r="E114" s="7"/>
      <c r="F114" s="7"/>
      <c r="G114" s="7"/>
      <c r="H114" s="7"/>
      <c r="I114" s="7"/>
      <c r="J114" s="7"/>
      <c r="K114" s="7"/>
      <c r="L114" s="5"/>
      <c r="M114" s="5"/>
      <c r="N114" s="2"/>
      <c r="O114" s="2"/>
      <c r="P114" s="2"/>
      <c r="Q114" s="5"/>
      <c r="R114" s="5"/>
      <c r="S114" s="2"/>
      <c r="T114" s="2"/>
      <c r="U114" s="2"/>
      <c r="V114" s="2"/>
      <c r="W114" s="5"/>
      <c r="X114" s="5"/>
      <c r="Y114" s="2"/>
      <c r="Z114" s="2"/>
      <c r="AA114" s="2"/>
      <c r="AB114" s="2"/>
    </row>
    <row r="115" spans="1:28" x14ac:dyDescent="0.3">
      <c r="A115" s="32"/>
      <c r="B115" s="32"/>
      <c r="C115" s="32"/>
      <c r="D115" s="32"/>
      <c r="E115" s="7"/>
      <c r="F115" s="7"/>
      <c r="G115" s="7"/>
      <c r="H115" s="7"/>
      <c r="I115" s="7"/>
      <c r="J115" s="7"/>
      <c r="K115" s="7"/>
      <c r="L115" s="5"/>
      <c r="M115" s="5"/>
      <c r="N115" s="2"/>
      <c r="O115" s="2"/>
      <c r="P115" s="2"/>
      <c r="Q115" s="5"/>
      <c r="R115" s="5"/>
      <c r="S115" s="2"/>
      <c r="T115" s="2"/>
      <c r="U115" s="2"/>
      <c r="V115" s="2"/>
      <c r="W115" s="5"/>
      <c r="X115" s="5"/>
      <c r="Y115" s="2"/>
      <c r="Z115" s="2"/>
      <c r="AA115" s="2"/>
      <c r="AB115" s="2"/>
    </row>
    <row r="116" spans="1:28" x14ac:dyDescent="0.3">
      <c r="A116" s="32"/>
      <c r="B116" s="32"/>
      <c r="C116" s="32"/>
      <c r="D116" s="32"/>
      <c r="E116" s="7"/>
      <c r="F116" s="7"/>
      <c r="G116" s="7"/>
      <c r="H116" s="7"/>
      <c r="I116" s="7"/>
      <c r="J116" s="7"/>
      <c r="K116" s="7"/>
      <c r="L116" s="5"/>
      <c r="M116" s="5"/>
      <c r="N116" s="2"/>
      <c r="O116" s="2"/>
      <c r="P116" s="2"/>
      <c r="Q116" s="5"/>
      <c r="R116" s="5"/>
      <c r="S116" s="2"/>
      <c r="T116" s="2"/>
      <c r="U116" s="2"/>
      <c r="V116" s="2"/>
      <c r="W116" s="5"/>
      <c r="X116" s="5"/>
      <c r="Y116" s="2"/>
      <c r="Z116" s="2"/>
      <c r="AA116" s="2"/>
      <c r="AB116" s="2"/>
    </row>
    <row r="117" spans="1:28" x14ac:dyDescent="0.3">
      <c r="A117" s="32"/>
      <c r="B117" s="32"/>
      <c r="C117" s="32"/>
      <c r="D117" s="32"/>
      <c r="E117" s="7"/>
      <c r="F117" s="7"/>
      <c r="G117" s="7"/>
      <c r="H117" s="7"/>
      <c r="I117" s="7"/>
      <c r="J117" s="7"/>
      <c r="K117" s="7"/>
      <c r="L117" s="5"/>
      <c r="M117" s="5"/>
      <c r="N117" s="2"/>
      <c r="O117" s="2"/>
      <c r="P117" s="2"/>
      <c r="Q117" s="5"/>
      <c r="R117" s="5"/>
      <c r="S117" s="2"/>
      <c r="T117" s="2"/>
      <c r="U117" s="2"/>
      <c r="V117" s="2"/>
      <c r="W117" s="5"/>
      <c r="X117" s="5"/>
      <c r="Y117" s="2"/>
      <c r="Z117" s="2"/>
      <c r="AA117" s="2"/>
      <c r="AB117" s="2"/>
    </row>
    <row r="118" spans="1:28" x14ac:dyDescent="0.3">
      <c r="A118" s="32"/>
      <c r="B118" s="32"/>
      <c r="C118" s="32"/>
      <c r="D118" s="32"/>
      <c r="E118" s="7"/>
      <c r="F118" s="7"/>
      <c r="G118" s="7"/>
      <c r="H118" s="7"/>
      <c r="I118" s="7"/>
      <c r="J118" s="7"/>
      <c r="K118" s="7"/>
      <c r="L118" s="5"/>
      <c r="M118" s="5"/>
      <c r="N118" s="2"/>
      <c r="O118" s="2"/>
      <c r="P118" s="2"/>
      <c r="Q118" s="5"/>
      <c r="R118" s="5"/>
      <c r="S118" s="2"/>
      <c r="T118" s="2"/>
      <c r="U118" s="2"/>
      <c r="V118" s="2"/>
      <c r="W118" s="5"/>
      <c r="X118" s="5"/>
      <c r="Y118" s="2"/>
      <c r="Z118" s="2"/>
      <c r="AA118" s="2"/>
      <c r="AB118" s="2"/>
    </row>
    <row r="119" spans="1:28" x14ac:dyDescent="0.3">
      <c r="A119" s="32"/>
      <c r="B119" s="32"/>
      <c r="C119" s="32"/>
      <c r="D119" s="32"/>
      <c r="E119" s="7"/>
      <c r="F119" s="7"/>
      <c r="G119" s="7"/>
      <c r="H119" s="7"/>
      <c r="I119" s="7"/>
      <c r="J119" s="7"/>
      <c r="K119" s="7"/>
      <c r="L119" s="5"/>
      <c r="M119" s="5"/>
      <c r="N119" s="2"/>
      <c r="O119" s="2"/>
      <c r="P119" s="2"/>
      <c r="Q119" s="5"/>
      <c r="R119" s="5"/>
      <c r="S119" s="2"/>
      <c r="T119" s="2"/>
      <c r="U119" s="2"/>
      <c r="V119" s="2"/>
      <c r="W119" s="5"/>
      <c r="X119" s="5"/>
      <c r="Y119" s="2"/>
      <c r="Z119" s="2"/>
      <c r="AA119" s="2"/>
      <c r="AB119" s="2"/>
    </row>
    <row r="120" spans="1:28" x14ac:dyDescent="0.3">
      <c r="A120" s="32"/>
      <c r="B120" s="32"/>
      <c r="C120" s="32"/>
      <c r="D120" s="32"/>
      <c r="E120" s="7"/>
      <c r="F120" s="7"/>
      <c r="G120" s="7"/>
      <c r="H120" s="7"/>
      <c r="I120" s="7"/>
      <c r="J120" s="7"/>
      <c r="K120" s="7"/>
      <c r="L120" s="5"/>
      <c r="M120" s="5"/>
      <c r="N120" s="2"/>
      <c r="O120" s="2"/>
      <c r="P120" s="2"/>
      <c r="Q120" s="5"/>
      <c r="R120" s="5"/>
      <c r="S120" s="2"/>
      <c r="T120" s="2"/>
      <c r="U120" s="2"/>
      <c r="V120" s="2"/>
      <c r="W120" s="5"/>
      <c r="X120" s="5"/>
      <c r="Y120" s="2"/>
      <c r="Z120" s="2"/>
      <c r="AA120" s="2"/>
      <c r="AB120" s="2"/>
    </row>
    <row r="121" spans="1:28" x14ac:dyDescent="0.3">
      <c r="A121" s="32"/>
      <c r="B121" s="32"/>
      <c r="C121" s="32"/>
      <c r="D121" s="32"/>
      <c r="E121" s="7"/>
      <c r="F121" s="7"/>
      <c r="G121" s="7"/>
      <c r="H121" s="7"/>
      <c r="I121" s="7"/>
      <c r="J121" s="7"/>
      <c r="K121" s="7"/>
      <c r="L121" s="5"/>
      <c r="M121" s="5"/>
      <c r="N121" s="2"/>
      <c r="O121" s="2"/>
      <c r="P121" s="2"/>
      <c r="Q121" s="5"/>
      <c r="R121" s="5"/>
      <c r="S121" s="2"/>
      <c r="T121" s="2"/>
      <c r="U121" s="2"/>
      <c r="V121" s="2"/>
      <c r="W121" s="5"/>
      <c r="X121" s="5"/>
      <c r="Y121" s="2"/>
      <c r="Z121" s="2"/>
      <c r="AA121" s="2"/>
      <c r="AB121" s="2"/>
    </row>
    <row r="122" spans="1:28" x14ac:dyDescent="0.3">
      <c r="A122" s="32"/>
      <c r="B122" s="32"/>
      <c r="C122" s="32"/>
      <c r="D122" s="32"/>
      <c r="E122" s="7"/>
      <c r="F122" s="7"/>
      <c r="G122" s="7"/>
      <c r="H122" s="7"/>
      <c r="I122" s="7"/>
      <c r="J122" s="7"/>
      <c r="K122" s="7"/>
      <c r="L122" s="5"/>
      <c r="M122" s="5"/>
      <c r="N122" s="2"/>
      <c r="O122" s="2"/>
      <c r="P122" s="2"/>
      <c r="Q122" s="5"/>
      <c r="R122" s="5"/>
      <c r="S122" s="2"/>
      <c r="T122" s="2"/>
      <c r="U122" s="2"/>
      <c r="V122" s="2"/>
      <c r="W122" s="5"/>
      <c r="X122" s="5"/>
      <c r="Y122" s="2"/>
      <c r="Z122" s="2"/>
      <c r="AA122" s="2"/>
      <c r="AB122" s="2"/>
    </row>
    <row r="123" spans="1:28" x14ac:dyDescent="0.3">
      <c r="A123" s="32"/>
      <c r="B123" s="32"/>
      <c r="C123" s="32"/>
      <c r="D123" s="32"/>
      <c r="E123" s="7"/>
      <c r="F123" s="7"/>
      <c r="G123" s="7"/>
      <c r="H123" s="7"/>
      <c r="I123" s="7"/>
      <c r="J123" s="7"/>
      <c r="K123" s="7"/>
      <c r="L123" s="5"/>
      <c r="M123" s="5"/>
      <c r="N123" s="2"/>
      <c r="O123" s="2"/>
      <c r="P123" s="2"/>
      <c r="Q123" s="5"/>
      <c r="R123" s="5"/>
      <c r="S123" s="2"/>
      <c r="T123" s="2"/>
      <c r="U123" s="2"/>
      <c r="V123" s="2"/>
      <c r="W123" s="5"/>
      <c r="X123" s="5"/>
      <c r="Y123" s="2"/>
      <c r="Z123" s="2"/>
      <c r="AA123" s="2"/>
      <c r="AB123" s="2"/>
    </row>
    <row r="124" spans="1:28" x14ac:dyDescent="0.3">
      <c r="A124" s="32"/>
      <c r="B124" s="32"/>
      <c r="C124" s="32"/>
      <c r="D124" s="32"/>
      <c r="E124" s="7"/>
      <c r="F124" s="7"/>
      <c r="G124" s="7"/>
      <c r="H124" s="7"/>
      <c r="I124" s="7"/>
      <c r="J124" s="7"/>
      <c r="K124" s="7"/>
      <c r="L124" s="5"/>
      <c r="M124" s="5"/>
      <c r="N124" s="2"/>
      <c r="O124" s="2"/>
      <c r="P124" s="2"/>
      <c r="Q124" s="5"/>
      <c r="R124" s="5"/>
      <c r="S124" s="2"/>
      <c r="T124" s="2"/>
      <c r="U124" s="2"/>
      <c r="V124" s="2"/>
      <c r="W124" s="5"/>
      <c r="X124" s="5"/>
      <c r="Y124" s="2"/>
      <c r="Z124" s="2"/>
      <c r="AA124" s="2"/>
      <c r="AB124" s="2"/>
    </row>
    <row r="125" spans="1:28" x14ac:dyDescent="0.3">
      <c r="A125" s="32"/>
      <c r="B125" s="32"/>
      <c r="C125" s="32"/>
      <c r="D125" s="32"/>
      <c r="E125" s="7"/>
      <c r="F125" s="7"/>
      <c r="G125" s="7"/>
      <c r="H125" s="7"/>
      <c r="I125" s="7"/>
      <c r="J125" s="7"/>
      <c r="K125" s="7"/>
      <c r="L125" s="5"/>
      <c r="M125" s="5"/>
      <c r="N125" s="2"/>
      <c r="O125" s="2"/>
      <c r="P125" s="2"/>
      <c r="Q125" s="5"/>
      <c r="R125" s="5"/>
      <c r="S125" s="2"/>
      <c r="T125" s="2"/>
      <c r="U125" s="2"/>
      <c r="V125" s="2"/>
      <c r="W125" s="5"/>
      <c r="X125" s="5"/>
      <c r="Y125" s="2"/>
      <c r="Z125" s="2"/>
      <c r="AA125" s="2"/>
      <c r="AB125" s="2"/>
    </row>
    <row r="126" spans="1:28" x14ac:dyDescent="0.3">
      <c r="A126" s="32"/>
      <c r="B126" s="32"/>
      <c r="C126" s="32"/>
      <c r="D126" s="32"/>
      <c r="E126" s="7"/>
      <c r="F126" s="7"/>
      <c r="G126" s="7"/>
      <c r="H126" s="7"/>
      <c r="I126" s="7"/>
      <c r="J126" s="7"/>
      <c r="K126" s="7"/>
      <c r="L126" s="5"/>
      <c r="M126" s="5"/>
      <c r="N126" s="2"/>
      <c r="O126" s="2"/>
      <c r="P126" s="2"/>
      <c r="Q126" s="5"/>
      <c r="R126" s="5"/>
      <c r="S126" s="2"/>
      <c r="T126" s="2"/>
      <c r="U126" s="2"/>
      <c r="V126" s="2"/>
      <c r="W126" s="5"/>
      <c r="X126" s="5"/>
      <c r="Y126" s="2"/>
      <c r="Z126" s="2"/>
      <c r="AA126" s="2"/>
      <c r="AB126" s="2"/>
    </row>
    <row r="127" spans="1:28" x14ac:dyDescent="0.3">
      <c r="A127" s="32"/>
      <c r="B127" s="32"/>
      <c r="C127" s="32"/>
      <c r="D127" s="32"/>
      <c r="E127" s="7"/>
      <c r="F127" s="7"/>
      <c r="G127" s="7"/>
      <c r="H127" s="7"/>
      <c r="I127" s="7"/>
      <c r="J127" s="7"/>
      <c r="K127" s="7"/>
      <c r="L127" s="5"/>
      <c r="M127" s="5"/>
      <c r="N127" s="2"/>
      <c r="O127" s="2"/>
      <c r="P127" s="2"/>
      <c r="Q127" s="5"/>
      <c r="R127" s="5"/>
      <c r="S127" s="2"/>
      <c r="T127" s="2"/>
      <c r="U127" s="2"/>
      <c r="V127" s="2"/>
      <c r="W127" s="5"/>
      <c r="X127" s="5"/>
      <c r="Y127" s="2"/>
      <c r="Z127" s="2"/>
      <c r="AA127" s="2"/>
      <c r="AB127" s="2"/>
    </row>
    <row r="128" spans="1:28" x14ac:dyDescent="0.3">
      <c r="A128" s="32"/>
      <c r="B128" s="32"/>
      <c r="C128" s="32"/>
      <c r="D128" s="32"/>
      <c r="E128" s="7"/>
      <c r="F128" s="7"/>
      <c r="G128" s="7"/>
      <c r="H128" s="7"/>
      <c r="I128" s="7"/>
      <c r="J128" s="7"/>
      <c r="K128" s="7"/>
      <c r="L128" s="5"/>
      <c r="M128" s="5"/>
      <c r="N128" s="2"/>
      <c r="O128" s="2"/>
      <c r="P128" s="2"/>
      <c r="Q128" s="5"/>
      <c r="R128" s="5"/>
      <c r="S128" s="2"/>
      <c r="T128" s="2"/>
      <c r="U128" s="2"/>
      <c r="V128" s="2"/>
      <c r="W128" s="5"/>
      <c r="X128" s="5"/>
      <c r="Y128" s="2"/>
      <c r="Z128" s="2"/>
      <c r="AA128" s="2"/>
      <c r="AB128" s="2"/>
    </row>
    <row r="129" spans="1:28" x14ac:dyDescent="0.3">
      <c r="A129" s="32"/>
      <c r="B129" s="32"/>
      <c r="C129" s="32"/>
      <c r="D129" s="32"/>
      <c r="E129" s="7"/>
      <c r="F129" s="7"/>
      <c r="G129" s="7"/>
      <c r="H129" s="7"/>
      <c r="I129" s="7"/>
      <c r="J129" s="7"/>
      <c r="K129" s="7"/>
      <c r="L129" s="5"/>
      <c r="M129" s="5"/>
      <c r="N129" s="2"/>
      <c r="O129" s="2"/>
      <c r="P129" s="2"/>
      <c r="Q129" s="5"/>
      <c r="R129" s="5"/>
      <c r="S129" s="2"/>
      <c r="T129" s="2"/>
      <c r="U129" s="2"/>
      <c r="V129" s="2"/>
      <c r="W129" s="5"/>
      <c r="X129" s="5"/>
      <c r="Y129" s="2"/>
      <c r="Z129" s="2"/>
      <c r="AA129" s="2"/>
      <c r="AB129" s="2"/>
    </row>
    <row r="130" spans="1:28" x14ac:dyDescent="0.3">
      <c r="A130" s="32"/>
      <c r="B130" s="32"/>
      <c r="C130" s="32"/>
      <c r="D130" s="32"/>
      <c r="E130" s="7"/>
      <c r="F130" s="7"/>
      <c r="G130" s="7"/>
      <c r="H130" s="7"/>
      <c r="I130" s="7"/>
      <c r="J130" s="7"/>
      <c r="K130" s="7"/>
      <c r="L130" s="5"/>
      <c r="M130" s="5"/>
      <c r="N130" s="2"/>
      <c r="O130" s="2"/>
      <c r="P130" s="2"/>
      <c r="Q130" s="5"/>
      <c r="R130" s="5"/>
      <c r="S130" s="2"/>
      <c r="T130" s="2"/>
      <c r="U130" s="2"/>
      <c r="V130" s="2"/>
      <c r="W130" s="5"/>
      <c r="X130" s="5"/>
      <c r="Y130" s="2"/>
      <c r="Z130" s="2"/>
      <c r="AA130" s="2"/>
      <c r="AB130" s="2"/>
    </row>
    <row r="131" spans="1:28" x14ac:dyDescent="0.3">
      <c r="A131" s="32"/>
      <c r="B131" s="32"/>
      <c r="C131" s="32"/>
      <c r="D131" s="32"/>
      <c r="E131" s="7"/>
      <c r="F131" s="7"/>
      <c r="G131" s="7"/>
      <c r="H131" s="7"/>
      <c r="I131" s="7"/>
      <c r="J131" s="7"/>
      <c r="K131" s="7"/>
      <c r="L131" s="5"/>
      <c r="M131" s="5"/>
      <c r="N131" s="2"/>
      <c r="O131" s="2"/>
      <c r="P131" s="2"/>
      <c r="Q131" s="5"/>
      <c r="R131" s="5"/>
      <c r="S131" s="2"/>
      <c r="T131" s="2"/>
      <c r="U131" s="2"/>
      <c r="V131" s="2"/>
      <c r="W131" s="5"/>
      <c r="X131" s="5"/>
      <c r="Y131" s="2"/>
      <c r="Z131" s="2"/>
      <c r="AA131" s="2"/>
      <c r="AB131" s="2"/>
    </row>
    <row r="132" spans="1:28" x14ac:dyDescent="0.3">
      <c r="A132" s="32"/>
      <c r="B132" s="32"/>
      <c r="C132" s="32"/>
      <c r="D132" s="32"/>
      <c r="E132" s="7"/>
      <c r="F132" s="7"/>
      <c r="G132" s="7"/>
      <c r="H132" s="7"/>
      <c r="I132" s="7"/>
      <c r="J132" s="7"/>
      <c r="K132" s="7"/>
      <c r="L132" s="5"/>
      <c r="M132" s="5"/>
      <c r="N132" s="2"/>
      <c r="O132" s="2"/>
      <c r="P132" s="2"/>
      <c r="Q132" s="5"/>
      <c r="R132" s="5"/>
      <c r="S132" s="2"/>
      <c r="T132" s="2"/>
      <c r="U132" s="2"/>
      <c r="V132" s="2"/>
      <c r="W132" s="5"/>
      <c r="X132" s="5"/>
      <c r="Y132" s="2"/>
      <c r="Z132" s="2"/>
      <c r="AA132" s="2"/>
      <c r="AB132" s="2"/>
    </row>
    <row r="133" spans="1:28" x14ac:dyDescent="0.3">
      <c r="A133" s="32"/>
      <c r="B133" s="32"/>
      <c r="C133" s="32"/>
      <c r="D133" s="32"/>
      <c r="E133" s="7"/>
      <c r="F133" s="7"/>
      <c r="G133" s="7"/>
      <c r="H133" s="7"/>
      <c r="I133" s="7"/>
      <c r="J133" s="7"/>
      <c r="K133" s="7"/>
      <c r="L133" s="5"/>
      <c r="M133" s="5"/>
      <c r="N133" s="2"/>
      <c r="O133" s="2"/>
      <c r="P133" s="2"/>
      <c r="Q133" s="5"/>
      <c r="R133" s="5"/>
      <c r="S133" s="2"/>
      <c r="T133" s="2"/>
      <c r="U133" s="2"/>
      <c r="V133" s="2"/>
      <c r="W133" s="5"/>
      <c r="X133" s="5"/>
      <c r="Y133" s="2"/>
      <c r="Z133" s="2"/>
      <c r="AA133" s="2"/>
      <c r="AB133" s="2"/>
    </row>
    <row r="134" spans="1:28" x14ac:dyDescent="0.3">
      <c r="A134" s="32"/>
      <c r="B134" s="32"/>
      <c r="C134" s="32"/>
      <c r="D134" s="32"/>
      <c r="E134" s="7"/>
      <c r="F134" s="7"/>
      <c r="G134" s="7"/>
      <c r="H134" s="7"/>
      <c r="I134" s="7"/>
      <c r="J134" s="7"/>
      <c r="K134" s="7"/>
      <c r="L134" s="5"/>
      <c r="M134" s="5"/>
      <c r="N134" s="2"/>
      <c r="O134" s="2"/>
      <c r="P134" s="2"/>
      <c r="Q134" s="5"/>
      <c r="R134" s="5"/>
      <c r="S134" s="2"/>
      <c r="T134" s="2"/>
      <c r="U134" s="2"/>
      <c r="V134" s="2"/>
      <c r="W134" s="5"/>
      <c r="X134" s="5"/>
      <c r="Y134" s="2"/>
      <c r="Z134" s="2"/>
      <c r="AA134" s="2"/>
      <c r="AB134" s="2"/>
    </row>
    <row r="135" spans="1:28" x14ac:dyDescent="0.3">
      <c r="A135" s="32"/>
      <c r="B135" s="32"/>
      <c r="C135" s="32"/>
      <c r="D135" s="32"/>
      <c r="E135" s="7"/>
      <c r="F135" s="7"/>
      <c r="G135" s="7"/>
      <c r="H135" s="7"/>
      <c r="I135" s="7"/>
      <c r="J135" s="7"/>
      <c r="K135" s="7"/>
      <c r="L135" s="5"/>
      <c r="M135" s="5"/>
      <c r="N135" s="2"/>
      <c r="O135" s="2"/>
      <c r="P135" s="2"/>
      <c r="Q135" s="5"/>
      <c r="R135" s="5"/>
      <c r="S135" s="2"/>
      <c r="T135" s="2"/>
      <c r="U135" s="2"/>
      <c r="V135" s="2"/>
      <c r="W135" s="5"/>
      <c r="X135" s="5"/>
      <c r="Y135" s="2"/>
      <c r="Z135" s="2"/>
      <c r="AA135" s="2"/>
      <c r="AB135" s="2"/>
    </row>
    <row r="136" spans="1:28" x14ac:dyDescent="0.3">
      <c r="A136" s="32"/>
      <c r="B136" s="32"/>
      <c r="C136" s="32"/>
      <c r="D136" s="32"/>
      <c r="E136" s="7"/>
      <c r="F136" s="7"/>
      <c r="G136" s="7"/>
      <c r="H136" s="7"/>
      <c r="I136" s="7"/>
      <c r="J136" s="7"/>
      <c r="K136" s="7"/>
      <c r="L136" s="5"/>
      <c r="M136" s="5"/>
      <c r="N136" s="2"/>
      <c r="O136" s="2"/>
      <c r="P136" s="2"/>
      <c r="Q136" s="5"/>
      <c r="R136" s="5"/>
      <c r="S136" s="2"/>
      <c r="T136" s="2"/>
      <c r="U136" s="2"/>
      <c r="V136" s="2"/>
      <c r="W136" s="5"/>
      <c r="X136" s="5"/>
      <c r="Y136" s="2"/>
      <c r="Z136" s="2"/>
      <c r="AA136" s="2"/>
      <c r="AB136" s="2"/>
    </row>
    <row r="137" spans="1:28" x14ac:dyDescent="0.3">
      <c r="A137" s="32"/>
      <c r="B137" s="32"/>
      <c r="C137" s="32"/>
      <c r="D137" s="32"/>
      <c r="E137" s="7"/>
      <c r="F137" s="7"/>
      <c r="G137" s="7"/>
      <c r="H137" s="7"/>
      <c r="I137" s="7"/>
      <c r="J137" s="7"/>
      <c r="K137" s="7"/>
      <c r="L137" s="5"/>
      <c r="M137" s="5"/>
      <c r="N137" s="2"/>
      <c r="O137" s="2"/>
      <c r="P137" s="2"/>
      <c r="Q137" s="5"/>
      <c r="R137" s="5"/>
      <c r="S137" s="2"/>
      <c r="T137" s="2"/>
      <c r="U137" s="2"/>
      <c r="V137" s="2"/>
      <c r="W137" s="5"/>
      <c r="X137" s="5"/>
      <c r="Y137" s="2"/>
      <c r="Z137" s="2"/>
      <c r="AA137" s="2"/>
      <c r="AB137" s="2"/>
    </row>
    <row r="138" spans="1:28" x14ac:dyDescent="0.3">
      <c r="A138" s="32"/>
      <c r="B138" s="32"/>
      <c r="C138" s="32"/>
      <c r="D138" s="32"/>
      <c r="E138" s="7"/>
      <c r="F138" s="7"/>
      <c r="G138" s="7"/>
      <c r="H138" s="7"/>
      <c r="I138" s="7"/>
      <c r="J138" s="7"/>
      <c r="K138" s="7"/>
      <c r="L138" s="5"/>
      <c r="M138" s="5"/>
      <c r="N138" s="2"/>
      <c r="O138" s="2"/>
      <c r="P138" s="2"/>
      <c r="Q138" s="5"/>
      <c r="R138" s="5"/>
      <c r="S138" s="2"/>
      <c r="T138" s="2"/>
      <c r="U138" s="2"/>
      <c r="V138" s="2"/>
      <c r="W138" s="5"/>
      <c r="X138" s="5"/>
      <c r="Y138" s="2"/>
      <c r="Z138" s="2"/>
      <c r="AA138" s="2"/>
      <c r="AB138" s="2"/>
    </row>
    <row r="139" spans="1:28" x14ac:dyDescent="0.3">
      <c r="A139" s="32"/>
      <c r="B139" s="32"/>
      <c r="C139" s="32"/>
      <c r="D139" s="32"/>
      <c r="E139" s="7"/>
      <c r="F139" s="7"/>
      <c r="G139" s="7"/>
      <c r="H139" s="7"/>
      <c r="I139" s="7"/>
      <c r="J139" s="7"/>
      <c r="K139" s="7"/>
      <c r="L139" s="5"/>
      <c r="M139" s="5"/>
      <c r="N139" s="2"/>
      <c r="O139" s="2"/>
      <c r="P139" s="2"/>
      <c r="Q139" s="5"/>
      <c r="R139" s="5"/>
      <c r="S139" s="2"/>
      <c r="T139" s="2"/>
      <c r="U139" s="2"/>
      <c r="V139" s="2"/>
      <c r="W139" s="5"/>
      <c r="X139" s="5"/>
      <c r="Y139" s="2"/>
      <c r="Z139" s="2"/>
      <c r="AA139" s="2"/>
      <c r="AB139" s="2"/>
    </row>
    <row r="140" spans="1:28" x14ac:dyDescent="0.3">
      <c r="A140" s="32"/>
      <c r="B140" s="32"/>
      <c r="C140" s="32"/>
      <c r="D140" s="32"/>
      <c r="E140" s="7"/>
      <c r="F140" s="7"/>
      <c r="G140" s="7"/>
      <c r="H140" s="7"/>
      <c r="I140" s="7"/>
      <c r="J140" s="7"/>
      <c r="K140" s="7"/>
      <c r="L140" s="5"/>
      <c r="M140" s="5"/>
      <c r="N140" s="2"/>
      <c r="O140" s="2"/>
      <c r="P140" s="2"/>
      <c r="Q140" s="5"/>
      <c r="R140" s="5"/>
      <c r="S140" s="2"/>
      <c r="T140" s="2"/>
      <c r="U140" s="2"/>
      <c r="V140" s="2"/>
      <c r="W140" s="5"/>
      <c r="X140" s="5"/>
      <c r="Y140" s="2"/>
      <c r="Z140" s="2"/>
      <c r="AA140" s="2"/>
      <c r="AB140" s="2"/>
    </row>
    <row r="141" spans="1:28" x14ac:dyDescent="0.3">
      <c r="A141" s="32"/>
      <c r="B141" s="32"/>
      <c r="C141" s="32"/>
      <c r="D141" s="32"/>
      <c r="E141" s="7"/>
      <c r="F141" s="7"/>
      <c r="G141" s="7"/>
      <c r="H141" s="7"/>
      <c r="I141" s="7"/>
      <c r="J141" s="7"/>
      <c r="K141" s="7"/>
      <c r="L141" s="5"/>
      <c r="M141" s="5"/>
      <c r="N141" s="2"/>
      <c r="O141" s="2"/>
      <c r="P141" s="2"/>
      <c r="Q141" s="5"/>
      <c r="R141" s="5"/>
      <c r="S141" s="2"/>
      <c r="T141" s="2"/>
      <c r="U141" s="2"/>
      <c r="V141" s="2"/>
      <c r="W141" s="5"/>
      <c r="X141" s="5"/>
      <c r="Y141" s="2"/>
      <c r="Z141" s="2"/>
      <c r="AA141" s="2"/>
      <c r="AB141" s="2"/>
    </row>
    <row r="142" spans="1:28" x14ac:dyDescent="0.3">
      <c r="A142" s="32"/>
      <c r="B142" s="32"/>
      <c r="C142" s="32"/>
      <c r="D142" s="32"/>
      <c r="E142" s="7"/>
      <c r="F142" s="7"/>
      <c r="G142" s="7"/>
      <c r="H142" s="7"/>
      <c r="I142" s="7"/>
      <c r="J142" s="7"/>
      <c r="K142" s="7"/>
      <c r="L142" s="5"/>
      <c r="M142" s="5"/>
      <c r="N142" s="2"/>
      <c r="O142" s="2"/>
      <c r="P142" s="2"/>
      <c r="Q142" s="5"/>
      <c r="R142" s="5"/>
      <c r="S142" s="2"/>
      <c r="T142" s="2"/>
      <c r="U142" s="2"/>
      <c r="V142" s="2"/>
      <c r="W142" s="5"/>
      <c r="X142" s="5"/>
      <c r="Y142" s="2"/>
      <c r="Z142" s="2"/>
      <c r="AA142" s="2"/>
      <c r="AB142" s="2"/>
    </row>
    <row r="143" spans="1:28" x14ac:dyDescent="0.3">
      <c r="A143" s="32"/>
      <c r="B143" s="32"/>
      <c r="C143" s="32"/>
      <c r="D143" s="32"/>
      <c r="E143" s="7"/>
      <c r="F143" s="7"/>
      <c r="G143" s="7"/>
      <c r="H143" s="7"/>
      <c r="I143" s="7"/>
      <c r="J143" s="7"/>
      <c r="K143" s="7"/>
      <c r="L143" s="5"/>
      <c r="M143" s="5"/>
      <c r="N143" s="2"/>
      <c r="O143" s="2"/>
      <c r="P143" s="2"/>
      <c r="Q143" s="5"/>
      <c r="R143" s="5"/>
      <c r="S143" s="2"/>
      <c r="T143" s="2"/>
      <c r="U143" s="2"/>
      <c r="V143" s="2"/>
      <c r="W143" s="5"/>
      <c r="X143" s="5"/>
      <c r="Y143" s="2"/>
      <c r="Z143" s="2"/>
      <c r="AA143" s="2"/>
      <c r="AB143" s="2"/>
    </row>
    <row r="144" spans="1:28" x14ac:dyDescent="0.3">
      <c r="A144" s="32"/>
      <c r="B144" s="32"/>
      <c r="C144" s="32"/>
      <c r="D144" s="32"/>
      <c r="E144" s="7"/>
      <c r="F144" s="7"/>
      <c r="G144" s="7"/>
      <c r="H144" s="7"/>
      <c r="I144" s="7"/>
      <c r="J144" s="7"/>
      <c r="K144" s="7"/>
      <c r="L144" s="5"/>
      <c r="M144" s="5"/>
      <c r="N144" s="2"/>
      <c r="O144" s="2"/>
      <c r="P144" s="2"/>
      <c r="Q144" s="5"/>
      <c r="R144" s="5"/>
      <c r="S144" s="2"/>
      <c r="T144" s="2"/>
      <c r="U144" s="2"/>
      <c r="V144" s="2"/>
      <c r="W144" s="5"/>
      <c r="X144" s="5"/>
      <c r="Y144" s="2"/>
      <c r="Z144" s="2"/>
      <c r="AA144" s="2"/>
      <c r="AB144" s="2"/>
    </row>
    <row r="145" spans="1:28" x14ac:dyDescent="0.3">
      <c r="A145" s="32"/>
      <c r="B145" s="32"/>
      <c r="C145" s="32"/>
      <c r="D145" s="32"/>
      <c r="E145" s="7"/>
      <c r="F145" s="7"/>
      <c r="G145" s="7"/>
      <c r="H145" s="7"/>
      <c r="I145" s="7"/>
      <c r="J145" s="7"/>
      <c r="K145" s="7"/>
      <c r="L145" s="5"/>
      <c r="M145" s="5"/>
      <c r="N145" s="2"/>
      <c r="O145" s="2"/>
      <c r="P145" s="2"/>
      <c r="Q145" s="5"/>
      <c r="R145" s="5"/>
      <c r="S145" s="2"/>
      <c r="T145" s="2"/>
      <c r="U145" s="2"/>
      <c r="V145" s="2"/>
      <c r="W145" s="5"/>
      <c r="X145" s="5"/>
      <c r="Y145" s="2"/>
      <c r="Z145" s="2"/>
      <c r="AA145" s="2"/>
      <c r="AB145" s="2"/>
    </row>
    <row r="146" spans="1:28" x14ac:dyDescent="0.3">
      <c r="A146" s="32"/>
      <c r="B146" s="32"/>
      <c r="C146" s="32"/>
      <c r="D146" s="32"/>
      <c r="E146" s="7"/>
      <c r="F146" s="7"/>
      <c r="G146" s="7"/>
      <c r="H146" s="7"/>
      <c r="I146" s="7"/>
      <c r="J146" s="7"/>
      <c r="K146" s="7"/>
      <c r="L146" s="5"/>
      <c r="M146" s="5"/>
      <c r="N146" s="2"/>
      <c r="O146" s="2"/>
      <c r="P146" s="2"/>
      <c r="Q146" s="5"/>
      <c r="R146" s="5"/>
      <c r="S146" s="2"/>
      <c r="T146" s="2"/>
      <c r="U146" s="2"/>
      <c r="V146" s="2"/>
      <c r="W146" s="5"/>
      <c r="X146" s="5"/>
      <c r="Y146" s="2"/>
      <c r="Z146" s="2"/>
      <c r="AA146" s="2"/>
      <c r="AB146" s="2"/>
    </row>
    <row r="147" spans="1:28" x14ac:dyDescent="0.3">
      <c r="A147" s="32"/>
      <c r="B147" s="32"/>
      <c r="C147" s="32"/>
      <c r="D147" s="32"/>
      <c r="E147" s="7"/>
      <c r="F147" s="7"/>
      <c r="G147" s="7"/>
      <c r="H147" s="7"/>
      <c r="I147" s="7"/>
      <c r="J147" s="7"/>
      <c r="K147" s="7"/>
      <c r="L147" s="5"/>
      <c r="M147" s="5"/>
      <c r="N147" s="2"/>
      <c r="O147" s="2"/>
      <c r="P147" s="2"/>
      <c r="Q147" s="5"/>
      <c r="R147" s="5"/>
      <c r="S147" s="2"/>
      <c r="T147" s="2"/>
      <c r="U147" s="2"/>
      <c r="V147" s="2"/>
      <c r="W147" s="5"/>
      <c r="X147" s="5"/>
      <c r="Y147" s="2"/>
      <c r="Z147" s="2"/>
      <c r="AA147" s="2"/>
      <c r="AB147" s="2"/>
    </row>
    <row r="148" spans="1:28" x14ac:dyDescent="0.3">
      <c r="A148" s="32"/>
      <c r="B148" s="32"/>
      <c r="C148" s="32"/>
      <c r="D148" s="32"/>
      <c r="E148" s="7"/>
      <c r="F148" s="7"/>
      <c r="G148" s="7"/>
      <c r="H148" s="7"/>
      <c r="I148" s="7"/>
      <c r="J148" s="7"/>
      <c r="K148" s="7"/>
      <c r="L148" s="5"/>
      <c r="M148" s="5"/>
      <c r="N148" s="2"/>
      <c r="O148" s="2"/>
      <c r="P148" s="2"/>
      <c r="Q148" s="5"/>
      <c r="R148" s="5"/>
      <c r="S148" s="2"/>
      <c r="T148" s="2"/>
      <c r="U148" s="2"/>
      <c r="V148" s="2"/>
      <c r="W148" s="5"/>
      <c r="X148" s="5"/>
      <c r="Y148" s="2"/>
      <c r="Z148" s="2"/>
      <c r="AA148" s="2"/>
      <c r="AB148" s="2"/>
    </row>
    <row r="149" spans="1:28" x14ac:dyDescent="0.3">
      <c r="A149" s="32"/>
      <c r="B149" s="32"/>
      <c r="C149" s="32"/>
      <c r="D149" s="32"/>
      <c r="E149" s="7"/>
      <c r="F149" s="7"/>
      <c r="G149" s="7"/>
      <c r="H149" s="7"/>
      <c r="I149" s="7"/>
      <c r="J149" s="7"/>
      <c r="K149" s="7"/>
      <c r="L149" s="5"/>
      <c r="M149" s="5"/>
      <c r="N149" s="2"/>
      <c r="O149" s="2"/>
      <c r="P149" s="2"/>
      <c r="Q149" s="5"/>
      <c r="R149" s="5"/>
      <c r="S149" s="2"/>
      <c r="T149" s="2"/>
      <c r="U149" s="2"/>
      <c r="V149" s="2"/>
      <c r="W149" s="5"/>
      <c r="X149" s="5"/>
      <c r="Y149" s="2"/>
      <c r="Z149" s="2"/>
      <c r="AA149" s="2"/>
      <c r="AB149" s="2"/>
    </row>
    <row r="150" spans="1:28" x14ac:dyDescent="0.3">
      <c r="A150" s="32"/>
      <c r="B150" s="32"/>
      <c r="C150" s="32"/>
      <c r="D150" s="32"/>
      <c r="E150" s="7"/>
      <c r="F150" s="7"/>
      <c r="G150" s="7"/>
      <c r="H150" s="7"/>
      <c r="I150" s="7"/>
      <c r="J150" s="7"/>
      <c r="K150" s="7"/>
      <c r="L150" s="5"/>
      <c r="M150" s="5"/>
      <c r="N150" s="2"/>
      <c r="O150" s="2"/>
      <c r="P150" s="2"/>
      <c r="Q150" s="5"/>
      <c r="R150" s="5"/>
      <c r="S150" s="2"/>
      <c r="T150" s="2"/>
      <c r="U150" s="2"/>
      <c r="V150" s="2"/>
      <c r="W150" s="5"/>
      <c r="X150" s="5"/>
      <c r="Y150" s="2"/>
      <c r="Z150" s="2"/>
      <c r="AA150" s="2"/>
      <c r="AB150" s="2"/>
    </row>
    <row r="151" spans="1:28" x14ac:dyDescent="0.3">
      <c r="A151" s="32"/>
      <c r="B151" s="32"/>
      <c r="C151" s="32"/>
      <c r="D151" s="32"/>
      <c r="E151" s="7"/>
      <c r="F151" s="7"/>
      <c r="G151" s="7"/>
      <c r="H151" s="7"/>
      <c r="I151" s="7"/>
      <c r="J151" s="7"/>
      <c r="K151" s="7"/>
      <c r="L151" s="5"/>
      <c r="M151" s="5"/>
      <c r="N151" s="2"/>
      <c r="O151" s="2"/>
      <c r="P151" s="2"/>
      <c r="Q151" s="5"/>
      <c r="R151" s="5"/>
      <c r="S151" s="2"/>
      <c r="T151" s="2"/>
      <c r="U151" s="2"/>
      <c r="V151" s="2"/>
      <c r="W151" s="5"/>
      <c r="X151" s="5"/>
      <c r="Y151" s="2"/>
      <c r="Z151" s="2"/>
      <c r="AA151" s="2"/>
      <c r="AB151" s="2"/>
    </row>
    <row r="152" spans="1:28" x14ac:dyDescent="0.3">
      <c r="A152" s="32"/>
      <c r="B152" s="32"/>
      <c r="C152" s="32"/>
      <c r="D152" s="32"/>
      <c r="E152" s="7"/>
      <c r="F152" s="7"/>
      <c r="G152" s="7"/>
      <c r="H152" s="7"/>
      <c r="I152" s="7"/>
      <c r="J152" s="7"/>
      <c r="K152" s="7"/>
      <c r="L152" s="5"/>
      <c r="M152" s="5"/>
      <c r="N152" s="2"/>
      <c r="O152" s="2"/>
      <c r="P152" s="2"/>
      <c r="Q152" s="5"/>
      <c r="R152" s="5"/>
      <c r="S152" s="2"/>
      <c r="T152" s="2"/>
      <c r="U152" s="2"/>
      <c r="V152" s="2"/>
      <c r="W152" s="5"/>
      <c r="X152" s="5"/>
      <c r="Y152" s="2"/>
      <c r="Z152" s="2"/>
      <c r="AA152" s="2"/>
      <c r="AB152" s="2"/>
    </row>
    <row r="153" spans="1:28" x14ac:dyDescent="0.3">
      <c r="A153" s="32"/>
      <c r="B153" s="32"/>
      <c r="C153" s="32"/>
      <c r="D153" s="32"/>
      <c r="E153" s="7"/>
      <c r="F153" s="7"/>
      <c r="G153" s="7"/>
      <c r="H153" s="7"/>
      <c r="I153" s="7"/>
      <c r="J153" s="7"/>
      <c r="K153" s="7"/>
      <c r="L153" s="5"/>
      <c r="M153" s="5"/>
      <c r="N153" s="2"/>
      <c r="O153" s="2"/>
      <c r="P153" s="2"/>
      <c r="Q153" s="5"/>
      <c r="R153" s="5"/>
      <c r="S153" s="2"/>
      <c r="T153" s="2"/>
      <c r="U153" s="2"/>
      <c r="V153" s="2"/>
      <c r="W153" s="5"/>
      <c r="X153" s="5"/>
      <c r="Y153" s="2"/>
      <c r="Z153" s="2"/>
      <c r="AA153" s="2"/>
      <c r="AB153" s="2"/>
    </row>
    <row r="154" spans="1:28" x14ac:dyDescent="0.3">
      <c r="A154" s="32"/>
      <c r="B154" s="32"/>
      <c r="C154" s="32"/>
      <c r="D154" s="32"/>
      <c r="E154" s="7"/>
      <c r="F154" s="7"/>
      <c r="G154" s="7"/>
      <c r="H154" s="7"/>
      <c r="I154" s="7"/>
      <c r="J154" s="7"/>
      <c r="K154" s="7"/>
      <c r="L154" s="5"/>
      <c r="M154" s="5"/>
      <c r="N154" s="2"/>
      <c r="O154" s="2"/>
      <c r="P154" s="2"/>
      <c r="Q154" s="5"/>
      <c r="R154" s="5"/>
      <c r="S154" s="2"/>
      <c r="T154" s="2"/>
      <c r="U154" s="2"/>
      <c r="V154" s="2"/>
      <c r="W154" s="5"/>
      <c r="X154" s="5"/>
      <c r="Y154" s="2"/>
      <c r="Z154" s="2"/>
      <c r="AA154" s="2"/>
      <c r="AB154" s="2"/>
    </row>
    <row r="155" spans="1:28" x14ac:dyDescent="0.3">
      <c r="A155" s="32"/>
      <c r="B155" s="32"/>
      <c r="C155" s="32"/>
      <c r="D155" s="32"/>
      <c r="E155" s="7"/>
      <c r="F155" s="7"/>
      <c r="G155" s="7"/>
      <c r="H155" s="7"/>
      <c r="I155" s="7"/>
      <c r="J155" s="7"/>
      <c r="K155" s="7"/>
      <c r="L155" s="5"/>
      <c r="M155" s="5"/>
      <c r="N155" s="2"/>
      <c r="O155" s="2"/>
      <c r="P155" s="2"/>
      <c r="Q155" s="5"/>
      <c r="R155" s="5"/>
      <c r="S155" s="2"/>
      <c r="T155" s="2"/>
      <c r="U155" s="2"/>
      <c r="V155" s="2"/>
      <c r="W155" s="5"/>
      <c r="X155" s="5"/>
      <c r="Y155" s="2"/>
      <c r="Z155" s="2"/>
      <c r="AA155" s="2"/>
      <c r="AB155" s="2"/>
    </row>
    <row r="156" spans="1:28" x14ac:dyDescent="0.3">
      <c r="A156" s="32"/>
      <c r="B156" s="32"/>
      <c r="C156" s="32"/>
      <c r="D156" s="32"/>
      <c r="E156" s="7"/>
      <c r="F156" s="7"/>
      <c r="G156" s="7"/>
      <c r="H156" s="7"/>
      <c r="I156" s="7"/>
      <c r="J156" s="7"/>
      <c r="K156" s="7"/>
      <c r="L156" s="5"/>
      <c r="M156" s="5"/>
      <c r="N156" s="2"/>
      <c r="O156" s="2"/>
      <c r="P156" s="2"/>
      <c r="Q156" s="5"/>
      <c r="R156" s="5"/>
      <c r="S156" s="2"/>
      <c r="T156" s="2"/>
      <c r="U156" s="2"/>
      <c r="V156" s="2"/>
      <c r="W156" s="5"/>
      <c r="X156" s="5"/>
      <c r="Y156" s="2"/>
      <c r="Z156" s="2"/>
      <c r="AA156" s="2"/>
      <c r="AB156" s="2"/>
    </row>
    <row r="157" spans="1:28" x14ac:dyDescent="0.3">
      <c r="A157" s="32"/>
      <c r="B157" s="32"/>
      <c r="C157" s="32"/>
      <c r="D157" s="32"/>
      <c r="E157" s="7"/>
      <c r="F157" s="7"/>
      <c r="G157" s="7"/>
      <c r="H157" s="7"/>
      <c r="I157" s="7"/>
      <c r="J157" s="7"/>
      <c r="K157" s="7"/>
      <c r="L157" s="5"/>
      <c r="M157" s="5"/>
      <c r="N157" s="2"/>
      <c r="O157" s="2"/>
      <c r="P157" s="2"/>
      <c r="Q157" s="5"/>
      <c r="R157" s="5"/>
      <c r="S157" s="2"/>
      <c r="T157" s="2"/>
      <c r="U157" s="2"/>
      <c r="V157" s="2"/>
      <c r="W157" s="5"/>
      <c r="X157" s="5"/>
      <c r="Y157" s="2"/>
      <c r="Z157" s="2"/>
      <c r="AA157" s="2"/>
      <c r="AB157" s="2"/>
    </row>
    <row r="158" spans="1:28" x14ac:dyDescent="0.3">
      <c r="A158" s="32"/>
      <c r="B158" s="32"/>
      <c r="C158" s="32"/>
      <c r="D158" s="32"/>
      <c r="E158" s="7"/>
      <c r="F158" s="7"/>
      <c r="G158" s="7"/>
      <c r="H158" s="7"/>
      <c r="I158" s="7"/>
      <c r="J158" s="7"/>
      <c r="K158" s="7"/>
      <c r="L158" s="5"/>
      <c r="M158" s="5"/>
      <c r="N158" s="2"/>
      <c r="O158" s="2"/>
      <c r="P158" s="2"/>
      <c r="Q158" s="5"/>
      <c r="R158" s="5"/>
      <c r="S158" s="2"/>
      <c r="T158" s="2"/>
      <c r="U158" s="2"/>
      <c r="V158" s="2"/>
      <c r="W158" s="5"/>
      <c r="X158" s="5"/>
      <c r="Y158" s="2"/>
      <c r="Z158" s="2"/>
      <c r="AA158" s="2"/>
      <c r="AB158" s="2"/>
    </row>
    <row r="159" spans="1:28" x14ac:dyDescent="0.3">
      <c r="A159" s="32"/>
      <c r="B159" s="32"/>
      <c r="C159" s="32"/>
      <c r="D159" s="32"/>
      <c r="E159" s="7"/>
      <c r="F159" s="7"/>
      <c r="G159" s="7"/>
      <c r="H159" s="7"/>
      <c r="I159" s="7"/>
      <c r="J159" s="7"/>
      <c r="K159" s="7"/>
      <c r="L159" s="5"/>
      <c r="M159" s="5"/>
      <c r="N159" s="2"/>
      <c r="O159" s="2"/>
      <c r="P159" s="2"/>
      <c r="Q159" s="5"/>
      <c r="R159" s="5"/>
      <c r="S159" s="2"/>
      <c r="T159" s="2"/>
      <c r="U159" s="2"/>
      <c r="V159" s="2"/>
      <c r="W159" s="5"/>
      <c r="X159" s="5"/>
      <c r="Y159" s="2"/>
      <c r="Z159" s="2"/>
      <c r="AA159" s="2"/>
      <c r="AB159" s="2"/>
    </row>
    <row r="160" spans="1:28" x14ac:dyDescent="0.3">
      <c r="A160" s="32"/>
      <c r="B160" s="32"/>
      <c r="C160" s="32"/>
      <c r="D160" s="32"/>
      <c r="E160" s="7"/>
      <c r="F160" s="7"/>
      <c r="G160" s="7"/>
      <c r="H160" s="7"/>
      <c r="I160" s="7"/>
      <c r="J160" s="7"/>
      <c r="K160" s="7"/>
      <c r="L160" s="5"/>
      <c r="M160" s="5"/>
      <c r="N160" s="2"/>
      <c r="O160" s="2"/>
      <c r="P160" s="2"/>
      <c r="Q160" s="5"/>
      <c r="R160" s="5"/>
      <c r="S160" s="2"/>
      <c r="T160" s="2"/>
      <c r="U160" s="2"/>
      <c r="V160" s="2"/>
      <c r="W160" s="5"/>
      <c r="X160" s="5"/>
      <c r="Y160" s="2"/>
      <c r="Z160" s="2"/>
      <c r="AA160" s="2"/>
      <c r="AB160" s="2"/>
    </row>
    <row r="161" spans="1:28" x14ac:dyDescent="0.3">
      <c r="A161" s="32"/>
      <c r="B161" s="32"/>
      <c r="C161" s="32"/>
      <c r="D161" s="32"/>
      <c r="E161" s="7"/>
      <c r="F161" s="7"/>
      <c r="G161" s="7"/>
      <c r="H161" s="7"/>
      <c r="I161" s="7"/>
      <c r="J161" s="7"/>
      <c r="K161" s="7"/>
      <c r="L161" s="5"/>
      <c r="M161" s="5"/>
      <c r="N161" s="2"/>
      <c r="O161" s="2"/>
      <c r="P161" s="2"/>
      <c r="Q161" s="5"/>
      <c r="R161" s="5"/>
      <c r="S161" s="2"/>
      <c r="T161" s="2"/>
      <c r="U161" s="2"/>
      <c r="V161" s="2"/>
      <c r="W161" s="5"/>
      <c r="X161" s="5"/>
      <c r="Y161" s="2"/>
      <c r="Z161" s="2"/>
      <c r="AA161" s="2"/>
      <c r="AB161" s="2"/>
    </row>
    <row r="162" spans="1:28" x14ac:dyDescent="0.3">
      <c r="A162" s="32"/>
      <c r="B162" s="32"/>
      <c r="C162" s="32"/>
      <c r="D162" s="32"/>
      <c r="E162" s="7"/>
      <c r="F162" s="7"/>
      <c r="G162" s="7"/>
      <c r="H162" s="7"/>
      <c r="I162" s="7"/>
      <c r="J162" s="7"/>
      <c r="K162" s="7"/>
      <c r="L162" s="5"/>
      <c r="M162" s="5"/>
      <c r="N162" s="2"/>
      <c r="O162" s="2"/>
      <c r="P162" s="2"/>
      <c r="Q162" s="5"/>
      <c r="R162" s="5"/>
      <c r="S162" s="2"/>
      <c r="T162" s="2"/>
      <c r="U162" s="2"/>
      <c r="V162" s="2"/>
      <c r="W162" s="5"/>
      <c r="X162" s="5"/>
      <c r="Y162" s="2"/>
      <c r="Z162" s="2"/>
      <c r="AA162" s="2"/>
      <c r="AB162" s="2"/>
    </row>
    <row r="163" spans="1:28" x14ac:dyDescent="0.3">
      <c r="A163" s="32"/>
      <c r="B163" s="32"/>
      <c r="C163" s="32"/>
      <c r="D163" s="32"/>
      <c r="E163" s="7"/>
      <c r="F163" s="7"/>
      <c r="G163" s="7"/>
      <c r="H163" s="7"/>
      <c r="I163" s="7"/>
      <c r="J163" s="7"/>
      <c r="K163" s="7"/>
      <c r="L163" s="5"/>
      <c r="M163" s="5"/>
      <c r="N163" s="2"/>
      <c r="O163" s="2"/>
      <c r="P163" s="2"/>
      <c r="Q163" s="5"/>
      <c r="R163" s="5"/>
      <c r="S163" s="2"/>
      <c r="T163" s="2"/>
      <c r="U163" s="2"/>
      <c r="V163" s="2"/>
      <c r="W163" s="5"/>
      <c r="X163" s="5"/>
      <c r="Y163" s="2"/>
      <c r="Z163" s="2"/>
      <c r="AA163" s="2"/>
      <c r="AB163" s="2"/>
    </row>
    <row r="164" spans="1:28" x14ac:dyDescent="0.3">
      <c r="A164" s="32"/>
      <c r="B164" s="32"/>
      <c r="C164" s="32"/>
      <c r="D164" s="32"/>
      <c r="E164" s="7"/>
      <c r="F164" s="7"/>
      <c r="G164" s="7"/>
      <c r="H164" s="7"/>
      <c r="I164" s="7"/>
      <c r="J164" s="7"/>
      <c r="K164" s="7"/>
      <c r="L164" s="5"/>
      <c r="M164" s="5"/>
      <c r="N164" s="2"/>
      <c r="O164" s="2"/>
      <c r="P164" s="2"/>
      <c r="Q164" s="5"/>
      <c r="R164" s="5"/>
      <c r="S164" s="2"/>
      <c r="T164" s="2"/>
      <c r="U164" s="2"/>
      <c r="V164" s="2"/>
      <c r="W164" s="5"/>
      <c r="X164" s="5"/>
      <c r="Y164" s="2"/>
      <c r="Z164" s="2"/>
      <c r="AA164" s="2"/>
      <c r="AB164" s="2"/>
    </row>
    <row r="165" spans="1:28" x14ac:dyDescent="0.3">
      <c r="A165" s="32"/>
      <c r="B165" s="32"/>
      <c r="C165" s="32"/>
      <c r="D165" s="32"/>
      <c r="E165" s="7"/>
      <c r="F165" s="7"/>
      <c r="G165" s="7"/>
      <c r="H165" s="7"/>
      <c r="I165" s="7"/>
      <c r="J165" s="7"/>
      <c r="K165" s="7"/>
      <c r="L165" s="5"/>
      <c r="M165" s="5"/>
      <c r="N165" s="2"/>
      <c r="O165" s="2"/>
      <c r="P165" s="2"/>
      <c r="Q165" s="5"/>
      <c r="R165" s="5"/>
      <c r="S165" s="2"/>
      <c r="T165" s="2"/>
      <c r="U165" s="2"/>
      <c r="V165" s="2"/>
      <c r="W165" s="5"/>
      <c r="X165" s="5"/>
      <c r="Y165" s="2"/>
      <c r="Z165" s="2"/>
      <c r="AA165" s="2"/>
      <c r="AB165" s="2"/>
    </row>
    <row r="166" spans="1:28" x14ac:dyDescent="0.3">
      <c r="A166" s="32"/>
      <c r="B166" s="32"/>
      <c r="C166" s="32"/>
      <c r="D166" s="32"/>
      <c r="E166" s="7"/>
      <c r="F166" s="7"/>
      <c r="G166" s="7"/>
      <c r="H166" s="7"/>
      <c r="I166" s="7"/>
      <c r="J166" s="7"/>
      <c r="K166" s="7"/>
      <c r="L166" s="5"/>
      <c r="M166" s="5"/>
      <c r="N166" s="2"/>
      <c r="O166" s="2"/>
      <c r="P166" s="2"/>
      <c r="Q166" s="5"/>
      <c r="R166" s="5"/>
      <c r="S166" s="2"/>
      <c r="T166" s="2"/>
      <c r="U166" s="2"/>
      <c r="V166" s="2"/>
      <c r="W166" s="5"/>
      <c r="X166" s="5"/>
      <c r="Y166" s="2"/>
      <c r="Z166" s="2"/>
      <c r="AA166" s="2"/>
      <c r="AB166" s="2"/>
    </row>
    <row r="167" spans="1:28" x14ac:dyDescent="0.3">
      <c r="A167" s="32"/>
      <c r="B167" s="32"/>
      <c r="C167" s="32"/>
      <c r="D167" s="32"/>
      <c r="E167" s="7"/>
      <c r="F167" s="7"/>
      <c r="G167" s="7"/>
      <c r="H167" s="7"/>
      <c r="I167" s="7"/>
      <c r="J167" s="7"/>
      <c r="K167" s="7"/>
      <c r="L167" s="5"/>
      <c r="M167" s="5"/>
      <c r="N167" s="2"/>
      <c r="O167" s="2"/>
      <c r="P167" s="2"/>
      <c r="Q167" s="5"/>
      <c r="R167" s="5"/>
      <c r="S167" s="2"/>
      <c r="T167" s="2"/>
      <c r="U167" s="2"/>
      <c r="V167" s="2"/>
      <c r="W167" s="5"/>
      <c r="X167" s="5"/>
      <c r="Y167" s="2"/>
      <c r="Z167" s="2"/>
      <c r="AA167" s="2"/>
      <c r="AB167" s="2"/>
    </row>
    <row r="168" spans="1:28" x14ac:dyDescent="0.3">
      <c r="A168" s="32"/>
      <c r="B168" s="32"/>
      <c r="C168" s="32"/>
      <c r="D168" s="32"/>
      <c r="E168" s="7"/>
      <c r="F168" s="7"/>
      <c r="G168" s="7"/>
      <c r="H168" s="7"/>
      <c r="I168" s="7"/>
      <c r="J168" s="7"/>
      <c r="K168" s="7"/>
      <c r="L168" s="5"/>
      <c r="M168" s="5"/>
      <c r="N168" s="2"/>
      <c r="O168" s="2"/>
      <c r="P168" s="2"/>
      <c r="Q168" s="5"/>
      <c r="R168" s="5"/>
      <c r="S168" s="2"/>
      <c r="T168" s="2"/>
      <c r="U168" s="2"/>
      <c r="V168" s="2"/>
      <c r="W168" s="5"/>
      <c r="X168" s="5"/>
      <c r="Y168" s="2"/>
      <c r="Z168" s="2"/>
      <c r="AA168" s="2"/>
      <c r="AB168" s="2"/>
    </row>
    <row r="169" spans="1:28" x14ac:dyDescent="0.3">
      <c r="A169" s="32"/>
      <c r="B169" s="32"/>
      <c r="C169" s="32"/>
      <c r="D169" s="32"/>
      <c r="E169" s="7"/>
      <c r="F169" s="7"/>
      <c r="G169" s="7"/>
      <c r="H169" s="7"/>
      <c r="I169" s="7"/>
      <c r="J169" s="7"/>
      <c r="K169" s="7"/>
      <c r="L169" s="5"/>
      <c r="M169" s="5"/>
      <c r="N169" s="2"/>
      <c r="O169" s="2"/>
      <c r="P169" s="2"/>
      <c r="Q169" s="5"/>
      <c r="R169" s="5"/>
      <c r="S169" s="2"/>
      <c r="T169" s="2"/>
      <c r="U169" s="2"/>
      <c r="V169" s="2"/>
      <c r="W169" s="5"/>
      <c r="X169" s="5"/>
      <c r="Y169" s="2"/>
      <c r="Z169" s="2"/>
      <c r="AA169" s="2"/>
      <c r="AB169" s="2"/>
    </row>
    <row r="170" spans="1:28" x14ac:dyDescent="0.3">
      <c r="A170" s="32"/>
      <c r="B170" s="32"/>
      <c r="C170" s="32"/>
      <c r="D170" s="32"/>
      <c r="E170" s="7"/>
      <c r="F170" s="7"/>
      <c r="G170" s="7"/>
      <c r="H170" s="7"/>
      <c r="I170" s="7"/>
      <c r="J170" s="7"/>
      <c r="K170" s="7"/>
      <c r="L170" s="5"/>
      <c r="M170" s="5"/>
      <c r="N170" s="2"/>
      <c r="O170" s="2"/>
      <c r="P170" s="2"/>
      <c r="Q170" s="5"/>
      <c r="R170" s="5"/>
      <c r="S170" s="2"/>
      <c r="T170" s="2"/>
      <c r="U170" s="2"/>
      <c r="V170" s="2"/>
      <c r="W170" s="5"/>
      <c r="X170" s="5"/>
      <c r="Y170" s="2"/>
      <c r="Z170" s="2"/>
      <c r="AA170" s="2"/>
      <c r="AB170" s="2"/>
    </row>
    <row r="171" spans="1:28" x14ac:dyDescent="0.3">
      <c r="A171" s="32"/>
      <c r="B171" s="32"/>
      <c r="C171" s="32"/>
      <c r="D171" s="32"/>
      <c r="E171" s="7"/>
      <c r="F171" s="7"/>
      <c r="G171" s="7"/>
      <c r="H171" s="7"/>
      <c r="I171" s="7"/>
      <c r="J171" s="7"/>
      <c r="K171" s="7"/>
      <c r="L171" s="5"/>
      <c r="M171" s="5"/>
      <c r="N171" s="2"/>
      <c r="O171" s="2"/>
      <c r="P171" s="2"/>
      <c r="Q171" s="5"/>
      <c r="R171" s="5"/>
      <c r="S171" s="2"/>
      <c r="T171" s="2"/>
      <c r="U171" s="2"/>
      <c r="V171" s="2"/>
      <c r="W171" s="5"/>
      <c r="X171" s="5"/>
      <c r="Y171" s="2"/>
      <c r="Z171" s="2"/>
      <c r="AA171" s="2"/>
      <c r="AB171" s="2"/>
    </row>
    <row r="172" spans="1:28" x14ac:dyDescent="0.3">
      <c r="A172" s="32"/>
      <c r="B172" s="32"/>
      <c r="C172" s="32"/>
      <c r="D172" s="32"/>
      <c r="E172" s="7"/>
      <c r="F172" s="7"/>
      <c r="G172" s="7"/>
      <c r="H172" s="7"/>
      <c r="I172" s="7"/>
      <c r="J172" s="7"/>
      <c r="K172" s="7"/>
      <c r="L172" s="5"/>
      <c r="M172" s="5"/>
      <c r="N172" s="2"/>
      <c r="O172" s="2"/>
      <c r="P172" s="2"/>
      <c r="Q172" s="5"/>
      <c r="R172" s="5"/>
      <c r="S172" s="2"/>
      <c r="T172" s="2"/>
      <c r="U172" s="2"/>
      <c r="V172" s="2"/>
      <c r="W172" s="5"/>
      <c r="X172" s="5"/>
      <c r="Y172" s="2"/>
      <c r="Z172" s="2"/>
      <c r="AA172" s="2"/>
      <c r="AB172" s="2"/>
    </row>
    <row r="173" spans="1:28" x14ac:dyDescent="0.3">
      <c r="A173" s="32"/>
      <c r="B173" s="32"/>
      <c r="C173" s="32"/>
      <c r="D173" s="32"/>
      <c r="E173" s="7"/>
      <c r="F173" s="7"/>
      <c r="G173" s="7"/>
      <c r="H173" s="7"/>
      <c r="I173" s="7"/>
      <c r="J173" s="7"/>
      <c r="K173" s="7"/>
      <c r="L173" s="5"/>
      <c r="M173" s="5"/>
      <c r="N173" s="2"/>
      <c r="O173" s="2"/>
      <c r="P173" s="2"/>
      <c r="Q173" s="5"/>
      <c r="R173" s="5"/>
      <c r="S173" s="2"/>
      <c r="T173" s="2"/>
      <c r="U173" s="2"/>
      <c r="V173" s="2"/>
      <c r="W173" s="5"/>
      <c r="X173" s="5"/>
      <c r="Y173" s="2"/>
      <c r="Z173" s="2"/>
      <c r="AA173" s="2"/>
      <c r="AB173" s="2"/>
    </row>
    <row r="174" spans="1:28" x14ac:dyDescent="0.3">
      <c r="A174" s="32"/>
      <c r="B174" s="32"/>
      <c r="C174" s="32"/>
      <c r="D174" s="32"/>
      <c r="E174" s="7"/>
      <c r="F174" s="7"/>
      <c r="G174" s="7"/>
      <c r="H174" s="7"/>
      <c r="I174" s="7"/>
      <c r="J174" s="7"/>
      <c r="K174" s="7"/>
      <c r="L174" s="5"/>
      <c r="M174" s="5"/>
      <c r="N174" s="2"/>
      <c r="O174" s="2"/>
      <c r="P174" s="2"/>
      <c r="Q174" s="5"/>
      <c r="R174" s="5"/>
      <c r="S174" s="2"/>
      <c r="T174" s="2"/>
      <c r="U174" s="2"/>
      <c r="V174" s="2"/>
      <c r="W174" s="5"/>
      <c r="X174" s="5"/>
      <c r="Y174" s="2"/>
      <c r="Z174" s="2"/>
      <c r="AA174" s="2"/>
      <c r="AB174" s="2"/>
    </row>
    <row r="175" spans="1:28" x14ac:dyDescent="0.3">
      <c r="A175" s="32"/>
      <c r="B175" s="32"/>
      <c r="C175" s="32"/>
      <c r="D175" s="32"/>
      <c r="E175" s="7"/>
      <c r="F175" s="7"/>
      <c r="G175" s="7"/>
      <c r="H175" s="7"/>
      <c r="I175" s="7"/>
      <c r="J175" s="7"/>
      <c r="K175" s="7"/>
      <c r="L175" s="5"/>
      <c r="M175" s="5"/>
      <c r="N175" s="2"/>
      <c r="O175" s="2"/>
      <c r="P175" s="2"/>
      <c r="Q175" s="5"/>
      <c r="R175" s="5"/>
      <c r="S175" s="2"/>
      <c r="T175" s="2"/>
      <c r="U175" s="2"/>
      <c r="V175" s="2"/>
      <c r="W175" s="5"/>
      <c r="X175" s="5"/>
      <c r="Y175" s="2"/>
      <c r="Z175" s="2"/>
      <c r="AA175" s="2"/>
      <c r="AB175" s="2"/>
    </row>
    <row r="176" spans="1:28" x14ac:dyDescent="0.3">
      <c r="A176" s="32"/>
      <c r="B176" s="32"/>
      <c r="C176" s="32"/>
      <c r="D176" s="32"/>
      <c r="E176" s="7"/>
      <c r="F176" s="7"/>
      <c r="G176" s="7"/>
      <c r="H176" s="7"/>
      <c r="I176" s="7"/>
      <c r="J176" s="7"/>
      <c r="K176" s="7"/>
      <c r="L176" s="5"/>
      <c r="M176" s="5"/>
      <c r="N176" s="2"/>
      <c r="O176" s="2"/>
      <c r="P176" s="2"/>
      <c r="Q176" s="5"/>
      <c r="R176" s="5"/>
      <c r="S176" s="2"/>
      <c r="T176" s="2"/>
      <c r="U176" s="2"/>
      <c r="V176" s="2"/>
      <c r="W176" s="5"/>
      <c r="X176" s="5"/>
      <c r="Y176" s="2"/>
      <c r="Z176" s="2"/>
      <c r="AA176" s="2"/>
      <c r="AB176" s="2"/>
    </row>
    <row r="177" spans="1:28" x14ac:dyDescent="0.3">
      <c r="A177" s="32"/>
      <c r="B177" s="32"/>
      <c r="C177" s="32"/>
      <c r="D177" s="32"/>
      <c r="E177" s="7"/>
      <c r="F177" s="7"/>
      <c r="G177" s="7"/>
      <c r="H177" s="7"/>
      <c r="I177" s="7"/>
      <c r="J177" s="7"/>
      <c r="K177" s="7"/>
      <c r="L177" s="5"/>
      <c r="M177" s="5"/>
      <c r="N177" s="2"/>
      <c r="O177" s="2"/>
      <c r="P177" s="2"/>
      <c r="Q177" s="5"/>
      <c r="R177" s="5"/>
      <c r="S177" s="2"/>
      <c r="T177" s="2"/>
      <c r="U177" s="2"/>
      <c r="V177" s="2"/>
      <c r="W177" s="5"/>
      <c r="X177" s="5"/>
      <c r="Y177" s="2"/>
      <c r="Z177" s="2"/>
      <c r="AA177" s="2"/>
      <c r="AB177" s="2"/>
    </row>
    <row r="178" spans="1:28" x14ac:dyDescent="0.3">
      <c r="A178" s="32"/>
      <c r="B178" s="32"/>
      <c r="C178" s="32"/>
      <c r="D178" s="32"/>
      <c r="E178" s="7"/>
      <c r="F178" s="7"/>
      <c r="G178" s="7"/>
      <c r="H178" s="7"/>
      <c r="I178" s="7"/>
      <c r="J178" s="7"/>
      <c r="K178" s="7"/>
      <c r="L178" s="5"/>
      <c r="M178" s="5"/>
      <c r="N178" s="2"/>
      <c r="O178" s="2"/>
      <c r="P178" s="2"/>
      <c r="Q178" s="5"/>
      <c r="R178" s="5"/>
      <c r="S178" s="2"/>
      <c r="T178" s="2"/>
      <c r="U178" s="2"/>
      <c r="V178" s="2"/>
      <c r="W178" s="5"/>
      <c r="X178" s="5"/>
      <c r="Y178" s="2"/>
      <c r="Z178" s="2"/>
      <c r="AA178" s="2"/>
      <c r="AB178" s="2"/>
    </row>
    <row r="179" spans="1:28" x14ac:dyDescent="0.3">
      <c r="A179" s="32"/>
      <c r="B179" s="32"/>
      <c r="C179" s="32"/>
      <c r="D179" s="32"/>
      <c r="E179" s="7"/>
      <c r="F179" s="7"/>
      <c r="G179" s="7"/>
      <c r="H179" s="7"/>
      <c r="I179" s="7"/>
      <c r="J179" s="7"/>
      <c r="K179" s="7"/>
      <c r="L179" s="5"/>
      <c r="M179" s="5"/>
      <c r="N179" s="2"/>
      <c r="O179" s="2"/>
      <c r="P179" s="2"/>
      <c r="Q179" s="5"/>
      <c r="R179" s="5"/>
      <c r="S179" s="2"/>
      <c r="T179" s="2"/>
      <c r="U179" s="2"/>
      <c r="V179" s="2"/>
      <c r="W179" s="5"/>
      <c r="X179" s="5"/>
      <c r="Y179" s="2"/>
      <c r="Z179" s="2"/>
      <c r="AA179" s="2"/>
      <c r="AB179" s="2"/>
    </row>
  </sheetData>
  <mergeCells count="5">
    <mergeCell ref="A1:AB1"/>
    <mergeCell ref="L6:AB6"/>
    <mergeCell ref="L10:AB10"/>
    <mergeCell ref="AA35:AB35"/>
    <mergeCell ref="J3:AB3"/>
  </mergeCells>
  <phoneticPr fontId="1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3"/>
  <sheetViews>
    <sheetView zoomScale="90" zoomScaleNormal="90" workbookViewId="0">
      <selection activeCell="N53" sqref="N53"/>
    </sheetView>
  </sheetViews>
  <sheetFormatPr baseColWidth="10" defaultColWidth="9.109375" defaultRowHeight="14.4" x14ac:dyDescent="0.3"/>
  <cols>
    <col min="1" max="1" width="2.109375" style="23" customWidth="1"/>
    <col min="2" max="2" width="2.33203125" style="19" customWidth="1"/>
    <col min="3" max="3" width="1.88671875" style="19" customWidth="1"/>
    <col min="4" max="4" width="25.33203125" style="19" customWidth="1"/>
    <col min="5" max="5" width="7.33203125" style="8" customWidth="1"/>
    <col min="6" max="6" width="5.33203125" style="8" customWidth="1"/>
    <col min="7" max="7" width="2.88671875" style="8" customWidth="1"/>
    <col min="8" max="8" width="45" style="8" customWidth="1"/>
    <col min="9" max="9" width="1.88671875" style="8" customWidth="1"/>
    <col min="10" max="10" width="7.109375" style="23" hidden="1" customWidth="1"/>
    <col min="11" max="11" width="6.44140625" style="23" hidden="1" customWidth="1"/>
    <col min="12" max="12" width="5.88671875" style="23" hidden="1" customWidth="1"/>
    <col min="13" max="13" width="6" style="23" hidden="1" customWidth="1"/>
    <col min="14" max="14" width="16.6640625" style="23" customWidth="1"/>
    <col min="15" max="15" width="15.88671875" style="23" customWidth="1"/>
    <col min="16" max="16" width="13.6640625" style="23" customWidth="1"/>
    <col min="17" max="26" width="10.6640625" style="23" customWidth="1"/>
    <col min="27" max="27" width="2" style="23" customWidth="1"/>
    <col min="28" max="16384" width="9.109375" style="23"/>
  </cols>
  <sheetData>
    <row r="1" spans="1:33" ht="20.25" x14ac:dyDescent="0.3">
      <c r="A1" s="362" t="s">
        <v>333</v>
      </c>
      <c r="B1" s="362"/>
      <c r="C1" s="362"/>
      <c r="D1" s="362"/>
      <c r="E1" s="362"/>
      <c r="F1" s="362"/>
      <c r="G1" s="362"/>
      <c r="H1" s="362"/>
      <c r="I1" s="362"/>
      <c r="J1" s="362"/>
      <c r="K1" s="362"/>
      <c r="L1" s="362"/>
      <c r="M1" s="362"/>
      <c r="N1" s="362"/>
      <c r="O1" s="362"/>
      <c r="P1" s="362"/>
      <c r="Q1" s="362"/>
      <c r="R1" s="362"/>
      <c r="S1" s="362"/>
      <c r="T1" s="362"/>
      <c r="U1" s="362"/>
      <c r="V1" s="362"/>
      <c r="W1" s="362"/>
      <c r="X1" s="362"/>
      <c r="Y1" s="362"/>
      <c r="Z1" s="362"/>
    </row>
    <row r="2" spans="1:33" ht="15" x14ac:dyDescent="0.25">
      <c r="A2" s="1"/>
      <c r="B2" s="16"/>
      <c r="C2" s="16"/>
      <c r="D2" s="16"/>
      <c r="E2" s="1"/>
      <c r="F2" s="1"/>
      <c r="G2" s="1"/>
      <c r="H2" s="1"/>
      <c r="I2" s="1"/>
      <c r="J2" s="1"/>
      <c r="K2" s="1"/>
      <c r="L2" s="1"/>
      <c r="M2" s="1"/>
      <c r="N2" s="1"/>
      <c r="O2" s="1"/>
      <c r="P2" s="1"/>
      <c r="Q2" s="1"/>
      <c r="R2" s="1"/>
      <c r="S2" s="1"/>
      <c r="T2" s="1"/>
      <c r="U2" s="1"/>
      <c r="V2" s="2"/>
      <c r="W2" s="2"/>
      <c r="X2" s="2"/>
      <c r="Y2" s="2"/>
      <c r="Z2" s="2"/>
      <c r="AB2" s="11" t="s">
        <v>0</v>
      </c>
      <c r="AC2" s="9"/>
      <c r="AD2" s="9"/>
      <c r="AE2" s="9"/>
      <c r="AF2" s="9"/>
      <c r="AG2" s="9"/>
    </row>
    <row r="3" spans="1:33" ht="16.5" x14ac:dyDescent="0.25">
      <c r="A3" s="21" t="s">
        <v>1</v>
      </c>
      <c r="B3" s="5"/>
      <c r="C3" s="5"/>
      <c r="D3" s="5"/>
      <c r="E3" s="38" t="s">
        <v>179</v>
      </c>
      <c r="F3" s="2"/>
      <c r="G3" s="30"/>
      <c r="H3" s="30"/>
      <c r="I3" s="30"/>
      <c r="J3" s="363" t="s">
        <v>80</v>
      </c>
      <c r="K3" s="363"/>
      <c r="L3" s="363"/>
      <c r="M3" s="363"/>
      <c r="N3" s="363"/>
      <c r="O3" s="363"/>
      <c r="P3" s="363"/>
      <c r="Q3" s="363"/>
      <c r="R3" s="363"/>
      <c r="S3" s="363"/>
      <c r="T3" s="363"/>
      <c r="U3" s="363"/>
      <c r="V3" s="363"/>
      <c r="W3" s="363"/>
      <c r="X3" s="363"/>
      <c r="Y3" s="363"/>
      <c r="Z3" s="363"/>
    </row>
    <row r="4" spans="1:33" ht="15" x14ac:dyDescent="0.25">
      <c r="A4" s="2"/>
      <c r="B4" s="5"/>
      <c r="C4" s="5"/>
      <c r="D4" s="5"/>
      <c r="E4" s="2"/>
      <c r="F4" s="2"/>
      <c r="G4" s="39"/>
      <c r="H4" s="39"/>
      <c r="I4" s="39"/>
      <c r="J4" s="39">
        <f t="shared" ref="J4:Y4" si="0">K4-1</f>
        <v>2003</v>
      </c>
      <c r="K4" s="39">
        <f t="shared" si="0"/>
        <v>2004</v>
      </c>
      <c r="L4" s="39">
        <f t="shared" si="0"/>
        <v>2005</v>
      </c>
      <c r="M4" s="39">
        <f t="shared" si="0"/>
        <v>2006</v>
      </c>
      <c r="N4" s="39">
        <f t="shared" si="0"/>
        <v>2007</v>
      </c>
      <c r="O4" s="39">
        <f t="shared" si="0"/>
        <v>2008</v>
      </c>
      <c r="P4" s="39">
        <f t="shared" si="0"/>
        <v>2009</v>
      </c>
      <c r="Q4" s="39">
        <f t="shared" si="0"/>
        <v>2010</v>
      </c>
      <c r="R4" s="39">
        <f t="shared" si="0"/>
        <v>2011</v>
      </c>
      <c r="S4" s="39">
        <f t="shared" si="0"/>
        <v>2012</v>
      </c>
      <c r="T4" s="39">
        <f t="shared" si="0"/>
        <v>2013</v>
      </c>
      <c r="U4" s="39">
        <f t="shared" si="0"/>
        <v>2014</v>
      </c>
      <c r="V4" s="39">
        <f t="shared" si="0"/>
        <v>2015</v>
      </c>
      <c r="W4" s="39">
        <f t="shared" si="0"/>
        <v>2016</v>
      </c>
      <c r="X4" s="39">
        <f t="shared" si="0"/>
        <v>2017</v>
      </c>
      <c r="Y4" s="39">
        <f t="shared" si="0"/>
        <v>2018</v>
      </c>
      <c r="Z4" s="39">
        <v>2019</v>
      </c>
      <c r="AB4" s="12"/>
      <c r="AC4" s="23" t="s">
        <v>2</v>
      </c>
    </row>
    <row r="5" spans="1:33" ht="15" x14ac:dyDescent="0.25">
      <c r="B5" s="5" t="s">
        <v>3</v>
      </c>
      <c r="C5" s="5"/>
      <c r="D5" s="5"/>
      <c r="E5" s="2" t="s">
        <v>4</v>
      </c>
      <c r="F5" s="2"/>
      <c r="G5" s="2"/>
      <c r="H5" s="2"/>
      <c r="I5" s="2"/>
      <c r="J5" s="2"/>
      <c r="K5" s="2"/>
      <c r="L5" s="2"/>
      <c r="M5" s="2"/>
      <c r="N5" s="2"/>
      <c r="O5" s="2"/>
      <c r="P5" s="2"/>
      <c r="Q5" s="2"/>
      <c r="R5" s="2"/>
      <c r="S5" s="2"/>
      <c r="T5" s="2"/>
      <c r="U5" s="2"/>
      <c r="V5" s="2"/>
      <c r="W5" s="2"/>
      <c r="X5" s="2"/>
      <c r="Y5" s="2"/>
      <c r="Z5" s="2"/>
      <c r="AB5" s="13"/>
      <c r="AC5" s="23" t="s">
        <v>5</v>
      </c>
    </row>
    <row r="6" spans="1:33" ht="15" x14ac:dyDescent="0.25">
      <c r="A6" s="2"/>
      <c r="B6" s="5"/>
      <c r="C6" s="5"/>
      <c r="D6" s="5"/>
      <c r="E6" s="2"/>
      <c r="F6" s="2"/>
      <c r="G6" s="2"/>
      <c r="H6" s="2"/>
      <c r="I6" s="2"/>
      <c r="J6" s="2"/>
      <c r="K6" s="2"/>
      <c r="L6" s="2"/>
      <c r="M6" s="2"/>
      <c r="N6" s="2"/>
      <c r="O6" s="2"/>
      <c r="P6" s="2"/>
      <c r="Q6" s="2"/>
      <c r="R6" s="2"/>
      <c r="S6" s="2"/>
      <c r="T6" s="2"/>
      <c r="U6" s="2"/>
      <c r="V6" s="2"/>
      <c r="W6" s="2"/>
      <c r="X6" s="2"/>
      <c r="Y6" s="2"/>
      <c r="Z6" s="2"/>
      <c r="AB6" s="14"/>
      <c r="AC6" s="23" t="s">
        <v>6</v>
      </c>
    </row>
    <row r="7" spans="1:33" ht="15" x14ac:dyDescent="0.25">
      <c r="A7" s="2"/>
      <c r="B7" s="18"/>
      <c r="C7" s="5"/>
      <c r="D7" s="5"/>
      <c r="E7" s="2"/>
      <c r="F7" s="2"/>
      <c r="G7" s="2"/>
      <c r="H7" s="2"/>
      <c r="I7" s="2"/>
      <c r="J7" s="2"/>
      <c r="K7" s="2"/>
      <c r="L7" s="2"/>
      <c r="M7" s="2"/>
      <c r="N7" s="364" t="s">
        <v>187</v>
      </c>
      <c r="O7" s="364"/>
      <c r="P7" s="364"/>
      <c r="Q7" s="364"/>
      <c r="R7" s="364"/>
      <c r="S7" s="364"/>
      <c r="T7" s="364"/>
      <c r="U7" s="364"/>
      <c r="V7" s="364"/>
      <c r="W7" s="364"/>
      <c r="X7" s="364"/>
      <c r="Y7" s="364"/>
      <c r="Z7" s="364"/>
      <c r="AB7" s="15"/>
      <c r="AC7" s="23" t="s">
        <v>8</v>
      </c>
    </row>
    <row r="8" spans="1:33" ht="16.5" x14ac:dyDescent="0.25">
      <c r="A8" s="38" t="s">
        <v>327</v>
      </c>
      <c r="B8" s="5"/>
      <c r="C8" s="5"/>
      <c r="D8" s="5"/>
      <c r="E8" s="2"/>
      <c r="F8" s="2"/>
      <c r="G8" s="2"/>
      <c r="H8" s="2"/>
      <c r="I8" s="2"/>
      <c r="J8" s="2"/>
      <c r="K8" s="2"/>
      <c r="L8" s="2"/>
      <c r="M8" s="2"/>
      <c r="N8" s="371"/>
      <c r="O8" s="371"/>
      <c r="P8" s="371"/>
      <c r="Q8" s="371"/>
      <c r="R8" s="371"/>
      <c r="S8" s="371"/>
      <c r="T8" s="371"/>
      <c r="U8" s="371"/>
      <c r="V8" s="371"/>
      <c r="W8" s="371"/>
      <c r="X8" s="2"/>
      <c r="Y8" s="2"/>
      <c r="Z8" s="2"/>
      <c r="AB8" s="103"/>
      <c r="AC8" s="102" t="s">
        <v>199</v>
      </c>
    </row>
    <row r="9" spans="1:33" ht="15" x14ac:dyDescent="0.25">
      <c r="A9" s="4"/>
      <c r="B9" s="17"/>
      <c r="C9" s="17"/>
      <c r="D9" s="17"/>
      <c r="E9" s="4"/>
      <c r="F9" s="4"/>
      <c r="G9" s="2"/>
      <c r="H9" s="2"/>
      <c r="I9" s="2"/>
      <c r="J9" s="2"/>
      <c r="K9" s="2"/>
      <c r="L9" s="2"/>
      <c r="M9" s="2"/>
      <c r="N9" s="2"/>
      <c r="O9" s="2"/>
      <c r="P9" s="2"/>
      <c r="Q9" s="2"/>
      <c r="R9" s="2"/>
      <c r="S9" s="2"/>
      <c r="T9" s="2"/>
      <c r="U9" s="2"/>
      <c r="V9" s="2"/>
      <c r="W9" s="2"/>
      <c r="X9" s="2"/>
      <c r="Y9" s="2"/>
      <c r="Z9" s="2"/>
    </row>
    <row r="10" spans="1:33" ht="15" hidden="1" x14ac:dyDescent="0.25">
      <c r="A10" s="4"/>
      <c r="B10" s="17" t="s">
        <v>81</v>
      </c>
      <c r="C10" s="17"/>
      <c r="D10" s="17"/>
      <c r="E10" s="4"/>
      <c r="F10" s="4" t="s">
        <v>82</v>
      </c>
      <c r="G10" s="2"/>
      <c r="H10" s="2"/>
      <c r="I10" s="2"/>
      <c r="J10" s="2"/>
      <c r="K10" s="2"/>
      <c r="L10" s="2"/>
      <c r="M10" s="2"/>
      <c r="N10" s="40"/>
      <c r="O10" s="40"/>
      <c r="P10" s="40"/>
      <c r="Q10" s="40"/>
      <c r="R10" s="40"/>
      <c r="S10" s="40"/>
      <c r="T10" s="40"/>
      <c r="U10" s="40"/>
      <c r="V10" s="40"/>
      <c r="W10" s="40"/>
      <c r="X10" s="40"/>
      <c r="Y10" s="40"/>
      <c r="Z10" s="41">
        <v>40806</v>
      </c>
      <c r="AB10" s="23" t="s">
        <v>83</v>
      </c>
    </row>
    <row r="11" spans="1:33" ht="15" hidden="1" x14ac:dyDescent="0.25">
      <c r="A11" s="4"/>
      <c r="B11" s="17"/>
      <c r="C11" s="17" t="s">
        <v>84</v>
      </c>
      <c r="D11" s="17"/>
      <c r="E11" s="4"/>
      <c r="F11" s="4" t="s">
        <v>85</v>
      </c>
      <c r="G11" s="2" t="s">
        <v>86</v>
      </c>
      <c r="H11" s="2"/>
      <c r="I11" s="2"/>
      <c r="J11" s="2"/>
      <c r="K11" s="2"/>
      <c r="L11" s="2"/>
      <c r="M11" s="2"/>
      <c r="N11" s="42"/>
      <c r="O11" s="42"/>
      <c r="P11" s="42"/>
      <c r="Q11" s="42"/>
      <c r="R11" s="42"/>
      <c r="S11" s="42"/>
      <c r="T11" s="42"/>
      <c r="U11" s="42"/>
      <c r="V11" s="42"/>
      <c r="W11" s="42"/>
      <c r="X11" s="42"/>
      <c r="Y11" s="42"/>
      <c r="Z11" s="43">
        <v>37462</v>
      </c>
      <c r="AB11" s="23" t="s">
        <v>83</v>
      </c>
    </row>
    <row r="12" spans="1:33" ht="15" hidden="1" x14ac:dyDescent="0.25">
      <c r="A12" s="4"/>
      <c r="B12" s="17"/>
      <c r="C12" s="17" t="s">
        <v>87</v>
      </c>
      <c r="D12" s="17"/>
      <c r="E12" s="4"/>
      <c r="F12" s="4"/>
      <c r="G12" s="2"/>
      <c r="H12" s="2"/>
      <c r="I12" s="2"/>
      <c r="J12" s="2"/>
      <c r="K12" s="2"/>
      <c r="L12" s="2"/>
      <c r="M12" s="2"/>
      <c r="N12" s="42"/>
      <c r="O12" s="42"/>
      <c r="P12" s="42"/>
      <c r="Q12" s="42"/>
      <c r="R12" s="42"/>
      <c r="S12" s="42"/>
      <c r="T12" s="42"/>
      <c r="U12" s="42"/>
      <c r="V12" s="43">
        <v>37349</v>
      </c>
      <c r="W12" s="43">
        <v>36797</v>
      </c>
      <c r="X12" s="43">
        <v>38204</v>
      </c>
      <c r="Y12" s="43">
        <v>38319</v>
      </c>
      <c r="Z12" s="43">
        <v>36159</v>
      </c>
      <c r="AB12" s="23" t="s">
        <v>88</v>
      </c>
    </row>
    <row r="13" spans="1:33" ht="15" hidden="1" x14ac:dyDescent="0.25">
      <c r="A13" s="4"/>
      <c r="B13" s="17"/>
      <c r="C13" s="17" t="s">
        <v>89</v>
      </c>
      <c r="D13" s="17"/>
      <c r="E13" s="4"/>
      <c r="F13" s="4"/>
      <c r="G13" s="2" t="s">
        <v>90</v>
      </c>
      <c r="H13" s="2"/>
      <c r="I13" s="2"/>
      <c r="J13" s="2"/>
      <c r="K13" s="2"/>
      <c r="L13" s="2"/>
      <c r="M13" s="2"/>
      <c r="N13" s="42"/>
      <c r="O13" s="42"/>
      <c r="P13" s="42"/>
      <c r="Q13" s="42"/>
      <c r="R13" s="42"/>
      <c r="S13" s="42"/>
      <c r="T13" s="42"/>
      <c r="U13" s="42"/>
      <c r="V13" s="42"/>
      <c r="W13" s="42"/>
      <c r="X13" s="42"/>
      <c r="Y13" s="42"/>
      <c r="Z13" s="43">
        <v>0</v>
      </c>
      <c r="AB13" s="23" t="s">
        <v>83</v>
      </c>
    </row>
    <row r="14" spans="1:33" ht="15" hidden="1" x14ac:dyDescent="0.25">
      <c r="A14" s="4"/>
      <c r="B14" s="17"/>
      <c r="C14" s="17" t="s">
        <v>91</v>
      </c>
      <c r="D14" s="17"/>
      <c r="E14" s="4"/>
      <c r="F14" s="4"/>
      <c r="G14" s="2" t="s">
        <v>92</v>
      </c>
      <c r="H14" s="2"/>
      <c r="I14" s="2"/>
      <c r="J14" s="2"/>
      <c r="K14" s="2"/>
      <c r="L14" s="2"/>
      <c r="M14" s="2"/>
      <c r="N14" s="42"/>
      <c r="O14" s="42"/>
      <c r="P14" s="42"/>
      <c r="Q14" s="42"/>
      <c r="R14" s="42"/>
      <c r="S14" s="42"/>
      <c r="T14" s="42"/>
      <c r="U14" s="42"/>
      <c r="V14" s="42"/>
      <c r="W14" s="42"/>
      <c r="X14" s="42"/>
      <c r="Y14" s="42"/>
      <c r="Z14" s="44">
        <v>3344</v>
      </c>
      <c r="AB14" s="23" t="s">
        <v>83</v>
      </c>
    </row>
    <row r="15" spans="1:33" ht="15" hidden="1" x14ac:dyDescent="0.25">
      <c r="A15" s="4"/>
      <c r="B15" s="17"/>
      <c r="C15" s="17"/>
      <c r="D15" s="17"/>
      <c r="E15" s="4"/>
      <c r="F15" s="4"/>
      <c r="G15" s="2"/>
      <c r="H15" s="2"/>
      <c r="I15" s="2"/>
      <c r="J15" s="2"/>
      <c r="K15" s="2"/>
      <c r="L15" s="2"/>
      <c r="M15" s="2"/>
      <c r="N15" s="45" t="s">
        <v>93</v>
      </c>
      <c r="O15" s="45"/>
      <c r="P15" s="45"/>
      <c r="Q15" s="45"/>
      <c r="R15" s="45"/>
      <c r="S15" s="45"/>
      <c r="T15" s="45"/>
      <c r="U15" s="45"/>
      <c r="V15" s="45"/>
      <c r="W15" s="45"/>
      <c r="X15" s="45"/>
      <c r="Y15" s="45"/>
      <c r="Z15" s="45"/>
    </row>
    <row r="16" spans="1:33" ht="15" hidden="1" x14ac:dyDescent="0.25">
      <c r="A16" s="4"/>
      <c r="B16" s="17"/>
      <c r="C16" s="17"/>
      <c r="D16" s="17"/>
      <c r="E16" s="4"/>
      <c r="F16" s="4"/>
      <c r="G16" s="2"/>
      <c r="H16" s="2"/>
      <c r="I16" s="2"/>
      <c r="J16" s="2"/>
      <c r="K16" s="2"/>
      <c r="L16" s="2"/>
      <c r="M16" s="2"/>
      <c r="N16" s="45"/>
      <c r="O16" s="45"/>
      <c r="P16" s="45"/>
      <c r="Q16" s="45"/>
      <c r="R16" s="45"/>
      <c r="S16" s="45"/>
      <c r="T16" s="45"/>
      <c r="U16" s="45"/>
      <c r="V16" s="45"/>
      <c r="W16" s="45"/>
      <c r="X16" s="45"/>
      <c r="Y16" s="45"/>
      <c r="Z16" s="45"/>
    </row>
    <row r="17" spans="1:29" ht="15" x14ac:dyDescent="0.25">
      <c r="A17" s="4"/>
      <c r="B17" s="17"/>
      <c r="C17" s="17"/>
      <c r="D17" s="17"/>
      <c r="E17" s="4"/>
      <c r="F17" s="4"/>
      <c r="G17" s="2"/>
      <c r="H17" s="2"/>
      <c r="I17" s="2"/>
      <c r="J17" s="2"/>
      <c r="K17" s="2"/>
      <c r="L17" s="2"/>
      <c r="M17" s="2"/>
      <c r="N17" s="46">
        <v>2007</v>
      </c>
      <c r="O17" s="46">
        <v>2008</v>
      </c>
      <c r="P17" s="46">
        <v>2009</v>
      </c>
      <c r="Q17" s="46">
        <v>2010</v>
      </c>
      <c r="R17" s="46">
        <v>2011</v>
      </c>
      <c r="S17" s="46">
        <v>2012</v>
      </c>
      <c r="T17" s="46">
        <v>2013</v>
      </c>
      <c r="U17" s="46">
        <v>2014</v>
      </c>
      <c r="V17" s="46">
        <v>2015</v>
      </c>
      <c r="W17" s="47">
        <v>2016</v>
      </c>
      <c r="X17" s="47">
        <v>2017</v>
      </c>
      <c r="Y17" s="47">
        <v>2018</v>
      </c>
      <c r="Z17" s="47">
        <v>2019</v>
      </c>
    </row>
    <row r="18" spans="1:29" ht="15" x14ac:dyDescent="0.25">
      <c r="A18" s="2"/>
      <c r="B18" s="17" t="s">
        <v>192</v>
      </c>
      <c r="C18" s="23"/>
      <c r="D18" s="5"/>
      <c r="E18" s="2"/>
      <c r="F18" s="2" t="s">
        <v>309</v>
      </c>
      <c r="G18" s="2"/>
      <c r="H18" s="2"/>
      <c r="I18" s="2"/>
      <c r="J18" s="2"/>
      <c r="K18" s="2"/>
      <c r="L18" s="2"/>
      <c r="M18" s="2"/>
      <c r="N18" s="98"/>
      <c r="O18" s="98"/>
      <c r="P18" s="98"/>
      <c r="Q18" s="98"/>
      <c r="R18" s="98"/>
      <c r="S18" s="98"/>
      <c r="T18" s="98"/>
      <c r="U18" s="98"/>
      <c r="V18" s="98"/>
      <c r="W18" s="98"/>
      <c r="X18" s="98"/>
      <c r="Y18" s="98"/>
      <c r="Z18" s="98"/>
      <c r="AA18" s="50"/>
      <c r="AB18" s="36"/>
    </row>
    <row r="19" spans="1:29" ht="15" x14ac:dyDescent="0.25">
      <c r="A19" s="2"/>
      <c r="B19" s="23"/>
      <c r="C19" s="5" t="s">
        <v>95</v>
      </c>
      <c r="D19" s="5"/>
      <c r="E19" s="2"/>
      <c r="F19" s="2"/>
      <c r="G19" s="2"/>
      <c r="H19" s="2"/>
      <c r="I19" s="2"/>
      <c r="J19" s="2"/>
      <c r="K19" s="2"/>
      <c r="L19" s="2"/>
      <c r="M19" s="2"/>
      <c r="N19" s="107">
        <v>11422</v>
      </c>
      <c r="O19" s="107">
        <v>11422</v>
      </c>
      <c r="P19" s="107">
        <v>11422</v>
      </c>
      <c r="Q19" s="107">
        <v>11422</v>
      </c>
      <c r="R19" s="107">
        <v>11422</v>
      </c>
      <c r="S19" s="107">
        <v>11422</v>
      </c>
      <c r="T19" s="107">
        <v>11422</v>
      </c>
      <c r="U19" s="107">
        <v>11683</v>
      </c>
      <c r="V19" s="107">
        <v>11719</v>
      </c>
      <c r="W19" s="107">
        <v>11691</v>
      </c>
      <c r="X19" s="107">
        <v>11899</v>
      </c>
      <c r="Y19" s="107">
        <v>11918</v>
      </c>
      <c r="Z19" s="107">
        <v>12319</v>
      </c>
      <c r="AA19" s="50"/>
      <c r="AB19" s="23" t="s">
        <v>195</v>
      </c>
    </row>
    <row r="20" spans="1:29" ht="15" x14ac:dyDescent="0.25">
      <c r="A20" s="2"/>
      <c r="B20" s="23"/>
      <c r="C20" s="5" t="s">
        <v>96</v>
      </c>
      <c r="D20" s="5"/>
      <c r="E20" s="2"/>
      <c r="F20" s="2"/>
      <c r="G20" s="2"/>
      <c r="H20" s="2"/>
      <c r="I20" s="2"/>
      <c r="J20" s="2"/>
      <c r="K20" s="2"/>
      <c r="L20" s="2"/>
      <c r="M20" s="2"/>
      <c r="N20" s="107">
        <v>1218</v>
      </c>
      <c r="O20" s="107">
        <v>1218</v>
      </c>
      <c r="P20" s="107">
        <v>1218</v>
      </c>
      <c r="Q20" s="107">
        <v>1218</v>
      </c>
      <c r="R20" s="107">
        <v>1218</v>
      </c>
      <c r="S20" s="107">
        <v>1218</v>
      </c>
      <c r="T20" s="107">
        <v>1218</v>
      </c>
      <c r="U20" s="107">
        <v>1218</v>
      </c>
      <c r="V20" s="107">
        <v>1218</v>
      </c>
      <c r="W20" s="107">
        <v>1218</v>
      </c>
      <c r="X20" s="107">
        <v>1218</v>
      </c>
      <c r="Y20" s="107">
        <v>1218</v>
      </c>
      <c r="Z20" s="107">
        <v>1218</v>
      </c>
      <c r="AA20" s="50"/>
      <c r="AB20" s="36"/>
    </row>
    <row r="21" spans="1:29" ht="15" x14ac:dyDescent="0.25">
      <c r="A21" s="2"/>
      <c r="B21" s="23"/>
      <c r="C21" s="5" t="s">
        <v>97</v>
      </c>
      <c r="D21" s="5"/>
      <c r="E21" s="2"/>
      <c r="F21" s="2"/>
      <c r="G21" s="2"/>
      <c r="H21" s="2"/>
      <c r="I21" s="2"/>
      <c r="J21" s="2"/>
      <c r="K21" s="2"/>
      <c r="L21" s="2"/>
      <c r="M21" s="2"/>
      <c r="N21" s="107">
        <v>5127</v>
      </c>
      <c r="O21" s="107">
        <v>5127</v>
      </c>
      <c r="P21" s="107">
        <v>5127</v>
      </c>
      <c r="Q21" s="107">
        <v>5254</v>
      </c>
      <c r="R21" s="107">
        <v>5255</v>
      </c>
      <c r="S21" s="107">
        <v>5287</v>
      </c>
      <c r="T21" s="107">
        <v>5409</v>
      </c>
      <c r="U21" s="107">
        <v>5438</v>
      </c>
      <c r="V21" s="107">
        <v>5456</v>
      </c>
      <c r="W21" s="107">
        <v>5484</v>
      </c>
      <c r="X21" s="107">
        <v>5488</v>
      </c>
      <c r="Y21" s="107">
        <v>5498</v>
      </c>
      <c r="Z21" s="107">
        <v>5498</v>
      </c>
      <c r="AA21" s="50"/>
      <c r="AB21" s="36"/>
    </row>
    <row r="22" spans="1:29" ht="15" x14ac:dyDescent="0.25">
      <c r="A22" s="2"/>
      <c r="B22" s="23"/>
      <c r="C22" s="5" t="s">
        <v>98</v>
      </c>
      <c r="D22" s="5"/>
      <c r="E22" s="2"/>
      <c r="F22" s="2"/>
      <c r="G22" s="2"/>
      <c r="H22" s="2"/>
      <c r="I22" s="2"/>
      <c r="J22" s="2"/>
      <c r="K22" s="2"/>
      <c r="L22" s="2"/>
      <c r="M22" s="2"/>
      <c r="N22" s="107">
        <v>3038</v>
      </c>
      <c r="O22" s="107">
        <v>3048</v>
      </c>
      <c r="P22" s="107">
        <v>3120</v>
      </c>
      <c r="Q22" s="107">
        <v>3120</v>
      </c>
      <c r="R22" s="107">
        <v>3223</v>
      </c>
      <c r="S22" s="107">
        <v>3188</v>
      </c>
      <c r="T22" s="107">
        <v>3197</v>
      </c>
      <c r="U22" s="107">
        <v>3230</v>
      </c>
      <c r="V22" s="107">
        <v>3236</v>
      </c>
      <c r="W22" s="107">
        <v>3259</v>
      </c>
      <c r="X22" s="107">
        <v>3257</v>
      </c>
      <c r="Y22" s="107">
        <v>3252</v>
      </c>
      <c r="Z22" s="107">
        <v>3252</v>
      </c>
      <c r="AA22" s="50"/>
      <c r="AB22" s="36"/>
    </row>
    <row r="23" spans="1:29" ht="15" x14ac:dyDescent="0.25">
      <c r="A23" s="2"/>
      <c r="B23" s="23"/>
      <c r="C23" s="5" t="s">
        <v>99</v>
      </c>
      <c r="D23" s="5"/>
      <c r="E23" s="2"/>
      <c r="F23" s="2"/>
      <c r="G23" s="2"/>
      <c r="H23" s="2"/>
      <c r="I23" s="2"/>
      <c r="J23" s="2"/>
      <c r="K23" s="2"/>
      <c r="L23" s="2"/>
      <c r="M23" s="2"/>
      <c r="N23" s="107">
        <v>2013</v>
      </c>
      <c r="O23" s="107">
        <v>2013</v>
      </c>
      <c r="P23" s="107">
        <v>2013</v>
      </c>
      <c r="Q23" s="107">
        <v>2026</v>
      </c>
      <c r="R23" s="107">
        <v>2122</v>
      </c>
      <c r="S23" s="107">
        <v>2125</v>
      </c>
      <c r="T23" s="107">
        <v>2125</v>
      </c>
      <c r="U23" s="107">
        <v>2125</v>
      </c>
      <c r="V23" s="107">
        <v>2140</v>
      </c>
      <c r="W23" s="107">
        <v>2140</v>
      </c>
      <c r="X23" s="107">
        <v>2140</v>
      </c>
      <c r="Y23" s="107">
        <v>2140</v>
      </c>
      <c r="Z23" s="107">
        <v>2140</v>
      </c>
      <c r="AA23" s="50"/>
      <c r="AB23" s="36"/>
    </row>
    <row r="24" spans="1:29" ht="15.75" x14ac:dyDescent="0.25">
      <c r="A24" s="2"/>
      <c r="B24" s="23"/>
      <c r="C24" s="5" t="s">
        <v>100</v>
      </c>
      <c r="D24" s="5"/>
      <c r="E24" s="2"/>
      <c r="F24" s="2"/>
      <c r="G24" s="2"/>
      <c r="H24" s="2"/>
      <c r="I24" s="2"/>
      <c r="J24" s="2"/>
      <c r="K24" s="2"/>
      <c r="L24" s="2"/>
      <c r="M24" s="2"/>
      <c r="N24" s="107">
        <v>6584</v>
      </c>
      <c r="O24" s="107">
        <v>6624</v>
      </c>
      <c r="P24" s="107">
        <v>6738</v>
      </c>
      <c r="Q24" s="107">
        <v>6757</v>
      </c>
      <c r="R24" s="107">
        <v>6761</v>
      </c>
      <c r="S24" s="107">
        <v>6926</v>
      </c>
      <c r="T24" s="107">
        <v>6909</v>
      </c>
      <c r="U24" s="107">
        <v>6938</v>
      </c>
      <c r="V24" s="107">
        <v>6948</v>
      </c>
      <c r="W24" s="107">
        <v>6957</v>
      </c>
      <c r="X24" s="107">
        <v>6960</v>
      </c>
      <c r="Y24" s="107">
        <v>6965</v>
      </c>
      <c r="Z24" s="107">
        <v>7008</v>
      </c>
      <c r="AA24" s="50"/>
      <c r="AB24" s="145">
        <v>0.62139999999999995</v>
      </c>
      <c r="AC24" s="23" t="s">
        <v>271</v>
      </c>
    </row>
    <row r="25" spans="1:29" ht="15" x14ac:dyDescent="0.25">
      <c r="A25" s="2"/>
      <c r="B25" s="23"/>
      <c r="C25" s="5" t="s">
        <v>184</v>
      </c>
      <c r="D25" s="5"/>
      <c r="E25" s="2"/>
      <c r="F25" s="2"/>
      <c r="G25" s="2"/>
      <c r="H25" s="2"/>
      <c r="I25" s="2"/>
      <c r="J25" s="2"/>
      <c r="K25" s="2"/>
      <c r="L25" s="2"/>
      <c r="M25" s="2"/>
      <c r="N25" s="107">
        <v>3606</v>
      </c>
      <c r="O25" s="107">
        <v>3606</v>
      </c>
      <c r="P25" s="107">
        <v>3606</v>
      </c>
      <c r="Q25" s="107">
        <v>3656</v>
      </c>
      <c r="R25" s="107">
        <v>3629</v>
      </c>
      <c r="S25" s="107">
        <v>3473</v>
      </c>
      <c r="T25" s="107">
        <v>3333</v>
      </c>
      <c r="U25" s="107">
        <v>3283</v>
      </c>
      <c r="V25" s="107">
        <v>3283</v>
      </c>
      <c r="W25" s="107">
        <v>3271</v>
      </c>
      <c r="X25" s="107">
        <v>3245</v>
      </c>
      <c r="Y25" s="107">
        <v>3098</v>
      </c>
      <c r="Z25" s="107">
        <v>3095</v>
      </c>
      <c r="AA25" s="50"/>
      <c r="AB25" s="36"/>
    </row>
    <row r="26" spans="1:29" ht="15" x14ac:dyDescent="0.25">
      <c r="A26" s="2"/>
      <c r="B26" s="23"/>
      <c r="C26" s="18" t="s">
        <v>101</v>
      </c>
      <c r="D26" s="5"/>
      <c r="E26" s="2"/>
      <c r="F26" s="2"/>
      <c r="G26" s="2"/>
      <c r="H26" s="2"/>
      <c r="I26" s="2"/>
      <c r="J26" s="2"/>
      <c r="K26" s="2"/>
      <c r="L26" s="2"/>
      <c r="M26" s="2"/>
      <c r="N26" s="108">
        <v>33008</v>
      </c>
      <c r="O26" s="108">
        <v>33058</v>
      </c>
      <c r="P26" s="108">
        <v>33244</v>
      </c>
      <c r="Q26" s="108">
        <v>33453</v>
      </c>
      <c r="R26" s="108">
        <v>33630</v>
      </c>
      <c r="S26" s="108">
        <v>33639</v>
      </c>
      <c r="T26" s="108">
        <v>33613</v>
      </c>
      <c r="U26" s="108">
        <v>33915</v>
      </c>
      <c r="V26" s="108">
        <v>34000</v>
      </c>
      <c r="W26" s="108">
        <v>34020</v>
      </c>
      <c r="X26" s="108">
        <v>34207</v>
      </c>
      <c r="Y26" s="108">
        <v>34089</v>
      </c>
      <c r="Z26" s="108">
        <v>34530</v>
      </c>
      <c r="AA26" s="50"/>
      <c r="AB26" s="36"/>
    </row>
    <row r="27" spans="1:29" ht="15" x14ac:dyDescent="0.25">
      <c r="A27" s="2"/>
      <c r="B27" s="5"/>
      <c r="C27" s="18"/>
      <c r="D27" s="5"/>
      <c r="E27" s="2"/>
      <c r="F27" s="2"/>
      <c r="G27" s="2"/>
      <c r="H27" s="2"/>
      <c r="I27" s="2"/>
      <c r="J27" s="2"/>
      <c r="K27" s="2"/>
      <c r="L27" s="2"/>
      <c r="M27" s="2"/>
      <c r="N27" s="98">
        <f>N26*$AB$24</f>
        <v>20511.171199999997</v>
      </c>
      <c r="O27" s="98">
        <f t="shared" ref="O27:Z27" si="1">O26*$AB$24</f>
        <v>20542.241199999997</v>
      </c>
      <c r="P27" s="98">
        <f t="shared" si="1"/>
        <v>20657.821599999999</v>
      </c>
      <c r="Q27" s="98">
        <f t="shared" si="1"/>
        <v>20787.694199999998</v>
      </c>
      <c r="R27" s="98">
        <f t="shared" si="1"/>
        <v>20897.681999999997</v>
      </c>
      <c r="S27" s="98">
        <f t="shared" si="1"/>
        <v>20903.274599999997</v>
      </c>
      <c r="T27" s="98">
        <f t="shared" si="1"/>
        <v>20887.118199999997</v>
      </c>
      <c r="U27" s="98">
        <f t="shared" si="1"/>
        <v>21074.780999999999</v>
      </c>
      <c r="V27" s="98">
        <f t="shared" si="1"/>
        <v>21127.599999999999</v>
      </c>
      <c r="W27" s="98">
        <f t="shared" si="1"/>
        <v>21140.027999999998</v>
      </c>
      <c r="X27" s="98">
        <f t="shared" si="1"/>
        <v>21256.229799999997</v>
      </c>
      <c r="Y27" s="98">
        <f t="shared" si="1"/>
        <v>21182.904599999998</v>
      </c>
      <c r="Z27" s="98">
        <f t="shared" si="1"/>
        <v>21456.941999999999</v>
      </c>
      <c r="AA27" s="50"/>
      <c r="AB27" s="221"/>
    </row>
    <row r="28" spans="1:29" ht="15" x14ac:dyDescent="0.25">
      <c r="A28" s="2"/>
      <c r="B28" s="5" t="s">
        <v>194</v>
      </c>
      <c r="C28" s="18"/>
      <c r="D28" s="5"/>
      <c r="E28" s="2"/>
      <c r="F28" s="2"/>
      <c r="G28" s="2"/>
      <c r="H28" s="2"/>
      <c r="I28" s="2"/>
      <c r="J28" s="2"/>
      <c r="K28" s="2"/>
      <c r="L28" s="2"/>
      <c r="M28" s="2"/>
      <c r="N28" s="223"/>
      <c r="O28" s="223"/>
      <c r="P28" s="223"/>
      <c r="Q28" s="224"/>
      <c r="R28" s="223"/>
      <c r="S28" s="223"/>
      <c r="T28" s="223"/>
      <c r="U28" s="223"/>
      <c r="V28" s="223"/>
      <c r="W28" s="223"/>
      <c r="X28" s="223"/>
      <c r="Y28" s="223"/>
      <c r="Z28" s="223"/>
      <c r="AA28" s="50"/>
      <c r="AB28" s="221"/>
      <c r="AC28" s="222"/>
    </row>
    <row r="29" spans="1:29" ht="15" x14ac:dyDescent="0.25">
      <c r="A29" s="2"/>
      <c r="B29" s="5"/>
      <c r="C29" s="18" t="s">
        <v>190</v>
      </c>
      <c r="D29" s="5"/>
      <c r="E29" s="2"/>
      <c r="F29" s="2"/>
      <c r="G29" s="2"/>
      <c r="H29" s="2"/>
      <c r="I29" s="2"/>
      <c r="J29" s="2"/>
      <c r="K29" s="2"/>
      <c r="L29" s="2"/>
      <c r="M29" s="2"/>
      <c r="N29" s="105">
        <v>37535</v>
      </c>
      <c r="O29" s="106">
        <v>37322</v>
      </c>
      <c r="P29" s="105">
        <v>37005</v>
      </c>
      <c r="Q29" s="106">
        <v>38053</v>
      </c>
      <c r="R29" s="105">
        <v>39847</v>
      </c>
      <c r="S29" s="106">
        <v>38448</v>
      </c>
      <c r="T29" s="105">
        <v>40790</v>
      </c>
      <c r="U29" s="106">
        <v>40047</v>
      </c>
      <c r="V29" s="105">
        <v>40236</v>
      </c>
      <c r="W29" s="106">
        <v>40000</v>
      </c>
      <c r="X29" s="105">
        <v>40812</v>
      </c>
      <c r="Y29" s="106">
        <v>40716</v>
      </c>
      <c r="Z29" s="105">
        <v>40806</v>
      </c>
      <c r="AA29" s="50"/>
      <c r="AB29" s="36" t="s">
        <v>196</v>
      </c>
    </row>
    <row r="30" spans="1:29" ht="15" x14ac:dyDescent="0.25">
      <c r="A30" s="2"/>
      <c r="B30" s="5"/>
      <c r="C30" s="18" t="s">
        <v>193</v>
      </c>
      <c r="D30" s="5"/>
      <c r="E30" s="2"/>
      <c r="F30" s="2"/>
      <c r="G30" s="2"/>
      <c r="H30" s="2"/>
      <c r="I30" s="2"/>
      <c r="J30" s="2"/>
      <c r="K30" s="2"/>
      <c r="L30" s="2"/>
      <c r="M30" s="2"/>
      <c r="N30" s="105">
        <v>38693</v>
      </c>
      <c r="O30" s="106">
        <v>38211</v>
      </c>
      <c r="P30" s="105">
        <v>37109</v>
      </c>
      <c r="Q30" s="106">
        <v>39784</v>
      </c>
      <c r="R30" s="105">
        <v>39172</v>
      </c>
      <c r="S30" s="106">
        <v>40339</v>
      </c>
      <c r="T30" s="105">
        <v>39718</v>
      </c>
      <c r="U30" s="106">
        <v>40345</v>
      </c>
      <c r="V30" s="105">
        <v>40021</v>
      </c>
      <c r="W30" s="106">
        <v>42805</v>
      </c>
      <c r="X30" s="105">
        <v>42872</v>
      </c>
      <c r="Y30" s="106">
        <v>40950</v>
      </c>
      <c r="Z30" s="105">
        <v>41248</v>
      </c>
      <c r="AA30" s="50"/>
      <c r="AB30" s="36" t="s">
        <v>196</v>
      </c>
    </row>
    <row r="31" spans="1:29" ht="15" x14ac:dyDescent="0.25">
      <c r="A31" s="2"/>
      <c r="B31" s="5"/>
      <c r="C31" s="5" t="s">
        <v>350</v>
      </c>
      <c r="D31" s="5"/>
      <c r="E31" s="2"/>
      <c r="F31" s="2"/>
      <c r="G31" s="2"/>
      <c r="H31" s="2"/>
      <c r="I31" s="2"/>
      <c r="J31" s="2"/>
      <c r="K31" s="2"/>
      <c r="L31" s="2"/>
      <c r="M31" s="2"/>
      <c r="N31" s="88">
        <f>MAX($N29:N29)</f>
        <v>37535</v>
      </c>
      <c r="O31" s="88">
        <f>MAX($N29:O29)</f>
        <v>37535</v>
      </c>
      <c r="P31" s="88">
        <f>MAX($N29:P29)</f>
        <v>37535</v>
      </c>
      <c r="Q31" s="88">
        <f>MAX($N29:Q29)</f>
        <v>38053</v>
      </c>
      <c r="R31" s="88">
        <f>MAX($N29:R29)</f>
        <v>39847</v>
      </c>
      <c r="S31" s="88">
        <f>MAX($N29:S29)</f>
        <v>39847</v>
      </c>
      <c r="T31" s="88">
        <f>MAX($N29:T29)</f>
        <v>40790</v>
      </c>
      <c r="U31" s="88">
        <f>MAX($N29:U29)</f>
        <v>40790</v>
      </c>
      <c r="V31" s="88">
        <f>MAX($N29:V29)</f>
        <v>40790</v>
      </c>
      <c r="W31" s="88">
        <f>MAX($N29:W29)</f>
        <v>40790</v>
      </c>
      <c r="X31" s="88">
        <f>MAX($N29:X29)</f>
        <v>40812</v>
      </c>
      <c r="Y31" s="88">
        <f>MAX($N29:Y29)</f>
        <v>40812</v>
      </c>
      <c r="Z31" s="88">
        <f>MAX($N29:Z29)</f>
        <v>40812</v>
      </c>
    </row>
    <row r="32" spans="1:29" s="149" customFormat="1" ht="15" x14ac:dyDescent="0.25">
      <c r="A32" s="2"/>
      <c r="B32" s="5"/>
      <c r="C32" s="5"/>
      <c r="D32" s="5"/>
      <c r="E32" s="2"/>
      <c r="F32" s="2"/>
      <c r="G32" s="2"/>
      <c r="H32" s="2"/>
      <c r="I32" s="2"/>
      <c r="J32" s="2"/>
      <c r="K32" s="2"/>
      <c r="L32" s="2"/>
      <c r="M32" s="2"/>
      <c r="N32" s="88"/>
      <c r="O32" s="88"/>
      <c r="P32" s="88"/>
      <c r="Q32" s="88"/>
      <c r="R32" s="88"/>
      <c r="S32" s="88"/>
      <c r="T32" s="88"/>
      <c r="U32" s="88"/>
      <c r="V32" s="88"/>
      <c r="W32" s="88"/>
      <c r="X32" s="88"/>
      <c r="Y32" s="88"/>
      <c r="Z32" s="88"/>
    </row>
    <row r="33" spans="1:32" ht="15" x14ac:dyDescent="0.25">
      <c r="A33" s="2"/>
      <c r="B33" s="5" t="s">
        <v>102</v>
      </c>
      <c r="C33" s="5"/>
      <c r="D33" s="5"/>
      <c r="E33" s="2"/>
      <c r="F33" s="2"/>
      <c r="G33" s="2"/>
      <c r="H33" s="2"/>
      <c r="I33" s="2"/>
      <c r="J33" s="2"/>
      <c r="K33" s="2"/>
      <c r="L33" s="2"/>
      <c r="M33" s="2"/>
      <c r="N33" s="167"/>
      <c r="O33" s="167"/>
      <c r="P33" s="167"/>
      <c r="Q33" s="167"/>
      <c r="R33" s="167"/>
      <c r="S33" s="167"/>
      <c r="T33" s="167"/>
      <c r="U33" s="167"/>
      <c r="V33" s="167"/>
      <c r="W33" s="167"/>
      <c r="X33" s="167"/>
      <c r="Y33" s="167"/>
      <c r="Z33" s="167"/>
    </row>
    <row r="34" spans="1:32" ht="15" x14ac:dyDescent="0.25">
      <c r="A34" s="2"/>
      <c r="B34" s="5"/>
      <c r="C34" s="5" t="s">
        <v>103</v>
      </c>
      <c r="D34" s="5"/>
      <c r="E34" s="2"/>
      <c r="F34" s="2" t="s">
        <v>104</v>
      </c>
      <c r="G34" s="2"/>
      <c r="H34" s="2"/>
      <c r="I34" s="2"/>
      <c r="J34" s="2"/>
      <c r="K34" s="2"/>
      <c r="L34" s="2"/>
      <c r="M34" s="2"/>
      <c r="N34" s="89">
        <v>509</v>
      </c>
      <c r="O34" s="89">
        <v>510</v>
      </c>
      <c r="P34" s="89">
        <v>515</v>
      </c>
      <c r="Q34" s="89">
        <v>514</v>
      </c>
      <c r="R34" s="89">
        <v>514</v>
      </c>
      <c r="S34" s="89">
        <v>516</v>
      </c>
      <c r="T34" s="90">
        <v>516</v>
      </c>
      <c r="U34" s="90">
        <v>519</v>
      </c>
      <c r="V34" s="90">
        <v>522</v>
      </c>
      <c r="W34" s="90">
        <v>525</v>
      </c>
      <c r="X34" s="90">
        <v>522</v>
      </c>
      <c r="Y34" s="90">
        <v>521</v>
      </c>
      <c r="Z34" s="90">
        <v>523</v>
      </c>
      <c r="AB34" s="2" t="s">
        <v>197</v>
      </c>
    </row>
    <row r="35" spans="1:32" ht="15" x14ac:dyDescent="0.25">
      <c r="A35" s="2"/>
      <c r="B35" s="5"/>
      <c r="C35" s="5" t="s">
        <v>105</v>
      </c>
      <c r="D35" s="5"/>
      <c r="E35" s="2"/>
      <c r="F35" s="2" t="s">
        <v>106</v>
      </c>
      <c r="G35" s="2"/>
      <c r="H35" s="2"/>
      <c r="I35" s="2"/>
      <c r="J35" s="2"/>
      <c r="K35" s="2"/>
      <c r="L35" s="2"/>
      <c r="M35" s="2"/>
      <c r="N35" s="104">
        <v>213339</v>
      </c>
      <c r="O35" s="104">
        <v>214392</v>
      </c>
      <c r="P35" s="104">
        <v>220107</v>
      </c>
      <c r="Q35" s="104">
        <v>218978</v>
      </c>
      <c r="R35" s="104">
        <v>219925</v>
      </c>
      <c r="S35" s="104">
        <v>221020</v>
      </c>
      <c r="T35" s="104">
        <v>219228</v>
      </c>
      <c r="U35" s="104">
        <v>223389</v>
      </c>
      <c r="V35" s="104">
        <v>236087</v>
      </c>
      <c r="W35" s="104">
        <v>235656</v>
      </c>
      <c r="X35" s="104">
        <v>238930</v>
      </c>
      <c r="Y35" s="104">
        <v>237177</v>
      </c>
      <c r="Z35" s="104">
        <v>239182</v>
      </c>
      <c r="AB35" s="23" t="s">
        <v>198</v>
      </c>
    </row>
    <row r="36" spans="1:32" ht="15" x14ac:dyDescent="0.25">
      <c r="A36" s="2"/>
      <c r="B36" s="5"/>
      <c r="C36" s="5"/>
      <c r="D36" s="5"/>
      <c r="E36" s="2"/>
      <c r="F36" s="2"/>
      <c r="G36" s="2"/>
      <c r="H36" s="2"/>
      <c r="I36" s="2"/>
      <c r="J36" s="2"/>
      <c r="K36" s="2"/>
      <c r="L36" s="2"/>
      <c r="M36" s="2"/>
      <c r="N36" s="2"/>
      <c r="O36" s="2"/>
      <c r="P36" s="2"/>
      <c r="Q36" s="2"/>
      <c r="R36" s="2"/>
      <c r="S36" s="2"/>
      <c r="T36" s="2"/>
      <c r="U36" s="2"/>
      <c r="V36" s="2"/>
      <c r="W36" s="2"/>
      <c r="X36" s="2"/>
      <c r="Y36" s="2"/>
      <c r="Z36" s="2"/>
    </row>
    <row r="37" spans="1:32" ht="15" hidden="1" x14ac:dyDescent="0.25">
      <c r="A37" s="2"/>
      <c r="B37" s="5" t="s">
        <v>107</v>
      </c>
      <c r="C37" s="5"/>
      <c r="D37" s="5"/>
      <c r="E37" s="2"/>
      <c r="F37" s="2"/>
      <c r="G37" s="2"/>
      <c r="H37" s="2"/>
      <c r="I37" s="2"/>
      <c r="J37" s="2"/>
      <c r="K37" s="2"/>
      <c r="L37" s="2"/>
      <c r="M37" s="2"/>
      <c r="N37" s="40"/>
      <c r="O37" s="40"/>
      <c r="P37" s="40"/>
      <c r="Q37" s="40"/>
      <c r="R37" s="40"/>
      <c r="S37" s="40"/>
      <c r="T37" s="40"/>
      <c r="U37" s="40"/>
      <c r="V37" s="40"/>
      <c r="W37" s="40"/>
      <c r="X37" s="40"/>
      <c r="Y37" s="40"/>
      <c r="Z37" s="40"/>
      <c r="AB37" s="53" t="s">
        <v>108</v>
      </c>
      <c r="AC37" s="53"/>
      <c r="AD37" s="53"/>
      <c r="AE37" s="53"/>
      <c r="AF37" s="53"/>
    </row>
    <row r="38" spans="1:32" ht="15" hidden="1" x14ac:dyDescent="0.25">
      <c r="A38" s="2"/>
      <c r="B38" s="5" t="s">
        <v>109</v>
      </c>
      <c r="C38" s="5"/>
      <c r="D38" s="5"/>
      <c r="E38" s="2"/>
      <c r="F38" s="2"/>
      <c r="G38" s="2"/>
      <c r="H38" s="2"/>
      <c r="I38" s="2"/>
      <c r="J38" s="2"/>
      <c r="K38" s="2"/>
      <c r="L38" s="2"/>
      <c r="M38" s="2"/>
      <c r="N38" s="40"/>
      <c r="O38" s="40"/>
      <c r="P38" s="40"/>
      <c r="Q38" s="40"/>
      <c r="R38" s="40"/>
      <c r="S38" s="40"/>
      <c r="T38" s="40"/>
      <c r="U38" s="40"/>
      <c r="V38" s="40"/>
      <c r="W38" s="40"/>
      <c r="X38" s="40"/>
      <c r="Y38" s="40"/>
      <c r="Z38" s="40"/>
    </row>
    <row r="39" spans="1:32" ht="15" hidden="1" x14ac:dyDescent="0.25">
      <c r="A39" s="2"/>
      <c r="B39" s="5" t="s">
        <v>110</v>
      </c>
      <c r="C39" s="5"/>
      <c r="D39" s="5"/>
      <c r="E39" s="2"/>
      <c r="F39" s="2"/>
      <c r="G39" s="2"/>
      <c r="H39" s="2"/>
      <c r="I39" s="2"/>
      <c r="J39" s="2"/>
      <c r="K39" s="2"/>
      <c r="L39" s="2"/>
      <c r="M39" s="2"/>
      <c r="N39" s="54"/>
      <c r="O39" s="54"/>
      <c r="P39" s="54"/>
      <c r="Q39" s="54"/>
      <c r="R39" s="54"/>
      <c r="S39" s="54"/>
      <c r="T39" s="54"/>
      <c r="U39" s="54"/>
      <c r="V39" s="54"/>
      <c r="W39" s="54"/>
      <c r="X39" s="54"/>
      <c r="Y39" s="54"/>
      <c r="Z39" s="54" t="e">
        <f>(#REF!*Z36)+(Z37*Z38)</f>
        <v>#REF!</v>
      </c>
      <c r="AB39" s="23" t="s">
        <v>111</v>
      </c>
    </row>
    <row r="40" spans="1:32" ht="15" hidden="1" x14ac:dyDescent="0.25">
      <c r="A40" s="2"/>
      <c r="B40" s="5"/>
      <c r="C40" s="5"/>
      <c r="D40" s="5"/>
      <c r="E40" s="2"/>
      <c r="F40" s="2"/>
      <c r="G40" s="2"/>
      <c r="H40" s="2"/>
      <c r="I40" s="2"/>
      <c r="J40" s="2"/>
      <c r="K40" s="2"/>
      <c r="L40" s="2"/>
      <c r="M40" s="2"/>
      <c r="N40" s="2"/>
      <c r="O40" s="2"/>
      <c r="P40" s="2"/>
      <c r="Q40" s="2"/>
      <c r="R40" s="2"/>
      <c r="S40" s="2"/>
      <c r="T40" s="2"/>
      <c r="U40" s="2"/>
      <c r="V40" s="2"/>
      <c r="W40" s="2"/>
      <c r="X40" s="2"/>
      <c r="Y40" s="2"/>
      <c r="Z40" s="2"/>
    </row>
    <row r="41" spans="1:32" ht="15" hidden="1" x14ac:dyDescent="0.25">
      <c r="A41" s="2"/>
      <c r="B41" s="5" t="s">
        <v>112</v>
      </c>
      <c r="C41" s="5"/>
      <c r="D41" s="5"/>
      <c r="E41" s="2"/>
      <c r="F41" s="2"/>
      <c r="G41" s="2"/>
      <c r="H41" s="2"/>
      <c r="I41" s="2"/>
      <c r="J41" s="2"/>
      <c r="K41" s="2"/>
      <c r="L41" s="2"/>
      <c r="M41" s="2"/>
      <c r="N41" s="42"/>
      <c r="O41" s="42"/>
      <c r="P41" s="42"/>
      <c r="Q41" s="42"/>
      <c r="R41" s="42"/>
      <c r="S41" s="42"/>
      <c r="T41" s="42"/>
      <c r="U41" s="42"/>
      <c r="V41" s="43">
        <v>19794</v>
      </c>
      <c r="W41" s="43">
        <v>19552</v>
      </c>
      <c r="X41" s="43">
        <v>19786</v>
      </c>
      <c r="Y41" s="43">
        <v>19904</v>
      </c>
      <c r="Z41" s="43">
        <v>19477</v>
      </c>
      <c r="AB41" s="23" t="s">
        <v>113</v>
      </c>
    </row>
    <row r="42" spans="1:32" ht="15" hidden="1" x14ac:dyDescent="0.25">
      <c r="A42" s="2"/>
      <c r="B42" s="5"/>
      <c r="C42" s="5" t="s">
        <v>114</v>
      </c>
      <c r="D42" s="5"/>
      <c r="E42" s="2"/>
      <c r="F42" s="2"/>
      <c r="G42" s="2"/>
      <c r="H42" s="2"/>
      <c r="I42" s="2"/>
      <c r="J42" s="2"/>
      <c r="K42" s="2"/>
      <c r="L42" s="2"/>
      <c r="M42" s="2"/>
      <c r="N42" s="42"/>
      <c r="O42" s="42"/>
      <c r="P42" s="42"/>
      <c r="Q42" s="42"/>
      <c r="R42" s="42"/>
      <c r="S42" s="42"/>
      <c r="T42" s="42"/>
      <c r="U42" s="42"/>
      <c r="V42" s="43">
        <v>17475</v>
      </c>
      <c r="W42" s="43">
        <v>17282</v>
      </c>
      <c r="X42" s="43">
        <v>17338</v>
      </c>
      <c r="Y42" s="43">
        <v>16960</v>
      </c>
      <c r="Z42" s="43">
        <v>16977</v>
      </c>
      <c r="AB42" s="23" t="s">
        <v>113</v>
      </c>
    </row>
    <row r="43" spans="1:32" ht="15" hidden="1" x14ac:dyDescent="0.25">
      <c r="A43" s="2"/>
      <c r="B43" s="5"/>
      <c r="C43" s="5" t="s">
        <v>115</v>
      </c>
      <c r="D43" s="5"/>
      <c r="E43" s="2"/>
      <c r="F43" s="2"/>
      <c r="G43" s="2"/>
      <c r="H43" s="2"/>
      <c r="I43" s="2"/>
      <c r="J43" s="2"/>
      <c r="K43" s="2"/>
      <c r="L43" s="2"/>
      <c r="M43" s="2"/>
      <c r="N43" s="42"/>
      <c r="O43" s="42"/>
      <c r="P43" s="42"/>
      <c r="Q43" s="42"/>
      <c r="R43" s="42"/>
      <c r="S43" s="42"/>
      <c r="T43" s="42"/>
      <c r="U43" s="42"/>
      <c r="V43" s="43">
        <v>2319</v>
      </c>
      <c r="W43" s="43">
        <v>2270</v>
      </c>
      <c r="X43" s="43">
        <v>2448</v>
      </c>
      <c r="Y43" s="43">
        <v>2944</v>
      </c>
      <c r="Z43" s="43">
        <v>2500</v>
      </c>
      <c r="AB43" s="23" t="s">
        <v>113</v>
      </c>
    </row>
    <row r="44" spans="1:32" ht="15" hidden="1" x14ac:dyDescent="0.25">
      <c r="A44" s="2"/>
      <c r="B44" s="5"/>
      <c r="C44" s="5"/>
      <c r="D44" s="5"/>
      <c r="E44" s="2"/>
      <c r="F44" s="2"/>
      <c r="G44" s="2"/>
      <c r="H44" s="2"/>
      <c r="I44" s="2"/>
      <c r="J44" s="2"/>
      <c r="K44" s="2"/>
      <c r="L44" s="2"/>
      <c r="M44" s="2"/>
      <c r="N44" s="2"/>
      <c r="O44" s="2"/>
      <c r="P44" s="2"/>
      <c r="Q44" s="2"/>
      <c r="R44" s="2"/>
      <c r="S44" s="2"/>
      <c r="T44" s="2"/>
      <c r="U44" s="2"/>
      <c r="V44" s="51">
        <f>V41-V42-V43</f>
        <v>0</v>
      </c>
      <c r="W44" s="51">
        <f>W41-W42-W43</f>
        <v>0</v>
      </c>
      <c r="X44" s="51">
        <f>X41-X42-X43</f>
        <v>0</v>
      </c>
      <c r="Y44" s="51">
        <f>Y41-Y42-Y43</f>
        <v>0</v>
      </c>
      <c r="Z44" s="51">
        <f>Z41-Z42-Z43</f>
        <v>0</v>
      </c>
    </row>
    <row r="45" spans="1:32" ht="15.75" x14ac:dyDescent="0.25">
      <c r="A45" s="55" t="s">
        <v>326</v>
      </c>
      <c r="B45" s="5"/>
      <c r="C45" s="5"/>
      <c r="D45" s="5"/>
      <c r="E45" s="2"/>
      <c r="F45" s="2"/>
      <c r="G45" s="2"/>
      <c r="H45" s="2"/>
      <c r="I45" s="2"/>
      <c r="J45" s="2"/>
      <c r="K45" s="2"/>
      <c r="L45" s="2"/>
      <c r="M45" s="2"/>
      <c r="N45" s="2"/>
      <c r="O45" s="2"/>
      <c r="P45" s="2"/>
      <c r="Q45" s="2"/>
      <c r="R45" s="2"/>
      <c r="S45" s="2"/>
      <c r="T45" s="2"/>
      <c r="U45" s="2"/>
      <c r="V45" s="2"/>
      <c r="W45" s="2"/>
      <c r="X45" s="2"/>
      <c r="Y45" s="2"/>
      <c r="Z45" s="2"/>
    </row>
    <row r="46" spans="1:32" ht="15" x14ac:dyDescent="0.25">
      <c r="A46" s="2"/>
      <c r="B46" s="5"/>
      <c r="C46" s="5"/>
      <c r="D46" s="5"/>
      <c r="E46" s="2"/>
      <c r="F46" s="2"/>
      <c r="G46" s="2"/>
      <c r="H46" s="2"/>
      <c r="I46" s="2"/>
      <c r="J46" s="2"/>
      <c r="K46" s="2"/>
      <c r="L46" s="2"/>
      <c r="M46" s="2"/>
      <c r="N46" s="46">
        <v>2007</v>
      </c>
      <c r="O46" s="46">
        <v>2008</v>
      </c>
      <c r="P46" s="46">
        <v>2009</v>
      </c>
      <c r="Q46" s="46">
        <v>2010</v>
      </c>
      <c r="R46" s="46">
        <v>2011</v>
      </c>
      <c r="S46" s="46">
        <v>2012</v>
      </c>
      <c r="T46" s="46">
        <v>2013</v>
      </c>
      <c r="U46" s="46">
        <v>2014</v>
      </c>
      <c r="V46" s="46">
        <v>2015</v>
      </c>
      <c r="W46" s="47">
        <v>2016</v>
      </c>
      <c r="X46" s="47">
        <v>2017</v>
      </c>
      <c r="Y46" s="47">
        <v>2018</v>
      </c>
      <c r="Z46" s="47">
        <v>2019</v>
      </c>
    </row>
    <row r="47" spans="1:32" ht="15" x14ac:dyDescent="0.25">
      <c r="A47" s="5" t="s">
        <v>121</v>
      </c>
      <c r="B47" s="5"/>
      <c r="C47" s="5"/>
      <c r="D47" s="5"/>
      <c r="E47" s="2"/>
      <c r="F47" s="2"/>
      <c r="G47" s="2"/>
      <c r="H47" s="2"/>
      <c r="I47" s="2"/>
      <c r="J47" s="2"/>
      <c r="K47" s="2"/>
      <c r="L47" s="2"/>
      <c r="M47" s="2"/>
      <c r="N47" s="57">
        <f t="shared" ref="N47:X47" si="2">SUM(N48:N51)</f>
        <v>72691</v>
      </c>
      <c r="O47" s="57">
        <f t="shared" si="2"/>
        <v>75289</v>
      </c>
      <c r="P47" s="57">
        <f t="shared" si="2"/>
        <v>80304</v>
      </c>
      <c r="Q47" s="57">
        <f t="shared" si="2"/>
        <v>82931</v>
      </c>
      <c r="R47" s="57">
        <f t="shared" si="2"/>
        <v>86111</v>
      </c>
      <c r="S47" s="57">
        <f t="shared" si="2"/>
        <v>88308</v>
      </c>
      <c r="T47" s="57">
        <f t="shared" si="2"/>
        <v>89116</v>
      </c>
      <c r="U47" s="57">
        <f t="shared" si="2"/>
        <v>93578</v>
      </c>
      <c r="V47" s="58">
        <f t="shared" si="2"/>
        <v>96659</v>
      </c>
      <c r="W47" s="58">
        <f t="shared" si="2"/>
        <v>98548</v>
      </c>
      <c r="X47" s="58">
        <f t="shared" si="2"/>
        <v>102785</v>
      </c>
      <c r="Y47" s="48">
        <v>104888</v>
      </c>
      <c r="Z47" s="48">
        <v>107650</v>
      </c>
      <c r="AB47" s="23" t="s">
        <v>185</v>
      </c>
    </row>
    <row r="48" spans="1:32" ht="15" x14ac:dyDescent="0.25">
      <c r="A48" s="2"/>
      <c r="B48" s="5" t="s">
        <v>116</v>
      </c>
      <c r="C48" s="5"/>
      <c r="D48" s="5"/>
      <c r="E48" s="2"/>
      <c r="F48" s="2"/>
      <c r="G48" s="2"/>
      <c r="H48" s="2"/>
      <c r="I48" s="2"/>
      <c r="J48" s="2"/>
      <c r="K48" s="2"/>
      <c r="L48" s="2"/>
      <c r="M48" s="2"/>
      <c r="N48" s="57">
        <v>35675</v>
      </c>
      <c r="O48" s="57">
        <v>37149</v>
      </c>
      <c r="P48" s="57">
        <v>40267</v>
      </c>
      <c r="Q48" s="57">
        <v>41451</v>
      </c>
      <c r="R48" s="57">
        <v>43190</v>
      </c>
      <c r="S48" s="57">
        <v>44194</v>
      </c>
      <c r="T48" s="57">
        <v>43227</v>
      </c>
      <c r="U48" s="57">
        <v>45734</v>
      </c>
      <c r="V48" s="58">
        <v>46643</v>
      </c>
      <c r="W48" s="58">
        <v>46929</v>
      </c>
      <c r="X48" s="58">
        <v>49164</v>
      </c>
      <c r="Y48" s="48">
        <v>49434</v>
      </c>
      <c r="Z48" s="48">
        <v>49697</v>
      </c>
    </row>
    <row r="49" spans="1:30" s="61" customFormat="1" ht="15" x14ac:dyDescent="0.25">
      <c r="A49" s="3"/>
      <c r="B49" s="18" t="s">
        <v>117</v>
      </c>
      <c r="C49" s="18"/>
      <c r="D49" s="18"/>
      <c r="E49" s="3"/>
      <c r="F49" s="3"/>
      <c r="G49" s="3"/>
      <c r="H49" s="3"/>
      <c r="I49" s="3"/>
      <c r="J49" s="3"/>
      <c r="K49" s="3"/>
      <c r="L49" s="3"/>
      <c r="M49" s="3"/>
      <c r="N49" s="59">
        <v>22758</v>
      </c>
      <c r="O49" s="59">
        <v>23374</v>
      </c>
      <c r="P49" s="59">
        <v>24715</v>
      </c>
      <c r="Q49" s="59">
        <v>25726</v>
      </c>
      <c r="R49" s="59">
        <v>26726</v>
      </c>
      <c r="S49" s="59">
        <v>27450</v>
      </c>
      <c r="T49" s="59">
        <v>28634</v>
      </c>
      <c r="U49" s="59">
        <v>30084</v>
      </c>
      <c r="V49" s="60">
        <v>31664</v>
      </c>
      <c r="W49" s="60">
        <v>32614</v>
      </c>
      <c r="X49" s="60">
        <v>34144</v>
      </c>
      <c r="Y49" s="49">
        <v>35397</v>
      </c>
      <c r="Z49" s="49">
        <v>37332</v>
      </c>
      <c r="AB49" s="23"/>
      <c r="AD49" s="23"/>
    </row>
    <row r="50" spans="1:30" ht="15" x14ac:dyDescent="0.25">
      <c r="A50" s="2"/>
      <c r="B50" s="5" t="s">
        <v>118</v>
      </c>
      <c r="C50" s="5"/>
      <c r="D50" s="5"/>
      <c r="E50" s="2"/>
      <c r="F50" s="2"/>
      <c r="G50" s="2"/>
      <c r="H50" s="2"/>
      <c r="I50" s="2"/>
      <c r="J50" s="2"/>
      <c r="K50" s="2"/>
      <c r="L50" s="2"/>
      <c r="M50" s="2"/>
      <c r="N50" s="57">
        <v>13235</v>
      </c>
      <c r="O50" s="57">
        <v>13708</v>
      </c>
      <c r="P50" s="57">
        <v>14216</v>
      </c>
      <c r="Q50" s="57">
        <v>14590</v>
      </c>
      <c r="R50" s="57">
        <v>15083</v>
      </c>
      <c r="S50" s="57">
        <v>15521</v>
      </c>
      <c r="T50" s="57">
        <v>16088</v>
      </c>
      <c r="U50" s="57">
        <v>16585</v>
      </c>
      <c r="V50" s="58">
        <v>17165</v>
      </c>
      <c r="W50" s="58">
        <v>17656</v>
      </c>
      <c r="X50" s="58">
        <v>18102</v>
      </c>
      <c r="Y50" s="48">
        <v>18602</v>
      </c>
      <c r="Z50" s="48">
        <v>19075</v>
      </c>
    </row>
    <row r="51" spans="1:30" ht="15" x14ac:dyDescent="0.25">
      <c r="A51" s="2"/>
      <c r="B51" s="5" t="s">
        <v>122</v>
      </c>
      <c r="C51" s="5"/>
      <c r="D51" s="5"/>
      <c r="E51" s="2"/>
      <c r="F51" s="2"/>
      <c r="G51" s="2"/>
      <c r="H51" s="2"/>
      <c r="I51" s="2"/>
      <c r="J51" s="2"/>
      <c r="K51" s="2"/>
      <c r="L51" s="2"/>
      <c r="M51" s="2"/>
      <c r="N51" s="57">
        <f>31+992</f>
        <v>1023</v>
      </c>
      <c r="O51" s="57">
        <f>28+1030</f>
        <v>1058</v>
      </c>
      <c r="P51" s="57">
        <f>28+1078</f>
        <v>1106</v>
      </c>
      <c r="Q51" s="57">
        <f>28+1136</f>
        <v>1164</v>
      </c>
      <c r="R51" s="57">
        <f>27+1085</f>
        <v>1112</v>
      </c>
      <c r="S51" s="57">
        <f>30+1113</f>
        <v>1143</v>
      </c>
      <c r="T51" s="57">
        <f>32+1135</f>
        <v>1167</v>
      </c>
      <c r="U51" s="57">
        <f>40+1135</f>
        <v>1175</v>
      </c>
      <c r="V51" s="58">
        <f>39+1148</f>
        <v>1187</v>
      </c>
      <c r="W51" s="58">
        <f>42+1307</f>
        <v>1349</v>
      </c>
      <c r="X51" s="58">
        <f>43+1332</f>
        <v>1375</v>
      </c>
      <c r="Y51" s="62">
        <v>1455</v>
      </c>
      <c r="Z51" s="62">
        <v>1546</v>
      </c>
    </row>
    <row r="52" spans="1:30" ht="15" x14ac:dyDescent="0.25">
      <c r="A52" s="2"/>
      <c r="B52" s="5" t="s">
        <v>120</v>
      </c>
      <c r="C52" s="5"/>
      <c r="D52" s="5"/>
      <c r="E52" s="2"/>
      <c r="F52" s="2"/>
      <c r="G52" s="2"/>
      <c r="H52" s="2"/>
      <c r="I52" s="2"/>
      <c r="J52" s="2"/>
      <c r="K52" s="2"/>
      <c r="L52" s="2"/>
      <c r="M52" s="2"/>
      <c r="N52" s="56">
        <f t="shared" ref="N52:Z52" si="3">N49/N47</f>
        <v>0.31307864797567786</v>
      </c>
      <c r="O52" s="56">
        <f t="shared" si="3"/>
        <v>0.31045703887686116</v>
      </c>
      <c r="P52" s="56">
        <f t="shared" si="3"/>
        <v>0.3077679816696553</v>
      </c>
      <c r="Q52" s="56">
        <f t="shared" si="3"/>
        <v>0.3102096923948825</v>
      </c>
      <c r="R52" s="56">
        <f t="shared" si="3"/>
        <v>0.31036685208626075</v>
      </c>
      <c r="S52" s="56">
        <f t="shared" si="3"/>
        <v>0.31084386465552383</v>
      </c>
      <c r="T52" s="56">
        <f t="shared" si="3"/>
        <v>0.32131154899232461</v>
      </c>
      <c r="U52" s="56">
        <f t="shared" si="3"/>
        <v>0.32148581931650599</v>
      </c>
      <c r="V52" s="56">
        <f t="shared" si="3"/>
        <v>0.3275846015373633</v>
      </c>
      <c r="W52" s="56">
        <f t="shared" si="3"/>
        <v>0.33094532613548727</v>
      </c>
      <c r="X52" s="56">
        <f t="shared" si="3"/>
        <v>0.3321885489127791</v>
      </c>
      <c r="Y52" s="56">
        <f t="shared" si="3"/>
        <v>0.33747425825642591</v>
      </c>
      <c r="Z52" s="56">
        <f t="shared" si="3"/>
        <v>0.34679052484904782</v>
      </c>
    </row>
    <row r="53" spans="1:30" ht="15" x14ac:dyDescent="0.25">
      <c r="A53" s="2"/>
      <c r="B53" s="5"/>
      <c r="C53" s="5"/>
      <c r="D53" s="5"/>
      <c r="E53" s="2"/>
      <c r="F53" s="2"/>
      <c r="G53" s="2"/>
      <c r="H53" s="2"/>
      <c r="I53" s="2"/>
      <c r="J53" s="2"/>
      <c r="K53" s="2"/>
      <c r="L53" s="2"/>
      <c r="M53" s="2"/>
      <c r="N53" s="276"/>
      <c r="O53" s="276"/>
      <c r="P53" s="276"/>
      <c r="Q53" s="276"/>
      <c r="R53" s="276"/>
      <c r="S53" s="276"/>
      <c r="T53" s="276"/>
      <c r="U53" s="276"/>
      <c r="V53" s="276"/>
      <c r="W53" s="276"/>
      <c r="X53" s="276"/>
      <c r="Y53" s="276"/>
      <c r="Z53" s="276"/>
    </row>
    <row r="54" spans="1:30" ht="15" x14ac:dyDescent="0.25">
      <c r="A54" s="2"/>
      <c r="B54" s="5"/>
      <c r="C54" s="5"/>
      <c r="D54" s="5"/>
      <c r="E54" s="2"/>
      <c r="F54" s="2"/>
      <c r="G54" s="2"/>
      <c r="H54" s="2"/>
      <c r="I54" s="2"/>
      <c r="J54" s="2"/>
      <c r="K54" s="2"/>
      <c r="L54" s="2"/>
      <c r="M54" s="2"/>
      <c r="N54" s="2"/>
      <c r="O54" s="2"/>
      <c r="P54" s="2"/>
      <c r="Q54" s="2"/>
      <c r="R54" s="2"/>
      <c r="S54" s="2"/>
      <c r="T54" s="2"/>
      <c r="U54" s="2"/>
      <c r="V54" s="2"/>
      <c r="W54" s="2"/>
      <c r="X54" s="2"/>
      <c r="Y54" s="2"/>
      <c r="Z54" s="2"/>
    </row>
    <row r="55" spans="1:30" ht="15" x14ac:dyDescent="0.25">
      <c r="A55" s="2"/>
      <c r="B55" s="5"/>
      <c r="C55" s="5"/>
      <c r="D55" s="5"/>
      <c r="E55" s="2"/>
      <c r="F55" s="2"/>
      <c r="G55" s="2"/>
      <c r="H55" s="2"/>
      <c r="I55" s="2"/>
      <c r="J55" s="2"/>
      <c r="K55" s="2"/>
      <c r="L55" s="2"/>
      <c r="M55" s="2"/>
      <c r="N55" s="2"/>
      <c r="O55" s="2"/>
      <c r="P55" s="2"/>
      <c r="Q55" s="2"/>
      <c r="R55" s="2"/>
      <c r="S55" s="2"/>
      <c r="T55" s="2"/>
      <c r="U55" s="2"/>
      <c r="V55" s="2"/>
      <c r="W55" s="2"/>
      <c r="X55" s="2"/>
      <c r="Y55" s="2"/>
      <c r="Z55" s="2"/>
    </row>
    <row r="56" spans="1:30" ht="15" x14ac:dyDescent="0.25">
      <c r="A56" s="2"/>
      <c r="B56" s="5"/>
      <c r="C56" s="5"/>
      <c r="D56" s="5"/>
      <c r="E56" s="2"/>
      <c r="F56" s="2"/>
      <c r="G56" s="2"/>
      <c r="H56" s="2"/>
      <c r="I56" s="2"/>
      <c r="J56" s="2"/>
      <c r="K56" s="2"/>
      <c r="L56" s="2"/>
      <c r="M56" s="2"/>
      <c r="N56" s="2"/>
      <c r="O56" s="2"/>
      <c r="P56" s="2"/>
      <c r="Q56" s="2"/>
      <c r="R56" s="2"/>
      <c r="S56" s="2"/>
      <c r="T56" s="2"/>
      <c r="U56" s="2"/>
      <c r="V56" s="2"/>
      <c r="W56" s="2"/>
      <c r="X56" s="2"/>
      <c r="Y56" s="2"/>
      <c r="Z56" s="2"/>
    </row>
    <row r="57" spans="1:30" ht="15" x14ac:dyDescent="0.25">
      <c r="A57" s="2"/>
      <c r="B57" s="5"/>
      <c r="C57" s="5"/>
      <c r="D57" s="5"/>
      <c r="E57" s="2"/>
      <c r="F57" s="2"/>
      <c r="G57" s="2"/>
      <c r="H57" s="2"/>
      <c r="I57" s="2"/>
      <c r="J57" s="2"/>
      <c r="K57" s="2"/>
      <c r="L57" s="2"/>
      <c r="M57" s="2"/>
      <c r="N57" s="2"/>
      <c r="O57" s="2"/>
      <c r="P57" s="2"/>
      <c r="Q57" s="2"/>
      <c r="R57" s="2"/>
      <c r="S57" s="2"/>
      <c r="T57" s="2"/>
      <c r="U57" s="2"/>
      <c r="V57" s="2"/>
      <c r="W57" s="2"/>
      <c r="X57" s="2"/>
      <c r="Y57" s="2"/>
      <c r="Z57" s="2"/>
    </row>
    <row r="58" spans="1:30" ht="15" x14ac:dyDescent="0.25">
      <c r="A58" s="2"/>
      <c r="B58" s="5"/>
      <c r="C58" s="5"/>
      <c r="D58" s="5"/>
      <c r="E58" s="2"/>
      <c r="F58" s="2"/>
      <c r="G58" s="2"/>
      <c r="H58" s="2"/>
      <c r="I58" s="2"/>
      <c r="J58" s="2"/>
      <c r="K58" s="2"/>
      <c r="L58" s="2"/>
      <c r="M58" s="2"/>
      <c r="N58" s="2"/>
      <c r="O58" s="2"/>
      <c r="P58" s="2"/>
      <c r="Q58" s="2"/>
      <c r="R58" s="2"/>
      <c r="S58" s="2"/>
      <c r="T58" s="2"/>
      <c r="U58" s="2"/>
      <c r="V58" s="2"/>
      <c r="W58" s="2"/>
      <c r="X58" s="2"/>
      <c r="Y58" s="2"/>
      <c r="Z58" s="2"/>
    </row>
    <row r="59" spans="1:30" ht="15" x14ac:dyDescent="0.25">
      <c r="A59" s="2"/>
      <c r="B59" s="5"/>
      <c r="C59" s="5"/>
      <c r="D59" s="5"/>
      <c r="E59" s="2"/>
      <c r="F59" s="2"/>
      <c r="G59" s="2"/>
      <c r="H59" s="2"/>
      <c r="I59" s="2"/>
      <c r="J59" s="2"/>
      <c r="K59" s="2"/>
      <c r="L59" s="2"/>
      <c r="M59" s="2"/>
      <c r="N59" s="2"/>
      <c r="O59" s="2"/>
      <c r="P59" s="2"/>
      <c r="Q59" s="2"/>
      <c r="R59" s="2"/>
      <c r="S59" s="2"/>
      <c r="T59" s="2"/>
      <c r="U59" s="2"/>
      <c r="V59" s="2"/>
      <c r="W59" s="2"/>
      <c r="X59" s="2"/>
      <c r="Y59" s="2"/>
      <c r="Z59" s="2"/>
    </row>
    <row r="60" spans="1:30" x14ac:dyDescent="0.3">
      <c r="A60" s="2"/>
      <c r="B60" s="5"/>
      <c r="C60" s="5"/>
      <c r="D60" s="5"/>
      <c r="E60" s="2"/>
      <c r="F60" s="2"/>
      <c r="G60" s="2"/>
      <c r="H60" s="2"/>
      <c r="I60" s="2"/>
      <c r="J60" s="2"/>
      <c r="K60" s="2"/>
      <c r="L60" s="2"/>
      <c r="M60" s="2"/>
      <c r="N60" s="2"/>
      <c r="O60" s="2"/>
      <c r="P60" s="2"/>
      <c r="Q60" s="2"/>
      <c r="R60" s="2"/>
      <c r="S60" s="2"/>
      <c r="T60" s="2"/>
      <c r="U60" s="2"/>
      <c r="V60" s="2"/>
      <c r="W60" s="2"/>
      <c r="X60" s="2"/>
      <c r="Y60" s="2"/>
      <c r="Z60" s="2"/>
    </row>
    <row r="61" spans="1:30" x14ac:dyDescent="0.3">
      <c r="A61" s="2"/>
      <c r="B61" s="5"/>
      <c r="C61" s="5"/>
      <c r="D61" s="5"/>
      <c r="E61" s="2"/>
      <c r="F61" s="2"/>
      <c r="G61" s="2"/>
      <c r="H61" s="2"/>
      <c r="I61" s="2"/>
      <c r="J61" s="2"/>
      <c r="K61" s="2"/>
      <c r="L61" s="2"/>
      <c r="M61" s="2"/>
      <c r="N61" s="2"/>
      <c r="O61" s="2"/>
      <c r="P61" s="2"/>
      <c r="Q61" s="2"/>
      <c r="R61" s="2"/>
      <c r="S61" s="2"/>
      <c r="T61" s="2"/>
      <c r="U61" s="2"/>
      <c r="V61" s="2"/>
      <c r="W61" s="2"/>
      <c r="X61" s="2"/>
      <c r="Y61" s="2"/>
      <c r="Z61" s="2"/>
    </row>
    <row r="62" spans="1:30" x14ac:dyDescent="0.3">
      <c r="A62" s="2"/>
      <c r="B62" s="5"/>
      <c r="C62" s="5"/>
      <c r="D62" s="5"/>
      <c r="E62" s="2"/>
      <c r="F62" s="2"/>
      <c r="G62" s="2"/>
      <c r="H62" s="2"/>
      <c r="I62" s="2"/>
      <c r="J62" s="2"/>
      <c r="K62" s="2"/>
      <c r="L62" s="2"/>
      <c r="M62" s="2"/>
      <c r="N62" s="2"/>
      <c r="O62" s="2"/>
      <c r="P62" s="2"/>
      <c r="Q62" s="2"/>
      <c r="R62" s="2"/>
      <c r="S62" s="2"/>
      <c r="T62" s="2"/>
      <c r="U62" s="2"/>
      <c r="V62" s="2"/>
      <c r="W62" s="2"/>
      <c r="X62" s="2"/>
      <c r="Y62" s="2"/>
      <c r="Z62" s="2"/>
    </row>
    <row r="63" spans="1:30" x14ac:dyDescent="0.3">
      <c r="A63" s="2"/>
      <c r="B63" s="5"/>
      <c r="C63" s="5"/>
      <c r="D63" s="5"/>
      <c r="E63" s="2"/>
      <c r="F63" s="2"/>
      <c r="G63" s="2"/>
      <c r="H63" s="2"/>
      <c r="I63" s="2"/>
      <c r="J63" s="2"/>
      <c r="K63" s="2"/>
      <c r="L63" s="2"/>
      <c r="M63" s="2"/>
      <c r="N63" s="2"/>
      <c r="O63" s="2"/>
      <c r="P63" s="2"/>
      <c r="Q63" s="2"/>
      <c r="R63" s="2"/>
      <c r="S63" s="2"/>
      <c r="T63" s="2"/>
      <c r="U63" s="2"/>
      <c r="V63" s="2"/>
      <c r="W63" s="2"/>
      <c r="X63" s="2"/>
      <c r="Y63" s="2"/>
      <c r="Z63" s="2"/>
    </row>
    <row r="64" spans="1:30" x14ac:dyDescent="0.3">
      <c r="A64" s="2"/>
      <c r="B64" s="5"/>
      <c r="C64" s="5"/>
      <c r="D64" s="5"/>
      <c r="E64" s="2"/>
      <c r="F64" s="2"/>
      <c r="G64" s="2"/>
      <c r="H64" s="2"/>
      <c r="I64" s="2"/>
      <c r="J64" s="2"/>
      <c r="K64" s="2"/>
      <c r="L64" s="2"/>
      <c r="M64" s="2"/>
      <c r="N64" s="2"/>
      <c r="O64" s="2"/>
      <c r="P64" s="2"/>
      <c r="Q64" s="2"/>
      <c r="R64" s="2"/>
      <c r="S64" s="2"/>
      <c r="T64" s="2"/>
      <c r="U64" s="2"/>
      <c r="V64" s="2"/>
      <c r="W64" s="2"/>
      <c r="X64" s="2"/>
      <c r="Y64" s="2"/>
      <c r="Z64" s="2"/>
    </row>
    <row r="65" spans="1:26" x14ac:dyDescent="0.3">
      <c r="A65" s="2"/>
      <c r="B65" s="5"/>
      <c r="C65" s="5"/>
      <c r="D65" s="5"/>
      <c r="E65" s="2"/>
      <c r="F65" s="2"/>
      <c r="G65" s="2"/>
      <c r="H65" s="2"/>
      <c r="I65" s="2"/>
      <c r="J65" s="2"/>
      <c r="K65" s="2"/>
      <c r="L65" s="2"/>
      <c r="M65" s="2"/>
      <c r="N65" s="2"/>
      <c r="O65" s="2"/>
      <c r="P65" s="2"/>
      <c r="Q65" s="2"/>
      <c r="R65" s="2"/>
      <c r="S65" s="2"/>
      <c r="T65" s="2"/>
      <c r="U65" s="2"/>
      <c r="V65" s="2"/>
      <c r="W65" s="2"/>
      <c r="X65" s="2"/>
      <c r="Y65" s="2"/>
      <c r="Z65" s="2"/>
    </row>
    <row r="66" spans="1:26" x14ac:dyDescent="0.3">
      <c r="A66" s="2"/>
      <c r="B66" s="5"/>
      <c r="C66" s="5"/>
      <c r="D66" s="5"/>
      <c r="E66" s="2"/>
      <c r="F66" s="2"/>
      <c r="G66" s="2"/>
      <c r="H66" s="2"/>
      <c r="I66" s="2"/>
      <c r="J66" s="2"/>
      <c r="K66" s="2"/>
      <c r="L66" s="2"/>
      <c r="M66" s="2"/>
      <c r="N66" s="2"/>
      <c r="O66" s="2"/>
      <c r="P66" s="2"/>
      <c r="Q66" s="2"/>
      <c r="R66" s="2"/>
      <c r="S66" s="2"/>
      <c r="T66" s="2"/>
      <c r="U66" s="2"/>
      <c r="V66" s="2"/>
      <c r="W66" s="2"/>
      <c r="X66" s="2"/>
      <c r="Y66" s="2"/>
      <c r="Z66" s="2"/>
    </row>
    <row r="67" spans="1:26" x14ac:dyDescent="0.3">
      <c r="A67" s="2"/>
      <c r="B67" s="5"/>
      <c r="C67" s="5"/>
      <c r="D67" s="5"/>
      <c r="E67" s="2"/>
      <c r="F67" s="2"/>
      <c r="G67" s="2"/>
      <c r="H67" s="2"/>
      <c r="I67" s="2"/>
      <c r="J67" s="2"/>
      <c r="K67" s="2"/>
      <c r="L67" s="2"/>
      <c r="M67" s="2"/>
      <c r="N67" s="2"/>
      <c r="O67" s="2"/>
      <c r="P67" s="2"/>
      <c r="Q67" s="2"/>
      <c r="R67" s="2"/>
      <c r="S67" s="2"/>
      <c r="T67" s="2"/>
      <c r="U67" s="2"/>
      <c r="V67" s="2"/>
      <c r="W67" s="2"/>
      <c r="X67" s="2"/>
      <c r="Y67" s="2"/>
      <c r="Z67" s="2"/>
    </row>
    <row r="68" spans="1:26" x14ac:dyDescent="0.3">
      <c r="A68" s="2"/>
      <c r="B68" s="5"/>
      <c r="C68" s="5"/>
      <c r="D68" s="5"/>
      <c r="E68" s="2"/>
      <c r="F68" s="2"/>
      <c r="G68" s="2"/>
      <c r="H68" s="2"/>
      <c r="I68" s="2"/>
      <c r="J68" s="2"/>
      <c r="K68" s="2"/>
      <c r="L68" s="2"/>
      <c r="M68" s="2"/>
      <c r="N68" s="2"/>
      <c r="O68" s="2"/>
      <c r="P68" s="2"/>
      <c r="Q68" s="2"/>
      <c r="R68" s="2"/>
      <c r="S68" s="2"/>
      <c r="T68" s="2"/>
      <c r="U68" s="2"/>
      <c r="V68" s="2"/>
      <c r="W68" s="2"/>
      <c r="X68" s="2"/>
      <c r="Y68" s="2"/>
      <c r="Z68" s="2"/>
    </row>
    <row r="69" spans="1:26" x14ac:dyDescent="0.3">
      <c r="A69" s="2"/>
      <c r="B69" s="5"/>
      <c r="C69" s="5"/>
      <c r="D69" s="5"/>
      <c r="E69" s="2"/>
      <c r="F69" s="2"/>
      <c r="G69" s="2"/>
      <c r="H69" s="2"/>
      <c r="I69" s="2"/>
      <c r="J69" s="2"/>
      <c r="K69" s="2"/>
      <c r="L69" s="2"/>
      <c r="M69" s="2"/>
      <c r="N69" s="2"/>
      <c r="O69" s="2"/>
      <c r="P69" s="2"/>
      <c r="Q69" s="2"/>
      <c r="R69" s="2"/>
      <c r="S69" s="2"/>
      <c r="T69" s="2"/>
      <c r="U69" s="2"/>
      <c r="V69" s="2"/>
      <c r="W69" s="2"/>
      <c r="X69" s="2"/>
      <c r="Y69" s="2"/>
      <c r="Z69" s="2"/>
    </row>
    <row r="70" spans="1:26" x14ac:dyDescent="0.3">
      <c r="A70" s="2"/>
      <c r="B70" s="5"/>
      <c r="C70" s="5"/>
      <c r="D70" s="5"/>
      <c r="E70" s="2"/>
      <c r="F70" s="2"/>
      <c r="G70" s="2"/>
      <c r="H70" s="2"/>
      <c r="I70" s="2"/>
      <c r="J70" s="2"/>
      <c r="K70" s="2"/>
      <c r="L70" s="2"/>
      <c r="M70" s="2"/>
      <c r="N70" s="2"/>
      <c r="O70" s="2"/>
      <c r="P70" s="2"/>
      <c r="Q70" s="2"/>
      <c r="R70" s="2"/>
      <c r="S70" s="2"/>
      <c r="T70" s="2"/>
      <c r="U70" s="2"/>
      <c r="V70" s="2"/>
      <c r="W70" s="2"/>
      <c r="X70" s="2"/>
      <c r="Y70" s="2"/>
      <c r="Z70" s="2"/>
    </row>
    <row r="71" spans="1:26" x14ac:dyDescent="0.3">
      <c r="A71" s="2"/>
      <c r="B71" s="5"/>
      <c r="C71" s="5"/>
      <c r="D71" s="5"/>
      <c r="E71" s="2"/>
      <c r="F71" s="2"/>
      <c r="G71" s="2"/>
      <c r="H71" s="2"/>
      <c r="I71" s="2"/>
      <c r="J71" s="2"/>
      <c r="K71" s="2"/>
      <c r="L71" s="2"/>
      <c r="M71" s="2"/>
      <c r="N71" s="2"/>
      <c r="O71" s="2"/>
      <c r="P71" s="2"/>
      <c r="Q71" s="2"/>
      <c r="R71" s="2"/>
      <c r="S71" s="2"/>
      <c r="T71" s="2"/>
      <c r="U71" s="2"/>
      <c r="V71" s="2"/>
      <c r="W71" s="2"/>
      <c r="X71" s="2"/>
      <c r="Y71" s="2"/>
      <c r="Z71" s="2"/>
    </row>
    <row r="72" spans="1:26" x14ac:dyDescent="0.3">
      <c r="A72" s="2"/>
      <c r="B72" s="5"/>
      <c r="C72" s="5"/>
      <c r="D72" s="5"/>
      <c r="E72" s="2"/>
      <c r="F72" s="2"/>
      <c r="G72" s="2"/>
      <c r="H72" s="2"/>
      <c r="I72" s="2"/>
      <c r="J72" s="2"/>
      <c r="K72" s="2"/>
      <c r="L72" s="2"/>
      <c r="M72" s="2"/>
      <c r="N72" s="2"/>
      <c r="O72" s="2"/>
      <c r="P72" s="2"/>
      <c r="Q72" s="2"/>
      <c r="R72" s="2"/>
      <c r="S72" s="2"/>
      <c r="T72" s="2"/>
      <c r="U72" s="2"/>
      <c r="V72" s="2"/>
      <c r="W72" s="2"/>
      <c r="X72" s="2"/>
      <c r="Y72" s="2"/>
      <c r="Z72" s="2"/>
    </row>
    <row r="73" spans="1:26" x14ac:dyDescent="0.3">
      <c r="A73" s="2"/>
      <c r="B73" s="5"/>
      <c r="C73" s="5"/>
      <c r="D73" s="5"/>
      <c r="E73" s="2"/>
      <c r="F73" s="2"/>
      <c r="G73" s="2"/>
      <c r="H73" s="2"/>
      <c r="I73" s="2"/>
      <c r="J73" s="2"/>
      <c r="K73" s="2"/>
      <c r="L73" s="2"/>
      <c r="M73" s="2"/>
      <c r="N73" s="2"/>
      <c r="O73" s="2"/>
      <c r="P73" s="2"/>
      <c r="Q73" s="2"/>
      <c r="R73" s="2"/>
      <c r="S73" s="2"/>
      <c r="T73" s="2"/>
      <c r="U73" s="2"/>
      <c r="V73" s="2"/>
      <c r="W73" s="2"/>
      <c r="X73" s="2"/>
      <c r="Y73" s="2"/>
      <c r="Z73" s="2"/>
    </row>
    <row r="74" spans="1:26" x14ac:dyDescent="0.3">
      <c r="A74" s="2"/>
      <c r="B74" s="5"/>
      <c r="C74" s="5"/>
      <c r="D74" s="5"/>
      <c r="E74" s="2"/>
      <c r="F74" s="2"/>
      <c r="G74" s="2"/>
      <c r="H74" s="2"/>
      <c r="I74" s="2"/>
      <c r="J74" s="2"/>
      <c r="K74" s="2"/>
      <c r="L74" s="2"/>
      <c r="M74" s="2"/>
      <c r="N74" s="2"/>
      <c r="O74" s="2"/>
      <c r="P74" s="2"/>
      <c r="Q74" s="2"/>
      <c r="R74" s="2"/>
      <c r="S74" s="2"/>
      <c r="T74" s="2"/>
      <c r="U74" s="2"/>
      <c r="V74" s="2"/>
      <c r="W74" s="2"/>
      <c r="X74" s="2"/>
      <c r="Y74" s="2"/>
      <c r="Z74" s="2"/>
    </row>
    <row r="75" spans="1:26" x14ac:dyDescent="0.3">
      <c r="A75" s="2"/>
      <c r="B75" s="5"/>
      <c r="C75" s="5"/>
      <c r="D75" s="5"/>
      <c r="E75" s="2"/>
      <c r="F75" s="2"/>
      <c r="G75" s="2"/>
      <c r="H75" s="2"/>
      <c r="I75" s="2"/>
      <c r="J75" s="2"/>
      <c r="K75" s="2"/>
      <c r="L75" s="2"/>
      <c r="M75" s="2"/>
      <c r="N75" s="2"/>
      <c r="O75" s="2"/>
      <c r="P75" s="2"/>
      <c r="Q75" s="2"/>
      <c r="R75" s="2"/>
      <c r="S75" s="2"/>
      <c r="T75" s="2"/>
      <c r="U75" s="2"/>
      <c r="V75" s="2"/>
      <c r="W75" s="2"/>
      <c r="X75" s="2"/>
      <c r="Y75" s="2"/>
      <c r="Z75" s="2"/>
    </row>
    <row r="76" spans="1:26" x14ac:dyDescent="0.3">
      <c r="A76" s="2"/>
      <c r="B76" s="5"/>
      <c r="C76" s="5"/>
      <c r="D76" s="5"/>
      <c r="E76" s="2"/>
      <c r="F76" s="2"/>
      <c r="G76" s="2"/>
      <c r="H76" s="2"/>
      <c r="I76" s="2"/>
      <c r="J76" s="2"/>
      <c r="K76" s="2"/>
      <c r="L76" s="2"/>
      <c r="M76" s="2"/>
      <c r="N76" s="2"/>
      <c r="O76" s="2"/>
      <c r="P76" s="2"/>
      <c r="Q76" s="2"/>
      <c r="R76" s="2"/>
      <c r="S76" s="2"/>
      <c r="T76" s="2"/>
      <c r="U76" s="2"/>
      <c r="V76" s="2"/>
      <c r="W76" s="2"/>
      <c r="X76" s="2"/>
      <c r="Y76" s="2"/>
      <c r="Z76" s="2"/>
    </row>
    <row r="77" spans="1:26" x14ac:dyDescent="0.3">
      <c r="A77" s="2"/>
      <c r="B77" s="5"/>
      <c r="C77" s="5"/>
      <c r="D77" s="5"/>
      <c r="E77" s="2"/>
      <c r="F77" s="2"/>
      <c r="G77" s="2"/>
      <c r="H77" s="2"/>
      <c r="I77" s="2"/>
      <c r="J77" s="2"/>
      <c r="K77" s="2"/>
      <c r="L77" s="2"/>
      <c r="M77" s="2"/>
      <c r="N77" s="2"/>
      <c r="O77" s="2"/>
      <c r="P77" s="2"/>
      <c r="Q77" s="2"/>
      <c r="R77" s="2"/>
      <c r="S77" s="2"/>
      <c r="T77" s="2"/>
      <c r="U77" s="2"/>
      <c r="V77" s="2"/>
      <c r="W77" s="2"/>
      <c r="X77" s="2"/>
      <c r="Y77" s="2"/>
      <c r="Z77" s="2"/>
    </row>
    <row r="78" spans="1:26" x14ac:dyDescent="0.3">
      <c r="A78" s="2"/>
      <c r="B78" s="5"/>
      <c r="C78" s="5"/>
      <c r="D78" s="5"/>
      <c r="E78" s="2"/>
      <c r="F78" s="2"/>
      <c r="G78" s="2"/>
      <c r="H78" s="2"/>
      <c r="I78" s="2"/>
      <c r="J78" s="2"/>
      <c r="K78" s="2"/>
      <c r="L78" s="2"/>
      <c r="M78" s="2"/>
      <c r="N78" s="2"/>
      <c r="O78" s="2"/>
      <c r="P78" s="2"/>
      <c r="Q78" s="2"/>
      <c r="R78" s="2"/>
      <c r="S78" s="2"/>
      <c r="T78" s="2"/>
      <c r="U78" s="2"/>
      <c r="V78" s="2"/>
      <c r="W78" s="2"/>
      <c r="X78" s="2"/>
      <c r="Y78" s="2"/>
      <c r="Z78" s="2"/>
    </row>
    <row r="79" spans="1:26" x14ac:dyDescent="0.3">
      <c r="A79" s="2"/>
      <c r="B79" s="5"/>
      <c r="C79" s="5"/>
      <c r="D79" s="5"/>
      <c r="E79" s="2"/>
      <c r="F79" s="2"/>
      <c r="G79" s="2"/>
      <c r="H79" s="2"/>
      <c r="I79" s="2"/>
      <c r="J79" s="2"/>
      <c r="K79" s="2"/>
      <c r="L79" s="2"/>
      <c r="M79" s="2"/>
      <c r="N79" s="2"/>
      <c r="O79" s="2"/>
      <c r="P79" s="2"/>
      <c r="Q79" s="2"/>
      <c r="R79" s="2"/>
      <c r="S79" s="2"/>
      <c r="T79" s="2"/>
      <c r="U79" s="2"/>
      <c r="V79" s="2"/>
      <c r="W79" s="2"/>
      <c r="X79" s="2"/>
      <c r="Y79" s="2"/>
      <c r="Z79" s="2"/>
    </row>
    <row r="80" spans="1:26" x14ac:dyDescent="0.3">
      <c r="A80" s="2"/>
      <c r="B80" s="5"/>
      <c r="C80" s="5"/>
      <c r="D80" s="5"/>
      <c r="E80" s="2"/>
      <c r="F80" s="2"/>
      <c r="G80" s="2"/>
      <c r="H80" s="2"/>
      <c r="I80" s="2"/>
      <c r="J80" s="2"/>
      <c r="K80" s="2"/>
      <c r="L80" s="2"/>
      <c r="M80" s="2"/>
      <c r="N80" s="2"/>
      <c r="O80" s="2"/>
      <c r="P80" s="2"/>
      <c r="Q80" s="2"/>
      <c r="R80" s="2"/>
      <c r="S80" s="2"/>
      <c r="T80" s="2"/>
      <c r="U80" s="2"/>
      <c r="V80" s="2"/>
      <c r="W80" s="2"/>
      <c r="X80" s="2"/>
      <c r="Y80" s="2"/>
      <c r="Z80" s="2"/>
    </row>
    <row r="81" spans="1:26" x14ac:dyDescent="0.3">
      <c r="A81" s="2"/>
      <c r="B81" s="5"/>
      <c r="C81" s="5"/>
      <c r="D81" s="5"/>
      <c r="E81" s="2"/>
      <c r="F81" s="2"/>
      <c r="G81" s="2"/>
      <c r="H81" s="2"/>
      <c r="I81" s="2"/>
      <c r="J81" s="2"/>
      <c r="K81" s="2"/>
      <c r="L81" s="2"/>
      <c r="M81" s="2"/>
      <c r="N81" s="2"/>
      <c r="O81" s="2"/>
      <c r="P81" s="2"/>
      <c r="Q81" s="2"/>
      <c r="R81" s="2"/>
      <c r="S81" s="2"/>
      <c r="T81" s="2"/>
      <c r="U81" s="2"/>
      <c r="V81" s="2"/>
      <c r="W81" s="2"/>
      <c r="X81" s="2"/>
      <c r="Y81" s="2"/>
      <c r="Z81" s="2"/>
    </row>
    <row r="82" spans="1:26" x14ac:dyDescent="0.3">
      <c r="A82" s="2"/>
      <c r="B82" s="5"/>
      <c r="C82" s="5"/>
      <c r="D82" s="5"/>
      <c r="E82" s="2"/>
      <c r="F82" s="2"/>
      <c r="G82" s="2"/>
      <c r="H82" s="2"/>
      <c r="I82" s="2"/>
      <c r="J82" s="2"/>
      <c r="K82" s="2"/>
      <c r="L82" s="2"/>
      <c r="M82" s="2"/>
      <c r="N82" s="2"/>
      <c r="O82" s="2"/>
      <c r="P82" s="2"/>
      <c r="Q82" s="2"/>
      <c r="R82" s="2"/>
      <c r="S82" s="2"/>
      <c r="T82" s="2"/>
      <c r="U82" s="2"/>
      <c r="V82" s="2"/>
      <c r="W82" s="2"/>
      <c r="X82" s="2"/>
      <c r="Y82" s="2"/>
      <c r="Z82" s="2"/>
    </row>
    <row r="83" spans="1:26" x14ac:dyDescent="0.3">
      <c r="A83" s="2"/>
      <c r="B83" s="5"/>
      <c r="C83" s="5"/>
      <c r="D83" s="5"/>
      <c r="E83" s="2"/>
      <c r="F83" s="2"/>
      <c r="G83" s="2"/>
      <c r="H83" s="2"/>
      <c r="I83" s="2"/>
      <c r="J83" s="2"/>
      <c r="K83" s="2"/>
      <c r="L83" s="2"/>
      <c r="M83" s="2"/>
      <c r="N83" s="2"/>
      <c r="O83" s="2"/>
      <c r="P83" s="2"/>
      <c r="Q83" s="2"/>
      <c r="R83" s="2"/>
      <c r="S83" s="2"/>
      <c r="T83" s="2"/>
      <c r="U83" s="2"/>
      <c r="V83" s="2"/>
      <c r="W83" s="2"/>
      <c r="X83" s="2"/>
      <c r="Y83" s="2"/>
      <c r="Z83" s="2"/>
    </row>
    <row r="84" spans="1:26" x14ac:dyDescent="0.3">
      <c r="A84" s="2"/>
      <c r="B84" s="5"/>
      <c r="C84" s="5"/>
      <c r="D84" s="5"/>
      <c r="E84" s="2"/>
      <c r="F84" s="2"/>
      <c r="G84" s="2"/>
      <c r="H84" s="2"/>
      <c r="I84" s="2"/>
      <c r="J84" s="2"/>
      <c r="K84" s="2"/>
      <c r="L84" s="2"/>
      <c r="M84" s="2"/>
      <c r="N84" s="2"/>
      <c r="O84" s="2"/>
      <c r="P84" s="2"/>
      <c r="Q84" s="2"/>
      <c r="R84" s="2"/>
      <c r="S84" s="2"/>
      <c r="T84" s="2"/>
      <c r="U84" s="2"/>
      <c r="V84" s="2"/>
      <c r="W84" s="2"/>
      <c r="X84" s="2"/>
      <c r="Y84" s="2"/>
      <c r="Z84" s="2"/>
    </row>
    <row r="85" spans="1:26" x14ac:dyDescent="0.3">
      <c r="A85" s="2"/>
      <c r="B85" s="5"/>
      <c r="C85" s="5"/>
      <c r="D85" s="5"/>
      <c r="E85" s="2"/>
      <c r="F85" s="2"/>
      <c r="G85" s="2"/>
      <c r="H85" s="2"/>
      <c r="I85" s="2"/>
      <c r="J85" s="2"/>
      <c r="K85" s="2"/>
      <c r="L85" s="2"/>
      <c r="M85" s="2"/>
      <c r="N85" s="2"/>
      <c r="O85" s="2"/>
      <c r="P85" s="2"/>
      <c r="Q85" s="2"/>
      <c r="R85" s="2"/>
      <c r="S85" s="2"/>
      <c r="T85" s="2"/>
      <c r="U85" s="2"/>
      <c r="V85" s="2"/>
      <c r="W85" s="2"/>
      <c r="X85" s="2"/>
      <c r="Y85" s="2"/>
      <c r="Z85" s="2"/>
    </row>
    <row r="86" spans="1:26" x14ac:dyDescent="0.3">
      <c r="A86" s="2"/>
      <c r="B86" s="5"/>
      <c r="C86" s="5"/>
      <c r="D86" s="5"/>
      <c r="E86" s="2"/>
      <c r="F86" s="2"/>
      <c r="G86" s="2"/>
      <c r="H86" s="2"/>
      <c r="I86" s="2"/>
      <c r="J86" s="2"/>
      <c r="K86" s="2"/>
      <c r="L86" s="2"/>
      <c r="M86" s="2"/>
      <c r="N86" s="2"/>
      <c r="O86" s="2"/>
      <c r="P86" s="2"/>
      <c r="Q86" s="2"/>
      <c r="R86" s="2"/>
      <c r="S86" s="2"/>
      <c r="T86" s="2"/>
      <c r="U86" s="2"/>
      <c r="V86" s="2"/>
      <c r="W86" s="2"/>
      <c r="X86" s="2"/>
      <c r="Y86" s="2"/>
      <c r="Z86" s="2"/>
    </row>
    <row r="87" spans="1:26" x14ac:dyDescent="0.3">
      <c r="A87" s="2"/>
      <c r="B87" s="5"/>
      <c r="C87" s="5"/>
      <c r="D87" s="5"/>
      <c r="E87" s="2"/>
      <c r="F87" s="2"/>
      <c r="G87" s="2"/>
      <c r="H87" s="2"/>
      <c r="I87" s="2"/>
      <c r="J87" s="2"/>
      <c r="K87" s="2"/>
      <c r="L87" s="2"/>
      <c r="M87" s="2"/>
      <c r="N87" s="2"/>
      <c r="O87" s="2"/>
      <c r="P87" s="2"/>
      <c r="Q87" s="2"/>
      <c r="R87" s="2"/>
      <c r="S87" s="2"/>
      <c r="T87" s="2"/>
      <c r="U87" s="2"/>
      <c r="V87" s="2"/>
      <c r="W87" s="2"/>
      <c r="X87" s="2"/>
      <c r="Y87" s="2"/>
      <c r="Z87" s="2"/>
    </row>
    <row r="88" spans="1:26" x14ac:dyDescent="0.3">
      <c r="A88" s="2"/>
      <c r="B88" s="5"/>
      <c r="C88" s="5"/>
      <c r="D88" s="5"/>
      <c r="E88" s="2"/>
      <c r="F88" s="2"/>
      <c r="G88" s="2"/>
      <c r="H88" s="2"/>
      <c r="I88" s="2"/>
      <c r="J88" s="2"/>
      <c r="K88" s="2"/>
      <c r="L88" s="2"/>
      <c r="M88" s="2"/>
      <c r="N88" s="2"/>
      <c r="O88" s="2"/>
      <c r="P88" s="2"/>
      <c r="Q88" s="2"/>
      <c r="R88" s="2"/>
      <c r="S88" s="2"/>
      <c r="T88" s="2"/>
      <c r="U88" s="2"/>
      <c r="V88" s="2"/>
      <c r="W88" s="2"/>
      <c r="X88" s="2"/>
      <c r="Y88" s="2"/>
      <c r="Z88" s="2"/>
    </row>
    <row r="89" spans="1:26" x14ac:dyDescent="0.3">
      <c r="A89" s="2"/>
      <c r="B89" s="5"/>
      <c r="C89" s="5"/>
      <c r="D89" s="5"/>
      <c r="E89" s="2"/>
      <c r="F89" s="2"/>
      <c r="G89" s="2"/>
      <c r="H89" s="2"/>
      <c r="I89" s="2"/>
      <c r="J89" s="2"/>
      <c r="K89" s="2"/>
      <c r="L89" s="2"/>
      <c r="M89" s="2"/>
      <c r="N89" s="2"/>
      <c r="O89" s="2"/>
      <c r="P89" s="2"/>
      <c r="Q89" s="2"/>
      <c r="R89" s="2"/>
      <c r="S89" s="2"/>
      <c r="T89" s="2"/>
      <c r="U89" s="2"/>
      <c r="V89" s="2"/>
      <c r="W89" s="2"/>
      <c r="X89" s="2"/>
      <c r="Y89" s="2"/>
      <c r="Z89" s="2"/>
    </row>
    <row r="90" spans="1:26" x14ac:dyDescent="0.3">
      <c r="A90" s="2"/>
      <c r="B90" s="5"/>
      <c r="C90" s="5"/>
      <c r="D90" s="5"/>
      <c r="E90" s="2"/>
      <c r="F90" s="2"/>
      <c r="G90" s="2"/>
      <c r="H90" s="2"/>
      <c r="I90" s="2"/>
      <c r="J90" s="2"/>
      <c r="K90" s="2"/>
      <c r="L90" s="2"/>
      <c r="M90" s="2"/>
      <c r="N90" s="2"/>
      <c r="O90" s="2"/>
      <c r="P90" s="2"/>
      <c r="Q90" s="2"/>
      <c r="R90" s="2"/>
      <c r="S90" s="2"/>
      <c r="T90" s="2"/>
      <c r="U90" s="2"/>
      <c r="V90" s="2"/>
      <c r="W90" s="2"/>
      <c r="X90" s="2"/>
      <c r="Y90" s="2"/>
      <c r="Z90" s="2"/>
    </row>
    <row r="91" spans="1:26" x14ac:dyDescent="0.3">
      <c r="A91" s="2"/>
      <c r="B91" s="5"/>
      <c r="C91" s="5"/>
      <c r="D91" s="5"/>
      <c r="E91" s="2"/>
      <c r="F91" s="2"/>
      <c r="G91" s="2"/>
      <c r="H91" s="2"/>
      <c r="I91" s="2"/>
      <c r="J91" s="2"/>
      <c r="K91" s="2"/>
      <c r="L91" s="2"/>
      <c r="M91" s="2"/>
      <c r="N91" s="2"/>
      <c r="O91" s="2"/>
      <c r="P91" s="2"/>
      <c r="Q91" s="2"/>
      <c r="R91" s="2"/>
      <c r="S91" s="2"/>
      <c r="T91" s="2"/>
      <c r="U91" s="2"/>
      <c r="V91" s="2"/>
      <c r="W91" s="2"/>
      <c r="X91" s="2"/>
      <c r="Y91" s="2"/>
      <c r="Z91" s="2"/>
    </row>
    <row r="92" spans="1:26" x14ac:dyDescent="0.3">
      <c r="A92" s="2"/>
      <c r="B92" s="5"/>
      <c r="C92" s="5"/>
      <c r="D92" s="5"/>
      <c r="E92" s="2"/>
      <c r="F92" s="2"/>
      <c r="G92" s="2"/>
      <c r="H92" s="2"/>
      <c r="I92" s="2"/>
      <c r="J92" s="2"/>
      <c r="K92" s="2"/>
      <c r="L92" s="2"/>
      <c r="M92" s="2"/>
      <c r="N92" s="2"/>
      <c r="O92" s="2"/>
      <c r="P92" s="2"/>
      <c r="Q92" s="2"/>
      <c r="R92" s="2"/>
      <c r="S92" s="2"/>
      <c r="T92" s="2"/>
      <c r="U92" s="2"/>
      <c r="V92" s="2"/>
      <c r="W92" s="2"/>
      <c r="X92" s="2"/>
      <c r="Y92" s="2"/>
      <c r="Z92" s="2"/>
    </row>
    <row r="93" spans="1:26" x14ac:dyDescent="0.3">
      <c r="A93" s="2"/>
      <c r="B93" s="5"/>
      <c r="C93" s="5"/>
      <c r="D93" s="5"/>
      <c r="E93" s="2"/>
      <c r="F93" s="2"/>
      <c r="G93" s="2"/>
      <c r="H93" s="2"/>
      <c r="I93" s="2"/>
      <c r="J93" s="2"/>
      <c r="K93" s="2"/>
      <c r="L93" s="2"/>
      <c r="M93" s="2"/>
      <c r="N93" s="2"/>
      <c r="O93" s="2"/>
      <c r="P93" s="2"/>
      <c r="Q93" s="2"/>
      <c r="R93" s="2"/>
      <c r="S93" s="2"/>
      <c r="T93" s="2"/>
      <c r="U93" s="2"/>
      <c r="V93" s="2"/>
      <c r="W93" s="2"/>
      <c r="X93" s="2"/>
      <c r="Y93" s="2"/>
      <c r="Z93" s="2"/>
    </row>
    <row r="94" spans="1:26" x14ac:dyDescent="0.3">
      <c r="A94" s="2"/>
      <c r="B94" s="5"/>
      <c r="C94" s="5"/>
      <c r="D94" s="5"/>
      <c r="E94" s="2"/>
      <c r="F94" s="2"/>
      <c r="G94" s="2"/>
      <c r="H94" s="2"/>
      <c r="I94" s="2"/>
      <c r="J94" s="2"/>
      <c r="K94" s="2"/>
      <c r="L94" s="2"/>
      <c r="M94" s="2"/>
      <c r="N94" s="2"/>
      <c r="O94" s="2"/>
      <c r="P94" s="2"/>
      <c r="Q94" s="2"/>
      <c r="R94" s="2"/>
      <c r="S94" s="2"/>
      <c r="T94" s="2"/>
      <c r="U94" s="2"/>
      <c r="V94" s="2"/>
      <c r="W94" s="2"/>
      <c r="X94" s="2"/>
      <c r="Y94" s="2"/>
      <c r="Z94" s="2"/>
    </row>
    <row r="95" spans="1:26" x14ac:dyDescent="0.3">
      <c r="A95" s="2"/>
      <c r="B95" s="5"/>
      <c r="C95" s="5"/>
      <c r="D95" s="5"/>
      <c r="E95" s="2"/>
      <c r="F95" s="2"/>
      <c r="G95" s="2"/>
      <c r="H95" s="2"/>
      <c r="I95" s="2"/>
      <c r="J95" s="2"/>
      <c r="K95" s="2"/>
      <c r="L95" s="2"/>
      <c r="M95" s="2"/>
      <c r="N95" s="2"/>
      <c r="O95" s="2"/>
      <c r="P95" s="2"/>
      <c r="Q95" s="2"/>
      <c r="R95" s="2"/>
      <c r="S95" s="2"/>
      <c r="T95" s="2"/>
      <c r="U95" s="2"/>
      <c r="V95" s="2"/>
      <c r="W95" s="2"/>
      <c r="X95" s="2"/>
      <c r="Y95" s="2"/>
      <c r="Z95" s="2"/>
    </row>
    <row r="96" spans="1:26" x14ac:dyDescent="0.3">
      <c r="A96" s="2"/>
      <c r="B96" s="5"/>
      <c r="C96" s="5"/>
      <c r="D96" s="5"/>
      <c r="E96" s="2"/>
      <c r="F96" s="2"/>
      <c r="G96" s="2"/>
      <c r="H96" s="2"/>
      <c r="I96" s="2"/>
      <c r="J96" s="2"/>
      <c r="K96" s="2"/>
      <c r="L96" s="2"/>
      <c r="M96" s="2"/>
      <c r="N96" s="2"/>
      <c r="O96" s="2"/>
      <c r="P96" s="2"/>
      <c r="Q96" s="2"/>
      <c r="R96" s="2"/>
      <c r="S96" s="2"/>
      <c r="T96" s="2"/>
      <c r="U96" s="2"/>
      <c r="V96" s="2"/>
      <c r="W96" s="2"/>
      <c r="X96" s="2"/>
      <c r="Y96" s="2"/>
      <c r="Z96" s="2"/>
    </row>
    <row r="97" spans="1:26" x14ac:dyDescent="0.3">
      <c r="A97" s="2"/>
      <c r="B97" s="5"/>
      <c r="C97" s="5"/>
      <c r="D97" s="5"/>
      <c r="E97" s="2"/>
      <c r="F97" s="2"/>
      <c r="G97" s="2"/>
      <c r="H97" s="2"/>
      <c r="I97" s="2"/>
      <c r="J97" s="2"/>
      <c r="K97" s="2"/>
      <c r="L97" s="2"/>
      <c r="M97" s="2"/>
      <c r="N97" s="2"/>
      <c r="O97" s="2"/>
      <c r="P97" s="2"/>
      <c r="Q97" s="2"/>
      <c r="R97" s="2"/>
      <c r="S97" s="2"/>
      <c r="T97" s="2"/>
      <c r="U97" s="2"/>
      <c r="V97" s="2"/>
      <c r="W97" s="2"/>
      <c r="X97" s="2"/>
      <c r="Y97" s="2"/>
      <c r="Z97" s="2"/>
    </row>
    <row r="98" spans="1:26" x14ac:dyDescent="0.3">
      <c r="A98" s="2"/>
      <c r="B98" s="5"/>
      <c r="C98" s="5"/>
      <c r="D98" s="5"/>
      <c r="E98" s="2"/>
      <c r="F98" s="2"/>
      <c r="G98" s="2"/>
      <c r="H98" s="2"/>
      <c r="I98" s="2"/>
      <c r="J98" s="2"/>
      <c r="K98" s="2"/>
      <c r="L98" s="2"/>
      <c r="M98" s="2"/>
      <c r="N98" s="2"/>
      <c r="O98" s="2"/>
      <c r="P98" s="2"/>
      <c r="Q98" s="2"/>
      <c r="R98" s="2"/>
      <c r="S98" s="2"/>
      <c r="T98" s="2"/>
      <c r="U98" s="2"/>
      <c r="V98" s="2"/>
      <c r="W98" s="2"/>
      <c r="X98" s="2"/>
      <c r="Y98" s="2"/>
      <c r="Z98" s="2"/>
    </row>
    <row r="99" spans="1:26" x14ac:dyDescent="0.3">
      <c r="A99" s="2"/>
      <c r="B99" s="5"/>
      <c r="C99" s="5"/>
      <c r="D99" s="5"/>
      <c r="E99" s="2"/>
      <c r="F99" s="2"/>
      <c r="G99" s="2"/>
      <c r="H99" s="2"/>
      <c r="I99" s="2"/>
      <c r="J99" s="2"/>
      <c r="K99" s="2"/>
      <c r="L99" s="2"/>
      <c r="M99" s="2"/>
      <c r="N99" s="2"/>
      <c r="O99" s="2"/>
      <c r="P99" s="2"/>
      <c r="Q99" s="2"/>
      <c r="R99" s="2"/>
      <c r="S99" s="2"/>
      <c r="T99" s="2"/>
      <c r="U99" s="2"/>
      <c r="V99" s="2"/>
      <c r="W99" s="2"/>
      <c r="X99" s="2"/>
      <c r="Y99" s="2"/>
      <c r="Z99" s="2"/>
    </row>
    <row r="100" spans="1:26" x14ac:dyDescent="0.3">
      <c r="A100" s="2"/>
      <c r="B100" s="5"/>
      <c r="C100" s="5"/>
      <c r="D100" s="5"/>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3">
      <c r="A101" s="2"/>
      <c r="B101" s="5"/>
      <c r="C101" s="5"/>
      <c r="D101" s="5"/>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3">
      <c r="A102" s="2"/>
      <c r="B102" s="5"/>
      <c r="C102" s="5"/>
      <c r="D102" s="5"/>
      <c r="E102" s="2"/>
      <c r="F102" s="2"/>
      <c r="G102" s="2"/>
      <c r="H102" s="2"/>
      <c r="I102" s="2"/>
      <c r="J102" s="2"/>
      <c r="K102" s="2"/>
      <c r="L102" s="2"/>
      <c r="M102" s="2"/>
      <c r="N102" s="2"/>
      <c r="O102" s="2"/>
      <c r="P102" s="2"/>
      <c r="Q102" s="2"/>
      <c r="R102" s="2"/>
      <c r="S102" s="2"/>
      <c r="T102" s="2"/>
      <c r="U102" s="2"/>
      <c r="V102" s="2"/>
      <c r="W102" s="2"/>
      <c r="X102" s="2"/>
      <c r="Y102" s="2"/>
      <c r="Z102" s="2"/>
    </row>
    <row r="103" spans="1:26" x14ac:dyDescent="0.3">
      <c r="A103" s="2"/>
      <c r="B103" s="5"/>
      <c r="C103" s="5"/>
      <c r="D103" s="5"/>
      <c r="E103" s="2"/>
      <c r="F103" s="2"/>
      <c r="G103" s="2"/>
      <c r="H103" s="2"/>
      <c r="I103" s="2"/>
      <c r="J103" s="2"/>
      <c r="K103" s="2"/>
      <c r="L103" s="2"/>
      <c r="M103" s="2"/>
      <c r="N103" s="2"/>
      <c r="O103" s="2"/>
      <c r="P103" s="2"/>
      <c r="Q103" s="2"/>
      <c r="R103" s="2"/>
      <c r="S103" s="2"/>
      <c r="T103" s="2"/>
      <c r="U103" s="2"/>
      <c r="V103" s="2"/>
      <c r="W103" s="2"/>
      <c r="X103" s="2"/>
      <c r="Y103" s="2"/>
      <c r="Z103" s="2"/>
    </row>
    <row r="104" spans="1:26" x14ac:dyDescent="0.3">
      <c r="A104" s="2"/>
      <c r="B104" s="5"/>
      <c r="C104" s="5"/>
      <c r="D104" s="5"/>
      <c r="E104" s="2"/>
      <c r="F104" s="2"/>
      <c r="G104" s="2"/>
      <c r="H104" s="2"/>
      <c r="I104" s="2"/>
      <c r="J104" s="2"/>
      <c r="K104" s="2"/>
      <c r="L104" s="2"/>
      <c r="M104" s="2"/>
      <c r="N104" s="2"/>
      <c r="O104" s="2"/>
      <c r="P104" s="2"/>
      <c r="Q104" s="2"/>
      <c r="R104" s="2"/>
      <c r="S104" s="2"/>
      <c r="T104" s="2"/>
      <c r="U104" s="2"/>
      <c r="V104" s="2"/>
      <c r="W104" s="2"/>
      <c r="X104" s="2"/>
      <c r="Y104" s="2"/>
      <c r="Z104" s="2"/>
    </row>
    <row r="105" spans="1:26" x14ac:dyDescent="0.3">
      <c r="A105" s="2"/>
      <c r="B105" s="5"/>
      <c r="C105" s="5"/>
      <c r="D105" s="5"/>
      <c r="E105" s="2"/>
      <c r="F105" s="2"/>
      <c r="G105" s="2"/>
      <c r="H105" s="2"/>
      <c r="I105" s="2"/>
      <c r="J105" s="2"/>
      <c r="K105" s="2"/>
      <c r="L105" s="2"/>
      <c r="M105" s="2"/>
      <c r="N105" s="2"/>
      <c r="O105" s="2"/>
      <c r="P105" s="2"/>
      <c r="Q105" s="2"/>
      <c r="R105" s="2"/>
      <c r="S105" s="2"/>
      <c r="T105" s="2"/>
      <c r="U105" s="2"/>
      <c r="V105" s="2"/>
      <c r="W105" s="2"/>
      <c r="X105" s="2"/>
      <c r="Y105" s="2"/>
      <c r="Z105" s="2"/>
    </row>
    <row r="106" spans="1:26" x14ac:dyDescent="0.3">
      <c r="A106" s="2"/>
      <c r="B106" s="5"/>
      <c r="C106" s="5"/>
      <c r="D106" s="5"/>
      <c r="E106" s="2"/>
      <c r="F106" s="2"/>
      <c r="G106" s="2"/>
      <c r="H106" s="2"/>
      <c r="I106" s="2"/>
      <c r="J106" s="2"/>
      <c r="K106" s="2"/>
      <c r="L106" s="2"/>
      <c r="M106" s="2"/>
      <c r="N106" s="2"/>
      <c r="O106" s="2"/>
      <c r="P106" s="2"/>
      <c r="Q106" s="2"/>
      <c r="R106" s="2"/>
      <c r="S106" s="2"/>
      <c r="T106" s="2"/>
      <c r="U106" s="2"/>
      <c r="V106" s="2"/>
      <c r="W106" s="2"/>
      <c r="X106" s="2"/>
      <c r="Y106" s="2"/>
      <c r="Z106" s="2"/>
    </row>
    <row r="107" spans="1:26" x14ac:dyDescent="0.3">
      <c r="A107" s="2"/>
      <c r="B107" s="5"/>
      <c r="C107" s="5"/>
      <c r="D107" s="5"/>
      <c r="E107" s="2"/>
      <c r="F107" s="2"/>
      <c r="G107" s="2"/>
      <c r="H107" s="2"/>
      <c r="I107" s="2"/>
      <c r="J107" s="2"/>
      <c r="K107" s="2"/>
      <c r="L107" s="2"/>
      <c r="M107" s="2"/>
      <c r="N107" s="2"/>
      <c r="O107" s="2"/>
      <c r="P107" s="2"/>
      <c r="Q107" s="2"/>
      <c r="R107" s="2"/>
      <c r="S107" s="2"/>
      <c r="T107" s="2"/>
      <c r="U107" s="2"/>
      <c r="V107" s="2"/>
      <c r="W107" s="2"/>
      <c r="X107" s="2"/>
      <c r="Y107" s="2"/>
      <c r="Z107" s="2"/>
    </row>
    <row r="108" spans="1:26" x14ac:dyDescent="0.3">
      <c r="A108" s="2"/>
      <c r="B108" s="5"/>
      <c r="C108" s="5"/>
      <c r="D108" s="5"/>
      <c r="E108" s="2"/>
      <c r="F108" s="2"/>
      <c r="G108" s="2"/>
      <c r="H108" s="2"/>
      <c r="I108" s="2"/>
      <c r="J108" s="2"/>
      <c r="K108" s="2"/>
      <c r="L108" s="2"/>
      <c r="M108" s="2"/>
      <c r="N108" s="2"/>
      <c r="O108" s="2"/>
      <c r="P108" s="2"/>
      <c r="Q108" s="2"/>
      <c r="R108" s="2"/>
      <c r="S108" s="2"/>
      <c r="T108" s="2"/>
      <c r="U108" s="2"/>
      <c r="V108" s="2"/>
      <c r="W108" s="2"/>
      <c r="X108" s="2"/>
      <c r="Y108" s="2"/>
      <c r="Z108" s="2"/>
    </row>
    <row r="109" spans="1:26" x14ac:dyDescent="0.3">
      <c r="A109" s="2"/>
      <c r="B109" s="5"/>
      <c r="C109" s="5"/>
      <c r="D109" s="5"/>
      <c r="E109" s="2"/>
      <c r="F109" s="2"/>
      <c r="G109" s="2"/>
      <c r="H109" s="2"/>
      <c r="I109" s="2"/>
      <c r="J109" s="2"/>
      <c r="K109" s="2"/>
      <c r="L109" s="2"/>
      <c r="M109" s="2"/>
      <c r="N109" s="2"/>
      <c r="O109" s="2"/>
      <c r="P109" s="2"/>
      <c r="Q109" s="2"/>
      <c r="R109" s="2"/>
      <c r="S109" s="2"/>
      <c r="T109" s="2"/>
      <c r="U109" s="2"/>
      <c r="V109" s="2"/>
      <c r="W109" s="2"/>
      <c r="X109" s="2"/>
      <c r="Y109" s="2"/>
      <c r="Z109" s="2"/>
    </row>
    <row r="110" spans="1:26" x14ac:dyDescent="0.3">
      <c r="A110" s="2"/>
      <c r="B110" s="5"/>
      <c r="C110" s="5"/>
      <c r="D110" s="5"/>
      <c r="E110" s="2"/>
      <c r="F110" s="2"/>
      <c r="G110" s="2"/>
      <c r="H110" s="2"/>
      <c r="I110" s="2"/>
      <c r="J110" s="2"/>
      <c r="K110" s="2"/>
      <c r="L110" s="2"/>
      <c r="M110" s="2"/>
      <c r="N110" s="2"/>
      <c r="O110" s="2"/>
      <c r="P110" s="2"/>
      <c r="Q110" s="2"/>
      <c r="R110" s="2"/>
      <c r="S110" s="2"/>
      <c r="T110" s="2"/>
      <c r="U110" s="2"/>
      <c r="V110" s="2"/>
      <c r="W110" s="2"/>
      <c r="X110" s="2"/>
      <c r="Y110" s="2"/>
      <c r="Z110" s="2"/>
    </row>
    <row r="111" spans="1:26" x14ac:dyDescent="0.3">
      <c r="A111" s="2"/>
      <c r="B111" s="5"/>
      <c r="C111" s="5"/>
      <c r="D111" s="5"/>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3">
      <c r="A112" s="2"/>
      <c r="B112" s="5"/>
      <c r="C112" s="5"/>
      <c r="D112" s="5"/>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3">
      <c r="A113" s="2"/>
      <c r="B113" s="5"/>
      <c r="C113" s="5"/>
      <c r="D113" s="5"/>
      <c r="E113" s="2"/>
      <c r="F113" s="2"/>
      <c r="G113" s="2"/>
      <c r="H113" s="2"/>
      <c r="I113" s="2"/>
      <c r="J113" s="2"/>
      <c r="K113" s="2"/>
      <c r="L113" s="2"/>
      <c r="M113" s="2"/>
      <c r="N113" s="2"/>
      <c r="O113" s="2"/>
      <c r="P113" s="2"/>
      <c r="Q113" s="2"/>
      <c r="R113" s="2"/>
      <c r="S113" s="2"/>
      <c r="T113" s="2"/>
      <c r="U113" s="2"/>
      <c r="V113" s="2"/>
      <c r="W113" s="2"/>
      <c r="X113" s="2"/>
      <c r="Y113" s="2"/>
      <c r="Z113" s="2"/>
    </row>
    <row r="114" spans="1:26" x14ac:dyDescent="0.3">
      <c r="A114" s="2"/>
      <c r="B114" s="5"/>
      <c r="C114" s="5"/>
      <c r="D114" s="5"/>
      <c r="E114" s="2"/>
      <c r="F114" s="2"/>
      <c r="G114" s="2"/>
      <c r="H114" s="2"/>
      <c r="I114" s="2"/>
      <c r="J114" s="2"/>
      <c r="K114" s="2"/>
      <c r="L114" s="2"/>
      <c r="M114" s="2"/>
      <c r="N114" s="2"/>
      <c r="O114" s="2"/>
      <c r="P114" s="2"/>
      <c r="Q114" s="2"/>
      <c r="R114" s="2"/>
      <c r="S114" s="2"/>
      <c r="T114" s="2"/>
      <c r="U114" s="2"/>
      <c r="V114" s="2"/>
      <c r="W114" s="2"/>
      <c r="X114" s="2"/>
      <c r="Y114" s="2"/>
      <c r="Z114" s="2"/>
    </row>
    <row r="115" spans="1:26" x14ac:dyDescent="0.3">
      <c r="A115" s="2"/>
      <c r="B115" s="5"/>
      <c r="C115" s="5"/>
      <c r="D115" s="5"/>
      <c r="E115" s="2"/>
      <c r="F115" s="2"/>
      <c r="G115" s="2"/>
      <c r="H115" s="2"/>
      <c r="I115" s="2"/>
      <c r="J115" s="2"/>
      <c r="K115" s="2"/>
      <c r="L115" s="2"/>
      <c r="M115" s="2"/>
      <c r="N115" s="2"/>
      <c r="O115" s="2"/>
      <c r="P115" s="2"/>
      <c r="Q115" s="2"/>
      <c r="R115" s="2"/>
      <c r="S115" s="2"/>
      <c r="T115" s="2"/>
      <c r="U115" s="2"/>
      <c r="V115" s="2"/>
      <c r="W115" s="2"/>
      <c r="X115" s="2"/>
      <c r="Y115" s="2"/>
      <c r="Z115" s="2"/>
    </row>
    <row r="116" spans="1:26" x14ac:dyDescent="0.3">
      <c r="A116" s="2"/>
      <c r="B116" s="5"/>
      <c r="C116" s="5"/>
      <c r="D116" s="5"/>
      <c r="E116" s="2"/>
      <c r="F116" s="2"/>
      <c r="G116" s="2"/>
      <c r="H116" s="2"/>
      <c r="I116" s="2"/>
      <c r="J116" s="2"/>
      <c r="K116" s="2"/>
      <c r="L116" s="2"/>
      <c r="M116" s="2"/>
      <c r="N116" s="2"/>
      <c r="O116" s="2"/>
      <c r="P116" s="2"/>
      <c r="Q116" s="2"/>
      <c r="R116" s="2"/>
      <c r="S116" s="2"/>
      <c r="T116" s="2"/>
      <c r="U116" s="2"/>
      <c r="V116" s="2"/>
      <c r="W116" s="2"/>
      <c r="X116" s="2"/>
      <c r="Y116" s="2"/>
      <c r="Z116" s="2"/>
    </row>
    <row r="117" spans="1:26" x14ac:dyDescent="0.3">
      <c r="A117" s="2"/>
      <c r="B117" s="5"/>
      <c r="C117" s="5"/>
      <c r="D117" s="5"/>
      <c r="E117" s="2"/>
      <c r="F117" s="2"/>
      <c r="G117" s="2"/>
      <c r="H117" s="2"/>
      <c r="I117" s="2"/>
      <c r="J117" s="2"/>
      <c r="K117" s="2"/>
      <c r="L117" s="2"/>
      <c r="M117" s="2"/>
      <c r="N117" s="2"/>
      <c r="O117" s="2"/>
      <c r="P117" s="2"/>
      <c r="Q117" s="2"/>
      <c r="R117" s="2"/>
      <c r="S117" s="2"/>
      <c r="T117" s="2"/>
      <c r="U117" s="2"/>
      <c r="V117" s="2"/>
      <c r="W117" s="2"/>
      <c r="X117" s="2"/>
      <c r="Y117" s="2"/>
      <c r="Z117" s="2"/>
    </row>
    <row r="118" spans="1:26" x14ac:dyDescent="0.3">
      <c r="A118" s="2"/>
      <c r="B118" s="5"/>
      <c r="C118" s="5"/>
      <c r="D118" s="5"/>
      <c r="E118" s="2"/>
      <c r="F118" s="2"/>
      <c r="G118" s="2"/>
      <c r="H118" s="2"/>
      <c r="I118" s="2"/>
      <c r="J118" s="2"/>
      <c r="K118" s="2"/>
      <c r="L118" s="2"/>
      <c r="M118" s="2"/>
      <c r="N118" s="2"/>
      <c r="O118" s="2"/>
      <c r="P118" s="2"/>
      <c r="Q118" s="2"/>
      <c r="R118" s="2"/>
      <c r="S118" s="2"/>
      <c r="T118" s="2"/>
      <c r="U118" s="2"/>
      <c r="V118" s="2"/>
      <c r="W118" s="2"/>
      <c r="X118" s="2"/>
      <c r="Y118" s="2"/>
      <c r="Z118" s="2"/>
    </row>
    <row r="119" spans="1:26" x14ac:dyDescent="0.3">
      <c r="A119" s="2"/>
      <c r="B119" s="5"/>
      <c r="C119" s="5"/>
      <c r="D119" s="5"/>
      <c r="E119" s="2"/>
      <c r="F119" s="2"/>
      <c r="G119" s="2"/>
      <c r="H119" s="2"/>
      <c r="I119" s="2"/>
      <c r="J119" s="2"/>
      <c r="K119" s="2"/>
      <c r="L119" s="2"/>
      <c r="M119" s="2"/>
      <c r="N119" s="2"/>
      <c r="O119" s="2"/>
      <c r="P119" s="2"/>
      <c r="Q119" s="2"/>
      <c r="R119" s="2"/>
      <c r="S119" s="2"/>
      <c r="T119" s="2"/>
      <c r="U119" s="2"/>
      <c r="V119" s="2"/>
      <c r="W119" s="2"/>
      <c r="X119" s="2"/>
      <c r="Y119" s="2"/>
      <c r="Z119" s="2"/>
    </row>
    <row r="120" spans="1:26" x14ac:dyDescent="0.3">
      <c r="A120" s="2"/>
      <c r="B120" s="5"/>
      <c r="C120" s="5"/>
      <c r="D120" s="5"/>
      <c r="E120" s="2"/>
      <c r="F120" s="2"/>
      <c r="G120" s="2"/>
      <c r="H120" s="2"/>
      <c r="I120" s="2"/>
      <c r="J120" s="2"/>
      <c r="K120" s="2"/>
      <c r="L120" s="2"/>
      <c r="M120" s="2"/>
      <c r="N120" s="2"/>
      <c r="O120" s="2"/>
      <c r="P120" s="2"/>
      <c r="Q120" s="2"/>
      <c r="R120" s="2"/>
      <c r="S120" s="2"/>
      <c r="T120" s="2"/>
      <c r="U120" s="2"/>
      <c r="V120" s="2"/>
      <c r="W120" s="2"/>
      <c r="X120" s="2"/>
      <c r="Y120" s="2"/>
      <c r="Z120" s="2"/>
    </row>
    <row r="121" spans="1:26" x14ac:dyDescent="0.3">
      <c r="A121" s="2"/>
      <c r="B121" s="5"/>
      <c r="C121" s="5"/>
      <c r="D121" s="5"/>
      <c r="E121" s="2"/>
      <c r="F121" s="2"/>
      <c r="G121" s="2"/>
      <c r="H121" s="2"/>
      <c r="I121" s="2"/>
      <c r="J121" s="2"/>
      <c r="K121" s="2"/>
      <c r="L121" s="2"/>
      <c r="M121" s="2"/>
      <c r="N121" s="2"/>
      <c r="O121" s="2"/>
      <c r="P121" s="2"/>
      <c r="Q121" s="2"/>
      <c r="R121" s="2"/>
      <c r="S121" s="2"/>
      <c r="T121" s="2"/>
      <c r="U121" s="2"/>
      <c r="V121" s="2"/>
      <c r="W121" s="2"/>
      <c r="X121" s="2"/>
      <c r="Y121" s="2"/>
      <c r="Z121" s="2"/>
    </row>
    <row r="122" spans="1:26" x14ac:dyDescent="0.3">
      <c r="A122" s="2"/>
      <c r="B122" s="5"/>
      <c r="C122" s="5"/>
      <c r="D122" s="5"/>
      <c r="E122" s="2"/>
      <c r="F122" s="2"/>
      <c r="G122" s="2"/>
      <c r="H122" s="2"/>
      <c r="I122" s="2"/>
      <c r="J122" s="2"/>
      <c r="K122" s="2"/>
      <c r="L122" s="2"/>
      <c r="M122" s="2"/>
      <c r="N122" s="2"/>
      <c r="O122" s="2"/>
      <c r="P122" s="2"/>
      <c r="Q122" s="2"/>
      <c r="R122" s="2"/>
      <c r="S122" s="2"/>
      <c r="T122" s="2"/>
      <c r="U122" s="2"/>
      <c r="V122" s="2"/>
      <c r="W122" s="2"/>
      <c r="X122" s="2"/>
      <c r="Y122" s="2"/>
      <c r="Z122" s="2"/>
    </row>
    <row r="123" spans="1:26" x14ac:dyDescent="0.3">
      <c r="A123" s="2"/>
      <c r="B123" s="5"/>
      <c r="C123" s="5"/>
      <c r="D123" s="5"/>
      <c r="E123" s="2"/>
      <c r="F123" s="2"/>
      <c r="G123" s="2"/>
      <c r="H123" s="2"/>
      <c r="I123" s="2"/>
      <c r="J123" s="2"/>
      <c r="K123" s="2"/>
      <c r="L123" s="2"/>
      <c r="M123" s="2"/>
      <c r="N123" s="2"/>
      <c r="O123" s="2"/>
      <c r="P123" s="2"/>
      <c r="Q123" s="2"/>
      <c r="R123" s="2"/>
      <c r="S123" s="2"/>
      <c r="T123" s="2"/>
      <c r="U123" s="2"/>
      <c r="V123" s="2"/>
      <c r="W123" s="2"/>
      <c r="X123" s="2"/>
      <c r="Y123" s="2"/>
      <c r="Z123" s="2"/>
    </row>
    <row r="124" spans="1:26" x14ac:dyDescent="0.3">
      <c r="A124" s="2"/>
      <c r="B124" s="5"/>
      <c r="C124" s="5"/>
      <c r="D124" s="5"/>
      <c r="E124" s="2"/>
      <c r="F124" s="2"/>
      <c r="G124" s="2"/>
      <c r="H124" s="2"/>
      <c r="I124" s="2"/>
      <c r="J124" s="2"/>
      <c r="K124" s="2"/>
      <c r="L124" s="2"/>
      <c r="M124" s="2"/>
      <c r="N124" s="2"/>
      <c r="O124" s="2"/>
      <c r="P124" s="2"/>
      <c r="Q124" s="2"/>
      <c r="R124" s="2"/>
      <c r="S124" s="2"/>
      <c r="T124" s="2"/>
      <c r="U124" s="2"/>
      <c r="V124" s="2"/>
      <c r="W124" s="2"/>
      <c r="X124" s="2"/>
      <c r="Y124" s="2"/>
      <c r="Z124" s="2"/>
    </row>
    <row r="125" spans="1:26" x14ac:dyDescent="0.3">
      <c r="A125" s="2"/>
      <c r="B125" s="5"/>
      <c r="C125" s="5"/>
      <c r="D125" s="5"/>
      <c r="E125" s="2"/>
      <c r="F125" s="2"/>
      <c r="G125" s="2"/>
      <c r="H125" s="2"/>
      <c r="I125" s="2"/>
      <c r="J125" s="2"/>
      <c r="K125" s="2"/>
      <c r="L125" s="2"/>
      <c r="M125" s="2"/>
      <c r="N125" s="2"/>
      <c r="O125" s="2"/>
      <c r="P125" s="2"/>
      <c r="Q125" s="2"/>
      <c r="R125" s="2"/>
      <c r="S125" s="2"/>
      <c r="T125" s="2"/>
      <c r="U125" s="2"/>
      <c r="V125" s="2"/>
      <c r="W125" s="2"/>
      <c r="X125" s="2"/>
      <c r="Y125" s="2"/>
      <c r="Z125" s="2"/>
    </row>
    <row r="126" spans="1:26" x14ac:dyDescent="0.3">
      <c r="A126" s="2"/>
      <c r="B126" s="5"/>
      <c r="C126" s="5"/>
      <c r="D126" s="5"/>
      <c r="E126" s="2"/>
      <c r="F126" s="2"/>
      <c r="G126" s="2"/>
      <c r="H126" s="2"/>
      <c r="I126" s="2"/>
      <c r="J126" s="2"/>
      <c r="K126" s="2"/>
      <c r="L126" s="2"/>
      <c r="M126" s="2"/>
      <c r="N126" s="2"/>
      <c r="O126" s="2"/>
      <c r="P126" s="2"/>
      <c r="Q126" s="2"/>
      <c r="R126" s="2"/>
      <c r="S126" s="2"/>
      <c r="T126" s="2"/>
      <c r="U126" s="2"/>
      <c r="V126" s="2"/>
      <c r="W126" s="2"/>
      <c r="X126" s="2"/>
      <c r="Y126" s="2"/>
      <c r="Z126" s="2"/>
    </row>
    <row r="127" spans="1:26" x14ac:dyDescent="0.3">
      <c r="A127" s="2"/>
      <c r="B127" s="5"/>
      <c r="C127" s="5"/>
      <c r="D127" s="5"/>
      <c r="E127" s="2"/>
      <c r="F127" s="2"/>
      <c r="G127" s="2"/>
      <c r="H127" s="2"/>
      <c r="I127" s="2"/>
      <c r="J127" s="2"/>
      <c r="K127" s="2"/>
      <c r="L127" s="2"/>
      <c r="M127" s="2"/>
      <c r="N127" s="2"/>
      <c r="O127" s="2"/>
      <c r="P127" s="2"/>
      <c r="Q127" s="2"/>
      <c r="R127" s="2"/>
      <c r="S127" s="2"/>
      <c r="T127" s="2"/>
      <c r="U127" s="2"/>
      <c r="V127" s="2"/>
      <c r="W127" s="2"/>
      <c r="X127" s="2"/>
      <c r="Y127" s="2"/>
      <c r="Z127" s="2"/>
    </row>
    <row r="128" spans="1:26" x14ac:dyDescent="0.3">
      <c r="A128" s="2"/>
      <c r="B128" s="5"/>
      <c r="C128" s="5"/>
      <c r="D128" s="5"/>
      <c r="E128" s="2"/>
      <c r="F128" s="2"/>
      <c r="G128" s="2"/>
      <c r="H128" s="2"/>
      <c r="I128" s="2"/>
      <c r="J128" s="2"/>
      <c r="K128" s="2"/>
      <c r="L128" s="2"/>
      <c r="M128" s="2"/>
      <c r="N128" s="2"/>
      <c r="O128" s="2"/>
      <c r="P128" s="2"/>
      <c r="Q128" s="2"/>
      <c r="R128" s="2"/>
      <c r="S128" s="2"/>
      <c r="T128" s="2"/>
      <c r="U128" s="2"/>
      <c r="V128" s="2"/>
      <c r="W128" s="2"/>
      <c r="X128" s="2"/>
      <c r="Y128" s="2"/>
      <c r="Z128" s="2"/>
    </row>
    <row r="129" spans="1:26" x14ac:dyDescent="0.3">
      <c r="A129" s="2"/>
      <c r="B129" s="5"/>
      <c r="C129" s="5"/>
      <c r="D129" s="5"/>
      <c r="E129" s="2"/>
      <c r="F129" s="2"/>
      <c r="G129" s="2"/>
      <c r="H129" s="2"/>
      <c r="I129" s="2"/>
      <c r="J129" s="2"/>
      <c r="K129" s="2"/>
      <c r="L129" s="2"/>
      <c r="M129" s="2"/>
      <c r="N129" s="2"/>
      <c r="O129" s="2"/>
      <c r="P129" s="2"/>
      <c r="Q129" s="2"/>
      <c r="R129" s="2"/>
      <c r="S129" s="2"/>
      <c r="T129" s="2"/>
      <c r="U129" s="2"/>
      <c r="V129" s="2"/>
      <c r="W129" s="2"/>
      <c r="X129" s="2"/>
      <c r="Y129" s="2"/>
      <c r="Z129" s="2"/>
    </row>
    <row r="130" spans="1:26" x14ac:dyDescent="0.3">
      <c r="A130" s="2"/>
      <c r="B130" s="5"/>
      <c r="C130" s="5"/>
      <c r="D130" s="5"/>
      <c r="E130" s="2"/>
      <c r="F130" s="2"/>
      <c r="G130" s="2"/>
      <c r="H130" s="2"/>
      <c r="I130" s="2"/>
      <c r="J130" s="2"/>
      <c r="K130" s="2"/>
      <c r="L130" s="2"/>
      <c r="M130" s="2"/>
      <c r="N130" s="2"/>
      <c r="O130" s="2"/>
      <c r="P130" s="2"/>
      <c r="Q130" s="2"/>
      <c r="R130" s="2"/>
      <c r="S130" s="2"/>
      <c r="T130" s="2"/>
      <c r="U130" s="2"/>
      <c r="V130" s="2"/>
      <c r="W130" s="2"/>
      <c r="X130" s="2"/>
      <c r="Y130" s="2"/>
      <c r="Z130" s="2"/>
    </row>
    <row r="131" spans="1:26" x14ac:dyDescent="0.3">
      <c r="A131" s="2"/>
      <c r="B131" s="5"/>
      <c r="C131" s="5"/>
      <c r="D131" s="5"/>
      <c r="E131" s="2"/>
      <c r="F131" s="2"/>
      <c r="G131" s="2"/>
      <c r="H131" s="2"/>
      <c r="I131" s="2"/>
      <c r="J131" s="2"/>
      <c r="K131" s="2"/>
      <c r="L131" s="2"/>
      <c r="M131" s="2"/>
      <c r="N131" s="2"/>
      <c r="O131" s="2"/>
      <c r="P131" s="2"/>
      <c r="Q131" s="2"/>
      <c r="R131" s="2"/>
      <c r="S131" s="2"/>
      <c r="T131" s="2"/>
      <c r="U131" s="2"/>
      <c r="V131" s="2"/>
      <c r="W131" s="2"/>
      <c r="X131" s="2"/>
      <c r="Y131" s="2"/>
      <c r="Z131" s="2"/>
    </row>
    <row r="132" spans="1:26" x14ac:dyDescent="0.3">
      <c r="A132" s="2"/>
      <c r="B132" s="5"/>
      <c r="C132" s="5"/>
      <c r="D132" s="5"/>
      <c r="E132" s="2"/>
      <c r="F132" s="2"/>
      <c r="G132" s="2"/>
      <c r="H132" s="2"/>
      <c r="I132" s="2"/>
      <c r="J132" s="2"/>
      <c r="K132" s="2"/>
      <c r="L132" s="2"/>
      <c r="M132" s="2"/>
      <c r="N132" s="2"/>
      <c r="O132" s="2"/>
      <c r="P132" s="2"/>
      <c r="Q132" s="2"/>
      <c r="R132" s="2"/>
      <c r="S132" s="2"/>
      <c r="T132" s="2"/>
      <c r="U132" s="2"/>
      <c r="V132" s="2"/>
      <c r="W132" s="2"/>
      <c r="X132" s="2"/>
      <c r="Y132" s="2"/>
      <c r="Z132" s="2"/>
    </row>
    <row r="133" spans="1:26" x14ac:dyDescent="0.3">
      <c r="A133" s="2"/>
      <c r="B133" s="5"/>
      <c r="C133" s="5"/>
      <c r="D133" s="5"/>
      <c r="E133" s="2"/>
      <c r="F133" s="2"/>
      <c r="G133" s="2"/>
      <c r="H133" s="2"/>
      <c r="I133" s="2"/>
      <c r="J133" s="2"/>
      <c r="K133" s="2"/>
      <c r="L133" s="2"/>
      <c r="M133" s="2"/>
      <c r="N133" s="2"/>
      <c r="O133" s="2"/>
      <c r="P133" s="2"/>
      <c r="Q133" s="2"/>
      <c r="R133" s="2"/>
      <c r="S133" s="2"/>
      <c r="T133" s="2"/>
      <c r="U133" s="2"/>
      <c r="V133" s="2"/>
      <c r="W133" s="2"/>
      <c r="X133" s="2"/>
      <c r="Y133" s="2"/>
      <c r="Z133" s="2"/>
    </row>
    <row r="134" spans="1:26" x14ac:dyDescent="0.3">
      <c r="A134" s="2"/>
      <c r="B134" s="5"/>
      <c r="C134" s="5"/>
      <c r="D134" s="5"/>
      <c r="E134" s="2"/>
      <c r="F134" s="2"/>
      <c r="G134" s="2"/>
      <c r="H134" s="2"/>
      <c r="I134" s="2"/>
      <c r="J134" s="2"/>
      <c r="K134" s="2"/>
      <c r="L134" s="2"/>
      <c r="M134" s="2"/>
      <c r="N134" s="2"/>
      <c r="O134" s="2"/>
      <c r="P134" s="2"/>
      <c r="Q134" s="2"/>
      <c r="R134" s="2"/>
      <c r="S134" s="2"/>
      <c r="T134" s="2"/>
      <c r="U134" s="2"/>
      <c r="V134" s="2"/>
      <c r="W134" s="2"/>
      <c r="X134" s="2"/>
      <c r="Y134" s="2"/>
      <c r="Z134" s="2"/>
    </row>
    <row r="135" spans="1:26" x14ac:dyDescent="0.3">
      <c r="A135" s="2"/>
      <c r="B135" s="5"/>
      <c r="C135" s="5"/>
      <c r="D135" s="5"/>
      <c r="E135" s="2"/>
      <c r="F135" s="2"/>
      <c r="G135" s="2"/>
      <c r="H135" s="2"/>
      <c r="I135" s="2"/>
      <c r="J135" s="2"/>
      <c r="K135" s="2"/>
      <c r="L135" s="2"/>
      <c r="M135" s="2"/>
      <c r="N135" s="2"/>
      <c r="O135" s="2"/>
      <c r="P135" s="2"/>
      <c r="Q135" s="2"/>
      <c r="R135" s="2"/>
      <c r="S135" s="2"/>
      <c r="T135" s="2"/>
      <c r="U135" s="2"/>
      <c r="V135" s="2"/>
      <c r="W135" s="2"/>
      <c r="X135" s="2"/>
      <c r="Y135" s="2"/>
      <c r="Z135" s="2"/>
    </row>
    <row r="136" spans="1:26" x14ac:dyDescent="0.3">
      <c r="A136" s="2"/>
      <c r="B136" s="5"/>
      <c r="C136" s="5"/>
      <c r="D136" s="5"/>
      <c r="E136" s="2"/>
      <c r="F136" s="2"/>
      <c r="G136" s="2"/>
      <c r="H136" s="2"/>
      <c r="I136" s="2"/>
      <c r="J136" s="2"/>
      <c r="K136" s="2"/>
      <c r="L136" s="2"/>
      <c r="M136" s="2"/>
      <c r="N136" s="2"/>
      <c r="O136" s="2"/>
      <c r="P136" s="2"/>
      <c r="Q136" s="2"/>
      <c r="R136" s="2"/>
      <c r="S136" s="2"/>
      <c r="T136" s="2"/>
      <c r="U136" s="2"/>
      <c r="V136" s="2"/>
      <c r="W136" s="2"/>
      <c r="X136" s="2"/>
      <c r="Y136" s="2"/>
      <c r="Z136" s="2"/>
    </row>
    <row r="137" spans="1:26" x14ac:dyDescent="0.3">
      <c r="A137" s="2"/>
      <c r="B137" s="5"/>
      <c r="C137" s="5"/>
      <c r="D137" s="5"/>
      <c r="E137" s="2"/>
      <c r="F137" s="2"/>
      <c r="G137" s="2"/>
      <c r="H137" s="2"/>
      <c r="I137" s="2"/>
      <c r="J137" s="2"/>
      <c r="K137" s="2"/>
      <c r="L137" s="2"/>
      <c r="M137" s="2"/>
      <c r="N137" s="2"/>
      <c r="O137" s="2"/>
      <c r="P137" s="2"/>
      <c r="Q137" s="2"/>
      <c r="R137" s="2"/>
      <c r="S137" s="2"/>
      <c r="T137" s="2"/>
      <c r="U137" s="2"/>
      <c r="V137" s="2"/>
      <c r="W137" s="2"/>
      <c r="X137" s="2"/>
      <c r="Y137" s="2"/>
      <c r="Z137" s="2"/>
    </row>
    <row r="138" spans="1:26" x14ac:dyDescent="0.3">
      <c r="A138" s="2"/>
      <c r="B138" s="5"/>
      <c r="C138" s="5"/>
      <c r="D138" s="5"/>
      <c r="E138" s="7"/>
      <c r="F138" s="7"/>
      <c r="G138" s="7"/>
      <c r="H138" s="7"/>
      <c r="I138" s="7"/>
      <c r="J138" s="2"/>
      <c r="K138" s="2"/>
      <c r="L138" s="2"/>
      <c r="M138" s="2"/>
      <c r="N138" s="2"/>
      <c r="O138" s="2"/>
      <c r="P138" s="2"/>
      <c r="Q138" s="2"/>
      <c r="R138" s="2"/>
      <c r="S138" s="2"/>
      <c r="T138" s="2"/>
      <c r="U138" s="2"/>
      <c r="V138" s="2"/>
      <c r="W138" s="2"/>
      <c r="X138" s="2"/>
      <c r="Y138" s="2"/>
      <c r="Z138" s="2"/>
    </row>
    <row r="139" spans="1:26" x14ac:dyDescent="0.3">
      <c r="A139" s="2"/>
      <c r="B139" s="5"/>
      <c r="C139" s="5"/>
      <c r="D139" s="5"/>
      <c r="E139" s="7"/>
      <c r="F139" s="7"/>
      <c r="G139" s="7"/>
      <c r="H139" s="7"/>
      <c r="I139" s="7"/>
      <c r="J139" s="2"/>
      <c r="K139" s="2"/>
      <c r="L139" s="2"/>
      <c r="M139" s="2"/>
      <c r="N139" s="2"/>
      <c r="O139" s="2"/>
      <c r="P139" s="2"/>
      <c r="Q139" s="2"/>
      <c r="R139" s="2"/>
      <c r="S139" s="2"/>
      <c r="T139" s="2"/>
      <c r="U139" s="2"/>
      <c r="V139" s="2"/>
      <c r="W139" s="2"/>
      <c r="X139" s="2"/>
      <c r="Y139" s="2"/>
      <c r="Z139" s="2"/>
    </row>
    <row r="140" spans="1:26" x14ac:dyDescent="0.3">
      <c r="A140" s="2"/>
      <c r="B140" s="5"/>
      <c r="C140" s="5"/>
      <c r="D140" s="5"/>
      <c r="E140" s="7"/>
      <c r="F140" s="7"/>
      <c r="G140" s="7"/>
      <c r="H140" s="7"/>
      <c r="I140" s="7"/>
      <c r="J140" s="2"/>
      <c r="K140" s="2"/>
      <c r="L140" s="2"/>
      <c r="M140" s="2"/>
      <c r="N140" s="2"/>
      <c r="O140" s="2"/>
      <c r="P140" s="2"/>
      <c r="Q140" s="2"/>
      <c r="R140" s="2"/>
      <c r="S140" s="2"/>
      <c r="T140" s="2"/>
      <c r="U140" s="2"/>
      <c r="V140" s="2"/>
      <c r="W140" s="2"/>
      <c r="X140" s="2"/>
      <c r="Y140" s="2"/>
      <c r="Z140" s="2"/>
    </row>
    <row r="141" spans="1:26" x14ac:dyDescent="0.3">
      <c r="A141" s="2"/>
      <c r="B141" s="5"/>
      <c r="C141" s="5"/>
      <c r="D141" s="5"/>
      <c r="E141" s="7"/>
      <c r="F141" s="7"/>
      <c r="G141" s="7"/>
      <c r="H141" s="7"/>
      <c r="I141" s="7"/>
      <c r="J141" s="2"/>
      <c r="K141" s="2"/>
      <c r="L141" s="2"/>
      <c r="M141" s="2"/>
      <c r="N141" s="2"/>
      <c r="O141" s="2"/>
      <c r="P141" s="2"/>
      <c r="Q141" s="2"/>
      <c r="R141" s="2"/>
      <c r="S141" s="2"/>
      <c r="T141" s="2"/>
      <c r="U141" s="2"/>
      <c r="V141" s="2"/>
      <c r="W141" s="2"/>
      <c r="X141" s="2"/>
      <c r="Y141" s="2"/>
      <c r="Z141" s="2"/>
    </row>
    <row r="142" spans="1:26" x14ac:dyDescent="0.3">
      <c r="A142" s="2"/>
      <c r="B142" s="5"/>
      <c r="C142" s="5"/>
      <c r="D142" s="5"/>
      <c r="E142" s="7"/>
      <c r="F142" s="7"/>
      <c r="G142" s="7"/>
      <c r="H142" s="7"/>
      <c r="I142" s="7"/>
      <c r="J142" s="2"/>
      <c r="K142" s="2"/>
      <c r="L142" s="2"/>
      <c r="M142" s="2"/>
      <c r="N142" s="2"/>
      <c r="O142" s="2"/>
      <c r="P142" s="2"/>
      <c r="Q142" s="2"/>
      <c r="R142" s="2"/>
      <c r="S142" s="2"/>
      <c r="T142" s="2"/>
      <c r="U142" s="2"/>
      <c r="V142" s="2"/>
      <c r="W142" s="2"/>
      <c r="X142" s="2"/>
      <c r="Y142" s="2"/>
      <c r="Z142" s="2"/>
    </row>
    <row r="143" spans="1:26" x14ac:dyDescent="0.3">
      <c r="A143" s="2"/>
      <c r="B143" s="5"/>
      <c r="C143" s="5"/>
      <c r="D143" s="5"/>
      <c r="E143" s="7"/>
      <c r="F143" s="7"/>
      <c r="G143" s="7"/>
      <c r="H143" s="7"/>
      <c r="I143" s="7"/>
      <c r="J143" s="2"/>
      <c r="K143" s="2"/>
      <c r="L143" s="2"/>
      <c r="M143" s="2"/>
      <c r="N143" s="2"/>
      <c r="O143" s="2"/>
      <c r="P143" s="2"/>
      <c r="Q143" s="2"/>
      <c r="R143" s="2"/>
      <c r="S143" s="2"/>
      <c r="T143" s="2"/>
      <c r="U143" s="2"/>
      <c r="V143" s="2"/>
      <c r="W143" s="2"/>
      <c r="X143" s="2"/>
      <c r="Y143" s="2"/>
      <c r="Z143" s="2"/>
    </row>
    <row r="144" spans="1:26" x14ac:dyDescent="0.3">
      <c r="A144" s="2"/>
      <c r="B144" s="5"/>
      <c r="C144" s="5"/>
      <c r="D144" s="5"/>
      <c r="E144" s="7"/>
      <c r="F144" s="7"/>
      <c r="G144" s="7"/>
      <c r="H144" s="7"/>
      <c r="I144" s="7"/>
      <c r="J144" s="2"/>
      <c r="K144" s="2"/>
      <c r="L144" s="2"/>
      <c r="M144" s="2"/>
      <c r="N144" s="2"/>
      <c r="O144" s="2"/>
      <c r="P144" s="2"/>
      <c r="Q144" s="2"/>
      <c r="R144" s="2"/>
      <c r="S144" s="2"/>
      <c r="T144" s="2"/>
      <c r="U144" s="2"/>
      <c r="V144" s="2"/>
      <c r="W144" s="2"/>
      <c r="X144" s="2"/>
      <c r="Y144" s="2"/>
      <c r="Z144" s="2"/>
    </row>
    <row r="145" spans="1:26" x14ac:dyDescent="0.3">
      <c r="A145" s="2"/>
      <c r="B145" s="5"/>
      <c r="C145" s="5"/>
      <c r="D145" s="5"/>
      <c r="E145" s="7"/>
      <c r="F145" s="7"/>
      <c r="G145" s="7"/>
      <c r="H145" s="7"/>
      <c r="I145" s="7"/>
      <c r="J145" s="2"/>
      <c r="K145" s="2"/>
      <c r="L145" s="2"/>
      <c r="M145" s="2"/>
      <c r="N145" s="2"/>
      <c r="O145" s="2"/>
      <c r="P145" s="2"/>
      <c r="Q145" s="2"/>
      <c r="R145" s="2"/>
      <c r="S145" s="2"/>
      <c r="T145" s="2"/>
      <c r="U145" s="2"/>
      <c r="V145" s="2"/>
      <c r="W145" s="2"/>
      <c r="X145" s="2"/>
      <c r="Y145" s="2"/>
      <c r="Z145" s="2"/>
    </row>
    <row r="146" spans="1:26" x14ac:dyDescent="0.3">
      <c r="A146" s="2"/>
      <c r="B146" s="5"/>
      <c r="C146" s="5"/>
      <c r="D146" s="5"/>
      <c r="E146" s="7"/>
      <c r="F146" s="7"/>
      <c r="G146" s="7"/>
      <c r="H146" s="7"/>
      <c r="I146" s="7"/>
      <c r="J146" s="2"/>
      <c r="K146" s="2"/>
      <c r="L146" s="2"/>
      <c r="M146" s="2"/>
      <c r="N146" s="2"/>
      <c r="O146" s="2"/>
      <c r="P146" s="2"/>
      <c r="Q146" s="2"/>
      <c r="R146" s="2"/>
      <c r="S146" s="2"/>
      <c r="T146" s="2"/>
      <c r="U146" s="2"/>
      <c r="V146" s="2"/>
      <c r="W146" s="2"/>
      <c r="X146" s="2"/>
      <c r="Y146" s="2"/>
      <c r="Z146" s="2"/>
    </row>
    <row r="147" spans="1:26" x14ac:dyDescent="0.3">
      <c r="A147" s="2"/>
      <c r="B147" s="5"/>
      <c r="C147" s="5"/>
      <c r="D147" s="5"/>
      <c r="E147" s="7"/>
      <c r="F147" s="7"/>
      <c r="G147" s="7"/>
      <c r="H147" s="7"/>
      <c r="I147" s="7"/>
      <c r="J147" s="2"/>
      <c r="K147" s="2"/>
      <c r="L147" s="2"/>
      <c r="M147" s="2"/>
      <c r="N147" s="2"/>
      <c r="O147" s="2"/>
      <c r="P147" s="2"/>
      <c r="Q147" s="2"/>
      <c r="R147" s="2"/>
      <c r="S147" s="2"/>
      <c r="T147" s="2"/>
      <c r="U147" s="2"/>
      <c r="V147" s="2"/>
      <c r="W147" s="2"/>
      <c r="X147" s="2"/>
      <c r="Y147" s="2"/>
      <c r="Z147" s="2"/>
    </row>
    <row r="148" spans="1:26" x14ac:dyDescent="0.3">
      <c r="A148" s="2"/>
      <c r="B148" s="5"/>
      <c r="C148" s="5"/>
      <c r="D148" s="5"/>
      <c r="E148" s="7"/>
      <c r="F148" s="7"/>
      <c r="G148" s="7"/>
      <c r="H148" s="7"/>
      <c r="I148" s="7"/>
      <c r="J148" s="2"/>
      <c r="K148" s="2"/>
      <c r="L148" s="2"/>
      <c r="M148" s="2"/>
      <c r="N148" s="2"/>
      <c r="O148" s="2"/>
      <c r="P148" s="2"/>
      <c r="Q148" s="2"/>
      <c r="R148" s="2"/>
      <c r="S148" s="2"/>
      <c r="T148" s="2"/>
      <c r="U148" s="2"/>
      <c r="V148" s="2"/>
      <c r="W148" s="2"/>
      <c r="X148" s="2"/>
      <c r="Y148" s="2"/>
      <c r="Z148" s="2"/>
    </row>
    <row r="149" spans="1:26" x14ac:dyDescent="0.3">
      <c r="A149" s="2"/>
      <c r="B149" s="5"/>
      <c r="C149" s="5"/>
      <c r="D149" s="5"/>
      <c r="E149" s="7"/>
      <c r="F149" s="7"/>
      <c r="G149" s="7"/>
      <c r="H149" s="7"/>
      <c r="I149" s="7"/>
      <c r="J149" s="2"/>
      <c r="K149" s="2"/>
      <c r="L149" s="2"/>
      <c r="M149" s="2"/>
      <c r="N149" s="2"/>
      <c r="O149" s="2"/>
      <c r="P149" s="2"/>
      <c r="Q149" s="2"/>
      <c r="R149" s="2"/>
      <c r="S149" s="2"/>
      <c r="T149" s="2"/>
      <c r="U149" s="2"/>
      <c r="V149" s="2"/>
      <c r="W149" s="2"/>
      <c r="X149" s="2"/>
      <c r="Y149" s="2"/>
      <c r="Z149" s="2"/>
    </row>
    <row r="150" spans="1:26" x14ac:dyDescent="0.3">
      <c r="A150" s="2"/>
      <c r="B150" s="5"/>
      <c r="C150" s="5"/>
      <c r="D150" s="5"/>
      <c r="E150" s="7"/>
      <c r="F150" s="7"/>
      <c r="G150" s="7"/>
      <c r="H150" s="7"/>
      <c r="I150" s="7"/>
      <c r="J150" s="2"/>
      <c r="K150" s="2"/>
      <c r="L150" s="2"/>
      <c r="M150" s="2"/>
      <c r="N150" s="2"/>
      <c r="O150" s="2"/>
      <c r="P150" s="2"/>
      <c r="Q150" s="2"/>
      <c r="R150" s="2"/>
      <c r="S150" s="2"/>
      <c r="T150" s="2"/>
      <c r="U150" s="2"/>
      <c r="V150" s="2"/>
      <c r="W150" s="2"/>
      <c r="X150" s="2"/>
      <c r="Y150" s="2"/>
      <c r="Z150" s="2"/>
    </row>
    <row r="151" spans="1:26" x14ac:dyDescent="0.3">
      <c r="A151" s="2"/>
      <c r="B151" s="5"/>
      <c r="C151" s="5"/>
      <c r="D151" s="5"/>
      <c r="E151" s="7"/>
      <c r="F151" s="7"/>
      <c r="G151" s="7"/>
      <c r="H151" s="7"/>
      <c r="I151" s="7"/>
      <c r="J151" s="2"/>
      <c r="K151" s="2"/>
      <c r="L151" s="2"/>
      <c r="M151" s="2"/>
      <c r="N151" s="2"/>
      <c r="O151" s="2"/>
      <c r="P151" s="2"/>
      <c r="Q151" s="2"/>
      <c r="R151" s="2"/>
      <c r="S151" s="2"/>
      <c r="T151" s="2"/>
      <c r="U151" s="2"/>
      <c r="V151" s="2"/>
      <c r="W151" s="2"/>
      <c r="X151" s="2"/>
      <c r="Y151" s="2"/>
      <c r="Z151" s="2"/>
    </row>
    <row r="152" spans="1:26" x14ac:dyDescent="0.3">
      <c r="A152" s="2"/>
      <c r="B152" s="5"/>
      <c r="C152" s="5"/>
      <c r="D152" s="5"/>
      <c r="E152" s="7"/>
      <c r="F152" s="7"/>
      <c r="G152" s="7"/>
      <c r="H152" s="7"/>
      <c r="I152" s="7"/>
      <c r="J152" s="2"/>
      <c r="K152" s="2"/>
      <c r="L152" s="2"/>
      <c r="M152" s="2"/>
      <c r="N152" s="2"/>
      <c r="O152" s="2"/>
      <c r="P152" s="2"/>
      <c r="Q152" s="2"/>
      <c r="R152" s="2"/>
      <c r="S152" s="2"/>
      <c r="T152" s="2"/>
      <c r="U152" s="2"/>
      <c r="V152" s="2"/>
      <c r="W152" s="2"/>
      <c r="X152" s="2"/>
      <c r="Y152" s="2"/>
      <c r="Z152" s="2"/>
    </row>
    <row r="153" spans="1:26" x14ac:dyDescent="0.3">
      <c r="A153" s="2"/>
      <c r="B153" s="5"/>
      <c r="C153" s="5"/>
      <c r="D153" s="5"/>
      <c r="E153" s="7"/>
      <c r="F153" s="7"/>
      <c r="G153" s="7"/>
      <c r="H153" s="7"/>
      <c r="I153" s="7"/>
      <c r="J153" s="2"/>
      <c r="K153" s="2"/>
      <c r="L153" s="2"/>
      <c r="M153" s="2"/>
      <c r="N153" s="2"/>
      <c r="O153" s="2"/>
      <c r="P153" s="2"/>
      <c r="Q153" s="2"/>
      <c r="R153" s="2"/>
      <c r="S153" s="2"/>
      <c r="T153" s="2"/>
      <c r="U153" s="2"/>
      <c r="V153" s="2"/>
      <c r="W153" s="2"/>
      <c r="X153" s="2"/>
      <c r="Y153" s="2"/>
      <c r="Z153" s="2"/>
    </row>
  </sheetData>
  <mergeCells count="4">
    <mergeCell ref="A1:Z1"/>
    <mergeCell ref="J3:Z3"/>
    <mergeCell ref="N8:W8"/>
    <mergeCell ref="N7:Z7"/>
  </mergeCells>
  <phoneticPr fontId="19"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G38"/>
  <sheetViews>
    <sheetView topLeftCell="AL1" workbookViewId="0">
      <selection activeCell="AB7" sqref="AB7"/>
    </sheetView>
  </sheetViews>
  <sheetFormatPr baseColWidth="10" defaultColWidth="8.88671875" defaultRowHeight="14.4" x14ac:dyDescent="0.3"/>
  <cols>
    <col min="1" max="1" width="7.88671875" customWidth="1"/>
    <col min="2" max="2" width="1.5546875" customWidth="1"/>
    <col min="3" max="3" width="8" customWidth="1"/>
    <col min="4" max="4" width="14" customWidth="1"/>
    <col min="5" max="5" width="9.109375" customWidth="1"/>
    <col min="6" max="6" width="8.33203125" customWidth="1"/>
    <col min="7" max="7" width="8" customWidth="1"/>
    <col min="8" max="8" width="11" customWidth="1"/>
    <col min="9" max="9" width="10.88671875" customWidth="1"/>
    <col min="10" max="10" width="1.88671875" customWidth="1"/>
    <col min="12" max="12" width="14.33203125" customWidth="1"/>
    <col min="13" max="13" width="17.109375" customWidth="1"/>
    <col min="14" max="14" width="11.33203125" customWidth="1"/>
    <col min="15" max="15" width="13.33203125" customWidth="1"/>
    <col min="16" max="16" width="12.44140625" customWidth="1"/>
    <col min="17" max="18" width="11.88671875" customWidth="1"/>
    <col min="19" max="19" width="2.109375" customWidth="1"/>
    <col min="21" max="21" width="14.44140625" customWidth="1"/>
    <col min="22" max="22" width="15.44140625" customWidth="1"/>
    <col min="23" max="23" width="1.88671875" customWidth="1"/>
    <col min="24" max="24" width="14.44140625" customWidth="1"/>
    <col min="25" max="25" width="2" customWidth="1"/>
    <col min="26" max="26" width="2.5546875" customWidth="1"/>
    <col min="27" max="27" width="15" customWidth="1"/>
    <col min="28" max="28" width="19.88671875" customWidth="1"/>
    <col min="29" max="29" width="1.88671875" customWidth="1"/>
    <col min="30" max="30" width="14.44140625" customWidth="1"/>
    <col min="31" max="31" width="2.6640625" customWidth="1"/>
    <col min="33" max="33" width="12.33203125" customWidth="1"/>
    <col min="34" max="34" width="10.33203125" customWidth="1"/>
    <col min="35" max="35" width="12.6640625" customWidth="1"/>
    <col min="36" max="36" width="1.88671875" customWidth="1"/>
    <col min="37" max="37" width="18" customWidth="1"/>
    <col min="39" max="39" width="18" customWidth="1"/>
    <col min="40" max="40" width="2.109375" customWidth="1"/>
    <col min="41" max="41" width="12.33203125" customWidth="1"/>
    <col min="42" max="42" width="2" customWidth="1"/>
    <col min="44" max="44" width="16" customWidth="1"/>
    <col min="45" max="45" width="15.33203125" customWidth="1"/>
    <col min="46" max="46" width="14.109375" customWidth="1"/>
    <col min="47" max="47" width="2" customWidth="1"/>
    <col min="48" max="48" width="19" style="141" customWidth="1"/>
    <col min="49" max="49" width="1.6640625" customWidth="1"/>
    <col min="50" max="50" width="16.33203125" customWidth="1"/>
    <col min="52" max="52" width="16.5546875" style="149" customWidth="1"/>
    <col min="53" max="53" width="2.109375" style="10" customWidth="1"/>
    <col min="54" max="54" width="16" style="149" customWidth="1"/>
    <col min="55" max="55" width="18.109375" style="149" customWidth="1"/>
    <col min="56" max="56" width="14.109375" style="149" customWidth="1"/>
  </cols>
  <sheetData>
    <row r="1" spans="1:59" ht="15" x14ac:dyDescent="0.25">
      <c r="A1" s="2"/>
      <c r="B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143"/>
      <c r="AW1" s="2"/>
      <c r="AX1" s="2"/>
    </row>
    <row r="2" spans="1:59" ht="45" x14ac:dyDescent="0.25">
      <c r="A2" s="5" t="s">
        <v>3</v>
      </c>
      <c r="C2" s="377" t="s">
        <v>9</v>
      </c>
      <c r="D2" s="377"/>
      <c r="E2" s="377"/>
      <c r="F2" s="377"/>
      <c r="G2" s="377"/>
      <c r="H2" s="377"/>
      <c r="I2" s="377"/>
      <c r="J2" s="377"/>
      <c r="K2" s="377"/>
      <c r="L2" s="377"/>
      <c r="M2" s="377"/>
      <c r="N2" s="377"/>
      <c r="O2" s="377"/>
      <c r="P2" s="377"/>
      <c r="Q2" s="377"/>
      <c r="R2" s="377"/>
      <c r="S2" s="377"/>
      <c r="T2" s="377"/>
      <c r="U2" s="377"/>
      <c r="V2" s="377"/>
      <c r="W2" s="377"/>
      <c r="X2" s="377"/>
      <c r="Y2" s="17"/>
      <c r="AA2" s="373" t="s">
        <v>39</v>
      </c>
      <c r="AB2" s="373"/>
      <c r="AC2" s="373"/>
      <c r="AD2" s="373"/>
      <c r="AE2" s="373"/>
      <c r="AF2" s="373"/>
      <c r="AG2" s="373"/>
      <c r="AH2" s="373"/>
      <c r="AI2" s="373"/>
      <c r="AJ2" s="5"/>
      <c r="AK2" s="346" t="s">
        <v>52</v>
      </c>
      <c r="AL2" s="5"/>
      <c r="AM2" s="346" t="s">
        <v>54</v>
      </c>
      <c r="AN2" s="5"/>
      <c r="AO2" s="346" t="s">
        <v>56</v>
      </c>
      <c r="AP2" s="5"/>
      <c r="AQ2" s="373" t="s">
        <v>59</v>
      </c>
      <c r="AR2" s="373"/>
      <c r="AS2" s="373"/>
      <c r="AT2" s="373"/>
      <c r="AU2" s="32"/>
      <c r="AV2" s="350" t="s">
        <v>66</v>
      </c>
      <c r="AW2" s="32"/>
      <c r="AX2" s="346" t="s">
        <v>68</v>
      </c>
      <c r="AZ2" s="149" t="s">
        <v>581</v>
      </c>
      <c r="BB2" s="379" t="s">
        <v>582</v>
      </c>
      <c r="BC2" s="379"/>
      <c r="BD2" s="379"/>
    </row>
    <row r="3" spans="1:59" ht="72" customHeight="1" x14ac:dyDescent="0.25">
      <c r="A3" s="5"/>
      <c r="C3" s="344" t="s">
        <v>190</v>
      </c>
      <c r="D3" s="345" t="s">
        <v>573</v>
      </c>
      <c r="E3" s="345" t="s">
        <v>574</v>
      </c>
      <c r="F3" s="378" t="s">
        <v>15</v>
      </c>
      <c r="G3" s="378"/>
      <c r="H3" s="378"/>
      <c r="I3" s="345" t="s">
        <v>575</v>
      </c>
      <c r="J3" s="344"/>
      <c r="K3" s="377" t="s">
        <v>576</v>
      </c>
      <c r="L3" s="377"/>
      <c r="M3" s="377"/>
      <c r="N3" s="377"/>
      <c r="O3" s="377"/>
      <c r="P3" s="377"/>
      <c r="Q3" s="377"/>
      <c r="R3" s="377"/>
      <c r="S3" s="344"/>
      <c r="T3" s="378" t="s">
        <v>30</v>
      </c>
      <c r="U3" s="378"/>
      <c r="V3" s="378"/>
      <c r="W3" s="344"/>
      <c r="X3" s="345" t="s">
        <v>36</v>
      </c>
      <c r="Y3" s="17"/>
      <c r="Z3" s="5"/>
      <c r="AA3" s="354" t="s">
        <v>41</v>
      </c>
      <c r="AB3" s="346" t="s">
        <v>272</v>
      </c>
      <c r="AC3" s="347"/>
      <c r="AD3" s="348" t="s">
        <v>45</v>
      </c>
      <c r="AE3" s="347"/>
      <c r="AF3" s="373" t="s">
        <v>47</v>
      </c>
      <c r="AG3" s="373"/>
      <c r="AH3" s="373"/>
      <c r="AI3" s="373"/>
      <c r="AJ3" s="5"/>
      <c r="AL3" s="5"/>
      <c r="AM3" s="5"/>
      <c r="AN3" s="5"/>
      <c r="AO3" s="350" t="s">
        <v>58</v>
      </c>
      <c r="AQ3" s="32"/>
      <c r="AR3" s="32"/>
      <c r="AS3" s="32"/>
      <c r="AT3" s="32"/>
      <c r="AU3" s="32"/>
      <c r="AV3" s="351"/>
      <c r="AW3" s="32"/>
      <c r="AX3" s="32"/>
    </row>
    <row r="4" spans="1:59" ht="60" x14ac:dyDescent="0.25">
      <c r="A4" s="5"/>
      <c r="C4" s="344"/>
      <c r="D4" s="344"/>
      <c r="E4" s="344"/>
      <c r="F4" s="344" t="s">
        <v>190</v>
      </c>
      <c r="G4" s="344" t="s">
        <v>17</v>
      </c>
      <c r="H4" s="344" t="s">
        <v>19</v>
      </c>
      <c r="I4" s="344"/>
      <c r="J4" s="344"/>
      <c r="K4" s="344" t="s">
        <v>190</v>
      </c>
      <c r="L4" s="345" t="s">
        <v>577</v>
      </c>
      <c r="M4" s="345" t="s">
        <v>27</v>
      </c>
      <c r="N4" s="345" t="s">
        <v>29</v>
      </c>
      <c r="O4" s="345" t="s">
        <v>578</v>
      </c>
      <c r="P4" s="344" t="s">
        <v>579</v>
      </c>
      <c r="Q4" s="344" t="s">
        <v>580</v>
      </c>
      <c r="R4" s="344" t="s">
        <v>84</v>
      </c>
      <c r="S4" s="344"/>
      <c r="T4" s="344" t="s">
        <v>190</v>
      </c>
      <c r="U4" s="344" t="s">
        <v>32</v>
      </c>
      <c r="V4" s="345" t="s">
        <v>34</v>
      </c>
      <c r="W4" s="344"/>
      <c r="X4" s="344"/>
      <c r="Y4" s="17"/>
      <c r="Z4" s="5"/>
      <c r="AA4" s="344"/>
      <c r="AB4" s="346" t="s">
        <v>273</v>
      </c>
      <c r="AC4" s="347"/>
      <c r="AD4" s="349"/>
      <c r="AE4" s="347"/>
      <c r="AF4" s="347"/>
      <c r="AG4" s="346" t="s">
        <v>584</v>
      </c>
      <c r="AH4" s="346" t="s">
        <v>585</v>
      </c>
      <c r="AI4" s="346" t="s">
        <v>50</v>
      </c>
      <c r="AJ4" s="5"/>
      <c r="AK4" s="350" t="s">
        <v>274</v>
      </c>
      <c r="AL4" s="5"/>
      <c r="AM4" s="5"/>
      <c r="AN4" s="5"/>
      <c r="AO4" s="5"/>
      <c r="AP4" s="5"/>
      <c r="AQ4" s="32"/>
      <c r="AR4" s="32" t="s">
        <v>61</v>
      </c>
      <c r="AS4" s="32"/>
      <c r="AT4" s="32" t="s">
        <v>64</v>
      </c>
      <c r="AU4" s="32"/>
      <c r="AV4" s="350"/>
      <c r="AW4" s="32"/>
      <c r="AX4" s="36"/>
    </row>
    <row r="5" spans="1:59" ht="48" customHeight="1" x14ac:dyDescent="0.25">
      <c r="A5" s="4" t="s">
        <v>4</v>
      </c>
      <c r="C5" s="376" t="s">
        <v>10</v>
      </c>
      <c r="D5" s="376"/>
      <c r="E5" s="376"/>
      <c r="F5" s="376"/>
      <c r="G5" s="376"/>
      <c r="H5" s="376"/>
      <c r="I5" s="376"/>
      <c r="J5" s="376"/>
      <c r="K5" s="376"/>
      <c r="L5" s="376"/>
      <c r="M5" s="376"/>
      <c r="N5" s="376"/>
      <c r="O5" s="376"/>
      <c r="P5" s="376"/>
      <c r="Q5" s="376"/>
      <c r="R5" s="376"/>
      <c r="S5" s="376"/>
      <c r="T5" s="376"/>
      <c r="U5" s="376"/>
      <c r="V5" s="376"/>
      <c r="W5" s="4"/>
      <c r="X5" s="4"/>
      <c r="Y5" s="4"/>
      <c r="AA5" s="372" t="s">
        <v>40</v>
      </c>
      <c r="AB5" s="372"/>
      <c r="AC5" s="372"/>
      <c r="AD5" s="372"/>
      <c r="AE5" s="372"/>
      <c r="AF5" s="372"/>
      <c r="AG5" s="372"/>
      <c r="AH5" s="372"/>
      <c r="AI5" s="372"/>
      <c r="AJ5" s="4"/>
      <c r="AK5" s="139" t="s">
        <v>275</v>
      </c>
      <c r="AL5" s="4"/>
      <c r="AM5" s="147" t="s">
        <v>55</v>
      </c>
      <c r="AN5" s="4"/>
      <c r="AO5" s="142" t="s">
        <v>57</v>
      </c>
      <c r="AP5" s="10"/>
      <c r="AQ5" s="372" t="s">
        <v>60</v>
      </c>
      <c r="AR5" s="372"/>
      <c r="AS5" s="372"/>
      <c r="AT5" s="372"/>
      <c r="AU5" s="4"/>
      <c r="AV5" s="142" t="s">
        <v>67</v>
      </c>
      <c r="AW5" s="4"/>
      <c r="AX5" s="142" t="s">
        <v>69</v>
      </c>
    </row>
    <row r="6" spans="1:59" ht="44.25" customHeight="1" x14ac:dyDescent="0.3">
      <c r="A6" s="20" t="s">
        <v>80</v>
      </c>
      <c r="B6" s="4"/>
      <c r="C6" s="4"/>
      <c r="D6" s="375" t="s">
        <v>13</v>
      </c>
      <c r="E6" s="375"/>
      <c r="F6" s="375"/>
      <c r="G6" s="375"/>
      <c r="H6" s="375"/>
      <c r="I6" s="375"/>
      <c r="J6" s="139"/>
      <c r="K6" s="375" t="s">
        <v>26</v>
      </c>
      <c r="L6" s="375"/>
      <c r="M6" s="375"/>
      <c r="N6" s="375"/>
      <c r="O6" s="375"/>
      <c r="P6" s="375"/>
      <c r="Q6" s="375"/>
      <c r="R6" s="375"/>
      <c r="S6" s="139"/>
      <c r="T6" s="375" t="s">
        <v>31</v>
      </c>
      <c r="U6" s="375"/>
      <c r="V6" s="375"/>
      <c r="W6" s="139"/>
      <c r="X6" s="139" t="s">
        <v>37</v>
      </c>
      <c r="Y6" s="4"/>
      <c r="Z6" s="4"/>
      <c r="AA6" s="277" t="s">
        <v>42</v>
      </c>
      <c r="AB6" s="4" t="s">
        <v>44</v>
      </c>
      <c r="AC6" s="4"/>
      <c r="AD6" s="4" t="s">
        <v>46</v>
      </c>
      <c r="AE6" s="4"/>
      <c r="AF6" s="4" t="s">
        <v>47</v>
      </c>
      <c r="AG6" s="4"/>
      <c r="AH6" s="4"/>
      <c r="AI6" s="4"/>
      <c r="AJ6" s="4"/>
      <c r="AK6" s="4" t="s">
        <v>53</v>
      </c>
      <c r="AL6" s="4"/>
      <c r="AM6" s="4"/>
      <c r="AN6" s="4"/>
      <c r="AO6" s="4"/>
      <c r="AP6" s="4"/>
      <c r="AQ6" s="4"/>
      <c r="AR6" s="139" t="s">
        <v>276</v>
      </c>
      <c r="AS6" s="139" t="s">
        <v>63</v>
      </c>
      <c r="AT6" s="139" t="s">
        <v>65</v>
      </c>
      <c r="AU6" s="4"/>
      <c r="AV6" s="139"/>
      <c r="AW6" s="4"/>
      <c r="AX6" s="4"/>
    </row>
    <row r="7" spans="1:59" s="219" customFormat="1" ht="57.75" x14ac:dyDescent="0.25">
      <c r="A7" s="20"/>
      <c r="B7" s="20"/>
      <c r="C7" s="20" t="s">
        <v>190</v>
      </c>
      <c r="D7" s="220" t="s">
        <v>190</v>
      </c>
      <c r="E7" s="220" t="s">
        <v>70</v>
      </c>
      <c r="F7" s="374" t="s">
        <v>16</v>
      </c>
      <c r="G7" s="374"/>
      <c r="H7" s="374"/>
      <c r="I7" s="220" t="s">
        <v>22</v>
      </c>
      <c r="J7" s="220"/>
      <c r="K7" s="220" t="s">
        <v>190</v>
      </c>
      <c r="L7" s="220" t="s">
        <v>77</v>
      </c>
      <c r="M7" s="220" t="s">
        <v>78</v>
      </c>
      <c r="N7" s="220" t="s">
        <v>79</v>
      </c>
      <c r="O7" s="220" t="s">
        <v>72</v>
      </c>
      <c r="P7" s="220" t="s">
        <v>73</v>
      </c>
      <c r="Q7" s="220" t="s">
        <v>74</v>
      </c>
      <c r="R7" s="220" t="s">
        <v>75</v>
      </c>
      <c r="S7" s="220"/>
      <c r="T7" s="220" t="s">
        <v>190</v>
      </c>
      <c r="U7" s="220" t="s">
        <v>33</v>
      </c>
      <c r="V7" s="220" t="s">
        <v>35</v>
      </c>
      <c r="W7" s="220"/>
      <c r="X7" s="20"/>
      <c r="Y7" s="20"/>
      <c r="Z7" s="20"/>
      <c r="AA7" s="20"/>
      <c r="AB7" s="20"/>
      <c r="AC7" s="20"/>
      <c r="AD7" s="20"/>
      <c r="AE7" s="20"/>
      <c r="AF7" s="20"/>
      <c r="AG7" s="220" t="s">
        <v>71</v>
      </c>
      <c r="AH7" s="220" t="s">
        <v>49</v>
      </c>
      <c r="AI7" s="220" t="s">
        <v>51</v>
      </c>
      <c r="AJ7" s="20"/>
      <c r="AK7" s="20"/>
      <c r="AL7" s="20"/>
      <c r="AM7" s="20"/>
      <c r="AN7" s="20"/>
      <c r="AO7" s="20"/>
      <c r="AP7" s="20"/>
      <c r="AQ7" s="20"/>
      <c r="AR7" s="20"/>
      <c r="AS7" s="20"/>
      <c r="AT7" s="20"/>
      <c r="AU7" s="20"/>
      <c r="AV7" s="220"/>
      <c r="AW7" s="20"/>
      <c r="AX7" s="20"/>
      <c r="BA7" s="227"/>
    </row>
    <row r="8" spans="1:59" ht="43.5" x14ac:dyDescent="0.25">
      <c r="A8" s="20"/>
      <c r="B8" s="4"/>
      <c r="C8" s="4"/>
      <c r="D8" s="139"/>
      <c r="E8" s="139"/>
      <c r="F8" s="139"/>
      <c r="G8" s="139" t="s">
        <v>18</v>
      </c>
      <c r="H8" s="139" t="s">
        <v>20</v>
      </c>
      <c r="I8" s="139"/>
      <c r="J8" s="139"/>
      <c r="K8" s="139"/>
      <c r="L8" s="139"/>
      <c r="M8" s="139"/>
      <c r="N8" s="139"/>
      <c r="O8" s="141"/>
      <c r="P8" s="141"/>
      <c r="Q8" s="141"/>
      <c r="R8" s="141"/>
      <c r="S8" s="139"/>
      <c r="T8" s="139"/>
      <c r="U8" s="139"/>
      <c r="V8" s="139"/>
      <c r="W8" s="139"/>
      <c r="X8" s="4"/>
      <c r="Y8" s="4"/>
      <c r="Z8" s="4"/>
      <c r="AA8" s="4"/>
      <c r="AB8" s="4"/>
      <c r="AC8" s="4"/>
      <c r="AD8" s="4"/>
      <c r="AE8" s="4"/>
      <c r="AF8" s="4"/>
      <c r="AG8" s="4"/>
      <c r="AH8" s="4"/>
      <c r="AI8" s="4"/>
      <c r="AJ8" s="4"/>
      <c r="AK8" s="4" t="s">
        <v>366</v>
      </c>
      <c r="AL8" s="4"/>
      <c r="AM8" s="4"/>
      <c r="AN8" s="4"/>
      <c r="AO8" s="4"/>
      <c r="AP8" s="4"/>
      <c r="AQ8" s="4"/>
      <c r="AR8" s="4"/>
      <c r="AS8" s="4"/>
      <c r="AT8" s="4"/>
      <c r="AU8" s="4"/>
      <c r="AV8" s="139"/>
      <c r="AW8" s="4"/>
      <c r="AX8" s="4"/>
      <c r="AZ8" s="226" t="s">
        <v>404</v>
      </c>
      <c r="BA8" s="140"/>
      <c r="BB8" s="151" t="s">
        <v>583</v>
      </c>
      <c r="BC8" s="149" t="s">
        <v>370</v>
      </c>
      <c r="BD8" s="149" t="s">
        <v>371</v>
      </c>
    </row>
    <row r="9" spans="1:59" ht="15" x14ac:dyDescent="0.25">
      <c r="A9" s="20"/>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139"/>
      <c r="AW9" s="4"/>
      <c r="AX9" s="4"/>
    </row>
    <row r="10" spans="1:59" ht="15" x14ac:dyDescent="0.25">
      <c r="A10" s="20"/>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139"/>
      <c r="AW10" s="4"/>
      <c r="AX10" s="4"/>
      <c r="BA10" s="140" t="s">
        <v>11</v>
      </c>
    </row>
    <row r="11" spans="1:59" ht="15" x14ac:dyDescent="0.25">
      <c r="A11" s="25">
        <f>A12-1</f>
        <v>2006</v>
      </c>
      <c r="B11" s="4"/>
      <c r="C11" s="4"/>
      <c r="D11" s="20" t="s">
        <v>311</v>
      </c>
      <c r="E11" s="20" t="s">
        <v>312</v>
      </c>
      <c r="F11" s="20" t="s">
        <v>313</v>
      </c>
      <c r="G11" s="20"/>
      <c r="H11" s="20"/>
      <c r="I11" s="20" t="s">
        <v>314</v>
      </c>
      <c r="J11" s="20"/>
      <c r="K11" s="20" t="s">
        <v>315</v>
      </c>
      <c r="L11" s="20"/>
      <c r="M11" s="20"/>
      <c r="N11" s="20"/>
      <c r="O11" s="20"/>
      <c r="P11" s="20"/>
      <c r="Q11" s="20"/>
      <c r="R11" s="20"/>
      <c r="S11" s="20"/>
      <c r="T11" s="20" t="s">
        <v>324</v>
      </c>
      <c r="U11" s="20"/>
      <c r="V11" s="20"/>
      <c r="W11" s="20"/>
      <c r="X11" s="20" t="s">
        <v>351</v>
      </c>
      <c r="Y11" s="20"/>
      <c r="Z11" s="20"/>
      <c r="AA11" s="20"/>
      <c r="AB11" s="20"/>
      <c r="AC11" s="20"/>
      <c r="AD11" s="20"/>
      <c r="AE11" s="20"/>
      <c r="AF11" s="20"/>
      <c r="AG11" s="20"/>
      <c r="AH11" s="20"/>
      <c r="AI11" s="20"/>
      <c r="AJ11" s="20"/>
      <c r="AK11" s="20" t="s">
        <v>365</v>
      </c>
      <c r="AL11" s="20"/>
      <c r="AM11" s="20"/>
      <c r="AN11" s="20"/>
      <c r="AO11" s="20" t="s">
        <v>325</v>
      </c>
      <c r="AP11" s="20"/>
      <c r="AQ11" s="20"/>
      <c r="AR11" s="20"/>
      <c r="AS11" s="20"/>
      <c r="AT11" s="20"/>
      <c r="AU11" s="20"/>
      <c r="AV11" s="277"/>
      <c r="AW11" s="20"/>
      <c r="AX11" s="20"/>
      <c r="AZ11" s="161"/>
    </row>
    <row r="12" spans="1:59" ht="15" x14ac:dyDescent="0.25">
      <c r="A12" s="331">
        <f t="shared" ref="A12:A23" si="0">A13-1</f>
        <v>2007</v>
      </c>
      <c r="B12" s="26"/>
      <c r="C12" s="352">
        <v>733.6</v>
      </c>
      <c r="D12" s="352">
        <v>514.29999999999995</v>
      </c>
      <c r="E12" s="352">
        <v>379.2</v>
      </c>
      <c r="F12" s="352">
        <v>92.9</v>
      </c>
      <c r="G12" s="352">
        <v>47.5</v>
      </c>
      <c r="H12" s="352">
        <v>45.4</v>
      </c>
      <c r="I12" s="352">
        <v>135.1</v>
      </c>
      <c r="J12" s="26"/>
      <c r="K12" s="352">
        <v>373.5</v>
      </c>
      <c r="L12" s="352">
        <v>199.6</v>
      </c>
      <c r="M12" s="352" t="s">
        <v>28</v>
      </c>
      <c r="N12" s="352" t="s">
        <v>28</v>
      </c>
      <c r="O12" s="352">
        <v>26.4</v>
      </c>
      <c r="P12" s="352">
        <v>11.5</v>
      </c>
      <c r="Q12" s="352">
        <v>26.7</v>
      </c>
      <c r="R12" s="352">
        <v>10.8</v>
      </c>
      <c r="S12" s="26"/>
      <c r="T12" s="352">
        <v>113.6</v>
      </c>
      <c r="U12" s="352">
        <v>106.6</v>
      </c>
      <c r="V12" s="352">
        <v>7</v>
      </c>
      <c r="W12" s="26"/>
      <c r="X12" s="352">
        <v>40.6</v>
      </c>
      <c r="Y12" s="26"/>
      <c r="Z12" s="26"/>
      <c r="AA12" s="352">
        <v>19.8</v>
      </c>
      <c r="AB12" s="26">
        <v>6.5</v>
      </c>
      <c r="AC12" s="26"/>
      <c r="AD12" s="26">
        <v>569.1</v>
      </c>
      <c r="AE12" s="26"/>
      <c r="AF12" s="26">
        <v>162.19999999999999</v>
      </c>
      <c r="AG12" s="26">
        <v>82.9</v>
      </c>
      <c r="AH12" s="26">
        <v>68.2</v>
      </c>
      <c r="AI12" s="26">
        <v>11.1</v>
      </c>
      <c r="AJ12" s="26"/>
      <c r="AK12" s="26">
        <v>0</v>
      </c>
      <c r="AL12" s="26"/>
      <c r="AM12" s="26"/>
      <c r="AN12" s="26"/>
      <c r="AO12" s="352">
        <v>35.6</v>
      </c>
      <c r="AP12" s="26"/>
      <c r="AQ12" s="26"/>
      <c r="AR12" s="26">
        <v>0</v>
      </c>
      <c r="AS12" s="26">
        <v>0</v>
      </c>
      <c r="AT12" s="26">
        <v>0</v>
      </c>
      <c r="AU12" s="26"/>
      <c r="AV12" s="353">
        <v>-5.9</v>
      </c>
      <c r="AW12" s="26"/>
      <c r="AX12" s="352">
        <v>-3.2</v>
      </c>
      <c r="AZ12" s="225">
        <f t="shared" ref="AZ12:AZ24" si="1">(E12-F12+I12+K12)*(1-(T12/(D12+K12)))+AO12-(X12+AK12)</f>
        <v>688.18718179770212</v>
      </c>
      <c r="BA12" s="151" t="s">
        <v>11</v>
      </c>
      <c r="BB12" s="166">
        <f>T12/(E12+I12+K12)</f>
        <v>0.12795674701509349</v>
      </c>
      <c r="BC12" s="144">
        <f t="shared" ref="BC12:BC24" si="2">(1-BB12)*(E12-F12)</f>
        <v>249.66598332957869</v>
      </c>
      <c r="BD12" s="144">
        <f t="shared" ref="BD12:BD24" si="3">AZ12-BC12</f>
        <v>438.52119846812343</v>
      </c>
      <c r="BE12" s="144"/>
      <c r="BG12" s="144"/>
    </row>
    <row r="13" spans="1:59" ht="15" x14ac:dyDescent="0.25">
      <c r="A13" s="331">
        <f t="shared" si="0"/>
        <v>2008</v>
      </c>
      <c r="B13" s="26"/>
      <c r="C13" s="352">
        <v>638.6</v>
      </c>
      <c r="D13" s="352">
        <v>491.1</v>
      </c>
      <c r="E13" s="352">
        <v>362.3</v>
      </c>
      <c r="F13" s="352">
        <v>68.400000000000006</v>
      </c>
      <c r="G13" s="352">
        <v>20.8</v>
      </c>
      <c r="H13" s="352">
        <v>47.6</v>
      </c>
      <c r="I13" s="352">
        <v>128.80000000000001</v>
      </c>
      <c r="J13" s="26"/>
      <c r="K13" s="352">
        <v>297.8</v>
      </c>
      <c r="L13" s="352">
        <v>122.2</v>
      </c>
      <c r="M13" s="352" t="s">
        <v>28</v>
      </c>
      <c r="N13" s="352" t="s">
        <v>28</v>
      </c>
      <c r="O13" s="352">
        <v>26.2</v>
      </c>
      <c r="P13" s="352">
        <v>9.6999999999999993</v>
      </c>
      <c r="Q13" s="352">
        <v>23.5</v>
      </c>
      <c r="R13" s="352">
        <v>11.3</v>
      </c>
      <c r="S13" s="26"/>
      <c r="T13" s="352">
        <v>112.7</v>
      </c>
      <c r="U13" s="352">
        <v>105.3</v>
      </c>
      <c r="V13" s="352">
        <v>7.4</v>
      </c>
      <c r="W13" s="26"/>
      <c r="X13" s="352">
        <v>37.6</v>
      </c>
      <c r="Y13" s="26"/>
      <c r="Z13" s="26"/>
      <c r="AA13" s="352">
        <v>18.3</v>
      </c>
      <c r="AB13" s="26">
        <v>7</v>
      </c>
      <c r="AC13" s="26"/>
      <c r="AD13" s="26">
        <v>652.1</v>
      </c>
      <c r="AE13" s="26"/>
      <c r="AF13" s="26">
        <v>150.6</v>
      </c>
      <c r="AG13" s="26">
        <v>62.1</v>
      </c>
      <c r="AH13" s="26">
        <v>77.5</v>
      </c>
      <c r="AI13" s="26">
        <v>11</v>
      </c>
      <c r="AJ13" s="26"/>
      <c r="AK13" s="26">
        <v>41.4</v>
      </c>
      <c r="AL13" s="26"/>
      <c r="AM13" s="26"/>
      <c r="AN13" s="26"/>
      <c r="AO13" s="352">
        <v>32.200000000000003</v>
      </c>
      <c r="AP13" s="26"/>
      <c r="AQ13" s="26"/>
      <c r="AR13" s="26">
        <v>0</v>
      </c>
      <c r="AS13" s="26">
        <v>0</v>
      </c>
      <c r="AT13" s="26">
        <v>0</v>
      </c>
      <c r="AU13" s="26"/>
      <c r="AV13" s="353">
        <v>-5.2</v>
      </c>
      <c r="AW13" s="26"/>
      <c r="AX13" s="352">
        <v>-4.9000000000000004</v>
      </c>
      <c r="AZ13" s="225">
        <f t="shared" si="1"/>
        <v>570.77142857142871</v>
      </c>
      <c r="BA13" s="151" t="s">
        <v>11</v>
      </c>
      <c r="BB13" s="166">
        <f t="shared" ref="BB13:BB24" si="4">T13/(E13+I13+K13)</f>
        <v>0.14285714285714285</v>
      </c>
      <c r="BC13" s="144">
        <f t="shared" si="2"/>
        <v>251.91428571428571</v>
      </c>
      <c r="BD13" s="144">
        <f t="shared" si="3"/>
        <v>318.857142857143</v>
      </c>
      <c r="BE13" s="144"/>
      <c r="BF13" s="149"/>
      <c r="BG13" s="144"/>
    </row>
    <row r="14" spans="1:59" ht="15" x14ac:dyDescent="0.25">
      <c r="A14" s="331">
        <f t="shared" si="0"/>
        <v>2009</v>
      </c>
      <c r="B14" s="26"/>
      <c r="C14" s="352">
        <v>639.29999999999995</v>
      </c>
      <c r="D14" s="352">
        <v>497.1</v>
      </c>
      <c r="E14" s="352">
        <v>361.7</v>
      </c>
      <c r="F14" s="352">
        <v>57.5</v>
      </c>
      <c r="G14" s="352">
        <v>9.4</v>
      </c>
      <c r="H14" s="352">
        <v>48.1</v>
      </c>
      <c r="I14" s="352">
        <v>135.4</v>
      </c>
      <c r="J14" s="26"/>
      <c r="K14" s="352">
        <v>306.8</v>
      </c>
      <c r="L14" s="352">
        <v>122.1</v>
      </c>
      <c r="M14" s="352" t="s">
        <v>28</v>
      </c>
      <c r="N14" s="352">
        <v>95.1</v>
      </c>
      <c r="O14" s="352">
        <v>44.6</v>
      </c>
      <c r="P14" s="352">
        <v>13</v>
      </c>
      <c r="Q14" s="352">
        <v>22.8</v>
      </c>
      <c r="R14" s="352">
        <v>10.1</v>
      </c>
      <c r="S14" s="26"/>
      <c r="T14" s="352">
        <v>132.4</v>
      </c>
      <c r="U14" s="352">
        <v>122.7</v>
      </c>
      <c r="V14" s="352">
        <v>9.6999999999999993</v>
      </c>
      <c r="W14" s="26"/>
      <c r="X14" s="352">
        <v>32.200000000000003</v>
      </c>
      <c r="Y14" s="26"/>
      <c r="Z14" s="26"/>
      <c r="AA14" s="352">
        <v>19</v>
      </c>
      <c r="AB14" s="26">
        <v>14</v>
      </c>
      <c r="AC14" s="26"/>
      <c r="AD14" s="26">
        <v>781.2</v>
      </c>
      <c r="AE14" s="26"/>
      <c r="AF14" s="26">
        <v>122.2</v>
      </c>
      <c r="AG14" s="26">
        <v>42.7</v>
      </c>
      <c r="AH14" s="26">
        <v>68.2</v>
      </c>
      <c r="AI14" s="26">
        <v>11.3</v>
      </c>
      <c r="AJ14" s="26"/>
      <c r="AK14" s="26">
        <v>40.5</v>
      </c>
      <c r="AL14" s="26"/>
      <c r="AM14" s="26"/>
      <c r="AN14" s="26"/>
      <c r="AO14" s="352">
        <v>28.6</v>
      </c>
      <c r="AP14" s="26"/>
      <c r="AQ14" s="26"/>
      <c r="AR14" s="26">
        <v>0</v>
      </c>
      <c r="AS14" s="26">
        <v>0</v>
      </c>
      <c r="AT14" s="26">
        <v>0</v>
      </c>
      <c r="AU14" s="26"/>
      <c r="AV14" s="353">
        <v>-4.4000000000000004</v>
      </c>
      <c r="AW14" s="26"/>
      <c r="AX14" s="352">
        <v>-3.3</v>
      </c>
      <c r="AZ14" s="225">
        <f t="shared" si="1"/>
        <v>579.37008334369955</v>
      </c>
      <c r="BA14" s="151" t="s">
        <v>11</v>
      </c>
      <c r="BB14" s="166">
        <f t="shared" si="4"/>
        <v>0.16469710162955589</v>
      </c>
      <c r="BC14" s="144">
        <f t="shared" si="2"/>
        <v>254.09914168428909</v>
      </c>
      <c r="BD14" s="144">
        <f t="shared" si="3"/>
        <v>325.27094165941048</v>
      </c>
      <c r="BE14" s="144"/>
      <c r="BF14" s="149"/>
      <c r="BG14" s="144"/>
    </row>
    <row r="15" spans="1:59" ht="15" x14ac:dyDescent="0.25">
      <c r="A15" s="331">
        <f t="shared" si="0"/>
        <v>2010</v>
      </c>
      <c r="B15" s="26"/>
      <c r="C15" s="352">
        <v>634.4</v>
      </c>
      <c r="D15" s="352">
        <v>496</v>
      </c>
      <c r="E15" s="352">
        <v>359.2</v>
      </c>
      <c r="F15" s="352">
        <v>52.5</v>
      </c>
      <c r="G15" s="352">
        <v>3.2</v>
      </c>
      <c r="H15" s="352">
        <v>49.3</v>
      </c>
      <c r="I15" s="352">
        <v>136.80000000000001</v>
      </c>
      <c r="J15" s="26"/>
      <c r="K15" s="352">
        <v>313.7</v>
      </c>
      <c r="L15" s="352">
        <v>123</v>
      </c>
      <c r="M15" s="352" t="s">
        <v>28</v>
      </c>
      <c r="N15" s="352">
        <v>94.2</v>
      </c>
      <c r="O15" s="352">
        <v>47.5</v>
      </c>
      <c r="P15" s="352">
        <v>12.3</v>
      </c>
      <c r="Q15" s="352">
        <v>25.3</v>
      </c>
      <c r="R15" s="352">
        <v>11.4</v>
      </c>
      <c r="S15" s="26"/>
      <c r="T15" s="352">
        <v>142.1</v>
      </c>
      <c r="U15" s="352">
        <v>133.4</v>
      </c>
      <c r="V15" s="352">
        <v>8.6999999999999993</v>
      </c>
      <c r="W15" s="26"/>
      <c r="X15" s="352">
        <v>33.200000000000003</v>
      </c>
      <c r="Y15" s="26"/>
      <c r="Z15" s="26"/>
      <c r="AA15" s="352">
        <v>18.7</v>
      </c>
      <c r="AB15" s="26">
        <v>14.3</v>
      </c>
      <c r="AC15" s="26"/>
      <c r="AD15" s="26">
        <v>949.8</v>
      </c>
      <c r="AE15" s="26"/>
      <c r="AF15" s="26">
        <v>101.4</v>
      </c>
      <c r="AG15" s="26">
        <v>17.2</v>
      </c>
      <c r="AH15" s="26">
        <v>72.599999999999994</v>
      </c>
      <c r="AI15" s="26">
        <v>11.6</v>
      </c>
      <c r="AJ15" s="26"/>
      <c r="AK15" s="26">
        <v>41.2</v>
      </c>
      <c r="AL15" s="26"/>
      <c r="AM15" s="26"/>
      <c r="AN15" s="26"/>
      <c r="AO15" s="352">
        <v>27.6</v>
      </c>
      <c r="AP15" s="26"/>
      <c r="AQ15" s="26"/>
      <c r="AR15" s="26">
        <v>0</v>
      </c>
      <c r="AS15" s="26">
        <v>0</v>
      </c>
      <c r="AT15" s="26">
        <v>0</v>
      </c>
      <c r="AU15" s="26"/>
      <c r="AV15" s="353">
        <v>-4</v>
      </c>
      <c r="AW15" s="26"/>
      <c r="AX15" s="352">
        <v>-3.4</v>
      </c>
      <c r="AZ15" s="225">
        <f t="shared" si="1"/>
        <v>577.51359762875154</v>
      </c>
      <c r="BA15" s="151" t="s">
        <v>11</v>
      </c>
      <c r="BB15" s="166">
        <f t="shared" si="4"/>
        <v>0.17549709769050265</v>
      </c>
      <c r="BC15" s="144">
        <f t="shared" si="2"/>
        <v>252.87504013832284</v>
      </c>
      <c r="BD15" s="144">
        <f t="shared" si="3"/>
        <v>324.6385574904287</v>
      </c>
      <c r="BE15" s="144"/>
      <c r="BF15" s="149"/>
      <c r="BG15" s="144"/>
    </row>
    <row r="16" spans="1:59" ht="15" x14ac:dyDescent="0.25">
      <c r="A16" s="331">
        <f t="shared" si="0"/>
        <v>2011</v>
      </c>
      <c r="B16" s="26"/>
      <c r="C16" s="352">
        <v>661.5</v>
      </c>
      <c r="D16" s="352">
        <v>534.4</v>
      </c>
      <c r="E16" s="352">
        <v>384.7</v>
      </c>
      <c r="F16" s="352">
        <v>70.400000000000006</v>
      </c>
      <c r="G16" s="352">
        <v>18.8</v>
      </c>
      <c r="H16" s="352">
        <v>51.6</v>
      </c>
      <c r="I16" s="352">
        <v>149.69999999999999</v>
      </c>
      <c r="J16" s="26"/>
      <c r="K16" s="352">
        <v>316.39999999999998</v>
      </c>
      <c r="L16" s="352">
        <v>128.6</v>
      </c>
      <c r="M16" s="352" t="s">
        <v>28</v>
      </c>
      <c r="N16" s="352">
        <v>96.1</v>
      </c>
      <c r="O16" s="352">
        <v>47.3</v>
      </c>
      <c r="P16" s="352">
        <v>14</v>
      </c>
      <c r="Q16" s="352">
        <v>22.8</v>
      </c>
      <c r="R16" s="352">
        <v>11.8</v>
      </c>
      <c r="S16" s="26"/>
      <c r="T16" s="352">
        <v>155.9</v>
      </c>
      <c r="U16" s="352">
        <v>146.4</v>
      </c>
      <c r="V16" s="352">
        <v>9.5</v>
      </c>
      <c r="W16" s="26"/>
      <c r="X16" s="352">
        <v>33.4</v>
      </c>
      <c r="Y16" s="26"/>
      <c r="Z16" s="26"/>
      <c r="AA16" s="352">
        <v>17.899999999999999</v>
      </c>
      <c r="AB16" s="26">
        <v>13.3</v>
      </c>
      <c r="AC16" s="26"/>
      <c r="AD16" s="26">
        <v>962.2</v>
      </c>
      <c r="AE16" s="26"/>
      <c r="AF16" s="26">
        <v>86.7</v>
      </c>
      <c r="AG16" s="26" t="s">
        <v>28</v>
      </c>
      <c r="AH16" s="26">
        <v>76.599999999999994</v>
      </c>
      <c r="AI16" s="26">
        <v>10.1</v>
      </c>
      <c r="AJ16" s="26"/>
      <c r="AK16" s="26">
        <v>43.1</v>
      </c>
      <c r="AL16" s="26"/>
      <c r="AM16" s="26"/>
      <c r="AN16" s="26"/>
      <c r="AO16" s="352">
        <v>27.8</v>
      </c>
      <c r="AP16" s="26"/>
      <c r="AQ16" s="26"/>
      <c r="AR16" s="26">
        <v>16.8</v>
      </c>
      <c r="AS16" s="26">
        <v>16.8</v>
      </c>
      <c r="AT16" s="26">
        <v>0</v>
      </c>
      <c r="AU16" s="26"/>
      <c r="AV16" s="353">
        <v>-3.6</v>
      </c>
      <c r="AW16" s="26"/>
      <c r="AX16" s="352">
        <v>-3.4</v>
      </c>
      <c r="AZ16" s="225">
        <f t="shared" si="1"/>
        <v>588.70004701457435</v>
      </c>
      <c r="BA16" s="151" t="s">
        <v>11</v>
      </c>
      <c r="BB16" s="166">
        <f t="shared" si="4"/>
        <v>0.18323930418429715</v>
      </c>
      <c r="BC16" s="144">
        <f t="shared" si="2"/>
        <v>256.70788669487536</v>
      </c>
      <c r="BD16" s="144">
        <f t="shared" si="3"/>
        <v>331.992160319699</v>
      </c>
      <c r="BE16" s="144"/>
      <c r="BF16" s="149"/>
      <c r="BG16" s="144"/>
    </row>
    <row r="17" spans="1:59" ht="15" x14ac:dyDescent="0.25">
      <c r="A17" s="331">
        <f t="shared" si="0"/>
        <v>2012</v>
      </c>
      <c r="B17" s="26"/>
      <c r="C17" s="352">
        <v>633.20000000000005</v>
      </c>
      <c r="D17" s="352">
        <v>492.3</v>
      </c>
      <c r="E17" s="352">
        <v>372.7</v>
      </c>
      <c r="F17" s="352">
        <v>69.7</v>
      </c>
      <c r="G17" s="352">
        <v>23.5</v>
      </c>
      <c r="H17" s="352">
        <v>46.2</v>
      </c>
      <c r="I17" s="352">
        <v>119.6</v>
      </c>
      <c r="J17" s="26"/>
      <c r="K17" s="352">
        <v>310.7</v>
      </c>
      <c r="L17" s="352">
        <v>126.4</v>
      </c>
      <c r="M17" s="352" t="s">
        <v>28</v>
      </c>
      <c r="N17" s="352">
        <v>91.5</v>
      </c>
      <c r="O17" s="352">
        <v>48.8</v>
      </c>
      <c r="P17" s="352">
        <v>11.6</v>
      </c>
      <c r="Q17" s="352">
        <v>20.9</v>
      </c>
      <c r="R17" s="352">
        <v>11.5</v>
      </c>
      <c r="S17" s="26"/>
      <c r="T17" s="352">
        <v>138.4</v>
      </c>
      <c r="U17" s="352">
        <v>130.6</v>
      </c>
      <c r="V17" s="352">
        <v>7.8</v>
      </c>
      <c r="W17" s="26"/>
      <c r="X17" s="352">
        <v>31.4</v>
      </c>
      <c r="Y17" s="26"/>
      <c r="Z17" s="26"/>
      <c r="AA17" s="352">
        <v>17.399999999999999</v>
      </c>
      <c r="AB17" s="26">
        <v>12.9</v>
      </c>
      <c r="AC17" s="26"/>
      <c r="AD17" s="26">
        <v>994.8</v>
      </c>
      <c r="AE17" s="26"/>
      <c r="AF17" s="26">
        <v>87.9</v>
      </c>
      <c r="AG17" s="26" t="s">
        <v>28</v>
      </c>
      <c r="AH17" s="26">
        <v>76</v>
      </c>
      <c r="AI17" s="26">
        <v>11.9</v>
      </c>
      <c r="AJ17" s="26"/>
      <c r="AK17" s="26">
        <v>41.3</v>
      </c>
      <c r="AL17" s="26"/>
      <c r="AM17" s="26"/>
      <c r="AN17" s="26"/>
      <c r="AO17" s="352">
        <v>28.2</v>
      </c>
      <c r="AP17" s="26"/>
      <c r="AQ17" s="26"/>
      <c r="AR17" s="26">
        <v>-18.3</v>
      </c>
      <c r="AS17" s="26">
        <v>-18.3</v>
      </c>
      <c r="AT17" s="26">
        <v>0</v>
      </c>
      <c r="AU17" s="26"/>
      <c r="AV17" s="353">
        <v>-3.3</v>
      </c>
      <c r="AW17" s="26"/>
      <c r="AX17" s="352">
        <v>-5.4</v>
      </c>
      <c r="AZ17" s="225">
        <f t="shared" si="1"/>
        <v>562.41305105853053</v>
      </c>
      <c r="BA17" s="151" t="s">
        <v>11</v>
      </c>
      <c r="BB17" s="166">
        <f t="shared" si="4"/>
        <v>0.17235367372353674</v>
      </c>
      <c r="BC17" s="144">
        <f t="shared" si="2"/>
        <v>250.77683686176837</v>
      </c>
      <c r="BD17" s="144">
        <f t="shared" si="3"/>
        <v>311.63621419676213</v>
      </c>
      <c r="BE17" s="144"/>
      <c r="BF17" s="149"/>
      <c r="BG17" s="144"/>
    </row>
    <row r="18" spans="1:59" ht="15" x14ac:dyDescent="0.25">
      <c r="A18" s="331">
        <f t="shared" si="0"/>
        <v>2013</v>
      </c>
      <c r="B18" s="26"/>
      <c r="C18" s="352">
        <v>683.6</v>
      </c>
      <c r="D18" s="352">
        <v>538.29999999999995</v>
      </c>
      <c r="E18" s="352">
        <v>420.4</v>
      </c>
      <c r="F18" s="352">
        <v>119.9</v>
      </c>
      <c r="G18" s="352">
        <v>80.099999999999994</v>
      </c>
      <c r="H18" s="352">
        <v>39.799999999999997</v>
      </c>
      <c r="I18" s="352">
        <v>117.9</v>
      </c>
      <c r="J18" s="26"/>
      <c r="K18" s="352">
        <v>334.9</v>
      </c>
      <c r="L18" s="352">
        <v>131.5</v>
      </c>
      <c r="M18" s="352" t="s">
        <v>28</v>
      </c>
      <c r="N18" s="352">
        <v>95.1</v>
      </c>
      <c r="O18" s="352">
        <v>56.8</v>
      </c>
      <c r="P18" s="352">
        <v>9.6999999999999993</v>
      </c>
      <c r="Q18" s="352">
        <v>21.1</v>
      </c>
      <c r="R18" s="352">
        <v>12.2</v>
      </c>
      <c r="S18" s="26"/>
      <c r="T18" s="352">
        <v>159.6</v>
      </c>
      <c r="U18" s="352">
        <v>152.4</v>
      </c>
      <c r="V18" s="352">
        <v>7.2</v>
      </c>
      <c r="W18" s="26"/>
      <c r="X18" s="352">
        <v>30</v>
      </c>
      <c r="Y18" s="26"/>
      <c r="Z18" s="26"/>
      <c r="AA18" s="352">
        <v>17.7</v>
      </c>
      <c r="AB18" s="26">
        <v>14.2</v>
      </c>
      <c r="AC18" s="26"/>
      <c r="AD18" s="26">
        <v>964.5</v>
      </c>
      <c r="AE18" s="26"/>
      <c r="AF18" s="26">
        <v>91.9</v>
      </c>
      <c r="AG18" s="26" t="s">
        <v>28</v>
      </c>
      <c r="AH18" s="26">
        <v>76.7</v>
      </c>
      <c r="AI18" s="26">
        <v>15.2</v>
      </c>
      <c r="AJ18" s="26"/>
      <c r="AK18" s="26">
        <v>39.5</v>
      </c>
      <c r="AL18" s="26"/>
      <c r="AM18" s="26"/>
      <c r="AN18" s="26"/>
      <c r="AO18" s="352">
        <v>31.8</v>
      </c>
      <c r="AP18" s="26"/>
      <c r="AQ18" s="26"/>
      <c r="AR18" s="26">
        <v>-2.7</v>
      </c>
      <c r="AS18" s="26">
        <v>-2.7</v>
      </c>
      <c r="AT18" s="26">
        <v>0</v>
      </c>
      <c r="AU18" s="26"/>
      <c r="AV18" s="353">
        <v>-0.7</v>
      </c>
      <c r="AW18" s="26"/>
      <c r="AX18" s="352">
        <v>-10</v>
      </c>
      <c r="AZ18" s="225">
        <f t="shared" si="1"/>
        <v>577.91484196060458</v>
      </c>
      <c r="BA18" s="151" t="s">
        <v>11</v>
      </c>
      <c r="BB18" s="166">
        <f t="shared" si="4"/>
        <v>0.18277599633531838</v>
      </c>
      <c r="BC18" s="144">
        <f t="shared" si="2"/>
        <v>245.57581310123683</v>
      </c>
      <c r="BD18" s="144">
        <f t="shared" si="3"/>
        <v>332.33902885936777</v>
      </c>
      <c r="BE18" s="144"/>
      <c r="BF18" s="149"/>
      <c r="BG18" s="144"/>
    </row>
    <row r="19" spans="1:59" ht="15" x14ac:dyDescent="0.25">
      <c r="A19" s="331">
        <f t="shared" si="0"/>
        <v>2014</v>
      </c>
      <c r="B19" s="26"/>
      <c r="C19" s="352">
        <v>707.5</v>
      </c>
      <c r="D19" s="352">
        <v>557.5</v>
      </c>
      <c r="E19" s="352">
        <v>411.4</v>
      </c>
      <c r="F19" s="352">
        <v>103.8</v>
      </c>
      <c r="G19" s="352">
        <v>56</v>
      </c>
      <c r="H19" s="352">
        <v>47.8</v>
      </c>
      <c r="I19" s="352">
        <v>146.1</v>
      </c>
      <c r="J19" s="26"/>
      <c r="K19" s="352">
        <v>330.8</v>
      </c>
      <c r="L19" s="352">
        <v>130.30000000000001</v>
      </c>
      <c r="M19" s="352" t="s">
        <v>28</v>
      </c>
      <c r="N19" s="352">
        <v>97.3</v>
      </c>
      <c r="O19" s="352">
        <v>56.8</v>
      </c>
      <c r="P19" s="352">
        <v>14.2</v>
      </c>
      <c r="Q19" s="352">
        <v>20.3</v>
      </c>
      <c r="R19" s="352">
        <v>11.5</v>
      </c>
      <c r="S19" s="26"/>
      <c r="T19" s="352">
        <v>150.6</v>
      </c>
      <c r="U19" s="352">
        <v>144.19999999999999</v>
      </c>
      <c r="V19" s="352">
        <v>6.4</v>
      </c>
      <c r="W19" s="26"/>
      <c r="X19" s="352">
        <v>30.2</v>
      </c>
      <c r="Y19" s="26"/>
      <c r="Z19" s="26"/>
      <c r="AA19" s="352">
        <v>18.899999999999999</v>
      </c>
      <c r="AB19" s="26">
        <v>14.6</v>
      </c>
      <c r="AC19" s="26"/>
      <c r="AD19" s="339">
        <v>1032.7</v>
      </c>
      <c r="AE19" s="26"/>
      <c r="AF19" s="26">
        <v>88.9</v>
      </c>
      <c r="AG19" s="26" t="s">
        <v>28</v>
      </c>
      <c r="AH19" s="26">
        <v>78.2</v>
      </c>
      <c r="AI19" s="26">
        <v>10.7</v>
      </c>
      <c r="AJ19" s="26"/>
      <c r="AK19" s="26">
        <v>43.5</v>
      </c>
      <c r="AL19" s="26"/>
      <c r="AM19" s="26"/>
      <c r="AN19" s="26"/>
      <c r="AO19" s="352">
        <v>29.5</v>
      </c>
      <c r="AP19" s="26"/>
      <c r="AQ19" s="26"/>
      <c r="AR19" s="26">
        <v>10.5</v>
      </c>
      <c r="AS19" s="26">
        <v>10.5</v>
      </c>
      <c r="AT19" s="26">
        <v>-6.1</v>
      </c>
      <c r="AU19" s="26"/>
      <c r="AV19" s="353">
        <v>-0.6</v>
      </c>
      <c r="AW19" s="26"/>
      <c r="AX19" s="352">
        <v>-9.6</v>
      </c>
      <c r="AZ19" s="225">
        <f t="shared" si="1"/>
        <v>607.29797365754803</v>
      </c>
      <c r="BA19" s="151" t="s">
        <v>11</v>
      </c>
      <c r="BB19" s="166">
        <f t="shared" si="4"/>
        <v>0.16953731847348869</v>
      </c>
      <c r="BC19" s="144">
        <f t="shared" si="2"/>
        <v>255.45032083755484</v>
      </c>
      <c r="BD19" s="144">
        <f t="shared" si="3"/>
        <v>351.84765281999319</v>
      </c>
      <c r="BE19" s="144"/>
      <c r="BF19" s="149"/>
      <c r="BG19" s="144"/>
    </row>
    <row r="20" spans="1:59" ht="15" x14ac:dyDescent="0.25">
      <c r="A20" s="331">
        <f t="shared" si="0"/>
        <v>2015</v>
      </c>
      <c r="B20" s="26"/>
      <c r="C20" s="352">
        <v>719.8</v>
      </c>
      <c r="D20" s="352">
        <v>531.20000000000005</v>
      </c>
      <c r="E20" s="352">
        <v>418.9</v>
      </c>
      <c r="F20" s="352">
        <v>118.1</v>
      </c>
      <c r="G20" s="352">
        <v>64.2</v>
      </c>
      <c r="H20" s="352">
        <v>53.9</v>
      </c>
      <c r="I20" s="352">
        <v>112.3</v>
      </c>
      <c r="J20" s="26"/>
      <c r="K20" s="352">
        <v>374.3</v>
      </c>
      <c r="L20" s="352" t="s">
        <v>28</v>
      </c>
      <c r="M20" s="352">
        <v>152.4</v>
      </c>
      <c r="N20" s="352">
        <v>98.1</v>
      </c>
      <c r="O20" s="352">
        <v>69.900000000000006</v>
      </c>
      <c r="P20" s="352">
        <v>10.3</v>
      </c>
      <c r="Q20" s="352">
        <v>18.899999999999999</v>
      </c>
      <c r="R20" s="352">
        <v>11.6</v>
      </c>
      <c r="S20" s="26"/>
      <c r="T20" s="352">
        <v>156.4</v>
      </c>
      <c r="U20" s="352">
        <v>149.30000000000001</v>
      </c>
      <c r="V20" s="352">
        <v>7.1</v>
      </c>
      <c r="W20" s="26"/>
      <c r="X20" s="352">
        <v>29.3</v>
      </c>
      <c r="Y20" s="26"/>
      <c r="Z20" s="26"/>
      <c r="AA20" s="352">
        <v>19.2</v>
      </c>
      <c r="AB20" s="26">
        <v>14.9</v>
      </c>
      <c r="AC20" s="26"/>
      <c r="AD20" s="26">
        <v>982.2</v>
      </c>
      <c r="AE20" s="26"/>
      <c r="AF20" s="26">
        <v>94.7</v>
      </c>
      <c r="AG20" s="26" t="s">
        <v>28</v>
      </c>
      <c r="AH20" s="26">
        <v>81.900000000000006</v>
      </c>
      <c r="AI20" s="26">
        <v>12.8</v>
      </c>
      <c r="AJ20" s="26"/>
      <c r="AK20" s="26">
        <v>44.1</v>
      </c>
      <c r="AL20" s="26"/>
      <c r="AM20" s="26"/>
      <c r="AN20" s="26"/>
      <c r="AO20" s="352">
        <v>32.700000000000003</v>
      </c>
      <c r="AP20" s="26"/>
      <c r="AQ20" s="26"/>
      <c r="AR20" s="26">
        <v>-9.3000000000000007</v>
      </c>
      <c r="AS20" s="26">
        <v>-9.3000000000000007</v>
      </c>
      <c r="AT20" s="26">
        <v>46.6</v>
      </c>
      <c r="AU20" s="26"/>
      <c r="AV20" s="353">
        <v>-0.7</v>
      </c>
      <c r="AW20" s="26"/>
      <c r="AX20" s="352">
        <v>-10.3</v>
      </c>
      <c r="AZ20" s="225">
        <f t="shared" si="1"/>
        <v>610.69849806736613</v>
      </c>
      <c r="BA20" s="151" t="s">
        <v>11</v>
      </c>
      <c r="BB20" s="166">
        <f t="shared" si="4"/>
        <v>0.17272225289895085</v>
      </c>
      <c r="BC20" s="144">
        <f t="shared" si="2"/>
        <v>248.84514632799556</v>
      </c>
      <c r="BD20" s="144">
        <f t="shared" si="3"/>
        <v>361.85335173937057</v>
      </c>
      <c r="BE20" s="144"/>
      <c r="BF20" s="149"/>
      <c r="BG20" s="144"/>
    </row>
    <row r="21" spans="1:59" ht="15" x14ac:dyDescent="0.25">
      <c r="A21" s="331">
        <f t="shared" si="0"/>
        <v>2016</v>
      </c>
      <c r="B21" s="26"/>
      <c r="C21" s="352">
        <v>702.5</v>
      </c>
      <c r="D21" s="352">
        <v>499.6</v>
      </c>
      <c r="E21" s="352">
        <v>367.6</v>
      </c>
      <c r="F21" s="352">
        <v>66.599999999999994</v>
      </c>
      <c r="G21" s="352">
        <v>15.3</v>
      </c>
      <c r="H21" s="352">
        <v>51.3</v>
      </c>
      <c r="I21" s="352">
        <v>132</v>
      </c>
      <c r="J21" s="26"/>
      <c r="K21" s="352">
        <v>380</v>
      </c>
      <c r="L21" s="352" t="s">
        <v>28</v>
      </c>
      <c r="M21" s="352">
        <v>163.69999999999999</v>
      </c>
      <c r="N21" s="352">
        <v>95.9</v>
      </c>
      <c r="O21" s="352">
        <v>75.7</v>
      </c>
      <c r="P21" s="352">
        <v>12.4</v>
      </c>
      <c r="Q21" s="352">
        <v>18.3</v>
      </c>
      <c r="R21" s="352">
        <v>12</v>
      </c>
      <c r="S21" s="26"/>
      <c r="T21" s="352">
        <v>146.19999999999999</v>
      </c>
      <c r="U21" s="352">
        <v>141</v>
      </c>
      <c r="V21" s="352">
        <v>5.2</v>
      </c>
      <c r="W21" s="26"/>
      <c r="X21" s="352">
        <v>30.9</v>
      </c>
      <c r="Y21" s="26"/>
      <c r="Z21" s="26"/>
      <c r="AA21" s="352">
        <v>19.399999999999999</v>
      </c>
      <c r="AB21" s="26">
        <v>14.9</v>
      </c>
      <c r="AC21" s="26"/>
      <c r="AD21" s="26">
        <v>1013.4</v>
      </c>
      <c r="AE21" s="26"/>
      <c r="AF21" s="26">
        <v>99.2</v>
      </c>
      <c r="AG21" s="26" t="s">
        <v>28</v>
      </c>
      <c r="AH21" s="26">
        <v>85.1</v>
      </c>
      <c r="AI21" s="26">
        <v>14.1</v>
      </c>
      <c r="AJ21" s="26"/>
      <c r="AK21" s="26">
        <v>43.4</v>
      </c>
      <c r="AL21" s="26"/>
      <c r="AM21" s="26"/>
      <c r="AN21" s="26"/>
      <c r="AO21" s="352">
        <v>31.9</v>
      </c>
      <c r="AP21" s="26"/>
      <c r="AQ21" s="26"/>
      <c r="AR21" s="26">
        <v>17</v>
      </c>
      <c r="AS21" s="26">
        <v>17.100000000000001</v>
      </c>
      <c r="AT21" s="26">
        <v>-91.7</v>
      </c>
      <c r="AU21" s="26"/>
      <c r="AV21" s="353">
        <v>-0.4</v>
      </c>
      <c r="AW21" s="26"/>
      <c r="AX21" s="352">
        <v>-8.3000000000000007</v>
      </c>
      <c r="AZ21" s="225">
        <f t="shared" si="1"/>
        <v>635.46971350613921</v>
      </c>
      <c r="BA21" s="151" t="s">
        <v>11</v>
      </c>
      <c r="BB21" s="166">
        <f t="shared" si="4"/>
        <v>0.16621191450659389</v>
      </c>
      <c r="BC21" s="144">
        <f t="shared" si="2"/>
        <v>250.97021373351524</v>
      </c>
      <c r="BD21" s="144">
        <f t="shared" si="3"/>
        <v>384.49949977262395</v>
      </c>
      <c r="BE21" s="144"/>
      <c r="BF21" s="149"/>
      <c r="BG21" s="144"/>
    </row>
    <row r="22" spans="1:59" ht="15" x14ac:dyDescent="0.25">
      <c r="A22" s="331">
        <f t="shared" si="0"/>
        <v>2017</v>
      </c>
      <c r="B22" s="26"/>
      <c r="C22" s="352">
        <v>807.4</v>
      </c>
      <c r="D22" s="352">
        <v>584.79999999999995</v>
      </c>
      <c r="E22" s="352">
        <v>440.5</v>
      </c>
      <c r="F22" s="352">
        <v>109.8</v>
      </c>
      <c r="G22" s="352">
        <v>68.400000000000006</v>
      </c>
      <c r="H22" s="352">
        <v>41.4</v>
      </c>
      <c r="I22" s="352">
        <v>144.30000000000001</v>
      </c>
      <c r="J22" s="26"/>
      <c r="K22" s="352">
        <v>406.6</v>
      </c>
      <c r="L22" s="352" t="s">
        <v>28</v>
      </c>
      <c r="M22" s="352">
        <v>153.19999999999999</v>
      </c>
      <c r="N22" s="352">
        <v>91.9</v>
      </c>
      <c r="O22" s="352">
        <v>82.2</v>
      </c>
      <c r="P22" s="352">
        <v>16</v>
      </c>
      <c r="Q22" s="352">
        <v>19.5</v>
      </c>
      <c r="R22" s="352">
        <v>12.8</v>
      </c>
      <c r="S22" s="26"/>
      <c r="T22" s="352">
        <v>151.9</v>
      </c>
      <c r="U22" s="352">
        <v>146.5</v>
      </c>
      <c r="V22" s="352">
        <v>5.4</v>
      </c>
      <c r="W22" s="26"/>
      <c r="X22" s="352">
        <v>32.1</v>
      </c>
      <c r="Y22" s="26"/>
      <c r="Z22" s="26"/>
      <c r="AA22" s="352">
        <v>19</v>
      </c>
      <c r="AB22" s="26">
        <v>15.2</v>
      </c>
      <c r="AC22" s="26"/>
      <c r="AD22" s="26">
        <v>1047.4000000000001</v>
      </c>
      <c r="AE22" s="26"/>
      <c r="AF22" s="26">
        <v>98.7</v>
      </c>
      <c r="AG22" s="26" t="s">
        <v>28</v>
      </c>
      <c r="AH22" s="26">
        <v>85.1</v>
      </c>
      <c r="AI22" s="26">
        <v>13.6</v>
      </c>
      <c r="AJ22" s="26"/>
      <c r="AK22" s="26">
        <v>47.3</v>
      </c>
      <c r="AL22" s="26"/>
      <c r="AM22" s="26">
        <v>-111.5</v>
      </c>
      <c r="AN22" s="26"/>
      <c r="AO22" s="352">
        <v>36.700000000000003</v>
      </c>
      <c r="AP22" s="26"/>
      <c r="AQ22" s="26"/>
      <c r="AR22" s="26">
        <v>70.5</v>
      </c>
      <c r="AS22" s="26">
        <v>3.1</v>
      </c>
      <c r="AT22" s="26">
        <v>-46.6</v>
      </c>
      <c r="AU22" s="26"/>
      <c r="AV22" s="353">
        <v>-0.5</v>
      </c>
      <c r="AW22" s="26"/>
      <c r="AX22" s="352">
        <v>-8.6999999999999993</v>
      </c>
      <c r="AZ22" s="225">
        <f t="shared" si="1"/>
        <v>703.82330038329644</v>
      </c>
      <c r="BA22" s="151" t="s">
        <v>11</v>
      </c>
      <c r="BB22" s="166">
        <f t="shared" si="4"/>
        <v>0.15321767197901959</v>
      </c>
      <c r="BC22" s="144">
        <f t="shared" si="2"/>
        <v>280.03091587653819</v>
      </c>
      <c r="BD22" s="144">
        <f t="shared" si="3"/>
        <v>423.79238450675825</v>
      </c>
      <c r="BE22" s="144"/>
      <c r="BF22" s="149"/>
      <c r="BG22" s="144"/>
    </row>
    <row r="23" spans="1:59" ht="15" x14ac:dyDescent="0.25">
      <c r="A23" s="331">
        <f t="shared" si="0"/>
        <v>2018</v>
      </c>
      <c r="B23" s="26"/>
      <c r="C23" s="352">
        <v>890.3</v>
      </c>
      <c r="D23" s="352">
        <v>664.1</v>
      </c>
      <c r="E23" s="352">
        <v>494</v>
      </c>
      <c r="F23" s="352">
        <v>128.6</v>
      </c>
      <c r="G23" s="352">
        <v>84</v>
      </c>
      <c r="H23" s="352">
        <v>44.6</v>
      </c>
      <c r="I23" s="352">
        <v>170.1</v>
      </c>
      <c r="J23" s="26"/>
      <c r="K23" s="352">
        <v>421.2</v>
      </c>
      <c r="L23" s="352" t="s">
        <v>28</v>
      </c>
      <c r="M23" s="352">
        <v>159.69999999999999</v>
      </c>
      <c r="N23" s="352">
        <v>99.3</v>
      </c>
      <c r="O23" s="352">
        <v>89.1</v>
      </c>
      <c r="P23" s="352">
        <v>18.5</v>
      </c>
      <c r="Q23" s="352">
        <v>20.6</v>
      </c>
      <c r="R23" s="352">
        <v>13.8</v>
      </c>
      <c r="S23" s="26"/>
      <c r="T23" s="352">
        <v>160</v>
      </c>
      <c r="U23" s="352">
        <v>159.30000000000001</v>
      </c>
      <c r="V23" s="352">
        <v>6.1</v>
      </c>
      <c r="W23" s="26"/>
      <c r="X23" s="352">
        <v>35</v>
      </c>
      <c r="Y23" s="26"/>
      <c r="Z23" s="26"/>
      <c r="AA23" s="352">
        <v>22.2</v>
      </c>
      <c r="AB23" s="26">
        <v>15.7</v>
      </c>
      <c r="AC23" s="26"/>
      <c r="AD23" s="26">
        <v>1004.9</v>
      </c>
      <c r="AE23" s="26"/>
      <c r="AF23" s="26">
        <v>105.1</v>
      </c>
      <c r="AG23" s="26" t="s">
        <v>28</v>
      </c>
      <c r="AH23" s="26">
        <v>90.5</v>
      </c>
      <c r="AI23" s="26">
        <v>14.6</v>
      </c>
      <c r="AJ23" s="26"/>
      <c r="AK23" s="26">
        <v>46.2</v>
      </c>
      <c r="AL23" s="26"/>
      <c r="AM23" s="26">
        <v>-120.9</v>
      </c>
      <c r="AN23" s="26"/>
      <c r="AO23" s="352">
        <v>38.6</v>
      </c>
      <c r="AP23" s="26"/>
      <c r="AQ23" s="26"/>
      <c r="AR23" s="26">
        <v>-38.299999999999997</v>
      </c>
      <c r="AS23" s="26">
        <v>-18</v>
      </c>
      <c r="AT23" s="26">
        <v>25.4</v>
      </c>
      <c r="AU23" s="26"/>
      <c r="AV23" s="353">
        <v>-0.9</v>
      </c>
      <c r="AW23" s="26"/>
      <c r="AX23" s="352">
        <v>-14.6</v>
      </c>
      <c r="AZ23" s="225">
        <f t="shared" si="1"/>
        <v>773.05881323136464</v>
      </c>
      <c r="BA23" s="151" t="s">
        <v>11</v>
      </c>
      <c r="BB23" s="166">
        <f t="shared" si="4"/>
        <v>0.14742467520501246</v>
      </c>
      <c r="BC23" s="144">
        <f t="shared" si="2"/>
        <v>311.53102368008842</v>
      </c>
      <c r="BD23" s="144">
        <f t="shared" si="3"/>
        <v>461.52778955127621</v>
      </c>
      <c r="BE23" s="144"/>
      <c r="BF23" s="149"/>
      <c r="BG23" s="144"/>
    </row>
    <row r="24" spans="1:59" x14ac:dyDescent="0.3">
      <c r="A24" s="331">
        <v>2019</v>
      </c>
      <c r="B24" s="26"/>
      <c r="C24" s="352">
        <f>D24+K24-T24-X24</f>
        <v>868.80000000000018</v>
      </c>
      <c r="D24" s="352">
        <v>647.70000000000005</v>
      </c>
      <c r="E24" s="352">
        <v>487.2</v>
      </c>
      <c r="F24" s="352">
        <v>121.3</v>
      </c>
      <c r="G24" s="352">
        <v>72.400000000000006</v>
      </c>
      <c r="H24" s="352">
        <v>48.9</v>
      </c>
      <c r="I24" s="352">
        <v>160.5</v>
      </c>
      <c r="J24" s="26"/>
      <c r="K24" s="352">
        <v>414.1</v>
      </c>
      <c r="L24" s="352" t="s">
        <v>28</v>
      </c>
      <c r="M24" s="352">
        <v>157.9</v>
      </c>
      <c r="N24" s="352">
        <v>99.3</v>
      </c>
      <c r="O24" s="352">
        <v>89.7</v>
      </c>
      <c r="P24" s="352">
        <v>18.2</v>
      </c>
      <c r="Q24" s="352">
        <v>22.9</v>
      </c>
      <c r="R24" s="352">
        <v>12.7</v>
      </c>
      <c r="S24" s="26"/>
      <c r="T24" s="352">
        <v>156.9</v>
      </c>
      <c r="U24" s="352">
        <v>150.69999999999999</v>
      </c>
      <c r="V24" s="352">
        <v>8.1999999999999993</v>
      </c>
      <c r="W24" s="26"/>
      <c r="X24" s="352">
        <v>36.1</v>
      </c>
      <c r="Y24" s="26"/>
      <c r="Z24" s="26"/>
      <c r="AA24" s="352">
        <v>23.2</v>
      </c>
      <c r="AB24" s="26">
        <v>16.100000000000001</v>
      </c>
      <c r="AC24" s="26"/>
      <c r="AD24" s="26">
        <v>1070.8</v>
      </c>
      <c r="AE24" s="26"/>
      <c r="AF24" s="26">
        <v>108.8</v>
      </c>
      <c r="AG24" s="26" t="s">
        <v>28</v>
      </c>
      <c r="AH24" s="26">
        <v>93.4</v>
      </c>
      <c r="AI24" s="26">
        <v>15.4</v>
      </c>
      <c r="AJ24" s="26"/>
      <c r="AK24" s="26">
        <v>44.5</v>
      </c>
      <c r="AL24" s="26"/>
      <c r="AM24" s="26">
        <v>-192.8</v>
      </c>
      <c r="AN24" s="26"/>
      <c r="AO24" s="352">
        <v>35.799999999999997</v>
      </c>
      <c r="AP24" s="26"/>
      <c r="AQ24" s="26"/>
      <c r="AR24" s="26">
        <v>46.4</v>
      </c>
      <c r="AS24" s="26">
        <v>80</v>
      </c>
      <c r="AT24" s="26"/>
      <c r="AU24" s="26"/>
      <c r="AV24" s="353">
        <v>0.3</v>
      </c>
      <c r="AW24" s="26"/>
      <c r="AX24" s="352">
        <v>-11.6</v>
      </c>
      <c r="AZ24" s="225">
        <f t="shared" si="1"/>
        <v>756.72425127142583</v>
      </c>
      <c r="BA24" s="151" t="s">
        <v>11</v>
      </c>
      <c r="BB24" s="166">
        <f t="shared" si="4"/>
        <v>0.1477679412318704</v>
      </c>
      <c r="BC24" s="144">
        <f t="shared" si="2"/>
        <v>311.8317103032586</v>
      </c>
      <c r="BD24" s="144">
        <f t="shared" si="3"/>
        <v>444.89254096816722</v>
      </c>
      <c r="BE24" s="144"/>
      <c r="BF24" s="149"/>
      <c r="BG24" s="144"/>
    </row>
    <row r="25" spans="1:59" x14ac:dyDescent="0.3">
      <c r="I25" s="175"/>
    </row>
    <row r="26" spans="1:59" x14ac:dyDescent="0.3">
      <c r="F26" s="280"/>
      <c r="G26" s="144"/>
      <c r="I26" s="155"/>
    </row>
    <row r="27" spans="1:59" x14ac:dyDescent="0.3">
      <c r="C27" s="149"/>
      <c r="D27" s="149"/>
      <c r="E27" s="149"/>
      <c r="F27" s="280"/>
      <c r="G27" s="144"/>
      <c r="H27" s="149"/>
      <c r="I27" s="155"/>
      <c r="J27" s="149"/>
      <c r="K27" s="149"/>
      <c r="L27" s="149"/>
      <c r="M27" s="149"/>
      <c r="N27" s="149"/>
      <c r="O27" s="149"/>
      <c r="P27" s="149"/>
      <c r="Q27" s="149"/>
    </row>
    <row r="28" spans="1:59" x14ac:dyDescent="0.3">
      <c r="C28" s="149"/>
      <c r="D28" s="149"/>
      <c r="E28" s="149"/>
      <c r="F28" s="280"/>
      <c r="G28" s="144"/>
      <c r="H28" s="149"/>
      <c r="I28" s="155"/>
      <c r="J28" s="149"/>
      <c r="K28" s="149"/>
      <c r="L28" s="149"/>
      <c r="M28" s="149"/>
      <c r="N28" s="149"/>
      <c r="O28" s="149"/>
      <c r="P28" s="149"/>
      <c r="Q28" s="149"/>
    </row>
    <row r="29" spans="1:59" x14ac:dyDescent="0.3">
      <c r="C29" s="149"/>
      <c r="D29" s="149"/>
      <c r="E29" s="149"/>
      <c r="F29" s="280"/>
      <c r="G29" s="144"/>
      <c r="H29" s="149"/>
      <c r="I29" s="155"/>
      <c r="J29" s="149"/>
      <c r="K29" s="149"/>
      <c r="L29" s="149"/>
      <c r="M29" s="149"/>
      <c r="N29" s="149"/>
      <c r="O29" s="149"/>
      <c r="P29" s="149"/>
      <c r="Q29" s="149"/>
    </row>
    <row r="30" spans="1:59" x14ac:dyDescent="0.3">
      <c r="C30" s="149"/>
      <c r="D30" s="149"/>
      <c r="E30" s="149"/>
      <c r="F30" s="280"/>
      <c r="G30" s="144"/>
      <c r="H30" s="149"/>
      <c r="I30" s="155"/>
      <c r="J30" s="149"/>
      <c r="K30" s="149"/>
      <c r="L30" s="149"/>
      <c r="M30" s="149"/>
      <c r="N30" s="149"/>
      <c r="O30" s="149"/>
      <c r="P30" s="149"/>
      <c r="Q30" s="149"/>
    </row>
    <row r="31" spans="1:59" x14ac:dyDescent="0.3">
      <c r="C31" s="149"/>
      <c r="D31" s="149"/>
      <c r="E31" s="149"/>
      <c r="F31" s="280"/>
      <c r="G31" s="144"/>
      <c r="H31" s="149"/>
      <c r="I31" s="155"/>
      <c r="J31" s="149"/>
      <c r="K31" s="149"/>
      <c r="L31" s="149"/>
      <c r="M31" s="149"/>
      <c r="N31" s="149"/>
      <c r="O31" s="149"/>
      <c r="P31" s="149"/>
      <c r="Q31" s="149"/>
    </row>
    <row r="32" spans="1:59" x14ac:dyDescent="0.3">
      <c r="C32" s="149"/>
      <c r="D32" s="149"/>
      <c r="E32" s="149"/>
      <c r="F32" s="280"/>
      <c r="G32" s="144"/>
      <c r="H32" s="149"/>
      <c r="I32" s="155"/>
      <c r="J32" s="149"/>
      <c r="K32" s="149"/>
      <c r="L32" s="149"/>
      <c r="M32" s="149"/>
      <c r="N32" s="149"/>
      <c r="O32" s="149"/>
      <c r="P32" s="149"/>
      <c r="Q32" s="149"/>
    </row>
    <row r="33" spans="3:17" x14ac:dyDescent="0.3">
      <c r="C33" s="149"/>
      <c r="D33" s="149"/>
      <c r="E33" s="149"/>
      <c r="F33" s="280"/>
      <c r="G33" s="144"/>
      <c r="H33" s="149"/>
      <c r="I33" s="155"/>
      <c r="J33" s="149"/>
      <c r="K33" s="149"/>
      <c r="L33" s="149"/>
      <c r="M33" s="149"/>
      <c r="N33" s="149"/>
      <c r="O33" s="149"/>
      <c r="P33" s="149"/>
      <c r="Q33" s="149"/>
    </row>
    <row r="34" spans="3:17" x14ac:dyDescent="0.3">
      <c r="C34" s="149"/>
      <c r="D34" s="149"/>
      <c r="E34" s="149"/>
      <c r="F34" s="280"/>
      <c r="G34" s="144"/>
      <c r="H34" s="149"/>
      <c r="I34" s="155"/>
      <c r="J34" s="149"/>
      <c r="K34" s="149"/>
      <c r="L34" s="149"/>
      <c r="M34" s="149"/>
      <c r="N34" s="149"/>
      <c r="O34" s="149"/>
      <c r="P34" s="149"/>
      <c r="Q34" s="149"/>
    </row>
    <row r="35" spans="3:17" x14ac:dyDescent="0.3">
      <c r="C35" s="149"/>
      <c r="D35" s="149"/>
      <c r="E35" s="149"/>
      <c r="F35" s="280"/>
      <c r="G35" s="144"/>
      <c r="H35" s="149"/>
      <c r="I35" s="155"/>
      <c r="J35" s="149"/>
      <c r="K35" s="149"/>
      <c r="L35" s="149"/>
      <c r="M35" s="149"/>
      <c r="N35" s="149"/>
      <c r="O35" s="149"/>
      <c r="P35" s="149"/>
      <c r="Q35" s="149"/>
    </row>
    <row r="36" spans="3:17" x14ac:dyDescent="0.3">
      <c r="C36" s="149"/>
      <c r="D36" s="149"/>
      <c r="E36" s="149"/>
      <c r="F36" s="280"/>
      <c r="G36" s="144"/>
      <c r="H36" s="149"/>
      <c r="I36" s="155"/>
      <c r="J36" s="149"/>
      <c r="K36" s="149"/>
      <c r="L36" s="149"/>
      <c r="M36" s="149"/>
      <c r="N36" s="149"/>
      <c r="O36" s="149"/>
      <c r="P36" s="149"/>
      <c r="Q36" s="149"/>
    </row>
    <row r="37" spans="3:17" x14ac:dyDescent="0.3">
      <c r="C37" s="149"/>
      <c r="D37" s="149"/>
      <c r="E37" s="149"/>
      <c r="F37" s="280"/>
      <c r="G37" s="144"/>
      <c r="H37" s="149"/>
      <c r="I37" s="155"/>
      <c r="J37" s="149"/>
      <c r="K37" s="149"/>
      <c r="L37" s="149"/>
      <c r="M37" s="149"/>
      <c r="N37" s="149"/>
      <c r="O37" s="149"/>
      <c r="P37" s="149"/>
      <c r="Q37" s="149"/>
    </row>
    <row r="38" spans="3:17" x14ac:dyDescent="0.3">
      <c r="C38" s="149"/>
      <c r="D38" s="149"/>
      <c r="E38" s="149"/>
      <c r="F38" s="280"/>
      <c r="G38" s="144"/>
      <c r="H38" s="149"/>
      <c r="I38" s="155"/>
      <c r="J38" s="149"/>
      <c r="K38" s="149"/>
      <c r="L38" s="149"/>
      <c r="M38" s="149"/>
      <c r="N38" s="149"/>
      <c r="O38" s="149"/>
      <c r="P38" s="149"/>
      <c r="Q38" s="149"/>
    </row>
  </sheetData>
  <mergeCells count="15">
    <mergeCell ref="C2:X2"/>
    <mergeCell ref="F3:H3"/>
    <mergeCell ref="K3:R3"/>
    <mergeCell ref="T3:V3"/>
    <mergeCell ref="BB2:BD2"/>
    <mergeCell ref="AA2:AI2"/>
    <mergeCell ref="AQ2:AT2"/>
    <mergeCell ref="AA5:AI5"/>
    <mergeCell ref="AF3:AI3"/>
    <mergeCell ref="AQ5:AT5"/>
    <mergeCell ref="F7:H7"/>
    <mergeCell ref="D6:I6"/>
    <mergeCell ref="K6:R6"/>
    <mergeCell ref="T6:V6"/>
    <mergeCell ref="C5:V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L32"/>
  <sheetViews>
    <sheetView workbookViewId="0">
      <selection activeCell="N24" sqref="N24"/>
    </sheetView>
  </sheetViews>
  <sheetFormatPr baseColWidth="10" defaultColWidth="8.88671875" defaultRowHeight="14.4" x14ac:dyDescent="0.3"/>
  <cols>
    <col min="2" max="2" width="9.109375" style="149" customWidth="1"/>
    <col min="3" max="3" width="13.5546875" style="149" customWidth="1"/>
    <col min="4" max="4" width="9.33203125" style="149" customWidth="1"/>
    <col min="5" max="5" width="9.6640625" style="149" customWidth="1"/>
    <col min="6" max="6" width="3" style="149" customWidth="1"/>
    <col min="7" max="7" width="12" customWidth="1"/>
    <col min="8" max="8" width="14.6640625" customWidth="1"/>
    <col min="9" max="9" width="16.5546875" style="149" customWidth="1"/>
    <col min="10" max="10" width="14.109375" customWidth="1"/>
    <col min="11" max="11" width="10.5546875" customWidth="1"/>
    <col min="12" max="12" width="13.6640625" style="149" customWidth="1"/>
    <col min="13" max="13" width="18.5546875" style="149" customWidth="1"/>
    <col min="14" max="14" width="11.44140625" style="176" customWidth="1"/>
    <col min="15" max="15" width="2.33203125" customWidth="1"/>
    <col min="16" max="16" width="11.6640625" customWidth="1"/>
    <col min="17" max="17" width="9.109375" style="149"/>
    <col min="18" max="18" width="32.33203125" customWidth="1"/>
    <col min="19" max="19" width="10.6640625" style="149" customWidth="1"/>
    <col min="20" max="24" width="11.44140625" style="149" customWidth="1"/>
    <col min="25" max="25" width="15.33203125" style="149" customWidth="1"/>
    <col min="26" max="26" width="12.6640625" customWidth="1"/>
    <col min="27" max="27" width="12.6640625" style="149" customWidth="1"/>
    <col min="28" max="28" width="8.33203125" customWidth="1"/>
    <col min="31" max="31" width="9.109375" style="149"/>
    <col min="32" max="32" width="13.44140625" style="149" customWidth="1"/>
    <col min="33" max="33" width="24.109375" style="149" customWidth="1"/>
    <col min="34" max="34" width="13.44140625" style="149" customWidth="1"/>
    <col min="35" max="35" width="16.5546875" customWidth="1"/>
    <col min="38" max="38" width="9.109375" style="149"/>
  </cols>
  <sheetData>
    <row r="1" spans="1:38" s="149" customFormat="1" ht="15" x14ac:dyDescent="0.25">
      <c r="F1" s="149" t="s">
        <v>281</v>
      </c>
      <c r="N1" s="176"/>
    </row>
    <row r="2" spans="1:38" s="149" customFormat="1" ht="15" x14ac:dyDescent="0.25">
      <c r="B2" s="379" t="s">
        <v>280</v>
      </c>
      <c r="C2" s="379"/>
      <c r="D2" s="379"/>
      <c r="E2" s="379"/>
      <c r="G2" s="379" t="s">
        <v>277</v>
      </c>
      <c r="H2" s="379"/>
      <c r="I2" s="379"/>
      <c r="J2" s="379"/>
      <c r="K2" s="379"/>
      <c r="L2" s="178"/>
      <c r="M2" s="178"/>
      <c r="N2" s="229"/>
      <c r="AL2" s="149" t="s">
        <v>342</v>
      </c>
    </row>
    <row r="3" spans="1:38" s="149" customFormat="1" ht="63" customHeight="1" x14ac:dyDescent="0.25">
      <c r="B3" s="379" t="s">
        <v>279</v>
      </c>
      <c r="C3" s="379"/>
      <c r="D3" s="379"/>
      <c r="E3" s="152" t="s">
        <v>127</v>
      </c>
      <c r="G3" s="379" t="s">
        <v>279</v>
      </c>
      <c r="H3" s="379"/>
      <c r="I3" s="379"/>
      <c r="J3" s="379"/>
      <c r="K3" s="152" t="s">
        <v>323</v>
      </c>
      <c r="L3" s="179" t="s">
        <v>147</v>
      </c>
      <c r="M3" s="179" t="s">
        <v>402</v>
      </c>
      <c r="N3" s="328" t="s">
        <v>346</v>
      </c>
      <c r="P3" s="154" t="s">
        <v>567</v>
      </c>
      <c r="Q3" s="154" t="s">
        <v>405</v>
      </c>
      <c r="S3" s="152" t="s">
        <v>460</v>
      </c>
      <c r="T3" s="179" t="s">
        <v>461</v>
      </c>
      <c r="U3" s="179"/>
      <c r="V3" s="179"/>
      <c r="W3" s="179"/>
      <c r="X3" s="179"/>
      <c r="Y3" s="179"/>
      <c r="Z3" s="179" t="s">
        <v>462</v>
      </c>
      <c r="AA3" s="179"/>
      <c r="AB3" s="171" t="s">
        <v>287</v>
      </c>
      <c r="AC3" s="168" t="s">
        <v>322</v>
      </c>
      <c r="AD3" s="168" t="s">
        <v>321</v>
      </c>
      <c r="AE3" s="173" t="s">
        <v>334</v>
      </c>
      <c r="AF3" s="179" t="s">
        <v>335</v>
      </c>
      <c r="AG3" s="316" t="s">
        <v>565</v>
      </c>
      <c r="AH3" s="173"/>
      <c r="AI3" s="168" t="s">
        <v>320</v>
      </c>
    </row>
    <row r="4" spans="1:38" ht="60" customHeight="1" x14ac:dyDescent="0.25">
      <c r="B4" s="172" t="s">
        <v>278</v>
      </c>
      <c r="C4" s="172" t="s">
        <v>206</v>
      </c>
      <c r="D4" s="172" t="s">
        <v>158</v>
      </c>
      <c r="G4" s="172" t="s">
        <v>278</v>
      </c>
      <c r="H4" s="172" t="s">
        <v>206</v>
      </c>
      <c r="I4" s="181" t="s">
        <v>147</v>
      </c>
      <c r="J4" s="172" t="s">
        <v>158</v>
      </c>
      <c r="M4" s="181" t="s">
        <v>549</v>
      </c>
      <c r="N4" s="328"/>
      <c r="P4" s="10"/>
      <c r="Q4" s="140"/>
      <c r="AC4" s="10"/>
      <c r="AF4" s="140" t="s">
        <v>564</v>
      </c>
      <c r="AG4" s="299" t="s">
        <v>566</v>
      </c>
      <c r="AL4" s="140"/>
    </row>
    <row r="5" spans="1:38" s="149" customFormat="1" ht="60" customHeight="1" x14ac:dyDescent="0.25">
      <c r="A5" s="153">
        <v>2000</v>
      </c>
      <c r="B5" s="140"/>
      <c r="C5" s="140"/>
      <c r="D5" s="140"/>
      <c r="E5" s="10"/>
      <c r="F5" s="10"/>
      <c r="G5" s="329"/>
      <c r="H5" s="329"/>
      <c r="I5" s="10" t="s">
        <v>403</v>
      </c>
      <c r="J5" s="329"/>
      <c r="K5" s="10"/>
      <c r="L5" s="10"/>
      <c r="M5" s="10"/>
      <c r="N5" s="176"/>
      <c r="P5" s="179"/>
      <c r="Q5" s="140"/>
      <c r="S5" s="158">
        <v>3.8100000000000002E-2</v>
      </c>
      <c r="T5" s="160"/>
      <c r="U5" s="160"/>
      <c r="V5" s="160"/>
      <c r="W5" s="160"/>
      <c r="X5" s="160"/>
      <c r="Y5" s="160" t="s">
        <v>474</v>
      </c>
      <c r="Z5" s="179"/>
      <c r="AA5" s="322"/>
      <c r="AB5" s="10"/>
      <c r="AC5" s="10"/>
      <c r="AD5" s="10"/>
      <c r="AE5" s="10"/>
      <c r="AF5" s="10"/>
      <c r="AG5" s="234"/>
      <c r="AH5" s="10"/>
      <c r="AI5" s="10" t="s">
        <v>420</v>
      </c>
      <c r="AJ5" s="10"/>
      <c r="AK5" s="10"/>
    </row>
    <row r="6" spans="1:38" x14ac:dyDescent="0.3">
      <c r="A6" s="25">
        <f t="shared" ref="A6:A23" si="0">A7-1</f>
        <v>2001</v>
      </c>
      <c r="B6" s="331"/>
      <c r="C6" s="331"/>
      <c r="D6" s="331"/>
      <c r="E6" s="332">
        <v>435.8</v>
      </c>
      <c r="F6" s="248"/>
      <c r="G6" s="333">
        <v>18737.168000000001</v>
      </c>
      <c r="H6" s="333">
        <v>4841.0780000000004</v>
      </c>
      <c r="I6" s="330">
        <v>2.8</v>
      </c>
      <c r="J6" s="333">
        <f>G6-H6-I6</f>
        <v>13893.29</v>
      </c>
      <c r="K6" s="4">
        <v>435.8</v>
      </c>
      <c r="L6" s="248">
        <v>0</v>
      </c>
      <c r="M6" s="99">
        <f>AVERAGEIF('HQT Plant and WACC data'!$J$4:$AB$4,'Capital Cost Calculations'!A6,'HQT Plant and WACC data'!$J$66:$AB$66)</f>
        <v>0</v>
      </c>
      <c r="N6" s="228">
        <f>K6+L6-M6</f>
        <v>435.8</v>
      </c>
      <c r="P6" s="326">
        <f>'Asset Price Index'!S68</f>
        <v>39.245154635077846</v>
      </c>
      <c r="Q6" s="296">
        <f t="shared" ref="Q6:Q22" si="1">Q7*P6/P7</f>
        <v>39.245154635077839</v>
      </c>
      <c r="R6" t="s">
        <v>286</v>
      </c>
      <c r="S6" s="381"/>
      <c r="Z6" s="323">
        <f>J6*1000000/P6</f>
        <v>354012874.43474591</v>
      </c>
      <c r="AA6" s="323"/>
      <c r="AB6" s="10"/>
      <c r="AC6" s="177">
        <f t="shared" ref="AC6:AC24" si="2">AL6/100</f>
        <v>7.7800000000000008E-2</v>
      </c>
      <c r="AD6" s="10"/>
      <c r="AE6" s="10"/>
      <c r="AF6" s="10"/>
      <c r="AG6" s="234"/>
      <c r="AH6" s="10"/>
      <c r="AI6" s="10"/>
      <c r="AJ6" s="10"/>
      <c r="AK6" s="10"/>
      <c r="AL6" s="4">
        <v>7.78</v>
      </c>
    </row>
    <row r="7" spans="1:38" x14ac:dyDescent="0.3">
      <c r="A7" s="25">
        <f t="shared" si="0"/>
        <v>2002</v>
      </c>
      <c r="B7" s="334">
        <f>'HQT Plant and WACC data'!L36</f>
        <v>19175.183999999997</v>
      </c>
      <c r="C7" s="334">
        <f>'HQT Plant and WACC data'!L37</f>
        <v>5201.9160000000002</v>
      </c>
      <c r="D7" s="334">
        <f>'HQT Plant and WACC data'!L38</f>
        <v>13973.267999999996</v>
      </c>
      <c r="E7" s="332">
        <v>375.1</v>
      </c>
      <c r="F7" s="248"/>
      <c r="G7" s="335">
        <v>18428.192999999999</v>
      </c>
      <c r="H7" s="335">
        <v>5027.1980000000003</v>
      </c>
      <c r="I7" s="335"/>
      <c r="J7" s="335">
        <v>13400.995000000001</v>
      </c>
      <c r="K7" s="4">
        <v>355.4</v>
      </c>
      <c r="L7" s="248">
        <v>0</v>
      </c>
      <c r="M7" s="99">
        <f>AVERAGEIF('HQT Plant and WACC data'!$J$4:$AB$4,'Capital Cost Calculations'!A7,'HQT Plant and WACC data'!$J$66:$AB$66)</f>
        <v>0</v>
      </c>
      <c r="N7" s="228">
        <f t="shared" ref="N7:N24" si="3">K7+L7-M7</f>
        <v>355.4</v>
      </c>
      <c r="P7" s="296">
        <f>'Asset Price Index'!B68</f>
        <v>63.355982585402913</v>
      </c>
      <c r="Q7" s="296">
        <f t="shared" si="1"/>
        <v>63.355982585402899</v>
      </c>
      <c r="R7" s="149" t="s">
        <v>458</v>
      </c>
      <c r="S7" s="381"/>
      <c r="T7" s="222">
        <f t="shared" ref="T7:T24" si="4">K7*1000000/P7</f>
        <v>5609572.8532175496</v>
      </c>
      <c r="U7" s="159">
        <f>'Input Price'!O17</f>
        <v>0</v>
      </c>
      <c r="V7" s="159"/>
      <c r="W7" s="159"/>
      <c r="X7" s="159"/>
      <c r="Y7" s="159"/>
      <c r="Z7" s="324">
        <f>Z6*(1-$S$5)+N7*1000000/P7</f>
        <v>346134556.7719996</v>
      </c>
      <c r="AA7" s="325">
        <f t="shared" ref="AA7:AA24" si="5">LN(Z7/Z6)</f>
        <v>-2.2505689068896786E-2</v>
      </c>
      <c r="AB7" s="325">
        <f>T7/Z6</f>
        <v>1.5845674715006853E-2</v>
      </c>
      <c r="AC7" s="177">
        <f t="shared" si="2"/>
        <v>7.7800000000000008E-2</v>
      </c>
      <c r="AD7" s="10"/>
      <c r="AE7" s="10"/>
      <c r="AF7" s="10"/>
      <c r="AG7" s="234"/>
      <c r="AH7" s="10"/>
      <c r="AI7" s="10"/>
      <c r="AJ7" s="10"/>
      <c r="AK7" s="10"/>
      <c r="AL7" s="4">
        <v>7.78</v>
      </c>
    </row>
    <row r="8" spans="1:38" x14ac:dyDescent="0.3">
      <c r="A8" s="25">
        <f t="shared" si="0"/>
        <v>2003</v>
      </c>
      <c r="B8" s="331"/>
      <c r="C8" s="331"/>
      <c r="D8" s="331"/>
      <c r="E8" s="332">
        <v>997.2</v>
      </c>
      <c r="F8" s="249"/>
      <c r="G8" s="10"/>
      <c r="H8" s="10"/>
      <c r="I8" s="10"/>
      <c r="J8" s="286"/>
      <c r="K8" s="249">
        <v>984</v>
      </c>
      <c r="L8" s="336">
        <v>4.8</v>
      </c>
      <c r="M8" s="99">
        <f>AVERAGEIF('HQT Plant and WACC data'!$J$4:$AB$4,'Capital Cost Calculations'!A8,'HQT Plant and WACC data'!$J$66:$AB$66)</f>
        <v>0</v>
      </c>
      <c r="N8" s="228">
        <f t="shared" si="3"/>
        <v>988.8</v>
      </c>
      <c r="P8" s="296">
        <f>'Asset Price Index'!B69</f>
        <v>62.780019917688122</v>
      </c>
      <c r="Q8" s="296">
        <f t="shared" si="1"/>
        <v>62.780019917688108</v>
      </c>
      <c r="R8" s="149" t="s">
        <v>458</v>
      </c>
      <c r="S8" s="381"/>
      <c r="T8" s="222">
        <f t="shared" si="4"/>
        <v>15673776.486374773</v>
      </c>
      <c r="U8" s="159">
        <f>'Input Price'!O18</f>
        <v>0</v>
      </c>
      <c r="V8" s="159"/>
      <c r="W8" s="159"/>
      <c r="X8" s="159"/>
      <c r="Y8" s="159"/>
      <c r="Z8" s="324">
        <f t="shared" ref="Z8:Z14" si="6">Z7*(1-$S$5)+N8*1000000/P8</f>
        <v>348697064.09163618</v>
      </c>
      <c r="AA8" s="325">
        <f t="shared" si="5"/>
        <v>7.3759422005197431E-3</v>
      </c>
      <c r="AB8" s="325">
        <f t="shared" ref="AB8:AB24" si="7">T8/Z7</f>
        <v>4.5282322090420928E-2</v>
      </c>
      <c r="AC8" s="177">
        <f t="shared" si="2"/>
        <v>7.7800000000000008E-2</v>
      </c>
      <c r="AD8" s="286">
        <f>AC8*Q7+Q8*$S$5-(Q8-Q7)</f>
        <v>7.8969768717230533</v>
      </c>
      <c r="AE8" s="177">
        <f>(AC8-(P8-P7)/P7)</f>
        <v>8.6890896300730588E-2</v>
      </c>
      <c r="AF8" s="286"/>
      <c r="AG8" s="317"/>
      <c r="AH8" s="286"/>
      <c r="AI8" s="10" t="s">
        <v>288</v>
      </c>
      <c r="AJ8" s="10"/>
      <c r="AK8" s="10"/>
      <c r="AL8" s="4">
        <v>7.78</v>
      </c>
    </row>
    <row r="9" spans="1:38" x14ac:dyDescent="0.3">
      <c r="A9" s="25">
        <f t="shared" si="0"/>
        <v>2004</v>
      </c>
      <c r="B9" s="331"/>
      <c r="C9" s="331"/>
      <c r="D9" s="331"/>
      <c r="E9" s="332">
        <v>520.79999999999995</v>
      </c>
      <c r="F9" s="249"/>
      <c r="G9" s="380"/>
      <c r="H9" s="380"/>
      <c r="J9" s="10"/>
      <c r="K9" s="249">
        <v>483.3</v>
      </c>
      <c r="L9" s="336">
        <v>3.5</v>
      </c>
      <c r="M9" s="99">
        <f>AVERAGEIF('HQT Plant and WACC data'!$J$4:$AB$4,'Capital Cost Calculations'!A9,'HQT Plant and WACC data'!$J$66:$AB$66)</f>
        <v>0</v>
      </c>
      <c r="N9" s="228">
        <f t="shared" si="3"/>
        <v>486.8</v>
      </c>
      <c r="P9" s="296">
        <f>'Asset Price Index'!B70</f>
        <v>66.256243209122587</v>
      </c>
      <c r="Q9" s="296">
        <f t="shared" si="1"/>
        <v>66.256243209122573</v>
      </c>
      <c r="R9" s="149" t="s">
        <v>458</v>
      </c>
      <c r="S9" s="381"/>
      <c r="T9" s="222">
        <f t="shared" si="4"/>
        <v>7294406.9357294338</v>
      </c>
      <c r="U9" s="159">
        <f>'Input Price'!O19</f>
        <v>0</v>
      </c>
      <c r="V9" s="159"/>
      <c r="W9" s="159"/>
      <c r="X9" s="159"/>
      <c r="Y9" s="159"/>
      <c r="Z9" s="324">
        <f t="shared" si="6"/>
        <v>342758938.09605783</v>
      </c>
      <c r="AA9" s="325">
        <f t="shared" si="5"/>
        <v>-1.7176138365321954E-2</v>
      </c>
      <c r="AB9" s="325">
        <f t="shared" si="7"/>
        <v>2.0919037430761084E-2</v>
      </c>
      <c r="AC9" s="177">
        <f t="shared" si="2"/>
        <v>7.7800000000000008E-2</v>
      </c>
      <c r="AD9" s="286">
        <f t="shared" ref="AD9:AD23" si="8">AC9*Q8+Q9*$S$5-(Q9-Q8)</f>
        <v>3.9324251244292405</v>
      </c>
      <c r="AE9" s="177">
        <f t="shared" ref="AE9:AE23" si="9">(AC9-(P9-P8)/P8)</f>
        <v>2.2428509261510333E-2</v>
      </c>
      <c r="AF9" s="286"/>
      <c r="AG9" s="317"/>
      <c r="AH9" s="286"/>
      <c r="AI9" s="269"/>
      <c r="AJ9" s="10"/>
      <c r="AK9" s="10"/>
      <c r="AL9" s="4">
        <v>7.78</v>
      </c>
    </row>
    <row r="10" spans="1:38" x14ac:dyDescent="0.3">
      <c r="A10" s="25">
        <f t="shared" si="0"/>
        <v>2005</v>
      </c>
      <c r="B10" s="331"/>
      <c r="C10" s="331"/>
      <c r="D10" s="331"/>
      <c r="E10" s="332">
        <v>677.3</v>
      </c>
      <c r="F10" s="249"/>
      <c r="G10" s="10"/>
      <c r="H10" s="10"/>
      <c r="I10" s="10"/>
      <c r="J10" s="10"/>
      <c r="K10" s="249">
        <v>628.5</v>
      </c>
      <c r="L10" s="337">
        <v>16.8</v>
      </c>
      <c r="M10" s="99">
        <f>AVERAGEIF('HQT Plant and WACC data'!$J$4:$AB$4,'Capital Cost Calculations'!A10,'HQT Plant and WACC data'!$J$66:$AB$66)</f>
        <v>0</v>
      </c>
      <c r="N10" s="228">
        <f t="shared" si="3"/>
        <v>645.29999999999995</v>
      </c>
      <c r="P10" s="296">
        <f>'Asset Price Index'!B71</f>
        <v>69.107534813959006</v>
      </c>
      <c r="Q10" s="296">
        <f t="shared" si="1"/>
        <v>69.107534813958992</v>
      </c>
      <c r="R10" s="149" t="s">
        <v>458</v>
      </c>
      <c r="S10" s="381"/>
      <c r="T10" s="222">
        <f t="shared" si="4"/>
        <v>9094522.0617687199</v>
      </c>
      <c r="U10" s="159">
        <f>'Input Price'!O20</f>
        <v>0</v>
      </c>
      <c r="V10" s="159"/>
      <c r="W10" s="159"/>
      <c r="X10" s="159"/>
      <c r="Y10" s="176">
        <f t="shared" ref="Y10:Y24" si="10">U10*Z9</f>
        <v>0</v>
      </c>
      <c r="Z10" s="176">
        <f t="shared" si="6"/>
        <v>339037444.01276726</v>
      </c>
      <c r="AA10" s="155">
        <f t="shared" si="5"/>
        <v>-1.0916840102724087E-2</v>
      </c>
      <c r="AB10" s="155">
        <f t="shared" si="7"/>
        <v>2.653328929155449E-2</v>
      </c>
      <c r="AC10" s="279">
        <f t="shared" si="2"/>
        <v>7.7800000000000008E-2</v>
      </c>
      <c r="AD10" s="159">
        <f t="shared" si="8"/>
        <v>4.9364411932451553</v>
      </c>
      <c r="AE10" s="166">
        <f t="shared" si="9"/>
        <v>3.4765691582648708E-2</v>
      </c>
      <c r="AF10" s="286">
        <f>Q10*$S$5+Q9*(AE10+AE9+AE8)/3</f>
        <v>5.815176156159124</v>
      </c>
      <c r="AG10" s="317">
        <f t="shared" ref="AG10:AG23" si="11">AF10/AF11*AG11</f>
        <v>77.059654839009923</v>
      </c>
      <c r="AH10" s="159"/>
      <c r="AI10" s="162">
        <f>AF10*Z9</f>
        <v>1993203604.1266167</v>
      </c>
      <c r="AL10" s="4">
        <v>7.78</v>
      </c>
    </row>
    <row r="11" spans="1:38" x14ac:dyDescent="0.3">
      <c r="A11" s="25">
        <f t="shared" si="0"/>
        <v>2006</v>
      </c>
      <c r="B11" s="331"/>
      <c r="C11" s="331"/>
      <c r="D11" s="331"/>
      <c r="E11" s="332">
        <v>784.7</v>
      </c>
      <c r="F11" s="249"/>
      <c r="G11" s="10"/>
      <c r="H11" s="10"/>
      <c r="I11" s="10"/>
      <c r="J11" s="10"/>
      <c r="K11" s="249">
        <v>777.6</v>
      </c>
      <c r="L11" s="337">
        <v>-36.5</v>
      </c>
      <c r="M11" s="99">
        <f>AVERAGEIF('HQT Plant and WACC data'!$J$4:$AB$4,'Capital Cost Calculations'!A11,'HQT Plant and WACC data'!$J$66:$AB$66)</f>
        <v>0</v>
      </c>
      <c r="N11" s="228">
        <f t="shared" si="3"/>
        <v>741.1</v>
      </c>
      <c r="P11" s="296">
        <f>'Asset Price Index'!B72</f>
        <v>72.539748715463958</v>
      </c>
      <c r="Q11" s="296">
        <f t="shared" si="1"/>
        <v>72.539748715463944</v>
      </c>
      <c r="R11" s="149" t="s">
        <v>458</v>
      </c>
      <c r="S11" s="381"/>
      <c r="T11" s="222">
        <f t="shared" si="4"/>
        <v>10719640.111383952</v>
      </c>
      <c r="U11" s="159">
        <f>'Input Price'!O21</f>
        <v>0</v>
      </c>
      <c r="V11" s="159"/>
      <c r="W11" s="159"/>
      <c r="X11" s="159"/>
      <c r="Y11" s="176">
        <f t="shared" si="10"/>
        <v>0</v>
      </c>
      <c r="Z11" s="176">
        <f t="shared" si="6"/>
        <v>336336585.09977311</v>
      </c>
      <c r="AA11" s="155">
        <f t="shared" si="5"/>
        <v>-7.9981556722509457E-3</v>
      </c>
      <c r="AB11" s="155">
        <f t="shared" si="7"/>
        <v>3.1617864931108547E-2</v>
      </c>
      <c r="AC11" s="279">
        <f t="shared" si="2"/>
        <v>7.7800000000000008E-2</v>
      </c>
      <c r="AD11" s="159">
        <f t="shared" si="8"/>
        <v>4.7081167330802352</v>
      </c>
      <c r="AE11" s="166">
        <f t="shared" si="9"/>
        <v>2.8135170965877379E-2</v>
      </c>
      <c r="AF11" s="286">
        <f t="shared" ref="AF11:AF23" si="12">Q11*$S$5+Q10*(AE11+AE10+AE9)/3</f>
        <v>4.7293986037309574</v>
      </c>
      <c r="AG11" s="317">
        <f t="shared" si="11"/>
        <v>62.671501982549835</v>
      </c>
      <c r="AH11" s="166">
        <f>LN(AF11/AF10)</f>
        <v>-0.20667302958672082</v>
      </c>
      <c r="AI11" s="162">
        <f t="shared" ref="AI11:AI23" si="13">AF11*Z10</f>
        <v>1603443214.3264942</v>
      </c>
      <c r="AL11" s="4">
        <v>7.78</v>
      </c>
    </row>
    <row r="12" spans="1:38" x14ac:dyDescent="0.3">
      <c r="A12" s="25">
        <f t="shared" si="0"/>
        <v>2007</v>
      </c>
      <c r="B12" s="331"/>
      <c r="C12" s="331"/>
      <c r="D12" s="331"/>
      <c r="E12" s="332">
        <v>732.7</v>
      </c>
      <c r="F12" s="249"/>
      <c r="G12" s="10"/>
      <c r="H12" s="10"/>
      <c r="I12" s="10"/>
      <c r="J12" s="10"/>
      <c r="K12" s="249">
        <v>711.4</v>
      </c>
      <c r="L12" s="337">
        <v>3.3</v>
      </c>
      <c r="M12" s="99">
        <f>AVERAGEIF('HQT Plant and WACC data'!$J$4:$AB$4,'Capital Cost Calculations'!A12,'HQT Plant and WACC data'!$J$66:$AB$66)</f>
        <v>30</v>
      </c>
      <c r="N12" s="228">
        <f t="shared" si="3"/>
        <v>684.69999999999993</v>
      </c>
      <c r="P12" s="296">
        <f>'Asset Price Index'!B73</f>
        <v>76.735077674285833</v>
      </c>
      <c r="Q12" s="296">
        <f t="shared" si="1"/>
        <v>76.735077674285819</v>
      </c>
      <c r="R12" s="149" t="s">
        <v>458</v>
      </c>
      <c r="S12" s="381"/>
      <c r="T12" s="222">
        <f t="shared" si="4"/>
        <v>9270857.8861371558</v>
      </c>
      <c r="U12" s="159">
        <f>'Input Price'!O22</f>
        <v>4.9272985442227029</v>
      </c>
      <c r="V12" s="159"/>
      <c r="W12" s="159"/>
      <c r="X12" s="159"/>
      <c r="Y12" s="176">
        <f t="shared" si="10"/>
        <v>1657230766.1309474</v>
      </c>
      <c r="Z12" s="176">
        <f t="shared" si="6"/>
        <v>332445068.7062602</v>
      </c>
      <c r="AA12" s="155">
        <f t="shared" si="5"/>
        <v>-1.1637760374237817E-2</v>
      </c>
      <c r="AB12" s="155">
        <f t="shared" si="7"/>
        <v>2.7564226720643511E-2</v>
      </c>
      <c r="AC12" s="177">
        <f t="shared" si="2"/>
        <v>7.7800000000000008E-2</v>
      </c>
      <c r="AD12" s="159">
        <f t="shared" si="8"/>
        <v>4.3718699506315097</v>
      </c>
      <c r="AE12" s="166">
        <f t="shared" si="9"/>
        <v>1.9965102125208793E-2</v>
      </c>
      <c r="AF12" s="286">
        <f>Q12*$S$5+Q11*(AE12+AE11+AE10)/3</f>
        <v>4.9272985442227029</v>
      </c>
      <c r="AG12" s="317">
        <f t="shared" si="11"/>
        <v>65.293967871360863</v>
      </c>
      <c r="AH12" s="166">
        <f t="shared" ref="AH12:AH24" si="14">LN(AF12/AF11)</f>
        <v>4.0992825904269857E-2</v>
      </c>
      <c r="AI12" s="162">
        <f t="shared" si="13"/>
        <v>1657230766.1309474</v>
      </c>
      <c r="AL12" s="32">
        <v>7.78</v>
      </c>
    </row>
    <row r="13" spans="1:38" x14ac:dyDescent="0.3">
      <c r="A13" s="25">
        <f t="shared" si="0"/>
        <v>2008</v>
      </c>
      <c r="B13" s="331"/>
      <c r="C13" s="331"/>
      <c r="D13" s="331"/>
      <c r="E13" s="332">
        <v>784.8</v>
      </c>
      <c r="F13" s="249"/>
      <c r="G13" s="10"/>
      <c r="H13" s="10"/>
      <c r="I13" s="10"/>
      <c r="J13" s="10"/>
      <c r="K13" s="249">
        <v>806</v>
      </c>
      <c r="L13" s="337">
        <v>-44.9</v>
      </c>
      <c r="M13" s="99">
        <f>AVERAGEIF('HQT Plant and WACC data'!$J$4:$AB$4,'Capital Cost Calculations'!A13,'HQT Plant and WACC data'!$J$66:$AB$66)</f>
        <v>21.2</v>
      </c>
      <c r="N13" s="228">
        <f t="shared" si="3"/>
        <v>739.9</v>
      </c>
      <c r="P13" s="296">
        <f>'Asset Price Index'!B74</f>
        <v>83.870177280272827</v>
      </c>
      <c r="Q13" s="296">
        <f t="shared" si="1"/>
        <v>83.870177280272813</v>
      </c>
      <c r="R13" s="149" t="s">
        <v>458</v>
      </c>
      <c r="S13" s="381"/>
      <c r="T13" s="222">
        <f t="shared" si="4"/>
        <v>9610090.5725589767</v>
      </c>
      <c r="U13" s="159">
        <f>'Input Price'!O23</f>
        <v>4.0535239969804282</v>
      </c>
      <c r="V13" s="159"/>
      <c r="W13" s="159"/>
      <c r="X13" s="159"/>
      <c r="Y13" s="176">
        <f t="shared" si="10"/>
        <v>1347574063.678633</v>
      </c>
      <c r="Z13" s="176">
        <f t="shared" si="6"/>
        <v>328600879.34864646</v>
      </c>
      <c r="AA13" s="155">
        <f t="shared" si="5"/>
        <v>-1.1630757903903778E-2</v>
      </c>
      <c r="AB13" s="155">
        <f t="shared" si="7"/>
        <v>2.8907303723762563E-2</v>
      </c>
      <c r="AC13" s="177">
        <f t="shared" si="2"/>
        <v>7.843E-2</v>
      </c>
      <c r="AD13" s="159">
        <f t="shared" si="8"/>
        <v>2.0786862903856367</v>
      </c>
      <c r="AE13" s="166">
        <f t="shared" si="9"/>
        <v>-1.4553545755606745E-2</v>
      </c>
      <c r="AF13" s="286">
        <f t="shared" si="12"/>
        <v>4.0535239969804282</v>
      </c>
      <c r="AG13" s="317">
        <f t="shared" si="11"/>
        <v>53.715167296887017</v>
      </c>
      <c r="AH13" s="166">
        <f t="shared" si="14"/>
        <v>-0.19520424974354789</v>
      </c>
      <c r="AI13" s="162">
        <f t="shared" si="13"/>
        <v>1347574063.678633</v>
      </c>
      <c r="AL13" s="32">
        <v>7.843</v>
      </c>
    </row>
    <row r="14" spans="1:38" x14ac:dyDescent="0.3">
      <c r="A14" s="25">
        <f t="shared" si="0"/>
        <v>2009</v>
      </c>
      <c r="B14" s="331"/>
      <c r="C14" s="331"/>
      <c r="D14" s="331"/>
      <c r="E14" s="338">
        <v>1440</v>
      </c>
      <c r="F14" s="249"/>
      <c r="G14" s="10"/>
      <c r="H14" s="10"/>
      <c r="I14" s="10"/>
      <c r="J14" s="10"/>
      <c r="K14" s="249">
        <v>1438.3</v>
      </c>
      <c r="L14" s="337">
        <v>-16.8</v>
      </c>
      <c r="M14" s="99">
        <f>AVERAGEIF('HQT Plant and WACC data'!$J$4:$AB$4,'Capital Cost Calculations'!A14,'HQT Plant and WACC data'!$J$66:$AB$66)</f>
        <v>51</v>
      </c>
      <c r="N14" s="228">
        <f t="shared" si="3"/>
        <v>1370.5</v>
      </c>
      <c r="P14" s="296">
        <f>'Asset Price Index'!B75</f>
        <v>84.001528405128937</v>
      </c>
      <c r="Q14" s="296">
        <f t="shared" si="1"/>
        <v>84.001528405128923</v>
      </c>
      <c r="R14" s="149" t="s">
        <v>458</v>
      </c>
      <c r="S14" s="381"/>
      <c r="T14" s="222">
        <f t="shared" si="4"/>
        <v>17122307.502111841</v>
      </c>
      <c r="U14" s="159">
        <f>'Input Price'!O24</f>
        <v>5.446094307442034</v>
      </c>
      <c r="V14" s="159"/>
      <c r="W14" s="159"/>
      <c r="X14" s="159"/>
      <c r="Y14" s="176">
        <f t="shared" si="10"/>
        <v>1789591378.4411101</v>
      </c>
      <c r="Z14" s="176">
        <f t="shared" si="6"/>
        <v>332396365.17637056</v>
      </c>
      <c r="AA14" s="155">
        <f t="shared" si="5"/>
        <v>1.1484246186990003E-2</v>
      </c>
      <c r="AB14" s="155">
        <f t="shared" si="7"/>
        <v>5.2106700189152644E-2</v>
      </c>
      <c r="AC14" s="177">
        <f t="shared" si="2"/>
        <v>7.6479999999999992E-2</v>
      </c>
      <c r="AD14" s="159">
        <f t="shared" si="8"/>
        <v>9.4834982657745659</v>
      </c>
      <c r="AE14" s="166">
        <f t="shared" si="9"/>
        <v>7.4913875674100835E-2</v>
      </c>
      <c r="AF14" s="286">
        <f t="shared" si="12"/>
        <v>5.446094307442034</v>
      </c>
      <c r="AG14" s="317">
        <f t="shared" si="11"/>
        <v>72.168776367622769</v>
      </c>
      <c r="AH14" s="166">
        <f t="shared" si="14"/>
        <v>0.29531208543668674</v>
      </c>
      <c r="AI14" s="162">
        <f t="shared" si="13"/>
        <v>1789591378.4411101</v>
      </c>
      <c r="AL14" s="32">
        <v>7.6479999999999997</v>
      </c>
    </row>
    <row r="15" spans="1:38" ht="15" x14ac:dyDescent="0.25">
      <c r="A15" s="25">
        <f t="shared" si="0"/>
        <v>2010</v>
      </c>
      <c r="B15" s="331"/>
      <c r="C15" s="331"/>
      <c r="D15" s="331"/>
      <c r="E15" s="338">
        <v>1152.5999999999999</v>
      </c>
      <c r="F15" s="249"/>
      <c r="G15" s="10"/>
      <c r="H15" s="10"/>
      <c r="I15" s="10"/>
      <c r="J15" s="10"/>
      <c r="K15" s="249">
        <v>1128.0999999999999</v>
      </c>
      <c r="L15" s="336">
        <v>-4.3</v>
      </c>
      <c r="M15" s="99">
        <f>AVERAGEIF('HQT Plant and WACC data'!$J$4:$AB$4,'Capital Cost Calculations'!A15,'HQT Plant and WACC data'!$J$66:$AB$66)</f>
        <v>1.3</v>
      </c>
      <c r="N15" s="228">
        <f t="shared" si="3"/>
        <v>1122.5</v>
      </c>
      <c r="P15" s="296">
        <f>'Asset Price Index'!B76</f>
        <v>85.965391129751112</v>
      </c>
      <c r="Q15" s="296">
        <f t="shared" si="1"/>
        <v>85.965391129751097</v>
      </c>
      <c r="R15" s="149" t="s">
        <v>458</v>
      </c>
      <c r="T15" s="222">
        <f t="shared" si="4"/>
        <v>13122722.821063096</v>
      </c>
      <c r="U15" s="159">
        <f>'Input Price'!O25</f>
        <v>6.3937383825857506</v>
      </c>
      <c r="V15" s="159"/>
      <c r="W15" s="159"/>
      <c r="X15" s="159"/>
      <c r="Y15" s="176">
        <f t="shared" si="10"/>
        <v>2125255398.26015</v>
      </c>
      <c r="Z15" s="176">
        <f t="shared" ref="Z15:Z23" si="15">Z14*(1-$S$5)+N15*1000000/P15</f>
        <v>332789643.98993331</v>
      </c>
      <c r="AA15" s="155">
        <f t="shared" si="5"/>
        <v>1.1824628118075429E-3</v>
      </c>
      <c r="AB15" s="155">
        <f t="shared" si="7"/>
        <v>3.9479140555884654E-2</v>
      </c>
      <c r="AC15" s="177">
        <f t="shared" si="2"/>
        <v>7.4389999999999998E-2</v>
      </c>
      <c r="AD15" s="159">
        <f t="shared" si="8"/>
        <v>7.5602923754788822</v>
      </c>
      <c r="AE15" s="166">
        <f t="shared" si="9"/>
        <v>5.101110723568375E-2</v>
      </c>
      <c r="AF15" s="286">
        <f t="shared" si="12"/>
        <v>6.3937383825857506</v>
      </c>
      <c r="AG15" s="317">
        <f t="shared" si="11"/>
        <v>84.726457060315667</v>
      </c>
      <c r="AH15" s="166">
        <f>LN(AF15/AF14)</f>
        <v>0.16042042279172691</v>
      </c>
      <c r="AI15" s="162">
        <f t="shared" si="13"/>
        <v>2125255398.26015</v>
      </c>
      <c r="AL15" s="32">
        <v>7.4390000000000001</v>
      </c>
    </row>
    <row r="16" spans="1:38" ht="15" x14ac:dyDescent="0.25">
      <c r="A16" s="25">
        <f t="shared" si="0"/>
        <v>2011</v>
      </c>
      <c r="B16" s="331"/>
      <c r="C16" s="331"/>
      <c r="D16" s="331"/>
      <c r="E16" s="338">
        <v>1261.7</v>
      </c>
      <c r="F16" s="249"/>
      <c r="G16" s="10"/>
      <c r="H16" s="10"/>
      <c r="I16" s="10"/>
      <c r="J16" s="10"/>
      <c r="K16" s="249">
        <v>1230.2</v>
      </c>
      <c r="L16" s="337">
        <v>-3.7</v>
      </c>
      <c r="M16" s="99">
        <f>AVERAGEIF('HQT Plant and WACC data'!$J$4:$AB$4,'Capital Cost Calculations'!A16,'HQT Plant and WACC data'!$J$66:$AB$66)</f>
        <v>72.400000000000006</v>
      </c>
      <c r="N16" s="228">
        <f t="shared" si="3"/>
        <v>1154.0999999999999</v>
      </c>
      <c r="P16" s="296">
        <f>'Asset Price Index'!B77</f>
        <v>89.248260594194178</v>
      </c>
      <c r="Q16" s="296">
        <f t="shared" si="1"/>
        <v>89.248260594194164</v>
      </c>
      <c r="R16" s="149" t="s">
        <v>458</v>
      </c>
      <c r="T16" s="222">
        <f t="shared" si="4"/>
        <v>13784022.140147205</v>
      </c>
      <c r="U16" s="159">
        <f>'Input Price'!O26</f>
        <v>7.9790678537395836</v>
      </c>
      <c r="V16" s="159"/>
      <c r="W16" s="159"/>
      <c r="X16" s="159"/>
      <c r="Y16" s="176">
        <f t="shared" si="10"/>
        <v>2655351150.4175172</v>
      </c>
      <c r="Z16" s="176">
        <f t="shared" si="15"/>
        <v>333041703.01168299</v>
      </c>
      <c r="AA16" s="155">
        <f t="shared" si="5"/>
        <v>7.5712576443141269E-4</v>
      </c>
      <c r="AB16" s="155">
        <f t="shared" si="7"/>
        <v>4.1419624646024632E-2</v>
      </c>
      <c r="AC16" s="177">
        <f t="shared" si="2"/>
        <v>7.2050000000000003E-2</v>
      </c>
      <c r="AD16" s="159">
        <f t="shared" si="8"/>
        <v>6.311295695094298</v>
      </c>
      <c r="AE16" s="166">
        <f t="shared" si="9"/>
        <v>3.386173119438151E-2</v>
      </c>
      <c r="AF16" s="286">
        <f>Q16*$S$5+Q15*(AE16+AE15+AE14)/3</f>
        <v>7.9790678537395836</v>
      </c>
      <c r="AG16" s="317">
        <f t="shared" si="11"/>
        <v>105.7344091107164</v>
      </c>
      <c r="AH16" s="166">
        <f t="shared" si="14"/>
        <v>0.22150246060977635</v>
      </c>
      <c r="AI16" s="162">
        <f t="shared" si="13"/>
        <v>2655351150.4175172</v>
      </c>
      <c r="AL16" s="32">
        <v>7.2050000000000001</v>
      </c>
    </row>
    <row r="17" spans="1:38" ht="15" x14ac:dyDescent="0.25">
      <c r="A17" s="25">
        <f t="shared" si="0"/>
        <v>2012</v>
      </c>
      <c r="B17" s="331"/>
      <c r="C17" s="331"/>
      <c r="D17" s="331"/>
      <c r="E17" s="338">
        <v>1041.5999999999999</v>
      </c>
      <c r="F17" s="249"/>
      <c r="G17" s="10"/>
      <c r="H17" s="10"/>
      <c r="I17" s="10"/>
      <c r="J17" s="10"/>
      <c r="K17" s="249">
        <v>984.8</v>
      </c>
      <c r="L17" s="337">
        <v>30.4</v>
      </c>
      <c r="M17" s="99">
        <f>AVERAGEIF('HQT Plant and WACC data'!$J$4:$AB$4,'Capital Cost Calculations'!A17,'HQT Plant and WACC data'!$J$66:$AB$66)</f>
        <v>62.3</v>
      </c>
      <c r="N17" s="228">
        <f t="shared" si="3"/>
        <v>952.9</v>
      </c>
      <c r="P17" s="296">
        <f>'Asset Price Index'!B78</f>
        <v>92.256579771087715</v>
      </c>
      <c r="Q17" s="296">
        <f t="shared" si="1"/>
        <v>92.256579771087701</v>
      </c>
      <c r="R17" s="149" t="s">
        <v>458</v>
      </c>
      <c r="T17" s="222">
        <f t="shared" si="4"/>
        <v>10674577.384545816</v>
      </c>
      <c r="U17" s="159">
        <f>'Input Price'!O27</f>
        <v>7.0713857173160619</v>
      </c>
      <c r="V17" s="159"/>
      <c r="W17" s="159"/>
      <c r="X17" s="159"/>
      <c r="Y17" s="176">
        <f t="shared" si="10"/>
        <v>2355066341.947433</v>
      </c>
      <c r="Z17" s="176">
        <f t="shared" si="15"/>
        <v>330681616.71602571</v>
      </c>
      <c r="AA17" s="155">
        <f t="shared" si="5"/>
        <v>-7.1116869710474125E-3</v>
      </c>
      <c r="AB17" s="155">
        <f t="shared" si="7"/>
        <v>3.2051773961086653E-2</v>
      </c>
      <c r="AC17" s="177">
        <f t="shared" si="2"/>
        <v>6.8379999999999996E-2</v>
      </c>
      <c r="AD17" s="159">
        <f t="shared" si="8"/>
        <v>6.6094525718159023</v>
      </c>
      <c r="AE17" s="166">
        <f t="shared" si="9"/>
        <v>3.4672685629222946E-2</v>
      </c>
      <c r="AF17" s="286">
        <f t="shared" si="12"/>
        <v>7.0713857173160619</v>
      </c>
      <c r="AG17" s="317">
        <f t="shared" si="11"/>
        <v>93.706283004467835</v>
      </c>
      <c r="AH17" s="166">
        <f t="shared" si="14"/>
        <v>-0.12076513400709736</v>
      </c>
      <c r="AI17" s="162">
        <f>AF17*Z16</f>
        <v>2355066341.947433</v>
      </c>
      <c r="AL17" s="32">
        <v>6.8380000000000001</v>
      </c>
    </row>
    <row r="18" spans="1:38" ht="15" x14ac:dyDescent="0.25">
      <c r="A18" s="25">
        <f t="shared" si="0"/>
        <v>2013</v>
      </c>
      <c r="B18" s="331"/>
      <c r="C18" s="331"/>
      <c r="D18" s="331"/>
      <c r="E18" s="338">
        <v>1401.3</v>
      </c>
      <c r="F18" s="249"/>
      <c r="G18" s="10"/>
      <c r="H18" s="10"/>
      <c r="I18" s="10"/>
      <c r="J18" s="10"/>
      <c r="K18" s="249">
        <v>1386.5</v>
      </c>
      <c r="L18" s="339">
        <v>-58.1</v>
      </c>
      <c r="M18" s="99">
        <f>AVERAGEIF('HQT Plant and WACC data'!$J$4:$AB$4,'Capital Cost Calculations'!A18,'HQT Plant and WACC data'!$J$66:$AB$66)</f>
        <v>166.7</v>
      </c>
      <c r="N18" s="228">
        <f t="shared" si="3"/>
        <v>1161.7</v>
      </c>
      <c r="P18" s="296">
        <f>'Asset Price Index'!B79</f>
        <v>93.636624408247584</v>
      </c>
      <c r="Q18" s="296">
        <f t="shared" si="1"/>
        <v>93.63662440824757</v>
      </c>
      <c r="R18" s="149" t="s">
        <v>458</v>
      </c>
      <c r="T18" s="222">
        <f t="shared" si="4"/>
        <v>14807240.316085937</v>
      </c>
      <c r="U18" s="159">
        <f>'Input Price'!O28</f>
        <v>7.2130941377274125</v>
      </c>
      <c r="V18" s="159"/>
      <c r="W18" s="159"/>
      <c r="X18" s="159"/>
      <c r="Y18" s="176">
        <f t="shared" si="10"/>
        <v>2385237630.9885883</v>
      </c>
      <c r="Z18" s="176">
        <f t="shared" si="15"/>
        <v>330489117.42220825</v>
      </c>
      <c r="AA18" s="155">
        <f t="shared" si="5"/>
        <v>-5.8229830607251507E-4</v>
      </c>
      <c r="AB18" s="155">
        <f t="shared" si="7"/>
        <v>4.4777936140313841E-2</v>
      </c>
      <c r="AC18" s="177">
        <f t="shared" si="2"/>
        <v>6.497E-2</v>
      </c>
      <c r="AD18" s="159">
        <f t="shared" si="8"/>
        <v>8.181420740521931</v>
      </c>
      <c r="AE18" s="166">
        <f t="shared" si="9"/>
        <v>5.0011233475334607E-2</v>
      </c>
      <c r="AF18" s="286">
        <f t="shared" si="12"/>
        <v>7.2130941377274125</v>
      </c>
      <c r="AG18" s="317">
        <f t="shared" si="11"/>
        <v>95.584128433640956</v>
      </c>
      <c r="AH18" s="166">
        <f t="shared" si="14"/>
        <v>1.9841544232769556E-2</v>
      </c>
      <c r="AI18" s="162">
        <f t="shared" si="13"/>
        <v>2385237630.9885883</v>
      </c>
      <c r="AL18" s="32">
        <v>6.4969999999999999</v>
      </c>
    </row>
    <row r="19" spans="1:38" ht="15" x14ac:dyDescent="0.25">
      <c r="A19" s="25">
        <f t="shared" si="0"/>
        <v>2014</v>
      </c>
      <c r="B19" s="331"/>
      <c r="C19" s="331"/>
      <c r="D19" s="331"/>
      <c r="E19" s="338">
        <v>1786.3</v>
      </c>
      <c r="F19" s="249"/>
      <c r="G19" s="10"/>
      <c r="H19" s="10"/>
      <c r="I19" s="10"/>
      <c r="J19" s="10"/>
      <c r="K19" s="249">
        <v>1808</v>
      </c>
      <c r="L19" s="339">
        <v>-59.1</v>
      </c>
      <c r="M19" s="99">
        <f>AVERAGEIF('HQT Plant and WACC data'!$J$4:$AB$4,'Capital Cost Calculations'!A19,'HQT Plant and WACC data'!$J$66:$AB$66)</f>
        <v>88.1</v>
      </c>
      <c r="N19" s="228">
        <f t="shared" si="3"/>
        <v>1660.8000000000002</v>
      </c>
      <c r="P19" s="296">
        <f>'Asset Price Index'!B80</f>
        <v>96.039380581914699</v>
      </c>
      <c r="Q19" s="296">
        <f t="shared" si="1"/>
        <v>96.039380581914685</v>
      </c>
      <c r="R19" s="149" t="s">
        <v>458</v>
      </c>
      <c r="T19" s="222">
        <f t="shared" si="4"/>
        <v>18825610.796790861</v>
      </c>
      <c r="U19" s="159">
        <f>'Input Price'!O29</f>
        <v>7.7027508243237719</v>
      </c>
      <c r="V19" s="159"/>
      <c r="W19" s="159"/>
      <c r="X19" s="159"/>
      <c r="Y19" s="176">
        <f t="shared" si="10"/>
        <v>2545675321.6539502</v>
      </c>
      <c r="Z19" s="176">
        <f t="shared" si="15"/>
        <v>335190388.24936807</v>
      </c>
      <c r="AA19" s="155">
        <f t="shared" si="5"/>
        <v>1.4124962391593122E-2</v>
      </c>
      <c r="AB19" s="155">
        <f>T19/Z18</f>
        <v>5.6962876549852215E-2</v>
      </c>
      <c r="AC19" s="177">
        <f t="shared" si="2"/>
        <v>7.0529999999999995E-2</v>
      </c>
      <c r="AD19" s="159">
        <f t="shared" si="8"/>
        <v>7.8605353460175351</v>
      </c>
      <c r="AE19" s="166">
        <f t="shared" si="9"/>
        <v>4.4869568637253457E-2</v>
      </c>
      <c r="AF19" s="286">
        <f>Q19*$S$5+Q18*(AE19+AE18+AE17)/3</f>
        <v>7.7027508243237719</v>
      </c>
      <c r="AG19" s="317">
        <f t="shared" si="11"/>
        <v>102.07280121765699</v>
      </c>
      <c r="AH19" s="166">
        <f t="shared" si="14"/>
        <v>6.5679510417049322E-2</v>
      </c>
      <c r="AI19" s="162">
        <f>AF19*Z18</f>
        <v>2545675321.6539502</v>
      </c>
      <c r="AL19" s="32">
        <v>7.0529999999999999</v>
      </c>
    </row>
    <row r="20" spans="1:38" ht="15" x14ac:dyDescent="0.25">
      <c r="A20" s="25">
        <f t="shared" si="0"/>
        <v>2015</v>
      </c>
      <c r="B20" s="331"/>
      <c r="C20" s="331"/>
      <c r="D20" s="331"/>
      <c r="E20" s="338">
        <v>1768.6</v>
      </c>
      <c r="F20" s="249"/>
      <c r="G20" s="10"/>
      <c r="H20" s="10"/>
      <c r="I20" s="10"/>
      <c r="J20" s="10"/>
      <c r="K20" s="249">
        <v>1837.9</v>
      </c>
      <c r="L20" s="339">
        <v>-95.7</v>
      </c>
      <c r="M20" s="99">
        <f>AVERAGEIF('HQT Plant and WACC data'!$J$4:$AB$4,'Capital Cost Calculations'!A20,'HQT Plant and WACC data'!$J$66:$AB$66)</f>
        <v>76.400000000000006</v>
      </c>
      <c r="N20" s="228">
        <f t="shared" si="3"/>
        <v>1665.8</v>
      </c>
      <c r="P20" s="296">
        <f>'Asset Price Index'!B81</f>
        <v>98.734180295385016</v>
      </c>
      <c r="Q20" s="296">
        <f t="shared" si="1"/>
        <v>98.734180295385002</v>
      </c>
      <c r="R20" s="149" t="s">
        <v>458</v>
      </c>
      <c r="T20" s="222">
        <f t="shared" si="4"/>
        <v>18614627.624410491</v>
      </c>
      <c r="U20" s="159">
        <f>'Input Price'!O30</f>
        <v>8.1322517949532749</v>
      </c>
      <c r="V20" s="159"/>
      <c r="W20" s="159">
        <v>10.17563</v>
      </c>
      <c r="X20" s="159"/>
      <c r="Y20" s="176">
        <f t="shared" si="10"/>
        <v>2725852636.4920087</v>
      </c>
      <c r="Z20" s="176">
        <f t="shared" si="15"/>
        <v>339291198.03329164</v>
      </c>
      <c r="AA20" s="155">
        <f t="shared" si="5"/>
        <v>1.2160036384174178E-2</v>
      </c>
      <c r="AB20" s="155">
        <f t="shared" si="7"/>
        <v>5.5534491074254677E-2</v>
      </c>
      <c r="AC20" s="177">
        <f t="shared" si="2"/>
        <v>6.9699999999999998E-2</v>
      </c>
      <c r="AD20" s="159">
        <f t="shared" si="8"/>
        <v>7.7609173823433046</v>
      </c>
      <c r="AE20" s="166">
        <f t="shared" si="9"/>
        <v>4.1640679988332013E-2</v>
      </c>
      <c r="AF20" s="286">
        <f t="shared" si="12"/>
        <v>8.1322517949532749</v>
      </c>
      <c r="AG20" s="317">
        <f t="shared" si="11"/>
        <v>107.76432210385997</v>
      </c>
      <c r="AH20" s="166">
        <f t="shared" si="14"/>
        <v>5.4260343785354485E-2</v>
      </c>
      <c r="AI20" s="162">
        <f t="shared" si="13"/>
        <v>2725852636.4920087</v>
      </c>
      <c r="AL20" s="32">
        <v>6.97</v>
      </c>
    </row>
    <row r="21" spans="1:38" ht="15" x14ac:dyDescent="0.25">
      <c r="A21" s="25">
        <f t="shared" si="0"/>
        <v>2016</v>
      </c>
      <c r="B21" s="331"/>
      <c r="C21" s="331"/>
      <c r="D21" s="331"/>
      <c r="E21" s="338">
        <v>1087.8</v>
      </c>
      <c r="F21" s="249"/>
      <c r="G21" s="10"/>
      <c r="H21" s="10"/>
      <c r="I21" s="10"/>
      <c r="J21" s="10"/>
      <c r="K21" s="249">
        <v>1346.6</v>
      </c>
      <c r="L21" s="339">
        <v>-285.10000000000002</v>
      </c>
      <c r="M21" s="99">
        <f>AVERAGEIF('HQT Plant and WACC data'!$J$4:$AB$4,'Capital Cost Calculations'!A21,'HQT Plant and WACC data'!$J$66:$AB$66)</f>
        <v>80.3</v>
      </c>
      <c r="N21" s="228">
        <f t="shared" si="3"/>
        <v>981.2</v>
      </c>
      <c r="P21" s="296">
        <f>'Asset Price Index'!B82</f>
        <v>99.00608172567388</v>
      </c>
      <c r="Q21" s="296">
        <f t="shared" si="1"/>
        <v>99.006081725673866</v>
      </c>
      <c r="R21" s="149" t="s">
        <v>458</v>
      </c>
      <c r="T21" s="222">
        <f t="shared" si="4"/>
        <v>13601184.65985918</v>
      </c>
      <c r="U21" s="159">
        <f>'Input Price'!O31</f>
        <v>8.7840885239318443</v>
      </c>
      <c r="V21" s="149">
        <v>6.4369399999999999</v>
      </c>
      <c r="W21" s="149">
        <v>10.33379</v>
      </c>
      <c r="X21" s="159">
        <f>U21/W21</f>
        <v>0.85003551687540035</v>
      </c>
      <c r="Y21" s="176">
        <f t="shared" si="10"/>
        <v>2980363918.9153237</v>
      </c>
      <c r="Z21" s="176">
        <f t="shared" si="15"/>
        <v>336274705.68159455</v>
      </c>
      <c r="AA21" s="155">
        <f t="shared" si="5"/>
        <v>-8.9303275442908676E-3</v>
      </c>
      <c r="AB21" s="155">
        <f t="shared" si="7"/>
        <v>4.0087054243371847E-2</v>
      </c>
      <c r="AC21" s="177">
        <f t="shared" si="2"/>
        <v>6.8529999999999994E-2</v>
      </c>
      <c r="AD21" s="159">
        <f t="shared" si="8"/>
        <v>10.266483659102045</v>
      </c>
      <c r="AE21" s="166">
        <f>(AC21-(P21-P20)/P20)</f>
        <v>6.5776126625294182E-2</v>
      </c>
      <c r="AF21" s="286">
        <f t="shared" si="12"/>
        <v>8.7840885239318443</v>
      </c>
      <c r="AG21" s="317">
        <f t="shared" si="11"/>
        <v>116.40211948051838</v>
      </c>
      <c r="AH21" s="166">
        <f t="shared" si="14"/>
        <v>7.7104103818871714E-2</v>
      </c>
      <c r="AI21" s="162">
        <f t="shared" si="13"/>
        <v>2980363918.9153237</v>
      </c>
      <c r="AL21" s="32">
        <v>6.8529999999999998</v>
      </c>
    </row>
    <row r="22" spans="1:38" ht="15" x14ac:dyDescent="0.25">
      <c r="A22" s="25">
        <f t="shared" si="0"/>
        <v>2017</v>
      </c>
      <c r="B22" s="331"/>
      <c r="C22" s="331"/>
      <c r="D22" s="331"/>
      <c r="E22" s="338">
        <v>2045.5</v>
      </c>
      <c r="F22" s="249"/>
      <c r="G22" s="10"/>
      <c r="H22" s="10"/>
      <c r="I22" s="10"/>
      <c r="J22" s="10"/>
      <c r="K22" s="249">
        <v>2033.4</v>
      </c>
      <c r="L22" s="339">
        <v>-3.7</v>
      </c>
      <c r="M22" s="99">
        <f>AVERAGEIF('HQT Plant and WACC data'!$J$4:$AB$4,'Capital Cost Calculations'!A22,'HQT Plant and WACC data'!$J$66:$AB$66)</f>
        <v>4.5</v>
      </c>
      <c r="N22" s="228">
        <f t="shared" si="3"/>
        <v>2025.2</v>
      </c>
      <c r="P22" s="296">
        <f>'Asset Price Index'!B83</f>
        <v>100.80231830843488</v>
      </c>
      <c r="Q22" s="296">
        <f t="shared" si="1"/>
        <v>100.80231830843486</v>
      </c>
      <c r="R22" s="149" t="s">
        <v>458</v>
      </c>
      <c r="T22" s="222">
        <f t="shared" si="4"/>
        <v>20172155.106375668</v>
      </c>
      <c r="U22" s="159">
        <f>'Input Price'!O32</f>
        <v>9.0306030102404193</v>
      </c>
      <c r="V22" s="149">
        <v>6.36686</v>
      </c>
      <c r="W22" s="149">
        <v>10.38457</v>
      </c>
      <c r="X22" s="159">
        <f>U22/W22</f>
        <v>0.86961742375855899</v>
      </c>
      <c r="Y22" s="176">
        <f t="shared" si="10"/>
        <v>3036763369.3959188</v>
      </c>
      <c r="Z22" s="176">
        <f t="shared" si="15"/>
        <v>343553447.16606706</v>
      </c>
      <c r="AA22" s="155">
        <f t="shared" si="5"/>
        <v>2.1414293021189839E-2</v>
      </c>
      <c r="AB22" s="155">
        <f t="shared" si="7"/>
        <v>5.9987131846532336E-2</v>
      </c>
      <c r="AC22" s="177">
        <f t="shared" si="2"/>
        <v>6.7990000000000009E-2</v>
      </c>
      <c r="AD22" s="159">
        <f>AC22*Q21+Q22*$S$5-(Q22-Q21)</f>
        <v>8.7757552413189384</v>
      </c>
      <c r="AE22" s="166">
        <f t="shared" si="9"/>
        <v>4.9847310667661709E-2</v>
      </c>
      <c r="AF22" s="286">
        <f t="shared" si="12"/>
        <v>9.0306030102404193</v>
      </c>
      <c r="AG22" s="317">
        <f t="shared" si="11"/>
        <v>119.66879975255705</v>
      </c>
      <c r="AH22" s="166">
        <f t="shared" si="14"/>
        <v>2.7677181164501567E-2</v>
      </c>
      <c r="AI22" s="162">
        <f t="shared" si="13"/>
        <v>3036763369.3959188</v>
      </c>
      <c r="AL22" s="32">
        <v>6.7990000000000004</v>
      </c>
    </row>
    <row r="23" spans="1:38" ht="15.75" thickBot="1" x14ac:dyDescent="0.3">
      <c r="A23" s="25">
        <f t="shared" si="0"/>
        <v>2018</v>
      </c>
      <c r="B23" s="331"/>
      <c r="C23" s="331"/>
      <c r="D23" s="331"/>
      <c r="E23" s="338">
        <v>1629.7</v>
      </c>
      <c r="F23" s="249"/>
      <c r="G23" s="10"/>
      <c r="H23" s="10"/>
      <c r="I23" s="10"/>
      <c r="J23" s="10"/>
      <c r="K23" s="249">
        <v>1635.4</v>
      </c>
      <c r="L23" s="339">
        <v>-45.4</v>
      </c>
      <c r="M23" s="99">
        <f>AVERAGEIF('HQT Plant and WACC data'!$J$4:$AB$4,'Capital Cost Calculations'!A23,'HQT Plant and WACC data'!$J$66:$AB$66)</f>
        <v>110.5</v>
      </c>
      <c r="N23" s="228">
        <f t="shared" si="3"/>
        <v>1479.5</v>
      </c>
      <c r="P23" s="296">
        <f>'Asset Price Index'!B84</f>
        <v>103.88774325645528</v>
      </c>
      <c r="Q23" s="296">
        <f>Q24*P23/P24</f>
        <v>103.88774325645528</v>
      </c>
      <c r="R23" s="149" t="s">
        <v>458</v>
      </c>
      <c r="T23" s="222">
        <f t="shared" si="4"/>
        <v>15741991.776285708</v>
      </c>
      <c r="U23" s="159">
        <f>'Input Price'!O33</f>
        <v>9.1657309493845087</v>
      </c>
      <c r="V23" s="149">
        <v>5.7387699999999997</v>
      </c>
      <c r="W23" s="149">
        <v>9.4587900000000005</v>
      </c>
      <c r="X23" s="159">
        <f>U23/W23</f>
        <v>0.96901727910065749</v>
      </c>
      <c r="Y23" s="176">
        <f t="shared" si="10"/>
        <v>3148918463.4577565</v>
      </c>
      <c r="Z23" s="176">
        <f t="shared" si="15"/>
        <v>344705394.34561974</v>
      </c>
      <c r="AA23" s="155">
        <f t="shared" si="5"/>
        <v>3.3474274087897764E-3</v>
      </c>
      <c r="AB23" s="155">
        <f t="shared" si="7"/>
        <v>4.5821085208544957E-2</v>
      </c>
      <c r="AC23" s="177">
        <f t="shared" si="2"/>
        <v>6.9970000000000004E-2</v>
      </c>
      <c r="AD23" s="159">
        <f t="shared" si="8"/>
        <v>7.9258362820917174</v>
      </c>
      <c r="AE23" s="166">
        <f t="shared" si="9"/>
        <v>3.9361329487287967E-2</v>
      </c>
      <c r="AF23" s="286">
        <f t="shared" si="12"/>
        <v>9.1657309493845087</v>
      </c>
      <c r="AG23" s="317">
        <f t="shared" si="11"/>
        <v>121.45944410621458</v>
      </c>
      <c r="AH23" s="166">
        <f t="shared" si="14"/>
        <v>1.4852488803125612E-2</v>
      </c>
      <c r="AI23" s="162">
        <f t="shared" si="13"/>
        <v>3148918463.4577565</v>
      </c>
      <c r="AL23" s="32">
        <v>6.9969999999999999</v>
      </c>
    </row>
    <row r="24" spans="1:38" ht="15.75" thickBot="1" x14ac:dyDescent="0.3">
      <c r="A24" s="25">
        <v>2019</v>
      </c>
      <c r="B24" s="331"/>
      <c r="C24" s="331"/>
      <c r="D24" s="331"/>
      <c r="E24" s="338">
        <v>2277.1</v>
      </c>
      <c r="F24" s="249"/>
      <c r="G24" s="10"/>
      <c r="H24" s="10"/>
      <c r="I24" s="10"/>
      <c r="J24" s="10"/>
      <c r="K24" s="249">
        <v>2241.3000000000002</v>
      </c>
      <c r="L24" s="339">
        <v>-1.8</v>
      </c>
      <c r="M24" s="99">
        <f>AVERAGEIF('HQT Plant and WACC data'!$J$4:$AB$4,'Capital Cost Calculations'!A24,'HQT Plant and WACC data'!$J$66:$AB$66)</f>
        <v>-12.7</v>
      </c>
      <c r="N24" s="228">
        <f t="shared" si="3"/>
        <v>2252.1999999999998</v>
      </c>
      <c r="P24" s="296">
        <f>'Asset Price Index'!B85</f>
        <v>106.9</v>
      </c>
      <c r="Q24" s="327">
        <f>Q30</f>
        <v>106.9</v>
      </c>
      <c r="R24" s="161" t="s">
        <v>459</v>
      </c>
      <c r="T24" s="222">
        <f t="shared" si="4"/>
        <v>20966323.666978482</v>
      </c>
      <c r="U24" s="159">
        <f>'Input Price'!O34</f>
        <v>8.597663024515823</v>
      </c>
      <c r="V24" s="149">
        <v>5.6785199999999998</v>
      </c>
      <c r="W24" s="149">
        <v>9.3038500000000006</v>
      </c>
      <c r="X24" s="159">
        <f>U24/W24</f>
        <v>0.92409733868407407</v>
      </c>
      <c r="Y24" s="176">
        <f t="shared" si="10"/>
        <v>2963660823.3164806</v>
      </c>
      <c r="Z24" s="176">
        <f>Z23*(1-$S$5)+N24*1000000/P24</f>
        <v>352640406.9407897</v>
      </c>
      <c r="AA24" s="155">
        <f t="shared" si="5"/>
        <v>2.2758737714524312E-2</v>
      </c>
      <c r="AB24" s="155">
        <f t="shared" si="7"/>
        <v>6.0823891969490167E-2</v>
      </c>
      <c r="AC24" s="177">
        <f t="shared" si="2"/>
        <v>7.0449999999999999E-2</v>
      </c>
      <c r="AD24" s="159">
        <f>AC24*Q23+Q24*$S$5-(Q24-Q23)</f>
        <v>8.3795247688725496</v>
      </c>
      <c r="AE24" s="166">
        <f>(AC24-(P24-P23)/P23)</f>
        <v>4.1454695557697055E-2</v>
      </c>
      <c r="AF24" s="286">
        <f>Q24*$S$5+Q23*(AE24+AE23+AE22)/3</f>
        <v>8.597663024515823</v>
      </c>
      <c r="AG24" s="318">
        <f>'Input Price'!J55</f>
        <v>113.93170684770878</v>
      </c>
      <c r="AH24" s="166">
        <f t="shared" si="14"/>
        <v>-6.3981207549388422E-2</v>
      </c>
      <c r="AI24" s="162">
        <f>AF24*Z23</f>
        <v>2963660823.3164806</v>
      </c>
      <c r="AL24" s="32">
        <v>7.0449999999999999</v>
      </c>
    </row>
    <row r="25" spans="1:38" ht="15.75" thickBot="1" x14ac:dyDescent="0.3">
      <c r="AF25" s="10"/>
      <c r="AG25" s="234" t="s">
        <v>563</v>
      </c>
      <c r="AI25" s="163"/>
    </row>
    <row r="26" spans="1:38" ht="15.75" thickBot="1" x14ac:dyDescent="0.3">
      <c r="T26" s="340"/>
      <c r="U26" s="341"/>
      <c r="V26" s="341"/>
      <c r="W26" s="341"/>
      <c r="X26" s="341"/>
      <c r="Y26" s="341"/>
      <c r="Z26" s="341"/>
      <c r="AA26" s="342"/>
      <c r="AB26" s="341" t="s">
        <v>408</v>
      </c>
      <c r="AC26" s="341" t="s">
        <v>408</v>
      </c>
      <c r="AD26" s="341" t="s">
        <v>408</v>
      </c>
      <c r="AE26" s="341" t="s">
        <v>408</v>
      </c>
      <c r="AF26" s="341" t="s">
        <v>408</v>
      </c>
      <c r="AG26" s="341"/>
      <c r="AH26" s="341" t="s">
        <v>408</v>
      </c>
      <c r="AI26" s="343" t="s">
        <v>408</v>
      </c>
      <c r="AL26" s="149" t="s">
        <v>570</v>
      </c>
    </row>
    <row r="27" spans="1:38" ht="15.75" thickBot="1" x14ac:dyDescent="0.3">
      <c r="AI27" s="163"/>
    </row>
    <row r="28" spans="1:38" ht="15" x14ac:dyDescent="0.25">
      <c r="P28" s="149"/>
      <c r="AE28" s="166"/>
      <c r="AF28" s="319"/>
      <c r="AG28" s="320"/>
    </row>
    <row r="29" spans="1:38" ht="15.75" thickBot="1" x14ac:dyDescent="0.3">
      <c r="AF29" s="282"/>
      <c r="AG29" s="102"/>
    </row>
    <row r="30" spans="1:38" ht="15.75" thickBot="1" x14ac:dyDescent="0.3">
      <c r="P30" t="s">
        <v>435</v>
      </c>
      <c r="Q30" s="217">
        <v>106.9</v>
      </c>
      <c r="R30" t="s">
        <v>437</v>
      </c>
      <c r="AF30" s="282"/>
      <c r="AG30" s="102"/>
    </row>
    <row r="31" spans="1:38" ht="15" x14ac:dyDescent="0.25">
      <c r="P31" t="s">
        <v>436</v>
      </c>
      <c r="R31" s="19"/>
      <c r="AF31" s="282"/>
      <c r="AG31" s="102"/>
    </row>
    <row r="32" spans="1:38" ht="15" thickBot="1" x14ac:dyDescent="0.35">
      <c r="R32" s="231"/>
      <c r="AF32" s="283"/>
      <c r="AG32" s="321"/>
    </row>
  </sheetData>
  <mergeCells count="6">
    <mergeCell ref="B2:E2"/>
    <mergeCell ref="B3:D3"/>
    <mergeCell ref="G9:H9"/>
    <mergeCell ref="S6:S14"/>
    <mergeCell ref="G3:J3"/>
    <mergeCell ref="G2:K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0"/>
  <sheetViews>
    <sheetView workbookViewId="0">
      <pane xSplit="1" ySplit="5" topLeftCell="B6" activePane="bottomRight" state="frozen"/>
      <selection pane="topRight" activeCell="B1" sqref="B1"/>
      <selection pane="bottomLeft" activeCell="A6" sqref="A6"/>
      <selection pane="bottomRight" activeCell="L13" sqref="L13"/>
    </sheetView>
  </sheetViews>
  <sheetFormatPr baseColWidth="10" defaultColWidth="8.88671875" defaultRowHeight="14.4" x14ac:dyDescent="0.3"/>
  <cols>
    <col min="1" max="1" width="8.109375" customWidth="1"/>
    <col min="2" max="2" width="10.44140625" style="157" customWidth="1"/>
    <col min="3" max="3" width="8.44140625" style="157" customWidth="1"/>
    <col min="4" max="4" width="12.6640625" style="157" customWidth="1"/>
    <col min="5" max="5" width="2.33203125" style="157" customWidth="1"/>
    <col min="6" max="6" width="9.109375" style="157" customWidth="1"/>
    <col min="7" max="7" width="8.88671875" style="157" customWidth="1"/>
    <col min="8" max="8" width="14.44140625" style="157" customWidth="1"/>
    <col min="9" max="9" width="11.44140625" style="157" customWidth="1"/>
    <col min="10" max="10" width="16" style="157" customWidth="1"/>
    <col min="11" max="11" width="10.6640625" style="235" customWidth="1"/>
    <col min="12" max="12" width="10.109375" style="157" customWidth="1"/>
    <col min="13" max="13" width="11.44140625" style="157" customWidth="1"/>
    <col min="14" max="14" width="8.5546875" style="156" customWidth="1"/>
    <col min="15" max="15" width="2.5546875" customWidth="1"/>
    <col min="16" max="16" width="14.5546875" customWidth="1"/>
    <col min="17" max="17" width="15.109375" customWidth="1"/>
    <col min="18" max="18" width="11.33203125" customWidth="1"/>
    <col min="19" max="19" width="12.44140625" customWidth="1"/>
  </cols>
  <sheetData>
    <row r="1" spans="1:19" s="149" customFormat="1" ht="21" x14ac:dyDescent="0.4">
      <c r="A1" s="293" t="s">
        <v>466</v>
      </c>
      <c r="B1" s="294"/>
      <c r="C1" s="294"/>
      <c r="D1" s="294"/>
      <c r="E1" s="295"/>
      <c r="F1" s="235"/>
      <c r="G1" s="235"/>
      <c r="H1" s="235"/>
      <c r="I1" s="235"/>
      <c r="J1" s="235"/>
      <c r="K1" s="382"/>
      <c r="L1" s="235"/>
      <c r="M1" s="235"/>
      <c r="N1" s="296"/>
      <c r="O1" s="10"/>
      <c r="P1" s="10"/>
      <c r="Q1" s="10"/>
      <c r="R1" s="10"/>
      <c r="S1" s="10"/>
    </row>
    <row r="2" spans="1:19" x14ac:dyDescent="0.3">
      <c r="A2" s="10"/>
      <c r="B2" s="235"/>
      <c r="C2" s="235"/>
      <c r="D2" s="235"/>
      <c r="E2" s="235"/>
      <c r="F2" s="235"/>
      <c r="G2" s="235"/>
      <c r="H2" s="235"/>
      <c r="I2" s="235"/>
      <c r="J2" s="235"/>
      <c r="K2" s="382"/>
      <c r="L2" s="235"/>
      <c r="M2" s="235"/>
      <c r="N2" s="296"/>
      <c r="O2" s="10"/>
      <c r="P2" s="10"/>
      <c r="Q2" s="10"/>
      <c r="R2" s="380"/>
      <c r="S2" s="380"/>
    </row>
    <row r="3" spans="1:19" ht="32.25" customHeight="1" x14ac:dyDescent="0.25">
      <c r="A3" s="10"/>
      <c r="B3" s="382"/>
      <c r="C3" s="382"/>
      <c r="D3" s="382"/>
      <c r="E3" s="235"/>
      <c r="F3" s="386"/>
      <c r="G3" s="386"/>
      <c r="H3" s="235"/>
      <c r="I3" s="235"/>
      <c r="J3" s="235"/>
      <c r="K3" s="382"/>
      <c r="L3" s="382"/>
      <c r="M3" s="382"/>
      <c r="N3" s="382"/>
      <c r="O3" s="10"/>
      <c r="P3" s="384" t="s">
        <v>473</v>
      </c>
      <c r="Q3" s="384"/>
      <c r="R3" s="384"/>
      <c r="S3" s="384"/>
    </row>
    <row r="4" spans="1:19" s="230" customFormat="1" ht="76.5" customHeight="1" x14ac:dyDescent="0.25">
      <c r="A4" s="297" t="s">
        <v>80</v>
      </c>
      <c r="B4" s="385" t="s">
        <v>472</v>
      </c>
      <c r="C4" s="385"/>
      <c r="D4" s="298" t="s">
        <v>471</v>
      </c>
      <c r="E4" s="298"/>
      <c r="F4" s="385" t="s">
        <v>548</v>
      </c>
      <c r="G4" s="385"/>
      <c r="H4" s="385" t="s">
        <v>467</v>
      </c>
      <c r="I4" s="385"/>
      <c r="J4" s="298" t="s">
        <v>464</v>
      </c>
      <c r="K4" s="298" t="s">
        <v>468</v>
      </c>
      <c r="L4" s="385" t="s">
        <v>348</v>
      </c>
      <c r="M4" s="385"/>
      <c r="N4" s="385"/>
      <c r="O4" s="297"/>
      <c r="P4" s="299" t="s">
        <v>283</v>
      </c>
      <c r="Q4" s="299" t="s">
        <v>284</v>
      </c>
      <c r="R4" s="299" t="s">
        <v>285</v>
      </c>
      <c r="S4" s="299" t="s">
        <v>469</v>
      </c>
    </row>
    <row r="5" spans="1:19" s="230" customFormat="1" ht="54.75" customHeight="1" x14ac:dyDescent="0.25">
      <c r="A5" s="297"/>
      <c r="B5" s="298" t="s">
        <v>465</v>
      </c>
      <c r="C5" s="298" t="s">
        <v>463</v>
      </c>
      <c r="D5" s="298"/>
      <c r="E5" s="298"/>
      <c r="F5" s="298" t="s">
        <v>465</v>
      </c>
      <c r="G5" s="298" t="s">
        <v>463</v>
      </c>
      <c r="H5" s="298" t="s">
        <v>465</v>
      </c>
      <c r="I5" s="298" t="s">
        <v>463</v>
      </c>
      <c r="J5" s="300"/>
      <c r="K5" s="298"/>
      <c r="L5" s="298" t="s">
        <v>465</v>
      </c>
      <c r="M5" s="298" t="s">
        <v>470</v>
      </c>
      <c r="N5" s="301" t="s">
        <v>463</v>
      </c>
      <c r="O5" s="297"/>
      <c r="P5" s="299"/>
      <c r="Q5" s="299"/>
      <c r="R5" s="383"/>
      <c r="S5" s="383"/>
    </row>
    <row r="6" spans="1:19" ht="15" x14ac:dyDescent="0.25">
      <c r="A6" s="10">
        <v>1940</v>
      </c>
      <c r="B6" s="235">
        <f>(0.5*M6/M7+0.5*H6/H7)*B7</f>
        <v>3.4503775754674897</v>
      </c>
      <c r="C6" s="235"/>
      <c r="D6" s="235"/>
      <c r="E6" s="235"/>
      <c r="F6" s="235"/>
      <c r="G6" s="235"/>
      <c r="H6" s="302">
        <v>100</v>
      </c>
      <c r="I6" s="235"/>
      <c r="J6" s="303">
        <v>24</v>
      </c>
      <c r="K6" s="148">
        <v>0.95331999999999995</v>
      </c>
      <c r="L6" s="186">
        <f>J6*K6</f>
        <v>22.87968</v>
      </c>
      <c r="M6" s="186">
        <f>L6/$L$6*100</f>
        <v>100</v>
      </c>
      <c r="N6" s="304"/>
      <c r="O6" s="10"/>
      <c r="P6" s="227"/>
      <c r="Q6" s="227"/>
      <c r="R6" s="10"/>
      <c r="S6" s="10"/>
    </row>
    <row r="7" spans="1:19" ht="15" x14ac:dyDescent="0.25">
      <c r="A7" s="10">
        <v>1941</v>
      </c>
      <c r="B7" s="235">
        <f t="shared" ref="B7:B25" si="0">(0.5*M7/M8+0.5*H7/H8)*B8</f>
        <v>3.5534427234567181</v>
      </c>
      <c r="C7" s="177">
        <f>LN(B7/B6)</f>
        <v>2.9433247589292492E-2</v>
      </c>
      <c r="D7" s="235"/>
      <c r="E7" s="235"/>
      <c r="F7" s="235"/>
      <c r="G7" s="235"/>
      <c r="H7" s="302">
        <f>(1+I7)*H6</f>
        <v>101.83388741889017</v>
      </c>
      <c r="I7" s="274">
        <v>1.8338874188901667E-2</v>
      </c>
      <c r="J7" s="303">
        <v>25</v>
      </c>
      <c r="K7" s="148">
        <v>0.95331999999999995</v>
      </c>
      <c r="L7" s="186">
        <f t="shared" ref="L7:L70" si="1">J7*K7</f>
        <v>23.832999999999998</v>
      </c>
      <c r="M7" s="186">
        <f t="shared" ref="M7:M70" si="2">L7/$L$6*100</f>
        <v>104.16666666666666</v>
      </c>
      <c r="N7" s="304">
        <f>LN(M7/M6)</f>
        <v>4.0821994520254985E-2</v>
      </c>
      <c r="O7" s="10"/>
      <c r="P7" s="227"/>
      <c r="Q7" s="227"/>
      <c r="R7" s="10"/>
      <c r="S7" s="10"/>
    </row>
    <row r="8" spans="1:19" ht="15" x14ac:dyDescent="0.25">
      <c r="A8" s="10">
        <v>1942</v>
      </c>
      <c r="B8" s="235">
        <f t="shared" si="0"/>
        <v>3.5946518809704568</v>
      </c>
      <c r="C8" s="177">
        <f t="shared" ref="C8:C71" si="3">LN(B8/B7)</f>
        <v>1.1530237453175793E-2</v>
      </c>
      <c r="D8" s="235"/>
      <c r="E8" s="235"/>
      <c r="F8" s="235"/>
      <c r="G8" s="235"/>
      <c r="H8" s="302">
        <f t="shared" ref="H8:H35" si="4">(1+I8)*H7</f>
        <v>104.22352844252448</v>
      </c>
      <c r="I8" s="274">
        <v>2.3466068950158073E-2</v>
      </c>
      <c r="J8" s="303">
        <v>25</v>
      </c>
      <c r="K8" s="148">
        <v>0.95331999999999995</v>
      </c>
      <c r="L8" s="186">
        <f t="shared" si="1"/>
        <v>23.832999999999998</v>
      </c>
      <c r="M8" s="186">
        <f t="shared" si="2"/>
        <v>104.16666666666666</v>
      </c>
      <c r="N8" s="304">
        <f t="shared" ref="N8:N71" si="5">LN(M8/M7)</f>
        <v>0</v>
      </c>
      <c r="O8" s="10"/>
      <c r="P8" s="227"/>
      <c r="Q8" s="227"/>
      <c r="R8" s="10"/>
      <c r="S8" s="10"/>
    </row>
    <row r="9" spans="1:19" ht="15" x14ac:dyDescent="0.25">
      <c r="A9" s="10">
        <v>1943</v>
      </c>
      <c r="B9" s="235">
        <f t="shared" si="0"/>
        <v>3.6315741524190419</v>
      </c>
      <c r="C9" s="177">
        <f t="shared" si="3"/>
        <v>1.0219052819697663E-2</v>
      </c>
      <c r="D9" s="235"/>
      <c r="E9" s="235"/>
      <c r="F9" s="235"/>
      <c r="G9" s="235"/>
      <c r="H9" s="302">
        <f t="shared" si="4"/>
        <v>106.38680099600072</v>
      </c>
      <c r="I9" s="274">
        <v>2.0756086325260003E-2</v>
      </c>
      <c r="J9" s="303">
        <v>25</v>
      </c>
      <c r="K9" s="148">
        <v>0.95331999999999995</v>
      </c>
      <c r="L9" s="186">
        <f t="shared" si="1"/>
        <v>23.832999999999998</v>
      </c>
      <c r="M9" s="186">
        <f t="shared" si="2"/>
        <v>104.16666666666666</v>
      </c>
      <c r="N9" s="304">
        <f t="shared" si="5"/>
        <v>0</v>
      </c>
      <c r="O9" s="10"/>
      <c r="P9" s="227"/>
      <c r="Q9" s="227"/>
      <c r="R9" s="10"/>
      <c r="S9" s="10"/>
    </row>
    <row r="10" spans="1:19" ht="15" x14ac:dyDescent="0.25">
      <c r="A10" s="10">
        <v>1944</v>
      </c>
      <c r="B10" s="235">
        <f t="shared" si="0"/>
        <v>3.6637821158002053</v>
      </c>
      <c r="C10" s="177">
        <f t="shared" si="3"/>
        <v>8.829773750396638E-3</v>
      </c>
      <c r="D10" s="235"/>
      <c r="E10" s="235"/>
      <c r="F10" s="235"/>
      <c r="G10" s="235"/>
      <c r="H10" s="302">
        <f t="shared" si="4"/>
        <v>108.29074853051607</v>
      </c>
      <c r="I10" s="274">
        <v>1.7896463815910139E-2</v>
      </c>
      <c r="J10" s="303">
        <v>25</v>
      </c>
      <c r="K10" s="148">
        <v>0.95331999999999995</v>
      </c>
      <c r="L10" s="186">
        <f t="shared" si="1"/>
        <v>23.832999999999998</v>
      </c>
      <c r="M10" s="186">
        <f t="shared" si="2"/>
        <v>104.16666666666666</v>
      </c>
      <c r="N10" s="304">
        <f t="shared" si="5"/>
        <v>0</v>
      </c>
      <c r="O10" s="10"/>
      <c r="P10" s="227"/>
      <c r="Q10" s="227"/>
      <c r="R10" s="10"/>
      <c r="S10" s="10"/>
    </row>
    <row r="11" spans="1:19" ht="15" x14ac:dyDescent="0.25">
      <c r="A11" s="10">
        <v>1945</v>
      </c>
      <c r="B11" s="235">
        <f>(0.5*M11/M12+0.5*H11/H12)*B12</f>
        <v>3.7677594823290392</v>
      </c>
      <c r="C11" s="177">
        <f t="shared" si="3"/>
        <v>2.7984544191173813E-2</v>
      </c>
      <c r="D11" s="235"/>
      <c r="E11" s="235"/>
      <c r="F11" s="235"/>
      <c r="G11" s="235"/>
      <c r="H11" s="302">
        <f t="shared" si="4"/>
        <v>110.13346528424634</v>
      </c>
      <c r="I11" s="274">
        <v>1.7016382089288233E-2</v>
      </c>
      <c r="J11" s="303">
        <v>26</v>
      </c>
      <c r="K11" s="148">
        <v>0.95331999999999995</v>
      </c>
      <c r="L11" s="186">
        <f t="shared" si="1"/>
        <v>24.78632</v>
      </c>
      <c r="M11" s="186">
        <f t="shared" si="2"/>
        <v>108.33333333333333</v>
      </c>
      <c r="N11" s="304">
        <f t="shared" si="5"/>
        <v>3.9220713153281329E-2</v>
      </c>
      <c r="O11" s="10"/>
      <c r="P11" s="227"/>
      <c r="Q11" s="227"/>
      <c r="R11" s="10"/>
      <c r="S11" s="10"/>
    </row>
    <row r="12" spans="1:19" ht="15" x14ac:dyDescent="0.25">
      <c r="A12" s="10">
        <v>1946</v>
      </c>
      <c r="B12" s="235">
        <f t="shared" si="0"/>
        <v>4.0118011854840185</v>
      </c>
      <c r="C12" s="177">
        <f t="shared" si="3"/>
        <v>6.2759790884560351E-2</v>
      </c>
      <c r="D12" s="235"/>
      <c r="E12" s="235"/>
      <c r="F12" s="235"/>
      <c r="G12" s="235"/>
      <c r="H12" s="302">
        <f t="shared" si="4"/>
        <v>112.17660932816437</v>
      </c>
      <c r="I12" s="274">
        <v>1.8551527808961906E-2</v>
      </c>
      <c r="J12" s="303">
        <v>29</v>
      </c>
      <c r="K12" s="148">
        <v>0.95331999999999995</v>
      </c>
      <c r="L12" s="186">
        <f t="shared" si="1"/>
        <v>27.646279999999997</v>
      </c>
      <c r="M12" s="186">
        <f t="shared" si="2"/>
        <v>120.83333333333333</v>
      </c>
      <c r="N12" s="304">
        <f t="shared" si="5"/>
        <v>0.10919929196499201</v>
      </c>
      <c r="O12" s="10"/>
      <c r="P12" s="227"/>
      <c r="Q12" s="227"/>
      <c r="R12" s="10"/>
      <c r="S12" s="10"/>
    </row>
    <row r="13" spans="1:19" ht="15" x14ac:dyDescent="0.25">
      <c r="A13" s="10">
        <v>1947</v>
      </c>
      <c r="B13" s="235">
        <f t="shared" si="0"/>
        <v>4.4062211140127543</v>
      </c>
      <c r="C13" s="177">
        <f t="shared" si="3"/>
        <v>9.377711796420625E-2</v>
      </c>
      <c r="D13" s="235"/>
      <c r="E13" s="235"/>
      <c r="F13" s="235"/>
      <c r="G13" s="235"/>
      <c r="H13" s="302">
        <f t="shared" si="4"/>
        <v>115.88131592607934</v>
      </c>
      <c r="I13" s="274">
        <v>3.3025660341338352E-2</v>
      </c>
      <c r="J13" s="303">
        <v>34</v>
      </c>
      <c r="K13" s="148">
        <v>0.95331999999999995</v>
      </c>
      <c r="L13" s="186">
        <f t="shared" si="1"/>
        <v>32.412880000000001</v>
      </c>
      <c r="M13" s="186">
        <f t="shared" si="2"/>
        <v>141.66666666666669</v>
      </c>
      <c r="N13" s="304">
        <f t="shared" si="5"/>
        <v>0.15906469462968748</v>
      </c>
      <c r="O13" s="10"/>
      <c r="P13" s="227"/>
      <c r="Q13" s="227"/>
      <c r="R13" s="10"/>
      <c r="S13" s="10"/>
    </row>
    <row r="14" spans="1:19" ht="15" x14ac:dyDescent="0.25">
      <c r="A14" s="10">
        <v>1948</v>
      </c>
      <c r="B14" s="235">
        <f t="shared" si="0"/>
        <v>4.7717385375554269</v>
      </c>
      <c r="C14" s="177">
        <f t="shared" si="3"/>
        <v>7.969327990615338E-2</v>
      </c>
      <c r="D14" s="235"/>
      <c r="E14" s="235"/>
      <c r="F14" s="235"/>
      <c r="G14" s="235"/>
      <c r="H14" s="302">
        <f t="shared" si="4"/>
        <v>121.71611707662318</v>
      </c>
      <c r="I14" s="274">
        <v>5.035152650722264E-2</v>
      </c>
      <c r="J14" s="303">
        <v>38</v>
      </c>
      <c r="K14" s="148">
        <v>0.95331999999999995</v>
      </c>
      <c r="L14" s="186">
        <f t="shared" si="1"/>
        <v>36.22616</v>
      </c>
      <c r="M14" s="186">
        <f t="shared" si="2"/>
        <v>158.33333333333331</v>
      </c>
      <c r="N14" s="304">
        <f t="shared" si="5"/>
        <v>0.11122563511022421</v>
      </c>
      <c r="O14" s="10"/>
      <c r="P14" s="227"/>
      <c r="Q14" s="227"/>
      <c r="R14" s="10"/>
      <c r="S14" s="10"/>
    </row>
    <row r="15" spans="1:19" ht="15" x14ac:dyDescent="0.25">
      <c r="A15" s="10">
        <v>1949</v>
      </c>
      <c r="B15" s="235">
        <f t="shared" si="0"/>
        <v>4.9681580635805958</v>
      </c>
      <c r="C15" s="177">
        <f t="shared" si="3"/>
        <v>4.0338448687690327E-2</v>
      </c>
      <c r="D15" s="235"/>
      <c r="E15" s="235"/>
      <c r="F15" s="235"/>
      <c r="G15" s="235"/>
      <c r="H15" s="302">
        <f t="shared" si="4"/>
        <v>128.58653985998245</v>
      </c>
      <c r="I15" s="274">
        <v>5.6446286230394556E-2</v>
      </c>
      <c r="J15" s="303">
        <v>39</v>
      </c>
      <c r="K15" s="148">
        <v>0.95331999999999995</v>
      </c>
      <c r="L15" s="186">
        <f t="shared" si="1"/>
        <v>37.179479999999998</v>
      </c>
      <c r="M15" s="186">
        <f t="shared" si="2"/>
        <v>162.49999999999997</v>
      </c>
      <c r="N15" s="304">
        <f t="shared" si="5"/>
        <v>2.5975486403260521E-2</v>
      </c>
      <c r="O15" s="10"/>
      <c r="P15" s="227"/>
      <c r="Q15" s="227"/>
      <c r="R15" s="10"/>
      <c r="S15" s="10"/>
    </row>
    <row r="16" spans="1:19" ht="15" x14ac:dyDescent="0.25">
      <c r="A16" s="10">
        <v>1950</v>
      </c>
      <c r="B16" s="235">
        <f t="shared" si="0"/>
        <v>5.2988224216340836</v>
      </c>
      <c r="C16" s="177">
        <f t="shared" si="3"/>
        <v>6.4435450808330907E-2</v>
      </c>
      <c r="D16" s="235"/>
      <c r="E16" s="235"/>
      <c r="F16" s="235"/>
      <c r="G16" s="235"/>
      <c r="H16" s="302">
        <f t="shared" si="4"/>
        <v>135.83728439744718</v>
      </c>
      <c r="I16" s="274">
        <v>5.638805232149513E-2</v>
      </c>
      <c r="J16" s="303">
        <v>42</v>
      </c>
      <c r="K16" s="148">
        <v>0.95331999999999995</v>
      </c>
      <c r="L16" s="186">
        <f t="shared" si="1"/>
        <v>40.039439999999999</v>
      </c>
      <c r="M16" s="186">
        <f t="shared" si="2"/>
        <v>175</v>
      </c>
      <c r="N16" s="304">
        <f t="shared" si="5"/>
        <v>7.4107972153722043E-2</v>
      </c>
      <c r="O16" s="10"/>
      <c r="P16" s="227"/>
      <c r="Q16" s="227"/>
      <c r="R16" s="10"/>
      <c r="S16" s="10"/>
    </row>
    <row r="17" spans="1:19" ht="15" x14ac:dyDescent="0.25">
      <c r="A17" s="10">
        <v>1951</v>
      </c>
      <c r="B17" s="235">
        <f t="shared" si="0"/>
        <v>5.7161703362084024</v>
      </c>
      <c r="C17" s="177">
        <f t="shared" si="3"/>
        <v>7.5814448246035393E-2</v>
      </c>
      <c r="D17" s="235"/>
      <c r="E17" s="235"/>
      <c r="F17" s="235"/>
      <c r="G17" s="235"/>
      <c r="H17" s="302">
        <f t="shared" si="4"/>
        <v>144.36447352948895</v>
      </c>
      <c r="I17" s="274">
        <v>6.2775026531684916E-2</v>
      </c>
      <c r="J17" s="303">
        <v>46</v>
      </c>
      <c r="K17" s="148">
        <v>0.95331999999999995</v>
      </c>
      <c r="L17" s="186">
        <f t="shared" si="1"/>
        <v>43.852719999999998</v>
      </c>
      <c r="M17" s="186">
        <f t="shared" si="2"/>
        <v>191.66666666666666</v>
      </c>
      <c r="N17" s="304">
        <f t="shared" si="5"/>
        <v>9.0971778205726592E-2</v>
      </c>
      <c r="O17" s="10"/>
      <c r="P17" s="227"/>
      <c r="Q17" s="227"/>
      <c r="R17" s="10"/>
      <c r="S17" s="10"/>
    </row>
    <row r="18" spans="1:19" ht="15" x14ac:dyDescent="0.25">
      <c r="A18" s="10">
        <v>1952</v>
      </c>
      <c r="B18" s="235">
        <f t="shared" si="0"/>
        <v>6.0254709619698366</v>
      </c>
      <c r="C18" s="177">
        <f t="shared" si="3"/>
        <v>5.2696584763447032E-2</v>
      </c>
      <c r="D18" s="235"/>
      <c r="E18" s="235"/>
      <c r="F18" s="235"/>
      <c r="G18" s="235"/>
      <c r="H18" s="302">
        <f t="shared" si="4"/>
        <v>153.7424092147221</v>
      </c>
      <c r="I18" s="274">
        <v>6.4960134969200278E-2</v>
      </c>
      <c r="J18" s="303">
        <v>48</v>
      </c>
      <c r="K18" s="148">
        <v>0.95331999999999995</v>
      </c>
      <c r="L18" s="186">
        <f t="shared" si="1"/>
        <v>45.759360000000001</v>
      </c>
      <c r="M18" s="186">
        <f t="shared" si="2"/>
        <v>200</v>
      </c>
      <c r="N18" s="304">
        <f t="shared" si="5"/>
        <v>4.2559614418795903E-2</v>
      </c>
      <c r="O18" s="10"/>
      <c r="P18" s="227"/>
      <c r="Q18" s="227"/>
      <c r="R18" s="10"/>
      <c r="S18" s="10"/>
    </row>
    <row r="19" spans="1:19" ht="15" x14ac:dyDescent="0.25">
      <c r="A19" s="10">
        <v>1953</v>
      </c>
      <c r="B19" s="235">
        <f t="shared" si="0"/>
        <v>6.3276909612832206</v>
      </c>
      <c r="C19" s="177">
        <f t="shared" si="3"/>
        <v>4.8939748276727715E-2</v>
      </c>
      <c r="D19" s="235"/>
      <c r="E19" s="235"/>
      <c r="F19" s="235"/>
      <c r="G19" s="235"/>
      <c r="H19" s="302">
        <f t="shared" si="4"/>
        <v>162.78046852368902</v>
      </c>
      <c r="I19" s="274">
        <v>5.8787027958850741E-2</v>
      </c>
      <c r="J19" s="303">
        <v>50</v>
      </c>
      <c r="K19" s="148">
        <v>0.95331999999999995</v>
      </c>
      <c r="L19" s="186">
        <f t="shared" si="1"/>
        <v>47.665999999999997</v>
      </c>
      <c r="M19" s="186">
        <f t="shared" si="2"/>
        <v>208.33333333333331</v>
      </c>
      <c r="N19" s="304">
        <f t="shared" si="5"/>
        <v>4.0821994520254985E-2</v>
      </c>
      <c r="O19" s="10"/>
      <c r="P19" s="227"/>
      <c r="Q19" s="305"/>
      <c r="R19" s="296"/>
      <c r="S19" s="10"/>
    </row>
    <row r="20" spans="1:19" ht="15" x14ac:dyDescent="0.25">
      <c r="A20" s="10">
        <v>1954</v>
      </c>
      <c r="B20" s="235">
        <f t="shared" si="0"/>
        <v>6.5421441206543633</v>
      </c>
      <c r="C20" s="177">
        <f t="shared" si="3"/>
        <v>3.3329566373526583E-2</v>
      </c>
      <c r="D20" s="235"/>
      <c r="E20" s="235"/>
      <c r="F20" s="235"/>
      <c r="G20" s="235"/>
      <c r="H20" s="302">
        <f t="shared" si="4"/>
        <v>170.62095687189139</v>
      </c>
      <c r="I20" s="274">
        <v>4.8166026423872604E-2</v>
      </c>
      <c r="J20" s="303">
        <v>51</v>
      </c>
      <c r="K20" s="148">
        <v>0.95331999999999995</v>
      </c>
      <c r="L20" s="186">
        <f t="shared" si="1"/>
        <v>48.619319999999995</v>
      </c>
      <c r="M20" s="186">
        <f t="shared" si="2"/>
        <v>212.49999999999994</v>
      </c>
      <c r="N20" s="304">
        <f t="shared" si="5"/>
        <v>1.9802627296179511E-2</v>
      </c>
      <c r="O20" s="10"/>
      <c r="P20" s="227"/>
      <c r="Q20" s="305"/>
      <c r="R20" s="296"/>
      <c r="S20" s="10"/>
    </row>
    <row r="21" spans="1:19" ht="15" x14ac:dyDescent="0.25">
      <c r="A21" s="10">
        <v>1955</v>
      </c>
      <c r="B21" s="235">
        <f t="shared" si="0"/>
        <v>6.8012418578925145</v>
      </c>
      <c r="C21" s="177">
        <f t="shared" si="3"/>
        <v>3.8840262734781972E-2</v>
      </c>
      <c r="D21" s="235"/>
      <c r="E21" s="235"/>
      <c r="F21" s="235"/>
      <c r="G21" s="235"/>
      <c r="H21" s="302">
        <f t="shared" si="4"/>
        <v>177.44467216744343</v>
      </c>
      <c r="I21" s="274">
        <v>3.9993418280238162E-2</v>
      </c>
      <c r="J21" s="303">
        <v>53</v>
      </c>
      <c r="K21" s="148">
        <v>0.95331999999999995</v>
      </c>
      <c r="L21" s="186">
        <f t="shared" si="1"/>
        <v>50.525959999999998</v>
      </c>
      <c r="M21" s="186">
        <f t="shared" si="2"/>
        <v>220.83333333333331</v>
      </c>
      <c r="N21" s="304">
        <f t="shared" si="5"/>
        <v>3.8466280827796143E-2</v>
      </c>
      <c r="O21" s="10"/>
      <c r="P21" s="227">
        <f t="shared" ref="P21:P65" si="6">P22-1</f>
        <v>1</v>
      </c>
      <c r="Q21" s="305">
        <f t="shared" ref="Q21:Q66" si="7">P21/SUM($P$21:$P$67)</f>
        <v>8.8652482269503544E-4</v>
      </c>
      <c r="R21" s="296">
        <f>B21*Q21</f>
        <v>6.0294697321742145E-3</v>
      </c>
      <c r="S21" s="10"/>
    </row>
    <row r="22" spans="1:19" ht="15" x14ac:dyDescent="0.25">
      <c r="A22" s="10">
        <v>1956</v>
      </c>
      <c r="B22" s="235">
        <f t="shared" si="0"/>
        <v>7.2048063413300749</v>
      </c>
      <c r="C22" s="177">
        <f t="shared" si="3"/>
        <v>5.76431290497042E-2</v>
      </c>
      <c r="D22" s="235"/>
      <c r="E22" s="235"/>
      <c r="F22" s="235"/>
      <c r="G22" s="235"/>
      <c r="H22" s="302">
        <f t="shared" si="4"/>
        <v>185.19528442897462</v>
      </c>
      <c r="I22" s="274">
        <v>4.3679036213707452E-2</v>
      </c>
      <c r="J22" s="303">
        <v>57</v>
      </c>
      <c r="K22" s="148">
        <v>0.95331999999999995</v>
      </c>
      <c r="L22" s="186">
        <f t="shared" si="1"/>
        <v>54.339239999999997</v>
      </c>
      <c r="M22" s="186">
        <f t="shared" si="2"/>
        <v>237.5</v>
      </c>
      <c r="N22" s="304">
        <f t="shared" si="5"/>
        <v>7.2759354282428301E-2</v>
      </c>
      <c r="O22" s="10"/>
      <c r="P22" s="227">
        <f t="shared" si="6"/>
        <v>2</v>
      </c>
      <c r="Q22" s="305">
        <f t="shared" si="7"/>
        <v>1.7730496453900709E-3</v>
      </c>
      <c r="R22" s="296">
        <f>B22*Q22</f>
        <v>1.2774479328599424E-2</v>
      </c>
      <c r="S22" s="10"/>
    </row>
    <row r="23" spans="1:19" ht="15" x14ac:dyDescent="0.25">
      <c r="A23" s="10">
        <v>1957</v>
      </c>
      <c r="B23" s="235">
        <f t="shared" si="0"/>
        <v>7.4344260334124517</v>
      </c>
      <c r="C23" s="177">
        <f t="shared" si="3"/>
        <v>3.1373028286862344E-2</v>
      </c>
      <c r="D23" s="235"/>
      <c r="E23" s="235"/>
      <c r="F23" s="235"/>
      <c r="G23" s="235"/>
      <c r="H23" s="302">
        <f t="shared" si="4"/>
        <v>193.82649924791036</v>
      </c>
      <c r="I23" s="274">
        <v>4.660601832033108E-2</v>
      </c>
      <c r="J23" s="303">
        <v>58</v>
      </c>
      <c r="K23" s="148">
        <v>0.95331999999999995</v>
      </c>
      <c r="L23" s="186">
        <f t="shared" si="1"/>
        <v>55.292559999999995</v>
      </c>
      <c r="M23" s="186">
        <f t="shared" si="2"/>
        <v>241.66666666666666</v>
      </c>
      <c r="N23" s="304">
        <f t="shared" si="5"/>
        <v>1.7391742711869239E-2</v>
      </c>
      <c r="O23" s="10"/>
      <c r="P23" s="227">
        <f t="shared" si="6"/>
        <v>3</v>
      </c>
      <c r="Q23" s="305">
        <f t="shared" si="7"/>
        <v>2.6595744680851063E-3</v>
      </c>
      <c r="R23" s="296">
        <f t="shared" ref="R23:R66" si="8">B23*Q23</f>
        <v>1.9772409663330989E-2</v>
      </c>
      <c r="S23" s="10"/>
    </row>
    <row r="24" spans="1:19" ht="15" x14ac:dyDescent="0.25">
      <c r="A24" s="10">
        <v>1958</v>
      </c>
      <c r="B24" s="235">
        <f t="shared" si="0"/>
        <v>7.70542590190695</v>
      </c>
      <c r="C24" s="177">
        <f t="shared" si="3"/>
        <v>3.5803364281684083E-2</v>
      </c>
      <c r="D24" s="235"/>
      <c r="E24" s="235"/>
      <c r="F24" s="235"/>
      <c r="G24" s="235"/>
      <c r="H24" s="302">
        <f t="shared" si="4"/>
        <v>201.27501884342777</v>
      </c>
      <c r="I24" s="274">
        <v>3.8428799077625191E-2</v>
      </c>
      <c r="J24" s="303">
        <v>60</v>
      </c>
      <c r="K24" s="148">
        <v>0.95331999999999995</v>
      </c>
      <c r="L24" s="186">
        <f t="shared" si="1"/>
        <v>57.199199999999998</v>
      </c>
      <c r="M24" s="186">
        <f t="shared" si="2"/>
        <v>250</v>
      </c>
      <c r="N24" s="304">
        <f t="shared" si="5"/>
        <v>3.3901551675681416E-2</v>
      </c>
      <c r="O24" s="10"/>
      <c r="P24" s="227">
        <f t="shared" si="6"/>
        <v>4</v>
      </c>
      <c r="Q24" s="305">
        <f t="shared" si="7"/>
        <v>3.5460992907801418E-3</v>
      </c>
      <c r="R24" s="296">
        <f t="shared" si="8"/>
        <v>2.732420532591117E-2</v>
      </c>
      <c r="S24" s="10"/>
    </row>
    <row r="25" spans="1:19" ht="15" x14ac:dyDescent="0.25">
      <c r="A25" s="10">
        <v>1959</v>
      </c>
      <c r="B25" s="235">
        <f t="shared" si="0"/>
        <v>7.8211419689095498</v>
      </c>
      <c r="C25" s="177">
        <f t="shared" si="3"/>
        <v>1.4905832438627262E-2</v>
      </c>
      <c r="D25" s="235"/>
      <c r="E25" s="235"/>
      <c r="F25" s="235"/>
      <c r="G25" s="235"/>
      <c r="H25" s="302">
        <f t="shared" si="4"/>
        <v>207.4124744439894</v>
      </c>
      <c r="I25" s="274">
        <v>3.0492883000726265E-2</v>
      </c>
      <c r="J25" s="303">
        <v>60</v>
      </c>
      <c r="K25" s="148">
        <v>0.95331999999999995</v>
      </c>
      <c r="L25" s="186">
        <f t="shared" si="1"/>
        <v>57.199199999999998</v>
      </c>
      <c r="M25" s="186">
        <f t="shared" si="2"/>
        <v>250</v>
      </c>
      <c r="N25" s="304">
        <f t="shared" si="5"/>
        <v>0</v>
      </c>
      <c r="O25" s="10"/>
      <c r="P25" s="227">
        <f t="shared" si="6"/>
        <v>5</v>
      </c>
      <c r="Q25" s="305">
        <f t="shared" si="7"/>
        <v>4.4326241134751776E-3</v>
      </c>
      <c r="R25" s="296">
        <f t="shared" si="8"/>
        <v>3.4668182486301199E-2</v>
      </c>
      <c r="S25" s="10"/>
    </row>
    <row r="26" spans="1:19" ht="15" x14ac:dyDescent="0.25">
      <c r="A26" s="10">
        <v>1960</v>
      </c>
      <c r="B26" s="235">
        <f>(0.5*M26/M27+0.5*H26/H27)*B27</f>
        <v>7.9249098921602528</v>
      </c>
      <c r="C26" s="177">
        <f t="shared" si="3"/>
        <v>1.3180373898812861E-2</v>
      </c>
      <c r="D26" s="235"/>
      <c r="E26" s="235"/>
      <c r="F26" s="235"/>
      <c r="G26" s="235"/>
      <c r="H26" s="302">
        <f t="shared" si="4"/>
        <v>212.99021671798198</v>
      </c>
      <c r="I26" s="274">
        <v>2.6892028982079576E-2</v>
      </c>
      <c r="J26" s="303">
        <v>60</v>
      </c>
      <c r="K26" s="148">
        <v>0.95331999999999995</v>
      </c>
      <c r="L26" s="186">
        <f t="shared" si="1"/>
        <v>57.199199999999998</v>
      </c>
      <c r="M26" s="186">
        <f t="shared" si="2"/>
        <v>250</v>
      </c>
      <c r="N26" s="304">
        <f t="shared" si="5"/>
        <v>0</v>
      </c>
      <c r="O26" s="10"/>
      <c r="P26" s="227">
        <f t="shared" si="6"/>
        <v>6</v>
      </c>
      <c r="Q26" s="305">
        <f t="shared" si="7"/>
        <v>5.3191489361702126E-3</v>
      </c>
      <c r="R26" s="296">
        <f t="shared" si="8"/>
        <v>4.2153776022129004E-2</v>
      </c>
      <c r="S26" s="10"/>
    </row>
    <row r="27" spans="1:19" ht="15" x14ac:dyDescent="0.25">
      <c r="A27" s="10">
        <v>1961</v>
      </c>
      <c r="B27" s="235">
        <f>(0.5*D27/D28+0.5*M27/M28)*B28</f>
        <v>7.8589307561568056</v>
      </c>
      <c r="C27" s="177">
        <f t="shared" si="3"/>
        <v>-8.3603885492901635E-3</v>
      </c>
      <c r="D27" s="306">
        <v>100</v>
      </c>
      <c r="E27" s="306"/>
      <c r="F27" s="304">
        <v>0.11087866108786611</v>
      </c>
      <c r="G27" s="235"/>
      <c r="H27" s="302">
        <f t="shared" si="4"/>
        <v>217.95133618081903</v>
      </c>
      <c r="I27" s="274">
        <v>2.3292710525789143E-2</v>
      </c>
      <c r="J27" s="303">
        <v>58</v>
      </c>
      <c r="K27" s="148">
        <v>0.94867000000000001</v>
      </c>
      <c r="L27" s="186">
        <f t="shared" si="1"/>
        <v>55.022860000000001</v>
      </c>
      <c r="M27" s="186">
        <f t="shared" si="2"/>
        <v>240.48789143904111</v>
      </c>
      <c r="N27" s="304">
        <f t="shared" si="5"/>
        <v>-3.8791177030720284E-2</v>
      </c>
      <c r="O27" s="10"/>
      <c r="P27" s="227">
        <f t="shared" si="6"/>
        <v>7</v>
      </c>
      <c r="Q27" s="305">
        <f t="shared" si="7"/>
        <v>6.2056737588652485E-3</v>
      </c>
      <c r="R27" s="296">
        <f t="shared" si="8"/>
        <v>4.8769960366221311E-2</v>
      </c>
      <c r="S27" s="10"/>
    </row>
    <row r="28" spans="1:19" ht="15" x14ac:dyDescent="0.25">
      <c r="A28" s="10">
        <v>1962</v>
      </c>
      <c r="B28" s="235">
        <f>D28/D29*B29</f>
        <v>7.8478110615661922</v>
      </c>
      <c r="C28" s="177">
        <f t="shared" si="3"/>
        <v>-1.415913825718808E-3</v>
      </c>
      <c r="D28" s="232">
        <f t="shared" ref="D28:D33" si="9">EXP(0.5*G28+0.5*N28)*D27</f>
        <v>100.46642178304242</v>
      </c>
      <c r="E28" s="307" t="s">
        <v>11</v>
      </c>
      <c r="F28" s="304">
        <v>0.11275212167970902</v>
      </c>
      <c r="G28" s="308">
        <f>LN(F28/F27)</f>
        <v>1.6755335721331657E-2</v>
      </c>
      <c r="H28" s="302">
        <f t="shared" si="4"/>
        <v>222.56416804176888</v>
      </c>
      <c r="I28" s="274">
        <v>2.1164503699683253E-2</v>
      </c>
      <c r="J28" s="303">
        <v>58</v>
      </c>
      <c r="K28" s="148">
        <v>0.94162999999999997</v>
      </c>
      <c r="L28" s="186">
        <f t="shared" si="1"/>
        <v>54.614539999999998</v>
      </c>
      <c r="M28" s="186">
        <f t="shared" si="2"/>
        <v>238.70325109442086</v>
      </c>
      <c r="N28" s="304">
        <f t="shared" si="5"/>
        <v>-7.4485875777299797E-3</v>
      </c>
      <c r="O28" s="10"/>
      <c r="P28" s="227">
        <f t="shared" si="6"/>
        <v>8</v>
      </c>
      <c r="Q28" s="305">
        <f t="shared" si="7"/>
        <v>7.0921985815602835E-3</v>
      </c>
      <c r="R28" s="296">
        <f t="shared" si="8"/>
        <v>5.5658234479192853E-2</v>
      </c>
      <c r="S28" s="10"/>
    </row>
    <row r="29" spans="1:19" ht="15" x14ac:dyDescent="0.25">
      <c r="A29" s="10">
        <v>1963</v>
      </c>
      <c r="B29" s="235">
        <f t="shared" ref="B29:B83" si="10">D29/D30*B30</f>
        <v>7.9891612337276268</v>
      </c>
      <c r="C29" s="177">
        <f t="shared" si="3"/>
        <v>1.7851130013129064E-2</v>
      </c>
      <c r="D29" s="232">
        <f t="shared" si="9"/>
        <v>102.27596407503566</v>
      </c>
      <c r="E29" s="232"/>
      <c r="F29" s="304">
        <v>0.11605171870072532</v>
      </c>
      <c r="G29" s="308">
        <f t="shared" ref="G29:G85" si="11">LN(F29/F28)</f>
        <v>2.8844146848586081E-2</v>
      </c>
      <c r="H29" s="302">
        <f t="shared" si="4"/>
        <v>227.30968531153414</v>
      </c>
      <c r="I29" s="274">
        <v>2.1322018326304346E-2</v>
      </c>
      <c r="J29" s="303">
        <v>58</v>
      </c>
      <c r="K29" s="148">
        <v>0.94811000000000001</v>
      </c>
      <c r="L29" s="186">
        <f t="shared" si="1"/>
        <v>54.990380000000002</v>
      </c>
      <c r="M29" s="186">
        <f t="shared" si="2"/>
        <v>240.34593141162813</v>
      </c>
      <c r="N29" s="304">
        <f t="shared" si="5"/>
        <v>6.8581131776721373E-3</v>
      </c>
      <c r="O29" s="10"/>
      <c r="P29" s="227">
        <f t="shared" si="6"/>
        <v>9</v>
      </c>
      <c r="Q29" s="305">
        <f t="shared" si="7"/>
        <v>7.9787234042553185E-3</v>
      </c>
      <c r="R29" s="296">
        <f t="shared" si="8"/>
        <v>6.3743307715911912E-2</v>
      </c>
      <c r="S29" s="10"/>
    </row>
    <row r="30" spans="1:19" ht="15" x14ac:dyDescent="0.25">
      <c r="A30" s="10">
        <v>1964</v>
      </c>
      <c r="B30" s="235">
        <f t="shared" si="10"/>
        <v>8.3389386486558053</v>
      </c>
      <c r="C30" s="177">
        <f t="shared" si="3"/>
        <v>4.285017065694012E-2</v>
      </c>
      <c r="D30" s="232">
        <f t="shared" si="9"/>
        <v>106.75375858648297</v>
      </c>
      <c r="E30" s="232"/>
      <c r="F30" s="304">
        <v>0.11906251503922229</v>
      </c>
      <c r="G30" s="308">
        <f t="shared" si="11"/>
        <v>2.5612749021969358E-2</v>
      </c>
      <c r="H30" s="302">
        <f t="shared" si="4"/>
        <v>232.60412965328283</v>
      </c>
      <c r="I30" s="274">
        <v>2.3291767504286014E-2</v>
      </c>
      <c r="J30" s="303">
        <v>61</v>
      </c>
      <c r="K30" s="148">
        <v>0.95730999999999999</v>
      </c>
      <c r="L30" s="186">
        <f t="shared" si="1"/>
        <v>58.395910000000001</v>
      </c>
      <c r="M30" s="186">
        <f t="shared" si="2"/>
        <v>255.23044902725914</v>
      </c>
      <c r="N30" s="304">
        <f t="shared" si="5"/>
        <v>6.0087592291910914E-2</v>
      </c>
      <c r="O30" s="10"/>
      <c r="P30" s="227">
        <f t="shared" si="6"/>
        <v>10</v>
      </c>
      <c r="Q30" s="305">
        <f t="shared" si="7"/>
        <v>8.8652482269503553E-3</v>
      </c>
      <c r="R30" s="296">
        <f t="shared" si="8"/>
        <v>7.3926761069643673E-2</v>
      </c>
      <c r="S30" s="10"/>
    </row>
    <row r="31" spans="1:19" ht="15" x14ac:dyDescent="0.25">
      <c r="A31" s="10">
        <v>1965</v>
      </c>
      <c r="B31" s="235">
        <f t="shared" si="10"/>
        <v>8.8207618406330468</v>
      </c>
      <c r="C31" s="177">
        <f t="shared" si="3"/>
        <v>5.6172294858124777E-2</v>
      </c>
      <c r="D31" s="232">
        <f t="shared" si="9"/>
        <v>112.92198201213418</v>
      </c>
      <c r="E31" s="232"/>
      <c r="F31" s="304">
        <v>0.12611004507117676</v>
      </c>
      <c r="G31" s="308">
        <f t="shared" si="11"/>
        <v>5.7506207728768972E-2</v>
      </c>
      <c r="H31" s="302">
        <f t="shared" si="4"/>
        <v>238.83625143140466</v>
      </c>
      <c r="I31" s="274">
        <v>2.6792825163557448E-2</v>
      </c>
      <c r="J31" s="303">
        <v>64</v>
      </c>
      <c r="K31" s="148">
        <v>0.96387</v>
      </c>
      <c r="L31" s="186">
        <f t="shared" si="1"/>
        <v>61.68768</v>
      </c>
      <c r="M31" s="186">
        <f t="shared" si="2"/>
        <v>269.6177568917048</v>
      </c>
      <c r="N31" s="304">
        <f t="shared" si="5"/>
        <v>5.4838381987480214E-2</v>
      </c>
      <c r="O31" s="10"/>
      <c r="P31" s="227">
        <f t="shared" si="6"/>
        <v>11</v>
      </c>
      <c r="Q31" s="305">
        <f t="shared" si="7"/>
        <v>9.7517730496453903E-3</v>
      </c>
      <c r="R31" s="296">
        <f t="shared" si="8"/>
        <v>8.6018067594825817E-2</v>
      </c>
      <c r="S31" s="10"/>
    </row>
    <row r="32" spans="1:19" ht="15" x14ac:dyDescent="0.25">
      <c r="A32" s="10">
        <v>1966</v>
      </c>
      <c r="B32" s="235">
        <f t="shared" si="10"/>
        <v>9.3287506312868462</v>
      </c>
      <c r="C32" s="177">
        <f t="shared" si="3"/>
        <v>5.5992854357092232E-2</v>
      </c>
      <c r="D32" s="232">
        <f t="shared" si="9"/>
        <v>119.42517324628923</v>
      </c>
      <c r="E32" s="232"/>
      <c r="F32" s="304">
        <v>0.13483625805900687</v>
      </c>
      <c r="G32" s="308">
        <f t="shared" si="11"/>
        <v>6.6906239645864549E-2</v>
      </c>
      <c r="H32" s="302">
        <f t="shared" si="4"/>
        <v>246.23456631280683</v>
      </c>
      <c r="I32" s="274">
        <v>3.0976515654814792E-2</v>
      </c>
      <c r="J32" s="303">
        <v>66</v>
      </c>
      <c r="K32" s="148">
        <v>0.97775999999999996</v>
      </c>
      <c r="L32" s="186">
        <f t="shared" si="1"/>
        <v>64.532160000000005</v>
      </c>
      <c r="M32" s="186">
        <f t="shared" si="2"/>
        <v>282.05009860277767</v>
      </c>
      <c r="N32" s="304">
        <f t="shared" si="5"/>
        <v>4.5079469068319881E-2</v>
      </c>
      <c r="O32" s="10"/>
      <c r="P32" s="227">
        <f t="shared" si="6"/>
        <v>12</v>
      </c>
      <c r="Q32" s="305">
        <f t="shared" si="7"/>
        <v>1.0638297872340425E-2</v>
      </c>
      <c r="R32" s="296">
        <f t="shared" si="8"/>
        <v>9.9242027992413259E-2</v>
      </c>
      <c r="S32" s="10"/>
    </row>
    <row r="33" spans="1:19" ht="15" x14ac:dyDescent="0.25">
      <c r="A33" s="10">
        <v>1967</v>
      </c>
      <c r="B33" s="235">
        <f t="shared" si="10"/>
        <v>9.9355802613981332</v>
      </c>
      <c r="C33" s="177">
        <f t="shared" si="3"/>
        <v>6.3021182941029805E-2</v>
      </c>
      <c r="D33" s="232">
        <f t="shared" si="9"/>
        <v>127.19370909544882</v>
      </c>
      <c r="E33" s="232"/>
      <c r="F33" s="304">
        <v>0.14209584079270576</v>
      </c>
      <c r="G33" s="308">
        <f t="shared" si="11"/>
        <v>5.2440626085535964E-2</v>
      </c>
      <c r="H33" s="302">
        <f t="shared" si="4"/>
        <v>253.69253121488578</v>
      </c>
      <c r="I33" s="274">
        <v>3.0288050186279107E-2</v>
      </c>
      <c r="J33" s="303">
        <v>70</v>
      </c>
      <c r="K33" s="148">
        <v>0.99229999999999996</v>
      </c>
      <c r="L33" s="186">
        <f t="shared" si="1"/>
        <v>69.460999999999999</v>
      </c>
      <c r="M33" s="186">
        <f t="shared" si="2"/>
        <v>303.59253276269595</v>
      </c>
      <c r="N33" s="304">
        <f t="shared" si="5"/>
        <v>7.3601739796523749E-2</v>
      </c>
      <c r="O33" s="10"/>
      <c r="P33" s="227">
        <f t="shared" si="6"/>
        <v>13</v>
      </c>
      <c r="Q33" s="305">
        <f t="shared" si="7"/>
        <v>1.152482269503546E-2</v>
      </c>
      <c r="R33" s="296">
        <f t="shared" si="8"/>
        <v>0.11450580088490755</v>
      </c>
      <c r="S33" s="10"/>
    </row>
    <row r="34" spans="1:19" ht="15" x14ac:dyDescent="0.25">
      <c r="A34" s="10">
        <v>1968</v>
      </c>
      <c r="B34" s="235">
        <f>D34/D35*B35</f>
        <v>10.070504725678802</v>
      </c>
      <c r="C34" s="177">
        <f t="shared" si="3"/>
        <v>1.3488547114693548E-2</v>
      </c>
      <c r="D34" s="232">
        <f>EXP(0.5*G34+0.5*N34)*D33</f>
        <v>128.92099050308346</v>
      </c>
      <c r="E34" s="232"/>
      <c r="F34" s="304">
        <v>0.14360505542148963</v>
      </c>
      <c r="G34" s="308">
        <f t="shared" si="11"/>
        <v>1.0565095784611915E-2</v>
      </c>
      <c r="H34" s="302">
        <f t="shared" si="4"/>
        <v>260.07624766364626</v>
      </c>
      <c r="I34" s="274">
        <v>2.516320215731252E-2</v>
      </c>
      <c r="J34" s="303">
        <v>72</v>
      </c>
      <c r="K34" s="148">
        <v>0.98070000000000002</v>
      </c>
      <c r="L34" s="186">
        <f t="shared" si="1"/>
        <v>70.610399999999998</v>
      </c>
      <c r="M34" s="186">
        <f t="shared" si="2"/>
        <v>308.61620442243947</v>
      </c>
      <c r="N34" s="304">
        <f t="shared" si="5"/>
        <v>1.6411998444775092E-2</v>
      </c>
      <c r="O34" s="10"/>
      <c r="P34" s="227">
        <f t="shared" si="6"/>
        <v>14</v>
      </c>
      <c r="Q34" s="305">
        <f t="shared" si="7"/>
        <v>1.2411347517730497E-2</v>
      </c>
      <c r="R34" s="296">
        <f t="shared" si="8"/>
        <v>0.12498853382934684</v>
      </c>
      <c r="S34" s="10"/>
    </row>
    <row r="35" spans="1:19" ht="15" x14ac:dyDescent="0.25">
      <c r="A35" s="10">
        <v>1969</v>
      </c>
      <c r="B35" s="235">
        <f t="shared" si="10"/>
        <v>10.628094719113985</v>
      </c>
      <c r="C35" s="177">
        <f t="shared" si="3"/>
        <v>5.3890112891311757E-2</v>
      </c>
      <c r="D35" s="233">
        <f>EXP(0.5*G35+0.5*N35)*D34</f>
        <v>136.05916840046052</v>
      </c>
      <c r="E35" s="232"/>
      <c r="F35" s="304">
        <v>0.1524966261808367</v>
      </c>
      <c r="G35" s="308">
        <f t="shared" si="11"/>
        <v>6.0075611518918971E-2</v>
      </c>
      <c r="H35" s="302">
        <f t="shared" si="4"/>
        <v>266.23292424117085</v>
      </c>
      <c r="I35" s="274">
        <v>2.3672583070665176E-2</v>
      </c>
      <c r="J35" s="303">
        <v>76</v>
      </c>
      <c r="K35" s="148">
        <v>0.97448000000000001</v>
      </c>
      <c r="L35" s="186">
        <f t="shared" si="1"/>
        <v>74.060479999999998</v>
      </c>
      <c r="M35" s="186">
        <f t="shared" si="2"/>
        <v>323.69543629980842</v>
      </c>
      <c r="N35" s="304">
        <f t="shared" si="5"/>
        <v>4.7704614263704849E-2</v>
      </c>
      <c r="O35" s="10"/>
      <c r="P35" s="227">
        <f t="shared" si="6"/>
        <v>15</v>
      </c>
      <c r="Q35" s="305">
        <f t="shared" si="7"/>
        <v>1.3297872340425532E-2</v>
      </c>
      <c r="R35" s="296">
        <f t="shared" si="8"/>
        <v>0.14133104679672853</v>
      </c>
      <c r="S35" s="10"/>
    </row>
    <row r="36" spans="1:19" ht="15" x14ac:dyDescent="0.25">
      <c r="A36" s="10">
        <v>1970</v>
      </c>
      <c r="B36" s="235">
        <f t="shared" si="10"/>
        <v>11.07050822779526</v>
      </c>
      <c r="C36" s="177">
        <f t="shared" si="3"/>
        <v>4.0783715955038352E-2</v>
      </c>
      <c r="D36" s="233">
        <f>EXP(0.5*G36+0.5*N36)*D35</f>
        <v>141.72287536498806</v>
      </c>
      <c r="E36" s="232"/>
      <c r="F36" s="304">
        <v>0.16068113953676055</v>
      </c>
      <c r="G36" s="308">
        <f t="shared" si="11"/>
        <v>5.227942903144981E-2</v>
      </c>
      <c r="H36" s="235"/>
      <c r="I36" s="274">
        <v>2.6038216128100321E-2</v>
      </c>
      <c r="J36" s="303">
        <v>82</v>
      </c>
      <c r="K36" s="148">
        <v>0.93001999999999996</v>
      </c>
      <c r="L36" s="186">
        <f t="shared" si="1"/>
        <v>76.26164</v>
      </c>
      <c r="M36" s="186">
        <f t="shared" si="2"/>
        <v>333.31602539895664</v>
      </c>
      <c r="N36" s="304">
        <f t="shared" si="5"/>
        <v>2.9288002878626818E-2</v>
      </c>
      <c r="O36" s="10"/>
      <c r="P36" s="227">
        <f t="shared" si="6"/>
        <v>16</v>
      </c>
      <c r="Q36" s="305">
        <f t="shared" si="7"/>
        <v>1.4184397163120567E-2</v>
      </c>
      <c r="R36" s="296">
        <f t="shared" si="8"/>
        <v>0.157028485500642</v>
      </c>
      <c r="S36" s="10"/>
    </row>
    <row r="37" spans="1:19" ht="15" x14ac:dyDescent="0.25">
      <c r="A37" s="10">
        <v>1971</v>
      </c>
      <c r="B37" s="235">
        <f t="shared" si="10"/>
        <v>11.732133003275781</v>
      </c>
      <c r="C37" s="177">
        <f t="shared" si="3"/>
        <v>5.8046831809035457E-2</v>
      </c>
      <c r="D37" s="233">
        <f t="shared" ref="D37:D85" si="12">EXP(0.5*G37+0.5*N37)*D36</f>
        <v>150.19288989949587</v>
      </c>
      <c r="E37" s="232"/>
      <c r="F37" s="304">
        <v>0.16855208047911693</v>
      </c>
      <c r="G37" s="308">
        <f t="shared" si="11"/>
        <v>4.7822883568395806E-2</v>
      </c>
      <c r="H37" s="235"/>
      <c r="I37" s="274">
        <v>2.8078072424265948E-2</v>
      </c>
      <c r="J37" s="303">
        <v>88</v>
      </c>
      <c r="K37" s="148">
        <v>0.92784</v>
      </c>
      <c r="L37" s="186">
        <f t="shared" si="1"/>
        <v>81.649919999999995</v>
      </c>
      <c r="M37" s="186">
        <f t="shared" si="2"/>
        <v>356.8665296018126</v>
      </c>
      <c r="N37" s="304">
        <f t="shared" si="5"/>
        <v>6.8270780049675295E-2</v>
      </c>
      <c r="O37" s="10"/>
      <c r="P37" s="227">
        <f t="shared" si="6"/>
        <v>17</v>
      </c>
      <c r="Q37" s="305">
        <f t="shared" si="7"/>
        <v>1.5070921985815602E-2</v>
      </c>
      <c r="R37" s="296">
        <f t="shared" si="8"/>
        <v>0.17681406121958179</v>
      </c>
      <c r="S37" s="10"/>
    </row>
    <row r="38" spans="1:19" ht="15" x14ac:dyDescent="0.25">
      <c r="A38" s="10">
        <v>1972</v>
      </c>
      <c r="B38" s="235">
        <f t="shared" si="10"/>
        <v>12.471526549139577</v>
      </c>
      <c r="C38" s="177">
        <f t="shared" si="3"/>
        <v>6.1116682087558563E-2</v>
      </c>
      <c r="D38" s="233">
        <f t="shared" si="12"/>
        <v>159.65848779165339</v>
      </c>
      <c r="E38" s="232"/>
      <c r="F38" s="304">
        <v>0.1794832941889537</v>
      </c>
      <c r="G38" s="308">
        <f t="shared" si="11"/>
        <v>6.283735001373178E-2</v>
      </c>
      <c r="H38" s="235"/>
      <c r="I38" s="274">
        <v>3.0291196028727315E-2</v>
      </c>
      <c r="J38" s="303">
        <v>92</v>
      </c>
      <c r="K38" s="148">
        <v>0.94181000000000004</v>
      </c>
      <c r="L38" s="186">
        <f t="shared" si="1"/>
        <v>86.64652000000001</v>
      </c>
      <c r="M38" s="186">
        <f t="shared" si="2"/>
        <v>378.70512174995457</v>
      </c>
      <c r="N38" s="304">
        <f t="shared" si="5"/>
        <v>5.9396014161385222E-2</v>
      </c>
      <c r="O38" s="10"/>
      <c r="P38" s="227">
        <f t="shared" si="6"/>
        <v>18</v>
      </c>
      <c r="Q38" s="305">
        <f t="shared" si="7"/>
        <v>1.5957446808510637E-2</v>
      </c>
      <c r="R38" s="296">
        <f t="shared" si="8"/>
        <v>0.19901372152882302</v>
      </c>
      <c r="S38" s="10"/>
    </row>
    <row r="39" spans="1:19" ht="15" x14ac:dyDescent="0.25">
      <c r="A39" s="10">
        <v>1973</v>
      </c>
      <c r="B39" s="235">
        <f t="shared" si="10"/>
        <v>13.750159110332133</v>
      </c>
      <c r="C39" s="177">
        <f t="shared" si="3"/>
        <v>9.7602225772914997E-2</v>
      </c>
      <c r="D39" s="233">
        <f t="shared" si="12"/>
        <v>176.02733729510541</v>
      </c>
      <c r="E39" s="232"/>
      <c r="F39" s="304">
        <v>0.19295205083766609</v>
      </c>
      <c r="G39" s="308">
        <f t="shared" si="11"/>
        <v>7.2359581770660222E-2</v>
      </c>
      <c r="H39" s="235"/>
      <c r="I39" s="274">
        <v>3.5330698513090716E-2</v>
      </c>
      <c r="J39" s="303">
        <v>100</v>
      </c>
      <c r="K39" s="148">
        <v>0.97972000000000004</v>
      </c>
      <c r="L39" s="186">
        <f t="shared" si="1"/>
        <v>97.972000000000008</v>
      </c>
      <c r="M39" s="186">
        <f t="shared" si="2"/>
        <v>428.20528958446971</v>
      </c>
      <c r="N39" s="304">
        <f t="shared" si="5"/>
        <v>0.12284486977516974</v>
      </c>
      <c r="O39" s="10"/>
      <c r="P39" s="227">
        <f t="shared" si="6"/>
        <v>19</v>
      </c>
      <c r="Q39" s="305">
        <f t="shared" si="7"/>
        <v>1.6843971631205674E-2</v>
      </c>
      <c r="R39" s="296">
        <f t="shared" si="8"/>
        <v>0.23160728997899868</v>
      </c>
      <c r="S39" s="10"/>
    </row>
    <row r="40" spans="1:19" ht="15" x14ac:dyDescent="0.25">
      <c r="A40" s="10">
        <v>1974</v>
      </c>
      <c r="B40" s="235">
        <f t="shared" si="10"/>
        <v>17.019601222843544</v>
      </c>
      <c r="C40" s="177">
        <f t="shared" si="3"/>
        <v>0.21331529724940995</v>
      </c>
      <c r="D40" s="233">
        <f t="shared" si="12"/>
        <v>217.88221220149234</v>
      </c>
      <c r="E40" s="232"/>
      <c r="F40" s="304">
        <v>0.22923599556295063</v>
      </c>
      <c r="G40" s="308">
        <f t="shared" si="11"/>
        <v>0.17231030443107262</v>
      </c>
      <c r="H40" s="235"/>
      <c r="I40" s="274">
        <v>4.6368333274853034E-2</v>
      </c>
      <c r="J40" s="303">
        <v>122</v>
      </c>
      <c r="K40" s="148">
        <v>1.0356000000000001</v>
      </c>
      <c r="L40" s="186">
        <f t="shared" si="1"/>
        <v>126.34320000000001</v>
      </c>
      <c r="M40" s="186">
        <f t="shared" si="2"/>
        <v>552.20702387445988</v>
      </c>
      <c r="N40" s="304">
        <f t="shared" si="5"/>
        <v>0.25432029006774737</v>
      </c>
      <c r="O40" s="10"/>
      <c r="P40" s="227">
        <f t="shared" si="6"/>
        <v>20</v>
      </c>
      <c r="Q40" s="305">
        <f t="shared" si="7"/>
        <v>1.7730496453900711E-2</v>
      </c>
      <c r="R40" s="296">
        <f t="shared" si="8"/>
        <v>0.30176597912843167</v>
      </c>
      <c r="S40" s="10"/>
    </row>
    <row r="41" spans="1:19" ht="15" x14ac:dyDescent="0.25">
      <c r="A41" s="10">
        <v>1975</v>
      </c>
      <c r="B41" s="235">
        <f t="shared" si="10"/>
        <v>19.721852370166651</v>
      </c>
      <c r="C41" s="177">
        <f t="shared" si="3"/>
        <v>0.14736158538587973</v>
      </c>
      <c r="D41" s="233">
        <f t="shared" si="12"/>
        <v>252.47599910600186</v>
      </c>
      <c r="E41" s="232"/>
      <c r="F41" s="304">
        <v>0.26476056157445987</v>
      </c>
      <c r="G41" s="308">
        <f t="shared" si="11"/>
        <v>0.14407385510464585</v>
      </c>
      <c r="H41" s="235"/>
      <c r="I41" s="274">
        <v>5.7007695315639595E-2</v>
      </c>
      <c r="J41" s="303">
        <v>140</v>
      </c>
      <c r="K41" s="148">
        <v>1.04918</v>
      </c>
      <c r="L41" s="186">
        <f t="shared" si="1"/>
        <v>146.8852</v>
      </c>
      <c r="M41" s="186">
        <f t="shared" si="2"/>
        <v>641.98974810836512</v>
      </c>
      <c r="N41" s="304">
        <f t="shared" si="5"/>
        <v>0.1506493156671137</v>
      </c>
      <c r="O41" s="10"/>
      <c r="P41" s="227">
        <f t="shared" si="6"/>
        <v>21</v>
      </c>
      <c r="Q41" s="305">
        <f t="shared" si="7"/>
        <v>1.8617021276595744E-2</v>
      </c>
      <c r="R41" s="296">
        <f t="shared" si="8"/>
        <v>0.36716214518927276</v>
      </c>
      <c r="S41" s="10"/>
    </row>
    <row r="42" spans="1:19" ht="15" x14ac:dyDescent="0.25">
      <c r="A42" s="10">
        <v>1976</v>
      </c>
      <c r="B42" s="235">
        <f t="shared" si="10"/>
        <v>21.40973695868653</v>
      </c>
      <c r="C42" s="177">
        <f t="shared" si="3"/>
        <v>8.2118538275598327E-2</v>
      </c>
      <c r="D42" s="233">
        <f t="shared" si="12"/>
        <v>274.08402759458437</v>
      </c>
      <c r="E42" s="232"/>
      <c r="F42" s="304">
        <v>0.28628159914648965</v>
      </c>
      <c r="G42" s="308">
        <f t="shared" si="11"/>
        <v>7.815006248897638E-2</v>
      </c>
      <c r="H42" s="235"/>
      <c r="I42" s="235"/>
      <c r="J42" s="303">
        <v>147</v>
      </c>
      <c r="K42" s="148">
        <v>1.0890500000000001</v>
      </c>
      <c r="L42" s="186">
        <f t="shared" si="1"/>
        <v>160.09035</v>
      </c>
      <c r="M42" s="186">
        <f t="shared" si="2"/>
        <v>699.70537175345112</v>
      </c>
      <c r="N42" s="304">
        <f t="shared" si="5"/>
        <v>8.6087014062220246E-2</v>
      </c>
      <c r="O42" s="10"/>
      <c r="P42" s="227">
        <f t="shared" si="6"/>
        <v>22</v>
      </c>
      <c r="Q42" s="305">
        <f t="shared" si="7"/>
        <v>1.9503546099290781E-2</v>
      </c>
      <c r="R42" s="296">
        <f t="shared" si="8"/>
        <v>0.4175657917474323</v>
      </c>
      <c r="S42" s="10"/>
    </row>
    <row r="43" spans="1:19" ht="15" x14ac:dyDescent="0.25">
      <c r="A43" s="10">
        <v>1977</v>
      </c>
      <c r="B43" s="235">
        <f t="shared" si="10"/>
        <v>22.903959518228991</v>
      </c>
      <c r="C43" s="177">
        <f t="shared" si="3"/>
        <v>6.7463983723015611E-2</v>
      </c>
      <c r="D43" s="233">
        <f t="shared" si="12"/>
        <v>293.21282576862842</v>
      </c>
      <c r="E43" s="232"/>
      <c r="F43" s="304">
        <v>0.30702008370403516</v>
      </c>
      <c r="G43" s="308">
        <f t="shared" si="11"/>
        <v>6.9937225871514214E-2</v>
      </c>
      <c r="H43" s="235"/>
      <c r="I43" s="235"/>
      <c r="J43" s="303">
        <v>156</v>
      </c>
      <c r="K43" s="148">
        <v>1.0951299999999999</v>
      </c>
      <c r="L43" s="186">
        <f t="shared" si="1"/>
        <v>170.84027999999998</v>
      </c>
      <c r="M43" s="186">
        <f t="shared" si="2"/>
        <v>746.68998867117011</v>
      </c>
      <c r="N43" s="304">
        <f t="shared" si="5"/>
        <v>6.4990741574517091E-2</v>
      </c>
      <c r="O43" s="10"/>
      <c r="P43" s="227">
        <f t="shared" si="6"/>
        <v>23</v>
      </c>
      <c r="Q43" s="305">
        <f t="shared" si="7"/>
        <v>2.0390070921985817E-2</v>
      </c>
      <c r="R43" s="296">
        <f t="shared" si="8"/>
        <v>0.46701335897098123</v>
      </c>
      <c r="S43" s="10"/>
    </row>
    <row r="44" spans="1:19" ht="15" x14ac:dyDescent="0.25">
      <c r="A44" s="10">
        <v>1978</v>
      </c>
      <c r="B44" s="235">
        <f t="shared" si="10"/>
        <v>24.166454423676218</v>
      </c>
      <c r="C44" s="177">
        <f t="shared" si="3"/>
        <v>5.365569034533163E-2</v>
      </c>
      <c r="D44" s="233">
        <f t="shared" si="12"/>
        <v>309.37508358479585</v>
      </c>
      <c r="E44" s="232"/>
      <c r="F44" s="304">
        <v>0.33248410567146364</v>
      </c>
      <c r="G44" s="308">
        <f t="shared" si="11"/>
        <v>7.9678891782657246E-2</v>
      </c>
      <c r="H44" s="235"/>
      <c r="I44" s="235"/>
      <c r="J44" s="303">
        <v>161</v>
      </c>
      <c r="K44" s="148">
        <v>1.0908500000000001</v>
      </c>
      <c r="L44" s="186">
        <f t="shared" si="1"/>
        <v>175.62685000000002</v>
      </c>
      <c r="M44" s="186">
        <f t="shared" si="2"/>
        <v>767.61060469377207</v>
      </c>
      <c r="N44" s="304">
        <f t="shared" si="5"/>
        <v>2.7632488908006153E-2</v>
      </c>
      <c r="O44" s="10"/>
      <c r="P44" s="227">
        <f t="shared" si="6"/>
        <v>24</v>
      </c>
      <c r="Q44" s="305">
        <f t="shared" si="7"/>
        <v>2.1276595744680851E-2</v>
      </c>
      <c r="R44" s="296">
        <f t="shared" si="8"/>
        <v>0.51417988135481307</v>
      </c>
      <c r="S44" s="10"/>
    </row>
    <row r="45" spans="1:19" ht="15" x14ac:dyDescent="0.25">
      <c r="A45" s="10">
        <v>1979</v>
      </c>
      <c r="B45" s="235">
        <f t="shared" si="10"/>
        <v>26.732589256385197</v>
      </c>
      <c r="C45" s="177">
        <f t="shared" si="3"/>
        <v>0.10091790182932325</v>
      </c>
      <c r="D45" s="233">
        <f t="shared" si="12"/>
        <v>342.22633120436404</v>
      </c>
      <c r="E45" s="232"/>
      <c r="F45" s="304">
        <v>0.36840917020708908</v>
      </c>
      <c r="G45" s="308">
        <f t="shared" si="11"/>
        <v>0.10260213959435484</v>
      </c>
      <c r="H45" s="235"/>
      <c r="I45" s="235"/>
      <c r="J45" s="303">
        <v>175</v>
      </c>
      <c r="K45" s="148">
        <v>1.1082799999999999</v>
      </c>
      <c r="L45" s="186">
        <f t="shared" si="1"/>
        <v>193.94899999999998</v>
      </c>
      <c r="M45" s="186">
        <f t="shared" si="2"/>
        <v>847.69105162309961</v>
      </c>
      <c r="N45" s="304">
        <f t="shared" si="5"/>
        <v>9.9233664064291807E-2</v>
      </c>
      <c r="O45" s="10"/>
      <c r="P45" s="227">
        <f t="shared" si="6"/>
        <v>25</v>
      </c>
      <c r="Q45" s="305">
        <f t="shared" si="7"/>
        <v>2.2163120567375887E-2</v>
      </c>
      <c r="R45" s="296">
        <f t="shared" si="8"/>
        <v>0.59247759876740247</v>
      </c>
      <c r="S45" s="10"/>
    </row>
    <row r="46" spans="1:19" ht="15" x14ac:dyDescent="0.25">
      <c r="A46" s="10">
        <v>1980</v>
      </c>
      <c r="B46" s="235">
        <f t="shared" si="10"/>
        <v>29.786629063893805</v>
      </c>
      <c r="C46" s="177">
        <f t="shared" si="3"/>
        <v>0.10817621117448367</v>
      </c>
      <c r="D46" s="233">
        <f t="shared" si="12"/>
        <v>381.323660260363</v>
      </c>
      <c r="E46" s="232"/>
      <c r="F46" s="304">
        <v>0.4086492483072568</v>
      </c>
      <c r="G46" s="308">
        <f t="shared" si="11"/>
        <v>0.10366300845092515</v>
      </c>
      <c r="H46" s="235"/>
      <c r="I46" s="235"/>
      <c r="J46" s="303">
        <v>194</v>
      </c>
      <c r="K46" s="148">
        <v>1.1189899999999999</v>
      </c>
      <c r="L46" s="186">
        <f t="shared" si="1"/>
        <v>217.08405999999999</v>
      </c>
      <c r="M46" s="186">
        <f t="shared" si="2"/>
        <v>948.807238562777</v>
      </c>
      <c r="N46" s="304">
        <f t="shared" si="5"/>
        <v>0.11268941389804228</v>
      </c>
      <c r="O46" s="10"/>
      <c r="P46" s="227">
        <f t="shared" si="6"/>
        <v>26</v>
      </c>
      <c r="Q46" s="305">
        <f t="shared" si="7"/>
        <v>2.3049645390070921E-2</v>
      </c>
      <c r="R46" s="296">
        <f t="shared" si="8"/>
        <v>0.68657123728833236</v>
      </c>
      <c r="S46" s="10"/>
    </row>
    <row r="47" spans="1:19" x14ac:dyDescent="0.3">
      <c r="A47" s="10">
        <v>1981</v>
      </c>
      <c r="B47" s="235">
        <f t="shared" si="10"/>
        <v>32.880098272179239</v>
      </c>
      <c r="C47" s="177">
        <f t="shared" si="3"/>
        <v>9.8807955307560022E-2</v>
      </c>
      <c r="D47" s="233">
        <f t="shared" si="12"/>
        <v>420.9257581975213</v>
      </c>
      <c r="E47" s="232"/>
      <c r="F47" s="304">
        <v>0.4561904761904762</v>
      </c>
      <c r="G47" s="308">
        <f t="shared" si="11"/>
        <v>0.11005322873470873</v>
      </c>
      <c r="H47" s="235"/>
      <c r="I47" s="235"/>
      <c r="J47" s="303">
        <v>209</v>
      </c>
      <c r="K47" s="148">
        <v>1.1337299999999999</v>
      </c>
      <c r="L47" s="186">
        <f t="shared" si="1"/>
        <v>236.94956999999999</v>
      </c>
      <c r="M47" s="186">
        <f t="shared" si="2"/>
        <v>1035.6332343809004</v>
      </c>
      <c r="N47" s="304">
        <f t="shared" si="5"/>
        <v>8.7562681880411372E-2</v>
      </c>
      <c r="O47" s="10"/>
      <c r="P47" s="227">
        <f t="shared" si="6"/>
        <v>27</v>
      </c>
      <c r="Q47" s="305">
        <f t="shared" si="7"/>
        <v>2.3936170212765957E-2</v>
      </c>
      <c r="R47" s="296">
        <f t="shared" si="8"/>
        <v>0.78702362885535415</v>
      </c>
      <c r="S47" s="10"/>
    </row>
    <row r="48" spans="1:19" x14ac:dyDescent="0.3">
      <c r="A48" s="10">
        <v>1982</v>
      </c>
      <c r="B48" s="235">
        <f t="shared" si="10"/>
        <v>35.499776460321264</v>
      </c>
      <c r="C48" s="177">
        <f t="shared" si="3"/>
        <v>7.6658840572436049E-2</v>
      </c>
      <c r="D48" s="233">
        <f t="shared" si="12"/>
        <v>454.46245928792547</v>
      </c>
      <c r="E48" s="232"/>
      <c r="F48" s="304">
        <v>0.4907325056031876</v>
      </c>
      <c r="G48" s="308">
        <f t="shared" si="11"/>
        <v>7.2988750992738771E-2</v>
      </c>
      <c r="H48" s="235"/>
      <c r="I48" s="235"/>
      <c r="J48" s="303">
        <v>221</v>
      </c>
      <c r="K48" s="148">
        <v>1.16185</v>
      </c>
      <c r="L48" s="186">
        <f t="shared" si="1"/>
        <v>256.76884999999999</v>
      </c>
      <c r="M48" s="186">
        <f t="shared" si="2"/>
        <v>1122.2571731772473</v>
      </c>
      <c r="N48" s="304">
        <f t="shared" si="5"/>
        <v>8.0328930152132799E-2</v>
      </c>
      <c r="O48" s="10"/>
      <c r="P48" s="227">
        <f t="shared" si="6"/>
        <v>28</v>
      </c>
      <c r="Q48" s="305">
        <f t="shared" si="7"/>
        <v>2.4822695035460994E-2</v>
      </c>
      <c r="R48" s="296">
        <f t="shared" si="8"/>
        <v>0.88120012490159172</v>
      </c>
      <c r="S48" s="10"/>
    </row>
    <row r="49" spans="1:19" x14ac:dyDescent="0.3">
      <c r="A49" s="10">
        <v>1983</v>
      </c>
      <c r="B49" s="235">
        <f t="shared" si="10"/>
        <v>37.080916683442808</v>
      </c>
      <c r="C49" s="177">
        <f t="shared" si="3"/>
        <v>4.3576062598586499E-2</v>
      </c>
      <c r="D49" s="233">
        <f t="shared" si="12"/>
        <v>474.70396348674859</v>
      </c>
      <c r="E49" s="232"/>
      <c r="F49" s="304">
        <v>0.51007820050962127</v>
      </c>
      <c r="G49" s="308">
        <f t="shared" si="11"/>
        <v>3.8664864062232789E-2</v>
      </c>
      <c r="H49" s="235"/>
      <c r="I49" s="235"/>
      <c r="J49" s="303">
        <v>228</v>
      </c>
      <c r="K49" s="148">
        <v>1.1821299999999999</v>
      </c>
      <c r="L49" s="186">
        <f t="shared" si="1"/>
        <v>269.52563999999995</v>
      </c>
      <c r="M49" s="186">
        <f t="shared" si="2"/>
        <v>1178.0131540301261</v>
      </c>
      <c r="N49" s="304">
        <f t="shared" si="5"/>
        <v>4.8487261134940236E-2</v>
      </c>
      <c r="O49" s="10"/>
      <c r="P49" s="227">
        <f t="shared" si="6"/>
        <v>29</v>
      </c>
      <c r="Q49" s="305">
        <f t="shared" si="7"/>
        <v>2.5709219858156027E-2</v>
      </c>
      <c r="R49" s="296">
        <f t="shared" si="8"/>
        <v>0.95332143955659698</v>
      </c>
      <c r="S49" s="10"/>
    </row>
    <row r="50" spans="1:19" x14ac:dyDescent="0.3">
      <c r="A50" s="10">
        <v>1984</v>
      </c>
      <c r="B50" s="235">
        <f t="shared" si="10"/>
        <v>38.200884667296009</v>
      </c>
      <c r="C50" s="177">
        <f t="shared" si="3"/>
        <v>2.9756212006334031E-2</v>
      </c>
      <c r="D50" s="233">
        <f t="shared" si="12"/>
        <v>489.04161445293329</v>
      </c>
      <c r="E50" s="232"/>
      <c r="F50" s="304">
        <v>0.52757739179156748</v>
      </c>
      <c r="G50" s="308">
        <f t="shared" si="11"/>
        <v>3.3731520589087044E-2</v>
      </c>
      <c r="H50" s="235"/>
      <c r="I50" s="235"/>
      <c r="J50" s="303">
        <v>234</v>
      </c>
      <c r="K50" s="148">
        <v>1.1819</v>
      </c>
      <c r="L50" s="186">
        <f t="shared" si="1"/>
        <v>276.56459999999998</v>
      </c>
      <c r="M50" s="186">
        <f t="shared" si="2"/>
        <v>1208.7782696261484</v>
      </c>
      <c r="N50" s="304">
        <f t="shared" si="5"/>
        <v>2.5780903423581188E-2</v>
      </c>
      <c r="O50" s="10"/>
      <c r="P50" s="227">
        <f t="shared" si="6"/>
        <v>30</v>
      </c>
      <c r="Q50" s="305">
        <f t="shared" si="7"/>
        <v>2.6595744680851064E-2</v>
      </c>
      <c r="R50" s="296">
        <f t="shared" si="8"/>
        <v>1.0159809751940427</v>
      </c>
      <c r="S50" s="10"/>
    </row>
    <row r="51" spans="1:19" x14ac:dyDescent="0.3">
      <c r="A51" s="10">
        <v>1985</v>
      </c>
      <c r="B51" s="235">
        <f t="shared" si="10"/>
        <v>39.302204169586744</v>
      </c>
      <c r="C51" s="177">
        <f t="shared" si="3"/>
        <v>2.8421928868483472E-2</v>
      </c>
      <c r="D51" s="233">
        <f t="shared" si="12"/>
        <v>503.14053054138333</v>
      </c>
      <c r="E51" s="232"/>
      <c r="F51" s="304">
        <v>0.54379842255880506</v>
      </c>
      <c r="G51" s="308">
        <f t="shared" si="11"/>
        <v>3.0283062534080817E-2</v>
      </c>
      <c r="H51" s="235"/>
      <c r="I51" s="235"/>
      <c r="J51" s="303">
        <v>240</v>
      </c>
      <c r="K51" s="148">
        <v>1.18337</v>
      </c>
      <c r="L51" s="186">
        <f t="shared" si="1"/>
        <v>284.00880000000001</v>
      </c>
      <c r="M51" s="186">
        <f t="shared" si="2"/>
        <v>1241.3145638400538</v>
      </c>
      <c r="N51" s="304">
        <f t="shared" si="5"/>
        <v>2.6560795202886522E-2</v>
      </c>
      <c r="O51" s="10"/>
      <c r="P51" s="227">
        <f t="shared" si="6"/>
        <v>31</v>
      </c>
      <c r="Q51" s="305">
        <f t="shared" si="7"/>
        <v>2.7482269503546101E-2</v>
      </c>
      <c r="R51" s="296">
        <f t="shared" si="8"/>
        <v>1.0801137670719763</v>
      </c>
      <c r="S51" s="10"/>
    </row>
    <row r="52" spans="1:19" x14ac:dyDescent="0.3">
      <c r="A52" s="10">
        <v>1986</v>
      </c>
      <c r="B52" s="235">
        <f t="shared" si="10"/>
        <v>40.711333784118494</v>
      </c>
      <c r="C52" s="177">
        <f t="shared" si="3"/>
        <v>3.5225921994271076E-2</v>
      </c>
      <c r="D52" s="233">
        <f t="shared" si="12"/>
        <v>521.17998244585738</v>
      </c>
      <c r="E52" s="232"/>
      <c r="F52" s="304">
        <v>0.56576067772679139</v>
      </c>
      <c r="G52" s="308">
        <f t="shared" si="11"/>
        <v>3.9592526493987049E-2</v>
      </c>
      <c r="H52" s="235"/>
      <c r="I52" s="235"/>
      <c r="J52" s="303">
        <v>245</v>
      </c>
      <c r="K52" s="148">
        <v>1.1955499999999999</v>
      </c>
      <c r="L52" s="186">
        <f t="shared" si="1"/>
        <v>292.90974999999997</v>
      </c>
      <c r="M52" s="186">
        <f t="shared" si="2"/>
        <v>1280.2178614386214</v>
      </c>
      <c r="N52" s="304">
        <f t="shared" si="5"/>
        <v>3.0859317494554998E-2</v>
      </c>
      <c r="O52" s="10"/>
      <c r="P52" s="227">
        <f t="shared" si="6"/>
        <v>32</v>
      </c>
      <c r="Q52" s="305">
        <f t="shared" si="7"/>
        <v>2.8368794326241134E-2</v>
      </c>
      <c r="R52" s="296">
        <f t="shared" si="8"/>
        <v>1.1549314548686098</v>
      </c>
      <c r="S52" s="10"/>
    </row>
    <row r="53" spans="1:19" x14ac:dyDescent="0.3">
      <c r="A53" s="10">
        <v>1987</v>
      </c>
      <c r="B53" s="235">
        <f t="shared" si="10"/>
        <v>42.021694107427926</v>
      </c>
      <c r="C53" s="177">
        <f t="shared" si="3"/>
        <v>3.1679486260013184E-2</v>
      </c>
      <c r="D53" s="233">
        <f t="shared" si="12"/>
        <v>537.95500568438786</v>
      </c>
      <c r="E53" s="232"/>
      <c r="F53" s="304">
        <v>0.58291528800654646</v>
      </c>
      <c r="G53" s="308">
        <f t="shared" si="11"/>
        <v>2.9870714288463586E-2</v>
      </c>
      <c r="H53" s="235"/>
      <c r="I53" s="235"/>
      <c r="J53" s="303">
        <v>248</v>
      </c>
      <c r="K53" s="148">
        <v>1.2213099999999999</v>
      </c>
      <c r="L53" s="186">
        <f t="shared" si="1"/>
        <v>302.88487999999995</v>
      </c>
      <c r="M53" s="186">
        <f t="shared" si="2"/>
        <v>1323.8160673575851</v>
      </c>
      <c r="N53" s="304">
        <f t="shared" si="5"/>
        <v>3.3488258231562866E-2</v>
      </c>
      <c r="O53" s="10"/>
      <c r="P53" s="227">
        <f t="shared" si="6"/>
        <v>33</v>
      </c>
      <c r="Q53" s="305">
        <f t="shared" si="7"/>
        <v>2.9255319148936171E-2</v>
      </c>
      <c r="R53" s="296">
        <f t="shared" si="8"/>
        <v>1.2293580722917745</v>
      </c>
      <c r="S53" s="10"/>
    </row>
    <row r="54" spans="1:19" x14ac:dyDescent="0.3">
      <c r="A54" s="10">
        <v>1988</v>
      </c>
      <c r="B54" s="235">
        <f t="shared" si="10"/>
        <v>45.025819380439707</v>
      </c>
      <c r="C54" s="177">
        <f t="shared" si="3"/>
        <v>6.9050077943582103E-2</v>
      </c>
      <c r="D54" s="233">
        <f t="shared" si="12"/>
        <v>576.41333685466782</v>
      </c>
      <c r="E54" s="232"/>
      <c r="F54" s="304">
        <v>0.60688905907706558</v>
      </c>
      <c r="G54" s="308">
        <f t="shared" si="11"/>
        <v>4.0304132922559001E-2</v>
      </c>
      <c r="H54" s="235"/>
      <c r="I54" s="235"/>
      <c r="J54" s="303">
        <v>270.75</v>
      </c>
      <c r="K54" s="148">
        <v>1.2336199999999999</v>
      </c>
      <c r="L54" s="186">
        <f t="shared" si="1"/>
        <v>334.00261499999999</v>
      </c>
      <c r="M54" s="186">
        <f t="shared" si="2"/>
        <v>1459.8220560777072</v>
      </c>
      <c r="N54" s="304">
        <f t="shared" si="5"/>
        <v>9.7796022964605017E-2</v>
      </c>
      <c r="O54" s="10"/>
      <c r="P54" s="227">
        <f t="shared" si="6"/>
        <v>34</v>
      </c>
      <c r="Q54" s="305">
        <f t="shared" si="7"/>
        <v>3.0141843971631204E-2</v>
      </c>
      <c r="R54" s="296">
        <f t="shared" si="8"/>
        <v>1.357161222460062</v>
      </c>
      <c r="S54" s="10"/>
    </row>
    <row r="55" spans="1:19" x14ac:dyDescent="0.3">
      <c r="A55" s="10">
        <v>1989</v>
      </c>
      <c r="B55" s="235">
        <f t="shared" si="10"/>
        <v>47.092305822978389</v>
      </c>
      <c r="C55" s="177">
        <f t="shared" si="3"/>
        <v>4.4873540114314901E-2</v>
      </c>
      <c r="D55" s="233">
        <f t="shared" si="12"/>
        <v>602.86816571284328</v>
      </c>
      <c r="E55" s="232"/>
      <c r="F55" s="304">
        <v>0.62297768848472035</v>
      </c>
      <c r="G55" s="308">
        <f t="shared" si="11"/>
        <v>2.6164699995387647E-2</v>
      </c>
      <c r="H55" s="235"/>
      <c r="I55" s="235"/>
      <c r="J55" s="303">
        <v>286.25</v>
      </c>
      <c r="K55" s="148">
        <v>1.24342</v>
      </c>
      <c r="L55" s="186">
        <f t="shared" si="1"/>
        <v>355.92897499999998</v>
      </c>
      <c r="M55" s="186">
        <f t="shared" si="2"/>
        <v>1555.6553894110407</v>
      </c>
      <c r="N55" s="304">
        <f t="shared" si="5"/>
        <v>6.3582380233242031E-2</v>
      </c>
      <c r="O55" s="10"/>
      <c r="P55" s="227">
        <f t="shared" si="6"/>
        <v>35</v>
      </c>
      <c r="Q55" s="305">
        <f t="shared" si="7"/>
        <v>3.1028368794326241E-2</v>
      </c>
      <c r="R55" s="296">
        <f t="shared" si="8"/>
        <v>1.4611974324505705</v>
      </c>
      <c r="S55" s="10"/>
    </row>
    <row r="56" spans="1:19" x14ac:dyDescent="0.3">
      <c r="A56" s="10">
        <v>1990</v>
      </c>
      <c r="B56" s="235">
        <f t="shared" si="10"/>
        <v>49.309507501080461</v>
      </c>
      <c r="C56" s="177">
        <f t="shared" si="3"/>
        <v>4.6007283021213589E-2</v>
      </c>
      <c r="D56" s="233">
        <f t="shared" si="12"/>
        <v>631.25242690653943</v>
      </c>
      <c r="E56" s="232"/>
      <c r="F56" s="304">
        <v>0.651278959607269</v>
      </c>
      <c r="G56" s="308">
        <f t="shared" si="11"/>
        <v>4.442735468598883E-2</v>
      </c>
      <c r="H56" s="235"/>
      <c r="I56" s="235"/>
      <c r="J56" s="303">
        <v>301</v>
      </c>
      <c r="K56" s="148">
        <v>1.2401199999999999</v>
      </c>
      <c r="L56" s="186">
        <f t="shared" si="1"/>
        <v>373.27611999999999</v>
      </c>
      <c r="M56" s="186">
        <f t="shared" si="2"/>
        <v>1631.4743912502272</v>
      </c>
      <c r="N56" s="304">
        <f t="shared" si="5"/>
        <v>4.758721135643882E-2</v>
      </c>
      <c r="O56" s="10"/>
      <c r="P56" s="227">
        <f t="shared" si="6"/>
        <v>36</v>
      </c>
      <c r="Q56" s="305">
        <f t="shared" si="7"/>
        <v>3.1914893617021274E-2</v>
      </c>
      <c r="R56" s="296">
        <f t="shared" si="8"/>
        <v>1.5737076862046955</v>
      </c>
      <c r="S56" s="10"/>
    </row>
    <row r="57" spans="1:19" x14ac:dyDescent="0.3">
      <c r="A57" s="10">
        <v>1991</v>
      </c>
      <c r="B57" s="235">
        <f t="shared" si="10"/>
        <v>49.802779768915059</v>
      </c>
      <c r="C57" s="177">
        <f t="shared" si="3"/>
        <v>9.9538887497318661E-3</v>
      </c>
      <c r="D57" s="233">
        <f t="shared" si="12"/>
        <v>637.56721956978924</v>
      </c>
      <c r="E57" s="232"/>
      <c r="F57" s="304">
        <v>0.64551520382419336</v>
      </c>
      <c r="G57" s="308">
        <f t="shared" si="11"/>
        <v>-8.889296234813035E-3</v>
      </c>
      <c r="H57" s="235"/>
      <c r="I57" s="235"/>
      <c r="J57" s="303">
        <v>310.5</v>
      </c>
      <c r="K57" s="148">
        <v>1.2373000000000001</v>
      </c>
      <c r="L57" s="186">
        <f t="shared" si="1"/>
        <v>384.18165000000005</v>
      </c>
      <c r="M57" s="186">
        <f t="shared" si="2"/>
        <v>1679.139087609617</v>
      </c>
      <c r="N57" s="304">
        <f t="shared" si="5"/>
        <v>2.8797073734277062E-2</v>
      </c>
      <c r="O57" s="10"/>
      <c r="P57" s="227">
        <f t="shared" si="6"/>
        <v>37</v>
      </c>
      <c r="Q57" s="305">
        <f t="shared" si="7"/>
        <v>3.2801418439716311E-2</v>
      </c>
      <c r="R57" s="296">
        <f t="shared" si="8"/>
        <v>1.6336018186612209</v>
      </c>
      <c r="S57" s="10"/>
    </row>
    <row r="58" spans="1:19" x14ac:dyDescent="0.3">
      <c r="A58" s="10">
        <v>1992</v>
      </c>
      <c r="B58" s="235">
        <f t="shared" si="10"/>
        <v>49.774901286265525</v>
      </c>
      <c r="C58" s="177">
        <f t="shared" si="3"/>
        <v>-5.5993437650896571E-4</v>
      </c>
      <c r="D58" s="233">
        <f t="shared" si="12"/>
        <v>637.21032369467628</v>
      </c>
      <c r="E58" s="232"/>
      <c r="F58" s="304">
        <v>0.63842545577639154</v>
      </c>
      <c r="G58" s="308">
        <f t="shared" si="11"/>
        <v>-1.1043843894104489E-2</v>
      </c>
      <c r="H58" s="235"/>
      <c r="I58" s="235"/>
      <c r="J58" s="303">
        <v>316</v>
      </c>
      <c r="K58" s="148">
        <v>1.2278899999999999</v>
      </c>
      <c r="L58" s="186">
        <f t="shared" si="1"/>
        <v>388.01324</v>
      </c>
      <c r="M58" s="186">
        <f t="shared" si="2"/>
        <v>1695.8857816193233</v>
      </c>
      <c r="N58" s="304">
        <f t="shared" si="5"/>
        <v>9.9239751410864965E-3</v>
      </c>
      <c r="O58" s="10"/>
      <c r="P58" s="227">
        <f t="shared" si="6"/>
        <v>38</v>
      </c>
      <c r="Q58" s="305">
        <f t="shared" si="7"/>
        <v>3.3687943262411348E-2</v>
      </c>
      <c r="R58" s="296">
        <f t="shared" si="8"/>
        <v>1.6768140504238387</v>
      </c>
      <c r="S58" s="10"/>
    </row>
    <row r="59" spans="1:19" x14ac:dyDescent="0.3">
      <c r="A59" s="10">
        <v>1993</v>
      </c>
      <c r="B59" s="235">
        <f t="shared" si="10"/>
        <v>50.401887426213626</v>
      </c>
      <c r="C59" s="177">
        <f t="shared" si="3"/>
        <v>1.2517756559731228E-2</v>
      </c>
      <c r="D59" s="233">
        <f t="shared" si="12"/>
        <v>645.23689995829704</v>
      </c>
      <c r="E59" s="232"/>
      <c r="F59" s="304">
        <v>0.63882329022067219</v>
      </c>
      <c r="G59" s="308">
        <f t="shared" si="11"/>
        <v>6.2295533018642542E-4</v>
      </c>
      <c r="H59" s="235"/>
      <c r="I59" s="235"/>
      <c r="J59" s="303">
        <v>327.25</v>
      </c>
      <c r="K59" s="148">
        <v>1.2149799999999999</v>
      </c>
      <c r="L59" s="186">
        <f t="shared" si="1"/>
        <v>397.60220499999997</v>
      </c>
      <c r="M59" s="186">
        <f t="shared" si="2"/>
        <v>1737.7961798416759</v>
      </c>
      <c r="N59" s="304">
        <f t="shared" si="5"/>
        <v>2.4412557789275931E-2</v>
      </c>
      <c r="O59" s="10"/>
      <c r="P59" s="227">
        <f t="shared" si="6"/>
        <v>39</v>
      </c>
      <c r="Q59" s="305">
        <f t="shared" si="7"/>
        <v>3.4574468085106384E-2</v>
      </c>
      <c r="R59" s="296">
        <f t="shared" si="8"/>
        <v>1.7426184482467477</v>
      </c>
      <c r="S59" s="10"/>
    </row>
    <row r="60" spans="1:19" x14ac:dyDescent="0.3">
      <c r="A60" s="10">
        <v>1994</v>
      </c>
      <c r="B60" s="235">
        <f t="shared" si="10"/>
        <v>52.2869026482322</v>
      </c>
      <c r="C60" s="177">
        <f t="shared" si="3"/>
        <v>3.6717289023709243E-2</v>
      </c>
      <c r="D60" s="233">
        <f t="shared" si="12"/>
        <v>669.36856328162105</v>
      </c>
      <c r="E60" s="232"/>
      <c r="F60" s="304">
        <v>0.66308043407386708</v>
      </c>
      <c r="G60" s="308">
        <f t="shared" si="11"/>
        <v>3.7268426181897497E-2</v>
      </c>
      <c r="H60" s="235"/>
      <c r="I60" s="235"/>
      <c r="J60" s="303">
        <v>341.5</v>
      </c>
      <c r="K60" s="148">
        <v>1.20716</v>
      </c>
      <c r="L60" s="186">
        <f t="shared" si="1"/>
        <v>412.24513999999999</v>
      </c>
      <c r="M60" s="186">
        <f t="shared" si="2"/>
        <v>1801.7959167261079</v>
      </c>
      <c r="N60" s="304">
        <f t="shared" si="5"/>
        <v>3.616615186552094E-2</v>
      </c>
      <c r="O60" s="10"/>
      <c r="P60" s="227">
        <f t="shared" si="6"/>
        <v>40</v>
      </c>
      <c r="Q60" s="305">
        <f t="shared" si="7"/>
        <v>3.5460992907801421E-2</v>
      </c>
      <c r="R60" s="296">
        <f t="shared" si="8"/>
        <v>1.8541454839798654</v>
      </c>
      <c r="S60" s="10"/>
    </row>
    <row r="61" spans="1:19" x14ac:dyDescent="0.3">
      <c r="A61" s="10">
        <v>1995</v>
      </c>
      <c r="B61" s="235">
        <f t="shared" si="10"/>
        <v>53.814902934888863</v>
      </c>
      <c r="C61" s="177">
        <f t="shared" si="3"/>
        <v>2.8804522700649836E-2</v>
      </c>
      <c r="D61" s="233">
        <f t="shared" si="12"/>
        <v>688.92977851470312</v>
      </c>
      <c r="E61" s="232"/>
      <c r="F61" s="304">
        <v>0.67501484235852893</v>
      </c>
      <c r="G61" s="308">
        <f t="shared" si="11"/>
        <v>1.7838378120908722E-2</v>
      </c>
      <c r="H61" s="235"/>
      <c r="I61" s="235"/>
      <c r="J61" s="303">
        <v>354.75</v>
      </c>
      <c r="K61" s="148">
        <v>1.20922</v>
      </c>
      <c r="L61" s="186">
        <f t="shared" si="1"/>
        <v>428.97079500000001</v>
      </c>
      <c r="M61" s="186">
        <f t="shared" si="2"/>
        <v>1874.8985781269666</v>
      </c>
      <c r="N61" s="304">
        <f t="shared" si="5"/>
        <v>3.9770667280391095E-2</v>
      </c>
      <c r="O61" s="10"/>
      <c r="P61" s="227">
        <f t="shared" si="6"/>
        <v>41</v>
      </c>
      <c r="Q61" s="305">
        <f t="shared" si="7"/>
        <v>3.6347517730496451E-2</v>
      </c>
      <c r="R61" s="296">
        <f t="shared" si="8"/>
        <v>1.9560381385908185</v>
      </c>
      <c r="S61" s="10"/>
    </row>
    <row r="62" spans="1:19" x14ac:dyDescent="0.3">
      <c r="A62" s="10">
        <v>1996</v>
      </c>
      <c r="B62" s="235">
        <f t="shared" si="10"/>
        <v>54.986503009334164</v>
      </c>
      <c r="C62" s="177">
        <f t="shared" si="3"/>
        <v>2.1537320253419506E-2</v>
      </c>
      <c r="D62" s="233">
        <f t="shared" si="12"/>
        <v>703.92841524497817</v>
      </c>
      <c r="E62" s="232"/>
      <c r="F62" s="304">
        <v>0.69645161804305222</v>
      </c>
      <c r="G62" s="308">
        <f t="shared" si="11"/>
        <v>3.1263647093641621E-2</v>
      </c>
      <c r="H62" s="235"/>
      <c r="I62" s="235"/>
      <c r="J62" s="303">
        <v>359.25</v>
      </c>
      <c r="K62" s="148">
        <v>1.2082599999999999</v>
      </c>
      <c r="L62" s="186">
        <f t="shared" si="1"/>
        <v>434.06740499999995</v>
      </c>
      <c r="M62" s="186">
        <f t="shared" si="2"/>
        <v>1897.1742830319304</v>
      </c>
      <c r="N62" s="304">
        <f t="shared" si="5"/>
        <v>1.181099341319747E-2</v>
      </c>
      <c r="O62" s="10"/>
      <c r="P62" s="227">
        <f t="shared" si="6"/>
        <v>42</v>
      </c>
      <c r="Q62" s="305">
        <f t="shared" si="7"/>
        <v>3.7234042553191488E-2</v>
      </c>
      <c r="R62" s="296">
        <f t="shared" si="8"/>
        <v>2.0473697929007399</v>
      </c>
      <c r="S62" s="10"/>
    </row>
    <row r="63" spans="1:19" x14ac:dyDescent="0.3">
      <c r="A63" s="10">
        <v>1997</v>
      </c>
      <c r="B63" s="235">
        <f t="shared" si="10"/>
        <v>56.546411923465875</v>
      </c>
      <c r="C63" s="177">
        <f t="shared" si="3"/>
        <v>2.7973995633148164E-2</v>
      </c>
      <c r="D63" s="233">
        <f t="shared" si="12"/>
        <v>723.89811962252054</v>
      </c>
      <c r="E63" s="232"/>
      <c r="F63" s="304">
        <v>0.72355773180630634</v>
      </c>
      <c r="G63" s="308">
        <f t="shared" si="11"/>
        <v>3.8182011655468452E-2</v>
      </c>
      <c r="H63" s="235"/>
      <c r="I63" s="235"/>
      <c r="J63" s="303">
        <v>367.75</v>
      </c>
      <c r="K63" s="148">
        <v>1.2014899999999999</v>
      </c>
      <c r="L63" s="186">
        <f t="shared" si="1"/>
        <v>441.84794749999998</v>
      </c>
      <c r="M63" s="186">
        <f t="shared" si="2"/>
        <v>1931.1806262150519</v>
      </c>
      <c r="N63" s="304">
        <f t="shared" si="5"/>
        <v>1.77659796108279E-2</v>
      </c>
      <c r="O63" s="10"/>
      <c r="P63" s="227">
        <f t="shared" si="6"/>
        <v>43</v>
      </c>
      <c r="Q63" s="305">
        <f t="shared" si="7"/>
        <v>3.8120567375886524E-2</v>
      </c>
      <c r="R63" s="296">
        <f t="shared" si="8"/>
        <v>2.1555813055931141</v>
      </c>
      <c r="S63" s="10"/>
    </row>
    <row r="64" spans="1:19" x14ac:dyDescent="0.3">
      <c r="A64" s="10">
        <v>1998</v>
      </c>
      <c r="B64" s="235">
        <f t="shared" si="10"/>
        <v>57.702135580180446</v>
      </c>
      <c r="C64" s="177">
        <f t="shared" si="3"/>
        <v>2.0232433697491337E-2</v>
      </c>
      <c r="D64" s="233">
        <f t="shared" si="12"/>
        <v>738.69350899278322</v>
      </c>
      <c r="E64" s="232"/>
      <c r="F64" s="304">
        <v>0.74426724861507465</v>
      </c>
      <c r="G64" s="308">
        <f t="shared" si="11"/>
        <v>2.8219837402968958E-2</v>
      </c>
      <c r="H64" s="235"/>
      <c r="I64" s="235"/>
      <c r="J64" s="303">
        <v>377</v>
      </c>
      <c r="K64" s="148">
        <v>1.18645</v>
      </c>
      <c r="L64" s="186">
        <f t="shared" si="1"/>
        <v>447.29165</v>
      </c>
      <c r="M64" s="186">
        <f t="shared" si="2"/>
        <v>1954.9733650120982</v>
      </c>
      <c r="N64" s="304">
        <f t="shared" si="5"/>
        <v>1.2245029992013923E-2</v>
      </c>
      <c r="O64" s="10"/>
      <c r="P64" s="227">
        <f t="shared" si="6"/>
        <v>44</v>
      </c>
      <c r="Q64" s="305">
        <f t="shared" si="7"/>
        <v>3.9007092198581561E-2</v>
      </c>
      <c r="R64" s="296">
        <f t="shared" si="8"/>
        <v>2.2507925226311523</v>
      </c>
      <c r="S64" s="10"/>
    </row>
    <row r="65" spans="1:20" x14ac:dyDescent="0.3">
      <c r="A65" s="10">
        <v>1999</v>
      </c>
      <c r="B65" s="235">
        <f t="shared" si="10"/>
        <v>58.002875140555496</v>
      </c>
      <c r="C65" s="177">
        <f t="shared" si="3"/>
        <v>5.19839608932934E-3</v>
      </c>
      <c r="D65" s="233">
        <f t="shared" si="12"/>
        <v>742.54352873490689</v>
      </c>
      <c r="E65" s="232"/>
      <c r="F65" s="304">
        <v>0.74583001005652461</v>
      </c>
      <c r="G65" s="308">
        <f t="shared" si="11"/>
        <v>2.0975302186755436E-3</v>
      </c>
      <c r="H65" s="235"/>
      <c r="I65" s="235"/>
      <c r="J65" s="303">
        <v>378.75</v>
      </c>
      <c r="K65" s="148">
        <v>1.1908099999999999</v>
      </c>
      <c r="L65" s="186">
        <f t="shared" si="1"/>
        <v>451.01928749999996</v>
      </c>
      <c r="M65" s="186">
        <f t="shared" si="2"/>
        <v>1971.2657148176895</v>
      </c>
      <c r="N65" s="304">
        <f t="shared" si="5"/>
        <v>8.299261959983319E-3</v>
      </c>
      <c r="O65" s="10"/>
      <c r="P65" s="227">
        <f t="shared" si="6"/>
        <v>45</v>
      </c>
      <c r="Q65" s="305">
        <f t="shared" si="7"/>
        <v>3.9893617021276598E-2</v>
      </c>
      <c r="R65" s="296">
        <f t="shared" si="8"/>
        <v>2.3139444869902461</v>
      </c>
      <c r="S65" s="10"/>
    </row>
    <row r="66" spans="1:20" x14ac:dyDescent="0.3">
      <c r="A66" s="10">
        <v>2000</v>
      </c>
      <c r="B66" s="235">
        <f t="shared" si="10"/>
        <v>60.448341024744614</v>
      </c>
      <c r="C66" s="177">
        <f t="shared" si="3"/>
        <v>4.1296552218133935E-2</v>
      </c>
      <c r="D66" s="233">
        <f t="shared" si="12"/>
        <v>773.84999177913221</v>
      </c>
      <c r="E66" s="232"/>
      <c r="F66" s="304">
        <v>0.7525155555555556</v>
      </c>
      <c r="G66" s="308">
        <f t="shared" si="11"/>
        <v>8.9239625631576374E-3</v>
      </c>
      <c r="H66" s="235"/>
      <c r="I66" s="235"/>
      <c r="J66" s="303">
        <v>395.5</v>
      </c>
      <c r="K66" s="148">
        <v>1.22756</v>
      </c>
      <c r="L66" s="186">
        <f t="shared" si="1"/>
        <v>485.49997999999999</v>
      </c>
      <c r="M66" s="186">
        <f t="shared" si="2"/>
        <v>2121.9701499321668</v>
      </c>
      <c r="N66" s="304">
        <f t="shared" si="5"/>
        <v>7.3669141873110286E-2</v>
      </c>
      <c r="O66" s="10"/>
      <c r="P66" s="227">
        <f>P67-1</f>
        <v>46</v>
      </c>
      <c r="Q66" s="305">
        <f t="shared" si="7"/>
        <v>4.0780141843971635E-2</v>
      </c>
      <c r="R66" s="296">
        <f t="shared" si="8"/>
        <v>2.4650919212218549</v>
      </c>
      <c r="S66" s="10"/>
    </row>
    <row r="67" spans="1:20" x14ac:dyDescent="0.3">
      <c r="A67" s="10">
        <v>2001</v>
      </c>
      <c r="B67" s="235">
        <f t="shared" si="10"/>
        <v>62.233321152494973</v>
      </c>
      <c r="C67" s="177">
        <f t="shared" si="3"/>
        <v>2.9101433226205425E-2</v>
      </c>
      <c r="D67" s="233">
        <f t="shared" si="12"/>
        <v>796.70102182841163</v>
      </c>
      <c r="E67" s="232"/>
      <c r="F67" s="304">
        <v>0.77647080245452393</v>
      </c>
      <c r="G67" s="308">
        <f t="shared" si="11"/>
        <v>3.1337372162613342E-2</v>
      </c>
      <c r="H67" s="235"/>
      <c r="I67" s="235"/>
      <c r="J67" s="303">
        <v>408.75</v>
      </c>
      <c r="K67" s="148">
        <v>1.22011</v>
      </c>
      <c r="L67" s="186">
        <f t="shared" si="1"/>
        <v>498.71996250000001</v>
      </c>
      <c r="M67" s="186">
        <f t="shared" si="2"/>
        <v>2179.7506018440818</v>
      </c>
      <c r="N67" s="177">
        <f t="shared" si="5"/>
        <v>2.6865494289797325E-2</v>
      </c>
      <c r="O67" s="10"/>
      <c r="P67" s="227">
        <v>47</v>
      </c>
      <c r="Q67" s="305">
        <f>P67/SUM($P$21:$P$67)</f>
        <v>4.1666666666666664E-2</v>
      </c>
      <c r="R67" s="296">
        <f>B67*Q67</f>
        <v>2.5930550480206236</v>
      </c>
      <c r="S67" s="10"/>
    </row>
    <row r="68" spans="1:20" x14ac:dyDescent="0.3">
      <c r="A68" s="10">
        <v>2002</v>
      </c>
      <c r="B68" s="235">
        <f t="shared" si="10"/>
        <v>63.355982585402913</v>
      </c>
      <c r="C68" s="177">
        <f t="shared" si="3"/>
        <v>1.7878773180161824E-2</v>
      </c>
      <c r="D68" s="233">
        <f t="shared" si="12"/>
        <v>811.07315389851965</v>
      </c>
      <c r="E68" s="232"/>
      <c r="F68" s="304">
        <v>0.78384050367261282</v>
      </c>
      <c r="G68" s="308">
        <f t="shared" si="11"/>
        <v>9.4465200541422045E-3</v>
      </c>
      <c r="H68" s="235"/>
      <c r="I68" s="235"/>
      <c r="J68" s="303">
        <v>416.5</v>
      </c>
      <c r="K68" s="148">
        <v>1.22933</v>
      </c>
      <c r="L68" s="186">
        <f t="shared" si="1"/>
        <v>512.01594499999999</v>
      </c>
      <c r="M68" s="186">
        <f t="shared" si="2"/>
        <v>2237.8632262339333</v>
      </c>
      <c r="N68" s="177">
        <f t="shared" si="5"/>
        <v>2.6311026306181429E-2</v>
      </c>
      <c r="O68" s="10"/>
      <c r="P68" s="227"/>
      <c r="Q68" s="305"/>
      <c r="R68" s="296"/>
      <c r="S68" s="309">
        <f>SUM(R21:R67)</f>
        <v>39.245154635077846</v>
      </c>
    </row>
    <row r="69" spans="1:20" x14ac:dyDescent="0.3">
      <c r="A69" s="10">
        <v>2003</v>
      </c>
      <c r="B69" s="235">
        <f t="shared" si="10"/>
        <v>62.780019917688122</v>
      </c>
      <c r="C69" s="177">
        <f t="shared" si="3"/>
        <v>-9.1324706557529989E-3</v>
      </c>
      <c r="D69" s="233">
        <f t="shared" si="12"/>
        <v>803.69977196412174</v>
      </c>
      <c r="E69" s="232"/>
      <c r="F69" s="304">
        <v>0.76515068493150684</v>
      </c>
      <c r="G69" s="308">
        <f t="shared" si="11"/>
        <v>-2.4132772264326179E-2</v>
      </c>
      <c r="H69" s="235"/>
      <c r="I69" s="235"/>
      <c r="J69" s="303">
        <v>420</v>
      </c>
      <c r="K69" s="148">
        <v>1.2262599999999999</v>
      </c>
      <c r="L69" s="186">
        <f t="shared" si="1"/>
        <v>515.02919999999995</v>
      </c>
      <c r="M69" s="186">
        <f t="shared" si="2"/>
        <v>2251.0332312340029</v>
      </c>
      <c r="N69" s="177">
        <f t="shared" si="5"/>
        <v>5.8678309528201605E-3</v>
      </c>
      <c r="O69" s="10"/>
      <c r="P69" s="227"/>
      <c r="Q69" s="227"/>
      <c r="R69" s="10"/>
      <c r="S69" s="10"/>
    </row>
    <row r="70" spans="1:20" x14ac:dyDescent="0.3">
      <c r="A70" s="10">
        <v>2004</v>
      </c>
      <c r="B70" s="235">
        <f t="shared" si="10"/>
        <v>66.256243209122587</v>
      </c>
      <c r="C70" s="177">
        <f t="shared" si="3"/>
        <v>5.3892828869689956E-2</v>
      </c>
      <c r="D70" s="233">
        <f t="shared" si="12"/>
        <v>848.20182644395936</v>
      </c>
      <c r="E70" s="232"/>
      <c r="F70" s="304">
        <v>0.78565718650631522</v>
      </c>
      <c r="G70" s="308">
        <f t="shared" si="11"/>
        <v>2.6447759608870289E-2</v>
      </c>
      <c r="H70" s="235"/>
      <c r="I70" s="235"/>
      <c r="J70" s="303">
        <v>453.25</v>
      </c>
      <c r="K70" s="148">
        <v>1.2325900000000001</v>
      </c>
      <c r="L70" s="186">
        <f t="shared" si="1"/>
        <v>558.67141750000008</v>
      </c>
      <c r="M70" s="186">
        <f t="shared" si="2"/>
        <v>2441.7798566238689</v>
      </c>
      <c r="N70" s="177">
        <f t="shared" si="5"/>
        <v>8.1337898130509567E-2</v>
      </c>
      <c r="O70" s="10"/>
      <c r="P70" s="227">
        <f>SUM(P21:P67)</f>
        <v>1128</v>
      </c>
      <c r="Q70" s="310">
        <f>SUM(Q21:Q67)</f>
        <v>1</v>
      </c>
      <c r="R70" s="10"/>
      <c r="S70" s="10"/>
    </row>
    <row r="71" spans="1:20" x14ac:dyDescent="0.3">
      <c r="A71" s="10">
        <v>2005</v>
      </c>
      <c r="B71" s="235">
        <f t="shared" si="10"/>
        <v>69.107534813959006</v>
      </c>
      <c r="C71" s="177">
        <f t="shared" si="3"/>
        <v>4.2134069454007848E-2</v>
      </c>
      <c r="D71" s="233">
        <f t="shared" si="12"/>
        <v>884.70360544330936</v>
      </c>
      <c r="E71" s="232"/>
      <c r="F71" s="304">
        <v>0.80502631259009672</v>
      </c>
      <c r="G71" s="308">
        <f t="shared" si="11"/>
        <v>2.4354415526401763E-2</v>
      </c>
      <c r="H71" s="235"/>
      <c r="I71" s="235"/>
      <c r="J71" s="303">
        <v>488.75</v>
      </c>
      <c r="K71" s="148">
        <v>1.2136400000000001</v>
      </c>
      <c r="L71" s="186">
        <f t="shared" ref="L71:L85" si="13">J71*K71</f>
        <v>593.16655000000003</v>
      </c>
      <c r="M71" s="186">
        <f t="shared" ref="M71:M85" si="14">L71/$L$6*100</f>
        <v>2592.5474045091541</v>
      </c>
      <c r="N71" s="177">
        <f t="shared" si="5"/>
        <v>5.9913723381613888E-2</v>
      </c>
      <c r="O71" s="10"/>
      <c r="P71" s="227"/>
      <c r="Q71" s="227"/>
      <c r="R71" s="10"/>
      <c r="S71" s="10"/>
    </row>
    <row r="72" spans="1:20" x14ac:dyDescent="0.3">
      <c r="A72" s="10">
        <v>2006</v>
      </c>
      <c r="B72" s="235">
        <f t="shared" si="10"/>
        <v>72.539748715463958</v>
      </c>
      <c r="C72" s="177">
        <f t="shared" ref="C72:C85" si="15">LN(B72/B71)</f>
        <v>4.8470902767240961E-2</v>
      </c>
      <c r="D72" s="233">
        <f t="shared" si="12"/>
        <v>928.64225875352315</v>
      </c>
      <c r="E72" s="232"/>
      <c r="F72" s="304">
        <v>0.82983682983682983</v>
      </c>
      <c r="G72" s="308">
        <f t="shared" si="11"/>
        <v>3.0354127574452328E-2</v>
      </c>
      <c r="H72" s="235"/>
      <c r="I72" s="235"/>
      <c r="J72" s="303">
        <v>526</v>
      </c>
      <c r="K72" s="148">
        <v>1.2053400000000001</v>
      </c>
      <c r="L72" s="186">
        <f t="shared" si="13"/>
        <v>634.00884000000008</v>
      </c>
      <c r="M72" s="186">
        <f t="shared" si="14"/>
        <v>2771.0564133764115</v>
      </c>
      <c r="N72" s="177">
        <f t="shared" ref="N72:N85" si="16">LN(M72/M71)</f>
        <v>6.6587677960029554E-2</v>
      </c>
      <c r="O72" s="10"/>
      <c r="P72" s="227"/>
      <c r="Q72" s="227"/>
      <c r="R72" s="10"/>
      <c r="S72" s="10"/>
    </row>
    <row r="73" spans="1:20" x14ac:dyDescent="0.3">
      <c r="A73" s="10">
        <v>2007</v>
      </c>
      <c r="B73" s="235">
        <f t="shared" si="10"/>
        <v>76.735077674285833</v>
      </c>
      <c r="C73" s="177">
        <f t="shared" si="15"/>
        <v>5.6224270100816397E-2</v>
      </c>
      <c r="D73" s="233">
        <f t="shared" si="12"/>
        <v>982.35018895074847</v>
      </c>
      <c r="E73" s="232"/>
      <c r="F73" s="304">
        <v>0.85109144150139759</v>
      </c>
      <c r="G73" s="308">
        <f t="shared" si="11"/>
        <v>2.5290483717718946E-2</v>
      </c>
      <c r="H73" s="235"/>
      <c r="I73" s="235"/>
      <c r="J73" s="303">
        <v>570.25</v>
      </c>
      <c r="K73" s="148">
        <v>1.21306</v>
      </c>
      <c r="L73" s="186">
        <f t="shared" si="13"/>
        <v>691.74746500000003</v>
      </c>
      <c r="M73" s="186">
        <f t="shared" si="14"/>
        <v>3023.4140730989247</v>
      </c>
      <c r="N73" s="177">
        <f t="shared" si="16"/>
        <v>8.7158056483913948E-2</v>
      </c>
      <c r="O73" s="10"/>
      <c r="P73" s="227"/>
      <c r="Q73" s="227"/>
      <c r="R73" s="10"/>
      <c r="S73" s="10"/>
    </row>
    <row r="74" spans="1:20" x14ac:dyDescent="0.3">
      <c r="A74" s="10">
        <v>2008</v>
      </c>
      <c r="B74" s="235">
        <f t="shared" si="10"/>
        <v>83.870177280272827</v>
      </c>
      <c r="C74" s="177">
        <f t="shared" si="15"/>
        <v>8.8911154877615348E-2</v>
      </c>
      <c r="D74" s="233">
        <f t="shared" si="12"/>
        <v>1073.6925926930794</v>
      </c>
      <c r="E74" s="232"/>
      <c r="F74" s="304">
        <v>0.91017377824916379</v>
      </c>
      <c r="G74" s="308">
        <f t="shared" si="11"/>
        <v>6.7115971764482085E-2</v>
      </c>
      <c r="H74" s="235"/>
      <c r="I74" s="235"/>
      <c r="J74" s="303">
        <v>626</v>
      </c>
      <c r="K74" s="148">
        <v>1.2343900000000001</v>
      </c>
      <c r="L74" s="186">
        <f t="shared" si="13"/>
        <v>772.72814000000005</v>
      </c>
      <c r="M74" s="186">
        <f t="shared" si="14"/>
        <v>3377.3555399376214</v>
      </c>
      <c r="N74" s="177">
        <f t="shared" si="16"/>
        <v>0.11070633799074864</v>
      </c>
      <c r="O74" s="10"/>
      <c r="P74" s="227"/>
      <c r="Q74" s="227"/>
      <c r="R74" s="10"/>
      <c r="S74" s="10"/>
    </row>
    <row r="75" spans="1:20" x14ac:dyDescent="0.3">
      <c r="A75" s="10">
        <v>2009</v>
      </c>
      <c r="B75" s="235">
        <f t="shared" si="10"/>
        <v>84.001528405128937</v>
      </c>
      <c r="C75" s="177">
        <f t="shared" si="15"/>
        <v>1.5648992321296406E-3</v>
      </c>
      <c r="D75" s="233">
        <f t="shared" si="12"/>
        <v>1075.3741287810337</v>
      </c>
      <c r="E75" s="232"/>
      <c r="F75" s="304">
        <v>0.94025760482323928</v>
      </c>
      <c r="G75" s="308">
        <f t="shared" si="11"/>
        <v>3.2518339015787587E-2</v>
      </c>
      <c r="H75" s="235"/>
      <c r="I75" s="235"/>
      <c r="J75" s="303">
        <v>624.5</v>
      </c>
      <c r="K75" s="148">
        <v>1.2015199999999999</v>
      </c>
      <c r="L75" s="186">
        <f t="shared" si="13"/>
        <v>750.3492399999999</v>
      </c>
      <c r="M75" s="186">
        <f t="shared" si="14"/>
        <v>3279.5442943257945</v>
      </c>
      <c r="N75" s="177">
        <f t="shared" si="16"/>
        <v>-2.9388540551528099E-2</v>
      </c>
      <c r="O75" s="10"/>
      <c r="P75" s="227"/>
      <c r="Q75" s="227"/>
      <c r="R75" s="10"/>
      <c r="S75" s="10"/>
    </row>
    <row r="76" spans="1:20" x14ac:dyDescent="0.3">
      <c r="A76" s="10">
        <v>2010</v>
      </c>
      <c r="B76" s="235">
        <f t="shared" si="10"/>
        <v>85.965391129751112</v>
      </c>
      <c r="C76" s="177">
        <f t="shared" si="15"/>
        <v>2.3109792556578444E-2</v>
      </c>
      <c r="D76" s="233">
        <f t="shared" si="12"/>
        <v>1100.5151852193255</v>
      </c>
      <c r="E76" s="232"/>
      <c r="F76" s="304">
        <v>0.94324530218384972</v>
      </c>
      <c r="G76" s="308">
        <f t="shared" si="11"/>
        <v>3.1724929707879928E-3</v>
      </c>
      <c r="H76" s="235"/>
      <c r="I76" s="235"/>
      <c r="J76" s="303">
        <v>641.5</v>
      </c>
      <c r="K76" s="148">
        <v>1.22113</v>
      </c>
      <c r="L76" s="186">
        <f t="shared" si="13"/>
        <v>783.35489500000006</v>
      </c>
      <c r="M76" s="186">
        <f t="shared" si="14"/>
        <v>3423.8017970531059</v>
      </c>
      <c r="N76" s="177">
        <f t="shared" si="16"/>
        <v>4.304709214236891E-2</v>
      </c>
      <c r="O76" s="10"/>
      <c r="P76" s="227"/>
      <c r="Q76" s="227"/>
      <c r="R76" s="10"/>
      <c r="S76" s="10"/>
    </row>
    <row r="77" spans="1:20" x14ac:dyDescent="0.3">
      <c r="A77" s="10">
        <v>2011</v>
      </c>
      <c r="B77" s="235">
        <f t="shared" si="10"/>
        <v>89.248260594194178</v>
      </c>
      <c r="C77" s="177">
        <f t="shared" si="15"/>
        <v>3.7477144795637546E-2</v>
      </c>
      <c r="D77" s="233">
        <f t="shared" si="12"/>
        <v>1142.5419549371461</v>
      </c>
      <c r="E77" s="232"/>
      <c r="F77" s="304">
        <v>0.9633536838543989</v>
      </c>
      <c r="G77" s="308">
        <f t="shared" si="11"/>
        <v>2.1094238948681683E-2</v>
      </c>
      <c r="H77" s="235"/>
      <c r="I77" s="235"/>
      <c r="J77" s="303">
        <v>666.75</v>
      </c>
      <c r="K77" s="148">
        <v>1.2399</v>
      </c>
      <c r="L77" s="186">
        <f t="shared" si="13"/>
        <v>826.70332499999995</v>
      </c>
      <c r="M77" s="186">
        <f t="shared" si="14"/>
        <v>3613.264368207947</v>
      </c>
      <c r="N77" s="177">
        <f t="shared" si="16"/>
        <v>5.386005064259354E-2</v>
      </c>
      <c r="O77" s="10"/>
      <c r="P77" s="227"/>
      <c r="Q77" s="227"/>
      <c r="R77" s="10"/>
      <c r="S77" s="10"/>
      <c r="T77" s="10"/>
    </row>
    <row r="78" spans="1:20" x14ac:dyDescent="0.3">
      <c r="A78" s="10">
        <v>2012</v>
      </c>
      <c r="B78" s="235">
        <f t="shared" si="10"/>
        <v>92.256579771087715</v>
      </c>
      <c r="C78" s="177">
        <f t="shared" si="15"/>
        <v>3.3151674479792899E-2</v>
      </c>
      <c r="D78" s="233">
        <f t="shared" si="12"/>
        <v>1181.0539757940146</v>
      </c>
      <c r="E78" s="232"/>
      <c r="F78" s="304">
        <v>1</v>
      </c>
      <c r="G78" s="308">
        <f t="shared" si="11"/>
        <v>3.7334661658528195E-2</v>
      </c>
      <c r="H78" s="235"/>
      <c r="I78" s="235"/>
      <c r="J78" s="303">
        <v>683.75</v>
      </c>
      <c r="K78" s="148">
        <v>1.24461</v>
      </c>
      <c r="L78" s="186">
        <f t="shared" si="13"/>
        <v>851.00208750000002</v>
      </c>
      <c r="M78" s="186">
        <f t="shared" si="14"/>
        <v>3719.4667386082324</v>
      </c>
      <c r="N78" s="177">
        <f t="shared" si="16"/>
        <v>2.8968687301057301E-2</v>
      </c>
      <c r="O78" s="10"/>
      <c r="P78" s="227"/>
      <c r="Q78" s="227"/>
      <c r="R78" s="10"/>
      <c r="S78" s="10"/>
    </row>
    <row r="79" spans="1:20" x14ac:dyDescent="0.3">
      <c r="A79" s="10">
        <v>2013</v>
      </c>
      <c r="B79" s="235">
        <f t="shared" si="10"/>
        <v>93.636624408247584</v>
      </c>
      <c r="C79" s="177">
        <f t="shared" si="15"/>
        <v>1.4847987554938779E-2</v>
      </c>
      <c r="D79" s="233">
        <f t="shared" si="12"/>
        <v>1198.721086470945</v>
      </c>
      <c r="E79" s="232"/>
      <c r="F79" s="304">
        <v>1.0268376728291797</v>
      </c>
      <c r="G79" s="308">
        <f t="shared" si="11"/>
        <v>2.6483858891062789E-2</v>
      </c>
      <c r="H79" s="235"/>
      <c r="I79" s="235"/>
      <c r="J79" s="303">
        <v>697.5</v>
      </c>
      <c r="K79" s="148">
        <v>1.224</v>
      </c>
      <c r="L79" s="186">
        <f t="shared" si="13"/>
        <v>853.74</v>
      </c>
      <c r="M79" s="186">
        <f t="shared" si="14"/>
        <v>3731.4333067595348</v>
      </c>
      <c r="N79" s="177">
        <f t="shared" si="16"/>
        <v>3.2121162188145946E-3</v>
      </c>
      <c r="O79" s="10"/>
      <c r="P79" s="227"/>
      <c r="Q79" s="227"/>
      <c r="R79" s="10"/>
      <c r="S79" s="10"/>
    </row>
    <row r="80" spans="1:20" x14ac:dyDescent="0.3">
      <c r="A80" s="10">
        <v>2014</v>
      </c>
      <c r="B80" s="235">
        <f t="shared" si="10"/>
        <v>96.039380581914699</v>
      </c>
      <c r="C80" s="177">
        <f t="shared" si="15"/>
        <v>2.5336728383975968E-2</v>
      </c>
      <c r="D80" s="233">
        <f t="shared" si="12"/>
        <v>1229.4807866334097</v>
      </c>
      <c r="E80" s="232"/>
      <c r="F80" s="304">
        <v>1.0520043947375834</v>
      </c>
      <c r="G80" s="308">
        <f t="shared" si="11"/>
        <v>2.4213432922938202E-2</v>
      </c>
      <c r="H80" s="235"/>
      <c r="I80" s="235"/>
      <c r="J80" s="303">
        <v>712.5</v>
      </c>
      <c r="K80" s="148">
        <v>1.2303599999999999</v>
      </c>
      <c r="L80" s="186">
        <f t="shared" si="13"/>
        <v>876.63149999999996</v>
      </c>
      <c r="M80" s="186">
        <f t="shared" si="14"/>
        <v>3831.4849683212351</v>
      </c>
      <c r="N80" s="177">
        <f t="shared" si="16"/>
        <v>2.6460023845013794E-2</v>
      </c>
      <c r="O80" s="10"/>
      <c r="P80" s="227"/>
      <c r="Q80" s="227"/>
      <c r="R80" s="10"/>
      <c r="S80" s="10"/>
    </row>
    <row r="81" spans="1:19" x14ac:dyDescent="0.3">
      <c r="A81" s="10">
        <v>2015</v>
      </c>
      <c r="B81" s="235">
        <f t="shared" si="10"/>
        <v>98.734180295385016</v>
      </c>
      <c r="C81" s="177">
        <f t="shared" si="15"/>
        <v>2.7672869659650507E-2</v>
      </c>
      <c r="D81" s="233">
        <f t="shared" si="12"/>
        <v>1263.9791814737539</v>
      </c>
      <c r="E81" s="232"/>
      <c r="F81" s="304">
        <v>1.0754005261472934</v>
      </c>
      <c r="G81" s="308">
        <f t="shared" si="11"/>
        <v>2.1995882836613436E-2</v>
      </c>
      <c r="H81" s="235"/>
      <c r="I81" s="235"/>
      <c r="J81" s="303">
        <v>726.25</v>
      </c>
      <c r="K81" s="148">
        <v>1.248</v>
      </c>
      <c r="L81" s="186">
        <f t="shared" si="13"/>
        <v>906.36</v>
      </c>
      <c r="M81" s="186">
        <f t="shared" si="14"/>
        <v>3961.4190408257455</v>
      </c>
      <c r="N81" s="177">
        <f t="shared" si="16"/>
        <v>3.3349856482688178E-2</v>
      </c>
      <c r="O81" s="10"/>
      <c r="P81" s="227"/>
      <c r="Q81" s="227"/>
      <c r="R81" s="10"/>
      <c r="S81" s="10"/>
    </row>
    <row r="82" spans="1:19" x14ac:dyDescent="0.3">
      <c r="A82" s="10">
        <v>2016</v>
      </c>
      <c r="B82" s="235">
        <f t="shared" si="10"/>
        <v>99.00608172567388</v>
      </c>
      <c r="C82" s="177">
        <f t="shared" si="15"/>
        <v>2.7500884127023076E-3</v>
      </c>
      <c r="D82" s="233">
        <f t="shared" si="12"/>
        <v>1267.4600200877969</v>
      </c>
      <c r="E82" s="232"/>
      <c r="F82" s="304">
        <v>1.0984013765923788</v>
      </c>
      <c r="G82" s="308">
        <f t="shared" si="11"/>
        <v>2.116265409078058E-2</v>
      </c>
      <c r="H82" s="235"/>
      <c r="I82" s="235"/>
      <c r="J82" s="303">
        <v>739.25</v>
      </c>
      <c r="K82" s="148">
        <v>1.2070000000000001</v>
      </c>
      <c r="L82" s="186">
        <f t="shared" si="13"/>
        <v>892.27475000000004</v>
      </c>
      <c r="M82" s="186">
        <f t="shared" si="14"/>
        <v>3899.8567724723421</v>
      </c>
      <c r="N82" s="177">
        <f t="shared" si="16"/>
        <v>-1.5662477265375823E-2</v>
      </c>
      <c r="O82" s="10"/>
      <c r="P82" s="227"/>
      <c r="Q82" s="227"/>
      <c r="R82" s="10"/>
      <c r="S82" s="10"/>
    </row>
    <row r="83" spans="1:19" x14ac:dyDescent="0.3">
      <c r="A83" s="10">
        <v>2017</v>
      </c>
      <c r="B83" s="235">
        <f t="shared" si="10"/>
        <v>100.80231830843488</v>
      </c>
      <c r="C83" s="177">
        <f t="shared" si="15"/>
        <v>1.7980074644197354E-2</v>
      </c>
      <c r="D83" s="233">
        <f t="shared" si="12"/>
        <v>1290.4551534734092</v>
      </c>
      <c r="E83" s="232"/>
      <c r="F83" s="304">
        <v>1.1085202539717747</v>
      </c>
      <c r="G83" s="308">
        <f t="shared" si="11"/>
        <v>9.1701926785639765E-3</v>
      </c>
      <c r="H83" s="235"/>
      <c r="I83" s="235"/>
      <c r="J83" s="303">
        <v>756</v>
      </c>
      <c r="K83" s="148">
        <v>1.212304</v>
      </c>
      <c r="L83" s="186">
        <f t="shared" si="13"/>
        <v>916.50182400000006</v>
      </c>
      <c r="M83" s="186">
        <f t="shared" si="14"/>
        <v>4005.7458146267786</v>
      </c>
      <c r="N83" s="177">
        <f t="shared" si="16"/>
        <v>2.6789956609831123E-2</v>
      </c>
      <c r="O83" s="10"/>
      <c r="P83" s="227"/>
      <c r="Q83" s="227"/>
      <c r="R83" s="10"/>
      <c r="S83" s="10"/>
    </row>
    <row r="84" spans="1:19" x14ac:dyDescent="0.3">
      <c r="A84" s="10">
        <v>2018</v>
      </c>
      <c r="B84" s="235">
        <f>D84/D85*B85</f>
        <v>103.88774325645528</v>
      </c>
      <c r="C84" s="177">
        <f t="shared" si="15"/>
        <v>3.0149569949284891E-2</v>
      </c>
      <c r="D84" s="233">
        <f t="shared" si="12"/>
        <v>1329.954270077508</v>
      </c>
      <c r="E84" s="232"/>
      <c r="F84" s="304">
        <v>1.1382409285553301</v>
      </c>
      <c r="G84" s="308">
        <f t="shared" si="11"/>
        <v>2.6458004139333351E-2</v>
      </c>
      <c r="H84" s="235"/>
      <c r="I84" s="235"/>
      <c r="J84" s="303">
        <v>791.25</v>
      </c>
      <c r="K84" s="148">
        <v>1.1981649999999999</v>
      </c>
      <c r="L84" s="186">
        <f t="shared" si="13"/>
        <v>948.04805624999995</v>
      </c>
      <c r="M84" s="186">
        <f t="shared" si="14"/>
        <v>4143.6246322063944</v>
      </c>
      <c r="N84" s="177">
        <f t="shared" si="16"/>
        <v>3.3841135759236474E-2</v>
      </c>
      <c r="O84" s="10"/>
      <c r="P84" s="227"/>
      <c r="Q84" s="227"/>
      <c r="R84" s="10"/>
      <c r="S84" s="10"/>
    </row>
    <row r="85" spans="1:19" x14ac:dyDescent="0.3">
      <c r="A85" s="10">
        <v>2019</v>
      </c>
      <c r="B85" s="311">
        <f>'Capital Cost Calculations'!Q30</f>
        <v>106.9</v>
      </c>
      <c r="C85" s="177">
        <f t="shared" si="15"/>
        <v>2.8582893617305708E-2</v>
      </c>
      <c r="D85" s="233">
        <f t="shared" si="12"/>
        <v>1368.5166990327461</v>
      </c>
      <c r="E85" s="232"/>
      <c r="F85" s="304">
        <v>1.1586975736321388</v>
      </c>
      <c r="G85" s="308">
        <f t="shared" si="11"/>
        <v>1.7812567416189997E-2</v>
      </c>
      <c r="H85" s="235"/>
      <c r="I85" s="235"/>
      <c r="J85" s="303">
        <v>812.75</v>
      </c>
      <c r="K85" s="148">
        <v>1.2132890000000001</v>
      </c>
      <c r="L85" s="186">
        <f t="shared" si="13"/>
        <v>986.10063475000004</v>
      </c>
      <c r="M85" s="186">
        <f t="shared" si="14"/>
        <v>4309.9406755251821</v>
      </c>
      <c r="N85" s="177">
        <f t="shared" si="16"/>
        <v>3.9353219818421298E-2</v>
      </c>
      <c r="O85" s="10"/>
      <c r="P85" s="227"/>
      <c r="Q85" s="227"/>
      <c r="R85" s="10"/>
      <c r="S85" s="10"/>
    </row>
    <row r="86" spans="1:19" x14ac:dyDescent="0.3">
      <c r="A86" s="10"/>
      <c r="B86" s="235"/>
      <c r="C86" s="235"/>
      <c r="D86" s="236"/>
      <c r="E86" s="236"/>
      <c r="F86" s="236"/>
      <c r="G86" s="236"/>
      <c r="H86" s="235"/>
      <c r="I86" s="235"/>
      <c r="J86" s="235"/>
      <c r="L86" s="235"/>
      <c r="M86" s="235"/>
      <c r="N86" s="296"/>
      <c r="O86" s="10"/>
      <c r="P86" s="227"/>
      <c r="Q86" s="227"/>
      <c r="R86" s="10"/>
      <c r="S86" s="10"/>
    </row>
    <row r="87" spans="1:19" s="149" customFormat="1" x14ac:dyDescent="0.3">
      <c r="A87" s="234"/>
      <c r="B87" s="235"/>
      <c r="C87" s="235"/>
      <c r="D87" s="236"/>
      <c r="E87" s="236"/>
      <c r="F87" s="236"/>
      <c r="G87" s="236"/>
      <c r="H87" s="235"/>
      <c r="I87" s="235"/>
      <c r="J87" s="235"/>
      <c r="K87" s="235"/>
      <c r="L87" s="235"/>
      <c r="M87" s="235"/>
      <c r="N87" s="296"/>
      <c r="O87" s="10"/>
      <c r="P87" s="227"/>
      <c r="Q87" s="227"/>
      <c r="R87" s="10"/>
      <c r="S87" s="10"/>
    </row>
    <row r="88" spans="1:19" x14ac:dyDescent="0.3">
      <c r="A88" s="234"/>
      <c r="B88" s="237"/>
      <c r="C88" s="237"/>
      <c r="D88" s="237"/>
      <c r="E88" s="236"/>
      <c r="F88" s="237"/>
      <c r="G88" s="236"/>
      <c r="H88" s="235"/>
      <c r="I88" s="235"/>
      <c r="J88" s="237"/>
      <c r="K88" s="237"/>
      <c r="L88" s="237"/>
      <c r="M88" s="237"/>
      <c r="N88" s="237"/>
      <c r="O88" s="10"/>
      <c r="P88" s="227"/>
      <c r="Q88" s="227"/>
      <c r="R88" s="10"/>
      <c r="S88" s="10"/>
    </row>
    <row r="89" spans="1:19" x14ac:dyDescent="0.3">
      <c r="A89" s="234"/>
      <c r="B89" s="237"/>
      <c r="C89" s="237"/>
      <c r="D89" s="237"/>
      <c r="E89" s="236"/>
      <c r="F89" s="237"/>
      <c r="G89" s="236"/>
      <c r="H89" s="235"/>
      <c r="I89" s="235"/>
      <c r="J89" s="237"/>
      <c r="K89" s="237"/>
      <c r="L89" s="237"/>
      <c r="M89" s="237"/>
      <c r="N89" s="237"/>
      <c r="O89" s="10"/>
      <c r="P89" s="227"/>
      <c r="Q89" s="227"/>
      <c r="R89" s="10"/>
      <c r="S89" s="10"/>
    </row>
    <row r="90" spans="1:19" x14ac:dyDescent="0.3">
      <c r="A90" s="10"/>
      <c r="B90" s="235"/>
      <c r="C90" s="235"/>
      <c r="D90" s="236"/>
      <c r="E90" s="236"/>
      <c r="F90" s="236"/>
      <c r="G90" s="236"/>
      <c r="H90" s="235"/>
      <c r="I90" s="235"/>
      <c r="J90" s="235"/>
      <c r="L90" s="235"/>
      <c r="M90" s="235"/>
      <c r="N90" s="296"/>
      <c r="O90" s="10"/>
      <c r="P90" s="227"/>
      <c r="Q90" s="227"/>
      <c r="R90" s="10"/>
      <c r="S90" s="10"/>
    </row>
    <row r="91" spans="1:19" x14ac:dyDescent="0.3">
      <c r="A91" s="10"/>
      <c r="B91" s="235"/>
      <c r="C91" s="235"/>
      <c r="D91" s="236"/>
      <c r="E91" s="236"/>
      <c r="F91" s="236"/>
      <c r="G91" s="236"/>
      <c r="H91" s="235"/>
      <c r="I91" s="235"/>
      <c r="J91" s="235"/>
      <c r="P91" s="138"/>
      <c r="Q91" s="138"/>
    </row>
    <row r="92" spans="1:19" x14ac:dyDescent="0.3">
      <c r="A92" s="10"/>
      <c r="B92" s="235"/>
      <c r="C92" s="235"/>
      <c r="D92" s="235"/>
      <c r="E92" s="235"/>
      <c r="F92" s="235"/>
      <c r="G92" s="235"/>
      <c r="H92" s="235"/>
      <c r="I92" s="235"/>
      <c r="J92" s="235"/>
      <c r="P92" s="138"/>
      <c r="Q92" s="138"/>
    </row>
    <row r="93" spans="1:19" x14ac:dyDescent="0.3">
      <c r="A93" s="10"/>
      <c r="B93" s="235"/>
      <c r="C93" s="235"/>
      <c r="D93" s="235"/>
      <c r="E93" s="235"/>
      <c r="F93" s="235"/>
      <c r="G93" s="235"/>
      <c r="H93" s="235"/>
      <c r="I93" s="235"/>
      <c r="J93" s="235"/>
      <c r="L93" s="246"/>
      <c r="P93" s="138"/>
      <c r="Q93" s="138"/>
    </row>
    <row r="94" spans="1:19" x14ac:dyDescent="0.3">
      <c r="A94" s="10"/>
      <c r="B94" s="235"/>
      <c r="C94" s="235"/>
      <c r="D94" s="235"/>
      <c r="E94" s="235"/>
      <c r="F94" s="235"/>
      <c r="G94" s="235"/>
      <c r="H94" s="235"/>
      <c r="I94" s="235"/>
      <c r="J94" s="235"/>
      <c r="L94" s="246"/>
      <c r="P94" s="138"/>
      <c r="Q94" s="138"/>
    </row>
    <row r="95" spans="1:19" x14ac:dyDescent="0.3">
      <c r="A95" s="149"/>
      <c r="L95" s="246"/>
      <c r="P95" s="380"/>
      <c r="Q95" s="380"/>
    </row>
    <row r="96" spans="1:19" x14ac:dyDescent="0.3">
      <c r="A96" s="149"/>
      <c r="P96" s="138"/>
      <c r="Q96" s="138"/>
    </row>
    <row r="97" spans="1:17" x14ac:dyDescent="0.3">
      <c r="A97" s="149"/>
      <c r="P97" s="138"/>
      <c r="Q97" s="138"/>
    </row>
    <row r="98" spans="1:17" x14ac:dyDescent="0.3">
      <c r="A98" s="149"/>
      <c r="P98" s="138"/>
      <c r="Q98" s="138"/>
    </row>
    <row r="99" spans="1:17" x14ac:dyDescent="0.3">
      <c r="A99" s="149"/>
      <c r="P99" s="138"/>
      <c r="Q99" s="138"/>
    </row>
    <row r="100" spans="1:17" x14ac:dyDescent="0.3">
      <c r="A100" s="149"/>
      <c r="P100" s="138"/>
      <c r="Q100" s="138"/>
    </row>
    <row r="101" spans="1:17" x14ac:dyDescent="0.3">
      <c r="A101" s="149"/>
      <c r="P101" s="138"/>
      <c r="Q101" s="138"/>
    </row>
    <row r="102" spans="1:17" x14ac:dyDescent="0.3">
      <c r="A102" s="149"/>
      <c r="P102" s="138"/>
      <c r="Q102" s="138"/>
    </row>
    <row r="103" spans="1:17" x14ac:dyDescent="0.3">
      <c r="A103" s="149"/>
      <c r="P103" s="138"/>
      <c r="Q103" s="138"/>
    </row>
    <row r="104" spans="1:17" x14ac:dyDescent="0.3">
      <c r="A104" s="149"/>
      <c r="P104" s="138"/>
      <c r="Q104" s="138"/>
    </row>
    <row r="105" spans="1:17" x14ac:dyDescent="0.3">
      <c r="A105" s="149"/>
      <c r="P105" s="138"/>
      <c r="Q105" s="138"/>
    </row>
    <row r="106" spans="1:17" x14ac:dyDescent="0.3">
      <c r="A106" s="149"/>
      <c r="P106" s="138"/>
      <c r="Q106" s="138"/>
    </row>
    <row r="107" spans="1:17" x14ac:dyDescent="0.3">
      <c r="A107" s="149"/>
      <c r="P107" s="138"/>
      <c r="Q107" s="138"/>
    </row>
    <row r="108" spans="1:17" x14ac:dyDescent="0.3">
      <c r="A108" s="149"/>
      <c r="P108" s="138"/>
      <c r="Q108" s="138"/>
    </row>
    <row r="109" spans="1:17" x14ac:dyDescent="0.3">
      <c r="A109" s="149"/>
      <c r="P109" s="138"/>
      <c r="Q109" s="138"/>
    </row>
    <row r="110" spans="1:17" x14ac:dyDescent="0.3">
      <c r="A110" s="149"/>
      <c r="P110" s="138"/>
      <c r="Q110" s="138"/>
    </row>
    <row r="111" spans="1:17" x14ac:dyDescent="0.3">
      <c r="A111" s="149"/>
      <c r="P111" s="138"/>
      <c r="Q111" s="138"/>
    </row>
    <row r="112" spans="1:17" x14ac:dyDescent="0.3">
      <c r="A112" s="149"/>
      <c r="P112" s="138"/>
      <c r="Q112" s="138"/>
    </row>
    <row r="113" spans="1:17" x14ac:dyDescent="0.3">
      <c r="A113" s="149"/>
      <c r="P113" s="138"/>
      <c r="Q113" s="138"/>
    </row>
    <row r="114" spans="1:17" x14ac:dyDescent="0.3">
      <c r="A114" s="149"/>
      <c r="P114" s="138"/>
      <c r="Q114" s="138"/>
    </row>
    <row r="115" spans="1:17" x14ac:dyDescent="0.3">
      <c r="A115" s="149"/>
      <c r="P115" s="138"/>
      <c r="Q115" s="138"/>
    </row>
    <row r="116" spans="1:17" x14ac:dyDescent="0.3">
      <c r="A116" s="149"/>
      <c r="P116" s="138"/>
      <c r="Q116" s="138"/>
    </row>
    <row r="117" spans="1:17" x14ac:dyDescent="0.3">
      <c r="A117" s="149"/>
      <c r="P117" s="138"/>
      <c r="Q117" s="138"/>
    </row>
    <row r="118" spans="1:17" x14ac:dyDescent="0.3">
      <c r="A118" s="149"/>
      <c r="P118" s="138"/>
      <c r="Q118" s="138"/>
    </row>
    <row r="119" spans="1:17" x14ac:dyDescent="0.3">
      <c r="A119" s="149"/>
      <c r="P119" s="138"/>
      <c r="Q119" s="138"/>
    </row>
    <row r="120" spans="1:17" x14ac:dyDescent="0.3">
      <c r="A120" s="149"/>
      <c r="P120" s="138"/>
      <c r="Q120" s="138"/>
    </row>
    <row r="121" spans="1:17" x14ac:dyDescent="0.3">
      <c r="A121" s="149"/>
      <c r="P121" s="138"/>
      <c r="Q121" s="138"/>
    </row>
    <row r="122" spans="1:17" x14ac:dyDescent="0.3">
      <c r="A122" s="149"/>
      <c r="P122" s="138"/>
      <c r="Q122" s="138"/>
    </row>
    <row r="123" spans="1:17" x14ac:dyDescent="0.3">
      <c r="A123" s="149"/>
      <c r="P123" s="138"/>
      <c r="Q123" s="138"/>
    </row>
    <row r="124" spans="1:17" x14ac:dyDescent="0.3">
      <c r="A124" s="149"/>
      <c r="P124" s="138"/>
      <c r="Q124" s="138"/>
    </row>
    <row r="125" spans="1:17" x14ac:dyDescent="0.3">
      <c r="A125" s="149"/>
      <c r="P125" s="138"/>
      <c r="Q125" s="138"/>
    </row>
    <row r="126" spans="1:17" x14ac:dyDescent="0.3">
      <c r="A126" s="149"/>
      <c r="P126" s="138"/>
      <c r="Q126" s="138"/>
    </row>
    <row r="127" spans="1:17" x14ac:dyDescent="0.3">
      <c r="A127" s="149"/>
      <c r="P127" s="138"/>
      <c r="Q127" s="138"/>
    </row>
    <row r="128" spans="1:17" x14ac:dyDescent="0.3">
      <c r="A128" s="149"/>
      <c r="P128" s="138"/>
      <c r="Q128" s="138"/>
    </row>
    <row r="129" spans="1:17" x14ac:dyDescent="0.3">
      <c r="A129" s="149"/>
      <c r="P129" s="138"/>
      <c r="Q129" s="138"/>
    </row>
    <row r="130" spans="1:17" x14ac:dyDescent="0.3">
      <c r="A130" s="149"/>
      <c r="P130" s="138"/>
      <c r="Q130" s="138"/>
    </row>
    <row r="131" spans="1:17" x14ac:dyDescent="0.3">
      <c r="A131" s="149"/>
      <c r="P131" s="138"/>
      <c r="Q131" s="138"/>
    </row>
    <row r="132" spans="1:17" x14ac:dyDescent="0.3">
      <c r="A132" s="149"/>
      <c r="P132" s="138"/>
      <c r="Q132" s="138"/>
    </row>
    <row r="133" spans="1:17" x14ac:dyDescent="0.3">
      <c r="A133" s="149"/>
      <c r="P133" s="138"/>
      <c r="Q133" s="138"/>
    </row>
    <row r="134" spans="1:17" x14ac:dyDescent="0.3">
      <c r="A134" s="149"/>
      <c r="P134" s="138"/>
      <c r="Q134" s="138"/>
    </row>
    <row r="135" spans="1:17" x14ac:dyDescent="0.3">
      <c r="A135" s="149"/>
      <c r="P135" s="138"/>
      <c r="Q135" s="138"/>
    </row>
    <row r="136" spans="1:17" x14ac:dyDescent="0.3">
      <c r="A136" s="149"/>
      <c r="P136" s="138"/>
      <c r="Q136" s="138"/>
    </row>
    <row r="137" spans="1:17" x14ac:dyDescent="0.3">
      <c r="A137" s="149"/>
      <c r="P137" s="138"/>
      <c r="Q137" s="138"/>
    </row>
    <row r="138" spans="1:17" x14ac:dyDescent="0.3">
      <c r="A138" s="149"/>
      <c r="P138" s="138"/>
      <c r="Q138" s="138"/>
    </row>
    <row r="139" spans="1:17" x14ac:dyDescent="0.3">
      <c r="A139" s="149"/>
      <c r="P139" s="138"/>
      <c r="Q139" s="138"/>
    </row>
    <row r="140" spans="1:17" x14ac:dyDescent="0.3">
      <c r="A140" s="149"/>
      <c r="P140" s="138"/>
      <c r="Q140" s="138"/>
    </row>
    <row r="141" spans="1:17" x14ac:dyDescent="0.3">
      <c r="A141" s="149"/>
      <c r="P141" s="138"/>
      <c r="Q141" s="138"/>
    </row>
    <row r="142" spans="1:17" x14ac:dyDescent="0.3">
      <c r="A142" s="149"/>
      <c r="P142" s="138"/>
      <c r="Q142" s="138"/>
    </row>
    <row r="143" spans="1:17" x14ac:dyDescent="0.3">
      <c r="A143" s="149"/>
      <c r="P143" s="138"/>
      <c r="Q143" s="138"/>
    </row>
    <row r="144" spans="1:17" x14ac:dyDescent="0.3">
      <c r="A144" s="149"/>
      <c r="P144" s="138"/>
      <c r="Q144" s="138"/>
    </row>
    <row r="145" spans="1:17" x14ac:dyDescent="0.3">
      <c r="A145" s="149"/>
      <c r="P145" s="138"/>
      <c r="Q145" s="138"/>
    </row>
    <row r="146" spans="1:17" x14ac:dyDescent="0.3">
      <c r="A146" s="149"/>
      <c r="P146" s="138"/>
      <c r="Q146" s="138"/>
    </row>
    <row r="147" spans="1:17" x14ac:dyDescent="0.3">
      <c r="A147" s="149"/>
      <c r="P147" s="138"/>
      <c r="Q147" s="138"/>
    </row>
    <row r="148" spans="1:17" x14ac:dyDescent="0.3">
      <c r="A148" s="149"/>
      <c r="P148" s="138"/>
      <c r="Q148" s="138"/>
    </row>
    <row r="149" spans="1:17" x14ac:dyDescent="0.3">
      <c r="A149" s="149"/>
      <c r="P149" s="138"/>
      <c r="Q149" s="138"/>
    </row>
    <row r="150" spans="1:17" x14ac:dyDescent="0.3">
      <c r="A150" s="149"/>
      <c r="P150" s="138"/>
      <c r="Q150" s="138"/>
    </row>
    <row r="151" spans="1:17" x14ac:dyDescent="0.3">
      <c r="A151" s="149"/>
      <c r="P151" s="138"/>
      <c r="Q151" s="138"/>
    </row>
    <row r="152" spans="1:17" x14ac:dyDescent="0.3">
      <c r="A152" s="149"/>
      <c r="P152" s="138"/>
      <c r="Q152" s="138"/>
    </row>
    <row r="153" spans="1:17" x14ac:dyDescent="0.3">
      <c r="A153" s="149"/>
      <c r="P153" s="138"/>
      <c r="Q153" s="138"/>
    </row>
    <row r="154" spans="1:17" x14ac:dyDescent="0.3">
      <c r="A154" s="149"/>
      <c r="P154" s="138"/>
      <c r="Q154" s="138"/>
    </row>
    <row r="155" spans="1:17" x14ac:dyDescent="0.3">
      <c r="A155" s="149"/>
      <c r="P155" s="138"/>
      <c r="Q155" s="138"/>
    </row>
    <row r="156" spans="1:17" x14ac:dyDescent="0.3">
      <c r="A156" s="149"/>
      <c r="P156" s="138"/>
      <c r="Q156" s="138"/>
    </row>
    <row r="157" spans="1:17" x14ac:dyDescent="0.3">
      <c r="A157" s="149"/>
      <c r="P157" s="138"/>
      <c r="Q157" s="138"/>
    </row>
    <row r="158" spans="1:17" x14ac:dyDescent="0.3">
      <c r="A158" s="149"/>
      <c r="P158" s="138"/>
      <c r="Q158" s="138"/>
    </row>
    <row r="159" spans="1:17" x14ac:dyDescent="0.3">
      <c r="A159" s="149"/>
      <c r="P159" s="138"/>
      <c r="Q159" s="138"/>
    </row>
    <row r="160" spans="1:17" x14ac:dyDescent="0.3">
      <c r="A160" s="149"/>
      <c r="P160" s="138"/>
      <c r="Q160" s="138"/>
    </row>
    <row r="161" spans="1:17" x14ac:dyDescent="0.3">
      <c r="A161" s="149"/>
      <c r="P161" s="138"/>
      <c r="Q161" s="138"/>
    </row>
    <row r="162" spans="1:17" x14ac:dyDescent="0.3">
      <c r="A162" s="149"/>
      <c r="P162" s="138"/>
      <c r="Q162" s="138"/>
    </row>
    <row r="163" spans="1:17" x14ac:dyDescent="0.3">
      <c r="A163" s="149"/>
      <c r="P163" s="138"/>
      <c r="Q163" s="138"/>
    </row>
    <row r="164" spans="1:17" x14ac:dyDescent="0.3">
      <c r="A164" s="149"/>
      <c r="P164" s="138"/>
      <c r="Q164" s="138"/>
    </row>
    <row r="165" spans="1:17" x14ac:dyDescent="0.3">
      <c r="A165" s="149"/>
      <c r="P165" s="138"/>
      <c r="Q165" s="138"/>
    </row>
    <row r="166" spans="1:17" x14ac:dyDescent="0.3">
      <c r="A166" s="149"/>
      <c r="P166" s="138"/>
      <c r="Q166" s="138"/>
    </row>
    <row r="167" spans="1:17" x14ac:dyDescent="0.3">
      <c r="A167" s="149"/>
      <c r="P167" s="138"/>
      <c r="Q167" s="138"/>
    </row>
    <row r="168" spans="1:17" x14ac:dyDescent="0.3">
      <c r="A168" s="149"/>
      <c r="P168" s="138"/>
      <c r="Q168" s="138"/>
    </row>
    <row r="169" spans="1:17" x14ac:dyDescent="0.3">
      <c r="A169" s="149"/>
      <c r="P169" s="138"/>
      <c r="Q169" s="138"/>
    </row>
    <row r="170" spans="1:17" x14ac:dyDescent="0.3">
      <c r="A170" s="149"/>
      <c r="P170" s="138"/>
      <c r="Q170" s="138"/>
    </row>
    <row r="171" spans="1:17" x14ac:dyDescent="0.3">
      <c r="A171" s="149"/>
      <c r="P171" s="138"/>
      <c r="Q171" s="138"/>
    </row>
    <row r="172" spans="1:17" x14ac:dyDescent="0.3">
      <c r="A172" s="149"/>
      <c r="P172" s="138"/>
      <c r="Q172" s="138"/>
    </row>
    <row r="173" spans="1:17" x14ac:dyDescent="0.3">
      <c r="A173" s="149"/>
      <c r="P173" s="138"/>
      <c r="Q173" s="138"/>
    </row>
    <row r="174" spans="1:17" x14ac:dyDescent="0.3">
      <c r="A174" s="149"/>
      <c r="P174" s="138"/>
      <c r="Q174" s="138"/>
    </row>
    <row r="175" spans="1:17" x14ac:dyDescent="0.3">
      <c r="A175" s="149"/>
      <c r="P175" s="138"/>
      <c r="Q175" s="138"/>
    </row>
    <row r="176" spans="1:17" x14ac:dyDescent="0.3">
      <c r="A176" s="149"/>
      <c r="P176" s="138"/>
      <c r="Q176" s="138"/>
    </row>
    <row r="177" spans="1:17" x14ac:dyDescent="0.3">
      <c r="A177" s="149"/>
      <c r="P177" s="138"/>
      <c r="Q177" s="138"/>
    </row>
    <row r="178" spans="1:17" x14ac:dyDescent="0.3">
      <c r="A178" s="149"/>
      <c r="P178" s="138"/>
      <c r="Q178" s="138"/>
    </row>
    <row r="179" spans="1:17" x14ac:dyDescent="0.3">
      <c r="A179" s="149"/>
      <c r="P179" s="138"/>
      <c r="Q179" s="138"/>
    </row>
    <row r="180" spans="1:17" x14ac:dyDescent="0.3">
      <c r="A180" s="149"/>
      <c r="P180" s="138"/>
      <c r="Q180" s="138"/>
    </row>
    <row r="181" spans="1:17" x14ac:dyDescent="0.3">
      <c r="A181" s="149"/>
      <c r="P181" s="138"/>
      <c r="Q181" s="138"/>
    </row>
    <row r="182" spans="1:17" x14ac:dyDescent="0.3">
      <c r="A182" s="149"/>
      <c r="P182" s="138"/>
      <c r="Q182" s="138"/>
    </row>
    <row r="183" spans="1:17" x14ac:dyDescent="0.3">
      <c r="A183" s="149"/>
      <c r="P183" s="138"/>
      <c r="Q183" s="138"/>
    </row>
    <row r="184" spans="1:17" x14ac:dyDescent="0.3">
      <c r="A184" s="149"/>
      <c r="P184" s="138"/>
      <c r="Q184" s="138"/>
    </row>
    <row r="185" spans="1:17" x14ac:dyDescent="0.3">
      <c r="A185" s="149"/>
      <c r="P185" s="138"/>
      <c r="Q185" s="138"/>
    </row>
    <row r="186" spans="1:17" x14ac:dyDescent="0.3">
      <c r="A186" s="149"/>
      <c r="P186" s="138"/>
      <c r="Q186" s="138"/>
    </row>
    <row r="187" spans="1:17" x14ac:dyDescent="0.3">
      <c r="A187" s="149"/>
      <c r="P187" s="138"/>
      <c r="Q187" s="138"/>
    </row>
    <row r="188" spans="1:17" x14ac:dyDescent="0.3">
      <c r="A188" s="149"/>
      <c r="P188" s="138"/>
      <c r="Q188" s="138"/>
    </row>
    <row r="189" spans="1:17" x14ac:dyDescent="0.3">
      <c r="A189" s="149"/>
      <c r="P189" s="138"/>
      <c r="Q189" s="138"/>
    </row>
    <row r="190" spans="1:17" x14ac:dyDescent="0.3">
      <c r="A190" s="149"/>
      <c r="P190" s="138"/>
      <c r="Q190" s="138"/>
    </row>
    <row r="191" spans="1:17" x14ac:dyDescent="0.3">
      <c r="A191" s="149"/>
      <c r="P191" s="138"/>
      <c r="Q191" s="138"/>
    </row>
    <row r="192" spans="1:17" x14ac:dyDescent="0.3">
      <c r="A192" s="149"/>
      <c r="P192" s="138"/>
      <c r="Q192" s="138"/>
    </row>
    <row r="193" spans="1:17" x14ac:dyDescent="0.3">
      <c r="A193" s="149"/>
      <c r="P193" s="138"/>
      <c r="Q193" s="138"/>
    </row>
    <row r="194" spans="1:17" x14ac:dyDescent="0.3">
      <c r="A194" s="149"/>
      <c r="P194" s="138"/>
      <c r="Q194" s="138"/>
    </row>
    <row r="195" spans="1:17" x14ac:dyDescent="0.3">
      <c r="A195" s="149"/>
      <c r="P195" s="138"/>
      <c r="Q195" s="138"/>
    </row>
    <row r="196" spans="1:17" x14ac:dyDescent="0.3">
      <c r="A196" s="149"/>
      <c r="P196" s="138"/>
      <c r="Q196" s="138"/>
    </row>
    <row r="197" spans="1:17" x14ac:dyDescent="0.3">
      <c r="A197" s="149"/>
      <c r="P197" s="138"/>
      <c r="Q197" s="138"/>
    </row>
    <row r="198" spans="1:17" x14ac:dyDescent="0.3">
      <c r="A198" s="149"/>
      <c r="P198" s="138"/>
      <c r="Q198" s="138"/>
    </row>
    <row r="199" spans="1:17" x14ac:dyDescent="0.3">
      <c r="A199" s="149"/>
      <c r="P199" s="138"/>
      <c r="Q199" s="138"/>
    </row>
    <row r="200" spans="1:17" x14ac:dyDescent="0.3">
      <c r="A200" s="149"/>
      <c r="P200" s="138"/>
      <c r="Q200" s="138"/>
    </row>
    <row r="201" spans="1:17" x14ac:dyDescent="0.3">
      <c r="A201" s="149"/>
      <c r="P201" s="138"/>
      <c r="Q201" s="138"/>
    </row>
    <row r="202" spans="1:17" x14ac:dyDescent="0.3">
      <c r="A202" s="149"/>
      <c r="P202" s="138"/>
      <c r="Q202" s="138"/>
    </row>
    <row r="203" spans="1:17" x14ac:dyDescent="0.3">
      <c r="A203" s="149"/>
      <c r="P203" s="138"/>
      <c r="Q203" s="138"/>
    </row>
    <row r="204" spans="1:17" x14ac:dyDescent="0.3">
      <c r="A204" s="149"/>
      <c r="P204" s="138"/>
      <c r="Q204" s="138"/>
    </row>
    <row r="205" spans="1:17" x14ac:dyDescent="0.3">
      <c r="A205" s="149"/>
      <c r="P205" s="138"/>
      <c r="Q205" s="138"/>
    </row>
    <row r="206" spans="1:17" x14ac:dyDescent="0.3">
      <c r="A206" s="149"/>
      <c r="P206" s="138"/>
      <c r="Q206" s="138"/>
    </row>
    <row r="207" spans="1:17" x14ac:dyDescent="0.3">
      <c r="A207" s="149"/>
      <c r="P207" s="138"/>
      <c r="Q207" s="138"/>
    </row>
    <row r="208" spans="1:17" x14ac:dyDescent="0.3">
      <c r="A208" s="149"/>
      <c r="P208" s="138"/>
      <c r="Q208" s="138"/>
    </row>
    <row r="209" spans="1:17" x14ac:dyDescent="0.3">
      <c r="A209" s="149"/>
      <c r="P209" s="138"/>
      <c r="Q209" s="138"/>
    </row>
    <row r="210" spans="1:17" x14ac:dyDescent="0.3">
      <c r="A210" s="149"/>
      <c r="P210" s="138"/>
      <c r="Q210" s="138"/>
    </row>
    <row r="211" spans="1:17" x14ac:dyDescent="0.3">
      <c r="A211" s="149"/>
      <c r="P211" s="138"/>
      <c r="Q211" s="138"/>
    </row>
    <row r="212" spans="1:17" x14ac:dyDescent="0.3">
      <c r="A212" s="149"/>
      <c r="P212" s="138"/>
      <c r="Q212" s="138"/>
    </row>
    <row r="213" spans="1:17" x14ac:dyDescent="0.3">
      <c r="A213" s="149"/>
      <c r="P213" s="138"/>
      <c r="Q213" s="138"/>
    </row>
    <row r="214" spans="1:17" x14ac:dyDescent="0.3">
      <c r="A214" s="149"/>
    </row>
    <row r="215" spans="1:17" x14ac:dyDescent="0.3">
      <c r="A215" s="149"/>
    </row>
    <row r="216" spans="1:17" x14ac:dyDescent="0.3">
      <c r="A216" s="149"/>
    </row>
    <row r="217" spans="1:17" x14ac:dyDescent="0.3">
      <c r="A217" s="149"/>
    </row>
    <row r="218" spans="1:17" x14ac:dyDescent="0.3">
      <c r="A218" s="149"/>
    </row>
    <row r="219" spans="1:17" x14ac:dyDescent="0.3">
      <c r="A219" s="149"/>
    </row>
    <row r="220" spans="1:17" x14ac:dyDescent="0.3">
      <c r="A220" s="149"/>
    </row>
    <row r="221" spans="1:17" x14ac:dyDescent="0.3">
      <c r="A221" s="149"/>
    </row>
    <row r="222" spans="1:17" x14ac:dyDescent="0.3">
      <c r="A222" s="149"/>
    </row>
    <row r="223" spans="1:17" x14ac:dyDescent="0.3">
      <c r="A223" s="149"/>
    </row>
    <row r="224" spans="1:17" x14ac:dyDescent="0.3">
      <c r="A224" s="149"/>
    </row>
    <row r="225" spans="1:1" x14ac:dyDescent="0.3">
      <c r="A225" s="149"/>
    </row>
    <row r="226" spans="1:1" x14ac:dyDescent="0.3">
      <c r="A226" s="149"/>
    </row>
    <row r="227" spans="1:1" x14ac:dyDescent="0.3">
      <c r="A227" s="149"/>
    </row>
    <row r="228" spans="1:1" x14ac:dyDescent="0.3">
      <c r="A228" s="149"/>
    </row>
    <row r="229" spans="1:1" x14ac:dyDescent="0.3">
      <c r="A229" s="149"/>
    </row>
    <row r="230" spans="1:1" x14ac:dyDescent="0.3">
      <c r="A230" s="149"/>
    </row>
    <row r="231" spans="1:1" x14ac:dyDescent="0.3">
      <c r="A231" s="149"/>
    </row>
    <row r="232" spans="1:1" x14ac:dyDescent="0.3">
      <c r="A232" s="149"/>
    </row>
    <row r="233" spans="1:1" x14ac:dyDescent="0.3">
      <c r="A233" s="149"/>
    </row>
    <row r="234" spans="1:1" x14ac:dyDescent="0.3">
      <c r="A234" s="149"/>
    </row>
    <row r="235" spans="1:1" x14ac:dyDescent="0.3">
      <c r="A235" s="149"/>
    </row>
    <row r="236" spans="1:1" x14ac:dyDescent="0.3">
      <c r="A236" s="149"/>
    </row>
    <row r="237" spans="1:1" x14ac:dyDescent="0.3">
      <c r="A237" s="149"/>
    </row>
    <row r="238" spans="1:1" x14ac:dyDescent="0.3">
      <c r="A238" s="149"/>
    </row>
    <row r="239" spans="1:1" x14ac:dyDescent="0.3">
      <c r="A239" s="149"/>
    </row>
    <row r="240" spans="1:1" x14ac:dyDescent="0.3">
      <c r="A240" s="149"/>
    </row>
    <row r="241" spans="1:1" x14ac:dyDescent="0.3">
      <c r="A241" s="149"/>
    </row>
    <row r="242" spans="1:1" x14ac:dyDescent="0.3">
      <c r="A242" s="149"/>
    </row>
    <row r="243" spans="1:1" x14ac:dyDescent="0.3">
      <c r="A243" s="149"/>
    </row>
    <row r="244" spans="1:1" x14ac:dyDescent="0.3">
      <c r="A244" s="149"/>
    </row>
    <row r="245" spans="1:1" x14ac:dyDescent="0.3">
      <c r="A245" s="149"/>
    </row>
    <row r="246" spans="1:1" x14ac:dyDescent="0.3">
      <c r="A246" s="149"/>
    </row>
    <row r="247" spans="1:1" x14ac:dyDescent="0.3">
      <c r="A247" s="149"/>
    </row>
    <row r="248" spans="1:1" x14ac:dyDescent="0.3">
      <c r="A248" s="149"/>
    </row>
    <row r="249" spans="1:1" x14ac:dyDescent="0.3">
      <c r="A249" s="149"/>
    </row>
    <row r="250" spans="1:1" x14ac:dyDescent="0.3">
      <c r="A250" s="149"/>
    </row>
  </sheetData>
  <mergeCells count="12">
    <mergeCell ref="H4:I4"/>
    <mergeCell ref="B4:C4"/>
    <mergeCell ref="F4:G4"/>
    <mergeCell ref="F3:G3"/>
    <mergeCell ref="L4:N4"/>
    <mergeCell ref="B3:D3"/>
    <mergeCell ref="K1:K2"/>
    <mergeCell ref="K3:N3"/>
    <mergeCell ref="R2:S2"/>
    <mergeCell ref="P95:Q95"/>
    <mergeCell ref="R5:S5"/>
    <mergeCell ref="P3:S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66"/>
  <sheetViews>
    <sheetView workbookViewId="0">
      <selection activeCell="A32" sqref="A32:BJ50"/>
    </sheetView>
  </sheetViews>
  <sheetFormatPr baseColWidth="10" defaultColWidth="9.109375" defaultRowHeight="14.4" x14ac:dyDescent="0.3"/>
  <cols>
    <col min="1" max="1" width="9.109375" style="149"/>
    <col min="2" max="2" width="34.33203125" style="149" customWidth="1"/>
    <col min="3" max="16384" width="9.109375" style="149"/>
  </cols>
  <sheetData>
    <row r="1" spans="1:61" ht="15" x14ac:dyDescent="0.25">
      <c r="A1" s="149" t="s">
        <v>289</v>
      </c>
    </row>
    <row r="2" spans="1:61" ht="15" x14ac:dyDescent="0.25">
      <c r="A2" s="149" t="s">
        <v>290</v>
      </c>
    </row>
    <row r="3" spans="1:61" ht="15" x14ac:dyDescent="0.25">
      <c r="A3" s="149" t="s">
        <v>291</v>
      </c>
    </row>
    <row r="4" spans="1:61" ht="15" x14ac:dyDescent="0.25">
      <c r="A4" s="149" t="s">
        <v>292</v>
      </c>
    </row>
    <row r="6" spans="1:61" ht="15" x14ac:dyDescent="0.25">
      <c r="C6" s="149" t="s">
        <v>293</v>
      </c>
    </row>
    <row r="7" spans="1:61" ht="15" x14ac:dyDescent="0.25">
      <c r="C7" s="149" t="s">
        <v>294</v>
      </c>
    </row>
    <row r="8" spans="1:61" ht="15" x14ac:dyDescent="0.25">
      <c r="C8" s="149" t="s">
        <v>295</v>
      </c>
    </row>
    <row r="9" spans="1:61" ht="15" x14ac:dyDescent="0.25">
      <c r="A9" s="149" t="s">
        <v>296</v>
      </c>
      <c r="B9" s="149" t="s">
        <v>297</v>
      </c>
      <c r="C9" s="149">
        <v>1961</v>
      </c>
      <c r="D9" s="149">
        <v>1962</v>
      </c>
      <c r="E9" s="149">
        <v>1963</v>
      </c>
      <c r="F9" s="149">
        <v>1964</v>
      </c>
      <c r="G9" s="149">
        <v>1965</v>
      </c>
      <c r="H9" s="149">
        <v>1966</v>
      </c>
      <c r="I9" s="149">
        <v>1967</v>
      </c>
      <c r="J9" s="149">
        <v>1968</v>
      </c>
      <c r="K9" s="149">
        <v>1969</v>
      </c>
      <c r="L9" s="149">
        <v>1970</v>
      </c>
      <c r="M9" s="149">
        <v>1971</v>
      </c>
      <c r="N9" s="149">
        <v>1972</v>
      </c>
      <c r="O9" s="149">
        <v>1973</v>
      </c>
      <c r="P9" s="149">
        <v>1974</v>
      </c>
      <c r="Q9" s="149">
        <v>1975</v>
      </c>
      <c r="R9" s="149">
        <v>1976</v>
      </c>
      <c r="S9" s="149">
        <v>1977</v>
      </c>
      <c r="T9" s="149">
        <v>1978</v>
      </c>
      <c r="U9" s="149">
        <v>1979</v>
      </c>
      <c r="V9" s="149">
        <v>1980</v>
      </c>
      <c r="W9" s="149">
        <v>1981</v>
      </c>
      <c r="X9" s="149">
        <v>1982</v>
      </c>
      <c r="Y9" s="149">
        <v>1983</v>
      </c>
      <c r="Z9" s="149">
        <v>1984</v>
      </c>
      <c r="AA9" s="149">
        <v>1985</v>
      </c>
      <c r="AB9" s="149">
        <v>1986</v>
      </c>
      <c r="AC9" s="149">
        <v>1987</v>
      </c>
      <c r="AD9" s="149">
        <v>1988</v>
      </c>
      <c r="AE9" s="149">
        <v>1989</v>
      </c>
      <c r="AF9" s="149">
        <v>1990</v>
      </c>
      <c r="AG9" s="149">
        <v>1991</v>
      </c>
      <c r="AH9" s="149">
        <v>1992</v>
      </c>
      <c r="AI9" s="149">
        <v>1993</v>
      </c>
      <c r="AJ9" s="149">
        <v>1994</v>
      </c>
      <c r="AK9" s="149">
        <v>1995</v>
      </c>
      <c r="AL9" s="149">
        <v>1996</v>
      </c>
      <c r="AM9" s="149">
        <v>1997</v>
      </c>
      <c r="AN9" s="149">
        <v>1998</v>
      </c>
      <c r="AO9" s="149">
        <v>1999</v>
      </c>
      <c r="AP9" s="149">
        <v>2000</v>
      </c>
      <c r="AQ9" s="149">
        <v>2001</v>
      </c>
      <c r="AR9" s="149">
        <v>2002</v>
      </c>
      <c r="AS9" s="149">
        <v>2003</v>
      </c>
      <c r="AT9" s="149">
        <v>2004</v>
      </c>
      <c r="AU9" s="149">
        <v>2005</v>
      </c>
      <c r="AV9" s="149">
        <v>2006</v>
      </c>
      <c r="AW9" s="149">
        <v>2007</v>
      </c>
      <c r="AX9" s="149">
        <v>2008</v>
      </c>
      <c r="AY9" s="149">
        <v>2009</v>
      </c>
      <c r="AZ9" s="149">
        <v>2010</v>
      </c>
      <c r="BA9" s="149">
        <v>2011</v>
      </c>
      <c r="BB9" s="149">
        <v>2012</v>
      </c>
      <c r="BC9" s="149">
        <v>2013</v>
      </c>
      <c r="BD9" s="149">
        <v>2014</v>
      </c>
      <c r="BE9" s="149">
        <v>2015</v>
      </c>
      <c r="BF9" s="149">
        <v>2016</v>
      </c>
      <c r="BG9" s="149">
        <v>2017</v>
      </c>
      <c r="BH9" s="149">
        <v>2018</v>
      </c>
      <c r="BI9" s="149">
        <v>2019</v>
      </c>
    </row>
    <row r="10" spans="1:61" ht="15" x14ac:dyDescent="0.25">
      <c r="A10" s="149" t="s">
        <v>298</v>
      </c>
      <c r="C10" s="149" t="s">
        <v>299</v>
      </c>
    </row>
    <row r="11" spans="1:61" ht="15" x14ac:dyDescent="0.25">
      <c r="B11" s="149" t="s">
        <v>300</v>
      </c>
      <c r="C11" s="164">
        <v>1908</v>
      </c>
      <c r="D11" s="164">
        <v>2046</v>
      </c>
      <c r="E11" s="164">
        <v>2208</v>
      </c>
      <c r="F11" s="164">
        <v>2474</v>
      </c>
      <c r="G11" s="164">
        <v>2826</v>
      </c>
      <c r="H11" s="164">
        <v>3158</v>
      </c>
      <c r="I11" s="164">
        <v>3413</v>
      </c>
      <c r="J11" s="164">
        <v>3511</v>
      </c>
      <c r="K11" s="164">
        <v>3729</v>
      </c>
      <c r="L11" s="164">
        <v>3982</v>
      </c>
      <c r="M11" s="164">
        <v>4306</v>
      </c>
      <c r="N11" s="164">
        <v>4738</v>
      </c>
      <c r="O11" s="164">
        <v>5344</v>
      </c>
      <c r="P11" s="164">
        <v>6613</v>
      </c>
      <c r="Q11" s="164">
        <v>8260</v>
      </c>
      <c r="R11" s="164">
        <v>9660</v>
      </c>
      <c r="S11" s="164">
        <v>11664</v>
      </c>
      <c r="T11" s="164">
        <v>14486</v>
      </c>
      <c r="U11" s="164">
        <v>17950</v>
      </c>
      <c r="V11" s="164">
        <v>21365</v>
      </c>
      <c r="W11" s="164">
        <v>24908</v>
      </c>
      <c r="X11" s="164">
        <v>27588</v>
      </c>
      <c r="Y11" s="164">
        <v>29026</v>
      </c>
      <c r="Z11" s="164">
        <v>30131</v>
      </c>
      <c r="AA11" s="164">
        <v>31164</v>
      </c>
      <c r="AB11" s="164">
        <v>32056</v>
      </c>
      <c r="AC11" s="164">
        <v>32768</v>
      </c>
      <c r="AD11" s="164">
        <v>34075</v>
      </c>
      <c r="AE11" s="164">
        <v>35349</v>
      </c>
      <c r="AF11" s="164">
        <v>37810</v>
      </c>
      <c r="AG11" s="164">
        <v>38891</v>
      </c>
      <c r="AH11" s="164">
        <v>39606</v>
      </c>
      <c r="AI11" s="164">
        <v>40847</v>
      </c>
      <c r="AJ11" s="164">
        <v>42711</v>
      </c>
      <c r="AK11" s="164">
        <v>43205</v>
      </c>
      <c r="AL11" s="164">
        <v>43710</v>
      </c>
      <c r="AM11" s="164">
        <v>44035</v>
      </c>
      <c r="AN11" s="164">
        <v>44336</v>
      </c>
      <c r="AO11" s="164">
        <v>43015</v>
      </c>
      <c r="AP11" s="164">
        <v>42329</v>
      </c>
      <c r="AQ11" s="164">
        <v>42643</v>
      </c>
      <c r="AR11" s="164">
        <v>42579</v>
      </c>
      <c r="AS11" s="164">
        <v>41892</v>
      </c>
      <c r="AT11" s="164">
        <v>44227</v>
      </c>
      <c r="AU11" s="164">
        <v>46351</v>
      </c>
      <c r="AV11" s="164">
        <v>48772</v>
      </c>
      <c r="AW11" s="164">
        <v>51154</v>
      </c>
      <c r="AX11" s="164">
        <v>55780</v>
      </c>
      <c r="AY11" s="164">
        <v>58327</v>
      </c>
      <c r="AZ11" s="164">
        <v>59432</v>
      </c>
      <c r="BA11" s="164">
        <v>62644</v>
      </c>
      <c r="BB11" s="164">
        <v>67361</v>
      </c>
      <c r="BC11" s="164">
        <v>71816</v>
      </c>
      <c r="BD11" s="164">
        <v>74686</v>
      </c>
      <c r="BE11" s="164">
        <v>77260</v>
      </c>
      <c r="BF11" s="164">
        <v>79153</v>
      </c>
      <c r="BG11" s="164">
        <v>79962</v>
      </c>
      <c r="BH11" s="164">
        <v>80806</v>
      </c>
      <c r="BI11" s="164">
        <v>81278</v>
      </c>
    </row>
    <row r="13" spans="1:61" ht="15" x14ac:dyDescent="0.25">
      <c r="A13" s="149" t="s">
        <v>301</v>
      </c>
    </row>
    <row r="15" spans="1:61" ht="15" x14ac:dyDescent="0.25">
      <c r="A15" s="149" t="s">
        <v>302</v>
      </c>
    </row>
    <row r="17" spans="1:61" ht="15" x14ac:dyDescent="0.25">
      <c r="A17" s="149" t="s">
        <v>303</v>
      </c>
    </row>
    <row r="18" spans="1:61" ht="15" x14ac:dyDescent="0.25">
      <c r="A18" s="149" t="s">
        <v>304</v>
      </c>
    </row>
    <row r="19" spans="1:61" ht="15" x14ac:dyDescent="0.25">
      <c r="A19" s="149" t="s">
        <v>305</v>
      </c>
    </row>
    <row r="21" spans="1:61" ht="15" x14ac:dyDescent="0.25">
      <c r="C21" s="149" t="s">
        <v>306</v>
      </c>
    </row>
    <row r="22" spans="1:61" ht="15" x14ac:dyDescent="0.25">
      <c r="C22" s="149" t="s">
        <v>295</v>
      </c>
    </row>
    <row r="23" spans="1:61" ht="15" x14ac:dyDescent="0.25">
      <c r="A23" s="149" t="s">
        <v>296</v>
      </c>
      <c r="B23" s="149" t="s">
        <v>297</v>
      </c>
      <c r="C23" s="149">
        <v>1961</v>
      </c>
      <c r="D23" s="149">
        <v>1962</v>
      </c>
      <c r="E23" s="149">
        <v>1963</v>
      </c>
      <c r="F23" s="149">
        <v>1964</v>
      </c>
      <c r="G23" s="149">
        <v>1965</v>
      </c>
      <c r="H23" s="149">
        <v>1966</v>
      </c>
      <c r="I23" s="149">
        <v>1967</v>
      </c>
      <c r="J23" s="149">
        <v>1968</v>
      </c>
      <c r="K23" s="149">
        <v>1969</v>
      </c>
      <c r="L23" s="149">
        <v>1970</v>
      </c>
      <c r="M23" s="149">
        <v>1971</v>
      </c>
      <c r="N23" s="149">
        <v>1972</v>
      </c>
      <c r="O23" s="149">
        <v>1973</v>
      </c>
      <c r="P23" s="149">
        <v>1974</v>
      </c>
      <c r="Q23" s="149">
        <v>1975</v>
      </c>
      <c r="R23" s="149">
        <v>1976</v>
      </c>
      <c r="S23" s="149">
        <v>1977</v>
      </c>
      <c r="T23" s="149">
        <v>1978</v>
      </c>
      <c r="U23" s="149">
        <v>1979</v>
      </c>
      <c r="V23" s="149">
        <v>1980</v>
      </c>
      <c r="W23" s="149">
        <v>1981</v>
      </c>
      <c r="X23" s="149">
        <v>1982</v>
      </c>
      <c r="Y23" s="149">
        <v>1983</v>
      </c>
      <c r="Z23" s="149">
        <v>1984</v>
      </c>
      <c r="AA23" s="149">
        <v>1985</v>
      </c>
      <c r="AB23" s="149">
        <v>1986</v>
      </c>
      <c r="AC23" s="149">
        <v>1987</v>
      </c>
      <c r="AD23" s="149">
        <v>1988</v>
      </c>
      <c r="AE23" s="149">
        <v>1989</v>
      </c>
      <c r="AF23" s="149">
        <v>1990</v>
      </c>
      <c r="AG23" s="149">
        <v>1991</v>
      </c>
      <c r="AH23" s="149">
        <v>1992</v>
      </c>
      <c r="AI23" s="149">
        <v>1993</v>
      </c>
      <c r="AJ23" s="149">
        <v>1994</v>
      </c>
      <c r="AK23" s="149">
        <v>1995</v>
      </c>
      <c r="AL23" s="149">
        <v>1996</v>
      </c>
      <c r="AM23" s="149">
        <v>1997</v>
      </c>
      <c r="AN23" s="149">
        <v>1998</v>
      </c>
      <c r="AO23" s="149">
        <v>1999</v>
      </c>
      <c r="AP23" s="149">
        <v>2000</v>
      </c>
      <c r="AQ23" s="149">
        <v>2001</v>
      </c>
      <c r="AR23" s="149">
        <v>2002</v>
      </c>
      <c r="AS23" s="149">
        <v>2003</v>
      </c>
      <c r="AT23" s="149">
        <v>2004</v>
      </c>
      <c r="AU23" s="149">
        <v>2005</v>
      </c>
      <c r="AV23" s="149">
        <v>2006</v>
      </c>
      <c r="AW23" s="149">
        <v>2007</v>
      </c>
      <c r="AX23" s="149">
        <v>2008</v>
      </c>
      <c r="AY23" s="149">
        <v>2009</v>
      </c>
      <c r="AZ23" s="149">
        <v>2010</v>
      </c>
      <c r="BA23" s="149">
        <v>2011</v>
      </c>
      <c r="BB23" s="149">
        <v>2012</v>
      </c>
      <c r="BC23" s="149">
        <v>2013</v>
      </c>
      <c r="BD23" s="149">
        <v>2014</v>
      </c>
      <c r="BE23" s="149">
        <v>2015</v>
      </c>
      <c r="BF23" s="149">
        <v>2016</v>
      </c>
      <c r="BG23" s="149">
        <v>2017</v>
      </c>
      <c r="BH23" s="149">
        <v>2018</v>
      </c>
      <c r="BI23" s="149">
        <v>2019</v>
      </c>
    </row>
    <row r="24" spans="1:61" ht="15" x14ac:dyDescent="0.25">
      <c r="A24" s="149" t="s">
        <v>298</v>
      </c>
    </row>
    <row r="25" spans="1:61" ht="15" x14ac:dyDescent="0.25">
      <c r="B25" s="149" t="s">
        <v>300</v>
      </c>
      <c r="C25" s="164">
        <v>17208</v>
      </c>
      <c r="D25" s="164">
        <v>18146</v>
      </c>
      <c r="E25" s="164">
        <v>19026</v>
      </c>
      <c r="F25" s="164">
        <v>20779</v>
      </c>
      <c r="G25" s="164">
        <v>22409</v>
      </c>
      <c r="H25" s="164">
        <v>23421</v>
      </c>
      <c r="I25" s="164">
        <v>24019</v>
      </c>
      <c r="J25" s="164">
        <v>24449</v>
      </c>
      <c r="K25" s="164">
        <v>24453</v>
      </c>
      <c r="L25" s="164">
        <v>24782</v>
      </c>
      <c r="M25" s="164">
        <v>25547</v>
      </c>
      <c r="N25" s="164">
        <v>26398</v>
      </c>
      <c r="O25" s="164">
        <v>27696</v>
      </c>
      <c r="P25" s="164">
        <v>28848</v>
      </c>
      <c r="Q25" s="164">
        <v>31198</v>
      </c>
      <c r="R25" s="164">
        <v>33743</v>
      </c>
      <c r="S25" s="164">
        <v>37991</v>
      </c>
      <c r="T25" s="164">
        <v>43569</v>
      </c>
      <c r="U25" s="164">
        <v>48723</v>
      </c>
      <c r="V25" s="164">
        <v>52282</v>
      </c>
      <c r="W25" s="164">
        <v>54600</v>
      </c>
      <c r="X25" s="164">
        <v>56218</v>
      </c>
      <c r="Y25" s="164">
        <v>56905</v>
      </c>
      <c r="Z25" s="164">
        <v>57112</v>
      </c>
      <c r="AA25" s="164">
        <v>57308</v>
      </c>
      <c r="AB25" s="164">
        <v>56660</v>
      </c>
      <c r="AC25" s="164">
        <v>56214</v>
      </c>
      <c r="AD25" s="164">
        <v>56147</v>
      </c>
      <c r="AE25" s="164">
        <v>56742</v>
      </c>
      <c r="AF25" s="164">
        <v>58055</v>
      </c>
      <c r="AG25" s="164">
        <v>60248</v>
      </c>
      <c r="AH25" s="164">
        <v>62037</v>
      </c>
      <c r="AI25" s="164">
        <v>63941</v>
      </c>
      <c r="AJ25" s="164">
        <v>64413</v>
      </c>
      <c r="AK25" s="164">
        <v>64006</v>
      </c>
      <c r="AL25" s="164">
        <v>62761</v>
      </c>
      <c r="AM25" s="164">
        <v>60859</v>
      </c>
      <c r="AN25" s="164">
        <v>59570</v>
      </c>
      <c r="AO25" s="164">
        <v>57674</v>
      </c>
      <c r="AP25" s="164">
        <v>56250</v>
      </c>
      <c r="AQ25" s="164">
        <v>54919</v>
      </c>
      <c r="AR25" s="164">
        <v>54321</v>
      </c>
      <c r="AS25" s="164">
        <v>54750</v>
      </c>
      <c r="AT25" s="164">
        <v>56293</v>
      </c>
      <c r="AU25" s="164">
        <v>57577</v>
      </c>
      <c r="AV25" s="164">
        <v>58773</v>
      </c>
      <c r="AW25" s="164">
        <v>60104</v>
      </c>
      <c r="AX25" s="164">
        <v>61285</v>
      </c>
      <c r="AY25" s="164">
        <v>62033</v>
      </c>
      <c r="AZ25" s="164">
        <v>63008</v>
      </c>
      <c r="BA25" s="164">
        <v>65027</v>
      </c>
      <c r="BB25" s="164">
        <v>67361</v>
      </c>
      <c r="BC25" s="164">
        <v>69939</v>
      </c>
      <c r="BD25" s="164">
        <v>70994</v>
      </c>
      <c r="BE25" s="164">
        <v>71843</v>
      </c>
      <c r="BF25" s="164">
        <v>72062</v>
      </c>
      <c r="BG25" s="164">
        <v>72134</v>
      </c>
      <c r="BH25" s="164">
        <v>70992</v>
      </c>
      <c r="BI25" s="164">
        <v>70146</v>
      </c>
    </row>
    <row r="27" spans="1:61" ht="15" x14ac:dyDescent="0.25">
      <c r="C27" s="149">
        <f>C11/C25</f>
        <v>0.11087866108786611</v>
      </c>
      <c r="D27" s="149">
        <f t="shared" ref="D27:BI27" si="0">D11/D25</f>
        <v>0.11275212167970902</v>
      </c>
      <c r="E27" s="149">
        <f t="shared" si="0"/>
        <v>0.11605171870072532</v>
      </c>
      <c r="F27" s="149">
        <f t="shared" si="0"/>
        <v>0.11906251503922229</v>
      </c>
      <c r="G27" s="149">
        <f t="shared" si="0"/>
        <v>0.12611004507117676</v>
      </c>
      <c r="H27" s="149">
        <f t="shared" si="0"/>
        <v>0.13483625805900687</v>
      </c>
      <c r="I27" s="149">
        <f t="shared" si="0"/>
        <v>0.14209584079270576</v>
      </c>
      <c r="J27" s="149">
        <f>J11/J25</f>
        <v>0.14360505542148963</v>
      </c>
      <c r="K27" s="149">
        <f t="shared" si="0"/>
        <v>0.1524966261808367</v>
      </c>
      <c r="L27" s="149">
        <f t="shared" si="0"/>
        <v>0.16068113953676055</v>
      </c>
      <c r="M27" s="149">
        <f t="shared" si="0"/>
        <v>0.16855208047911693</v>
      </c>
      <c r="N27" s="149">
        <f t="shared" si="0"/>
        <v>0.1794832941889537</v>
      </c>
      <c r="O27" s="149">
        <f t="shared" si="0"/>
        <v>0.19295205083766609</v>
      </c>
      <c r="P27" s="149">
        <f t="shared" si="0"/>
        <v>0.22923599556295063</v>
      </c>
      <c r="Q27" s="149">
        <f t="shared" si="0"/>
        <v>0.26476056157445987</v>
      </c>
      <c r="R27" s="149">
        <f t="shared" si="0"/>
        <v>0.28628159914648965</v>
      </c>
      <c r="S27" s="149">
        <f t="shared" si="0"/>
        <v>0.30702008370403516</v>
      </c>
      <c r="T27" s="149">
        <f t="shared" si="0"/>
        <v>0.33248410567146364</v>
      </c>
      <c r="U27" s="149">
        <f t="shared" si="0"/>
        <v>0.36840917020708908</v>
      </c>
      <c r="V27" s="149">
        <f t="shared" si="0"/>
        <v>0.4086492483072568</v>
      </c>
      <c r="W27" s="149">
        <f t="shared" si="0"/>
        <v>0.4561904761904762</v>
      </c>
      <c r="X27" s="149">
        <f t="shared" si="0"/>
        <v>0.4907325056031876</v>
      </c>
      <c r="Y27" s="149">
        <f t="shared" si="0"/>
        <v>0.51007820050962127</v>
      </c>
      <c r="Z27" s="149">
        <f t="shared" si="0"/>
        <v>0.52757739179156748</v>
      </c>
      <c r="AA27" s="149">
        <f t="shared" si="0"/>
        <v>0.54379842255880506</v>
      </c>
      <c r="AB27" s="149">
        <f t="shared" si="0"/>
        <v>0.56576067772679139</v>
      </c>
      <c r="AC27" s="149">
        <f t="shared" si="0"/>
        <v>0.58291528800654646</v>
      </c>
      <c r="AD27" s="149">
        <f t="shared" si="0"/>
        <v>0.60688905907706558</v>
      </c>
      <c r="AE27" s="149">
        <f t="shared" si="0"/>
        <v>0.62297768848472035</v>
      </c>
      <c r="AF27" s="149">
        <f t="shared" si="0"/>
        <v>0.651278959607269</v>
      </c>
      <c r="AG27" s="149">
        <f t="shared" si="0"/>
        <v>0.64551520382419336</v>
      </c>
      <c r="AH27" s="149">
        <f t="shared" si="0"/>
        <v>0.63842545577639154</v>
      </c>
      <c r="AI27" s="149">
        <f t="shared" si="0"/>
        <v>0.63882329022067219</v>
      </c>
      <c r="AJ27" s="149">
        <f t="shared" si="0"/>
        <v>0.66308043407386708</v>
      </c>
      <c r="AK27" s="149">
        <f t="shared" si="0"/>
        <v>0.67501484235852893</v>
      </c>
      <c r="AL27" s="149">
        <f t="shared" si="0"/>
        <v>0.69645161804305222</v>
      </c>
      <c r="AM27" s="149">
        <f t="shared" si="0"/>
        <v>0.72355773180630634</v>
      </c>
      <c r="AN27" s="149">
        <f t="shared" si="0"/>
        <v>0.74426724861507465</v>
      </c>
      <c r="AO27" s="149">
        <f t="shared" si="0"/>
        <v>0.74583001005652461</v>
      </c>
      <c r="AP27" s="149">
        <f t="shared" si="0"/>
        <v>0.7525155555555556</v>
      </c>
      <c r="AQ27" s="149">
        <f t="shared" si="0"/>
        <v>0.77647080245452393</v>
      </c>
      <c r="AR27" s="149">
        <f t="shared" si="0"/>
        <v>0.78384050367261282</v>
      </c>
      <c r="AS27" s="149">
        <f t="shared" si="0"/>
        <v>0.76515068493150684</v>
      </c>
      <c r="AT27" s="149">
        <f t="shared" si="0"/>
        <v>0.78565718650631522</v>
      </c>
      <c r="AU27" s="149">
        <f t="shared" si="0"/>
        <v>0.80502631259009672</v>
      </c>
      <c r="AV27" s="149">
        <f t="shared" si="0"/>
        <v>0.82983682983682983</v>
      </c>
      <c r="AW27" s="149">
        <f t="shared" si="0"/>
        <v>0.85109144150139759</v>
      </c>
      <c r="AX27" s="149">
        <f t="shared" si="0"/>
        <v>0.91017377824916379</v>
      </c>
      <c r="AY27" s="149">
        <f t="shared" si="0"/>
        <v>0.94025760482323928</v>
      </c>
      <c r="AZ27" s="149">
        <f t="shared" si="0"/>
        <v>0.94324530218384972</v>
      </c>
      <c r="BA27" s="149">
        <f t="shared" si="0"/>
        <v>0.9633536838543989</v>
      </c>
      <c r="BB27" s="149">
        <f t="shared" si="0"/>
        <v>1</v>
      </c>
      <c r="BC27" s="149">
        <f t="shared" si="0"/>
        <v>1.0268376728291797</v>
      </c>
      <c r="BD27" s="149">
        <f t="shared" si="0"/>
        <v>1.0520043947375834</v>
      </c>
      <c r="BE27" s="149">
        <f t="shared" si="0"/>
        <v>1.0754005261472934</v>
      </c>
      <c r="BF27" s="149">
        <f t="shared" si="0"/>
        <v>1.0984013765923788</v>
      </c>
      <c r="BG27" s="149">
        <f t="shared" si="0"/>
        <v>1.1085202539717747</v>
      </c>
      <c r="BH27" s="149">
        <f t="shared" si="0"/>
        <v>1.1382409285553301</v>
      </c>
      <c r="BI27" s="149">
        <f t="shared" si="0"/>
        <v>1.1586975736321388</v>
      </c>
    </row>
    <row r="28" spans="1:61" ht="15" x14ac:dyDescent="0.25">
      <c r="D28" s="149">
        <f>LN(D27/C27)</f>
        <v>1.6755335721331657E-2</v>
      </c>
      <c r="E28" s="149">
        <f t="shared" ref="E28:BI28" si="1">LN(E27/D27)</f>
        <v>2.8844146848586081E-2</v>
      </c>
      <c r="F28" s="149">
        <f t="shared" si="1"/>
        <v>2.5612749021969358E-2</v>
      </c>
      <c r="G28" s="149">
        <f t="shared" si="1"/>
        <v>5.7506207728768972E-2</v>
      </c>
      <c r="H28" s="149">
        <f t="shared" si="1"/>
        <v>6.6906239645864549E-2</v>
      </c>
      <c r="I28" s="149">
        <f t="shared" si="1"/>
        <v>5.2440626085535964E-2</v>
      </c>
      <c r="J28" s="149">
        <f t="shared" si="1"/>
        <v>1.0565095784611915E-2</v>
      </c>
      <c r="K28" s="149">
        <f t="shared" si="1"/>
        <v>6.0075611518918971E-2</v>
      </c>
      <c r="L28" s="149">
        <f t="shared" si="1"/>
        <v>5.227942903144981E-2</v>
      </c>
      <c r="M28" s="149">
        <f t="shared" si="1"/>
        <v>4.7822883568395806E-2</v>
      </c>
      <c r="N28" s="149">
        <f t="shared" si="1"/>
        <v>6.283735001373178E-2</v>
      </c>
      <c r="O28" s="149">
        <f t="shared" si="1"/>
        <v>7.2359581770660222E-2</v>
      </c>
      <c r="P28" s="149">
        <f t="shared" si="1"/>
        <v>0.17231030443107262</v>
      </c>
      <c r="Q28" s="149">
        <f t="shared" si="1"/>
        <v>0.14407385510464585</v>
      </c>
      <c r="R28" s="149">
        <f t="shared" si="1"/>
        <v>7.815006248897638E-2</v>
      </c>
      <c r="S28" s="149">
        <f t="shared" si="1"/>
        <v>6.9937225871514214E-2</v>
      </c>
      <c r="T28" s="149">
        <f t="shared" si="1"/>
        <v>7.9678891782657246E-2</v>
      </c>
      <c r="U28" s="149">
        <f t="shared" si="1"/>
        <v>0.10260213959435484</v>
      </c>
      <c r="V28" s="149">
        <f t="shared" si="1"/>
        <v>0.10366300845092515</v>
      </c>
      <c r="W28" s="149">
        <f t="shared" si="1"/>
        <v>0.11005322873470873</v>
      </c>
      <c r="X28" s="149">
        <f t="shared" si="1"/>
        <v>7.2988750992738771E-2</v>
      </c>
      <c r="Y28" s="149">
        <f t="shared" si="1"/>
        <v>3.8664864062232789E-2</v>
      </c>
      <c r="Z28" s="149">
        <f t="shared" si="1"/>
        <v>3.3731520589087044E-2</v>
      </c>
      <c r="AA28" s="149">
        <f t="shared" si="1"/>
        <v>3.0283062534080817E-2</v>
      </c>
      <c r="AB28" s="149">
        <f t="shared" si="1"/>
        <v>3.9592526493987049E-2</v>
      </c>
      <c r="AC28" s="149">
        <f t="shared" si="1"/>
        <v>2.9870714288463586E-2</v>
      </c>
      <c r="AD28" s="149">
        <f t="shared" si="1"/>
        <v>4.0304132922559001E-2</v>
      </c>
      <c r="AE28" s="149">
        <f t="shared" si="1"/>
        <v>2.6164699995387647E-2</v>
      </c>
      <c r="AF28" s="149">
        <f t="shared" si="1"/>
        <v>4.442735468598883E-2</v>
      </c>
      <c r="AG28" s="149">
        <f t="shared" si="1"/>
        <v>-8.889296234813035E-3</v>
      </c>
      <c r="AH28" s="149">
        <f t="shared" si="1"/>
        <v>-1.1043843894104489E-2</v>
      </c>
      <c r="AI28" s="149">
        <f t="shared" si="1"/>
        <v>6.2295533018642542E-4</v>
      </c>
      <c r="AJ28" s="149">
        <f t="shared" si="1"/>
        <v>3.7268426181897497E-2</v>
      </c>
      <c r="AK28" s="149">
        <f t="shared" si="1"/>
        <v>1.7838378120908722E-2</v>
      </c>
      <c r="AL28" s="149">
        <f t="shared" si="1"/>
        <v>3.1263647093641621E-2</v>
      </c>
      <c r="AM28" s="149">
        <f t="shared" si="1"/>
        <v>3.8182011655468452E-2</v>
      </c>
      <c r="AN28" s="149">
        <f t="shared" si="1"/>
        <v>2.8219837402968958E-2</v>
      </c>
      <c r="AO28" s="149">
        <f t="shared" si="1"/>
        <v>2.0975302186755436E-3</v>
      </c>
      <c r="AP28" s="149">
        <f t="shared" si="1"/>
        <v>8.9239625631576374E-3</v>
      </c>
      <c r="AQ28" s="149">
        <f t="shared" si="1"/>
        <v>3.1337372162613342E-2</v>
      </c>
      <c r="AR28" s="149">
        <f t="shared" si="1"/>
        <v>9.4465200541422045E-3</v>
      </c>
      <c r="AS28" s="149">
        <f t="shared" si="1"/>
        <v>-2.4132772264326179E-2</v>
      </c>
      <c r="AT28" s="149">
        <f t="shared" si="1"/>
        <v>2.6447759608870289E-2</v>
      </c>
      <c r="AU28" s="149">
        <f t="shared" si="1"/>
        <v>2.4354415526401763E-2</v>
      </c>
      <c r="AV28" s="149">
        <f t="shared" si="1"/>
        <v>3.0354127574452328E-2</v>
      </c>
      <c r="AW28" s="149">
        <f t="shared" si="1"/>
        <v>2.5290483717718946E-2</v>
      </c>
      <c r="AX28" s="149">
        <f t="shared" si="1"/>
        <v>6.7115971764482085E-2</v>
      </c>
      <c r="AY28" s="149">
        <f t="shared" si="1"/>
        <v>3.2518339015787587E-2</v>
      </c>
      <c r="AZ28" s="149">
        <f t="shared" si="1"/>
        <v>3.1724929707879928E-3</v>
      </c>
      <c r="BA28" s="149">
        <f t="shared" si="1"/>
        <v>2.1094238948681683E-2</v>
      </c>
      <c r="BB28" s="149">
        <f t="shared" si="1"/>
        <v>3.7334661658528195E-2</v>
      </c>
      <c r="BC28" s="149">
        <f t="shared" si="1"/>
        <v>2.6483858891062789E-2</v>
      </c>
      <c r="BD28" s="149">
        <f t="shared" si="1"/>
        <v>2.4213432922938202E-2</v>
      </c>
      <c r="BE28" s="149">
        <f t="shared" si="1"/>
        <v>2.1995882836613436E-2</v>
      </c>
      <c r="BF28" s="149">
        <f t="shared" si="1"/>
        <v>2.116265409078058E-2</v>
      </c>
      <c r="BG28" s="149">
        <f t="shared" si="1"/>
        <v>9.1701926785639765E-3</v>
      </c>
      <c r="BH28" s="149">
        <f t="shared" si="1"/>
        <v>2.6458004139333351E-2</v>
      </c>
      <c r="BI28" s="149">
        <f t="shared" si="1"/>
        <v>1.7812567416189997E-2</v>
      </c>
    </row>
    <row r="30" spans="1:61" ht="15" x14ac:dyDescent="0.25">
      <c r="C30" s="149">
        <v>0.11087866108786611</v>
      </c>
      <c r="D30" s="149">
        <v>0.11275212167970902</v>
      </c>
      <c r="E30" s="149">
        <v>0.11605171870072532</v>
      </c>
      <c r="F30" s="149">
        <v>0.11906251503922229</v>
      </c>
      <c r="G30" s="149">
        <v>0.12611004507117676</v>
      </c>
      <c r="H30" s="149">
        <v>0.13483625805900687</v>
      </c>
      <c r="I30" s="149">
        <v>0.14209584079270576</v>
      </c>
      <c r="J30" s="149">
        <v>0.14360505542148963</v>
      </c>
      <c r="K30" s="149">
        <v>0.1524966261808367</v>
      </c>
      <c r="L30" s="149">
        <v>0.16068113953676055</v>
      </c>
      <c r="M30" s="149">
        <v>0.16855208047911693</v>
      </c>
      <c r="N30" s="149">
        <v>0.1794832941889537</v>
      </c>
      <c r="O30" s="149">
        <v>0.19295205083766609</v>
      </c>
      <c r="P30" s="149">
        <v>0.22923599556295063</v>
      </c>
      <c r="Q30" s="149">
        <v>0.26476056157445987</v>
      </c>
      <c r="R30" s="149">
        <v>0.28628159914648965</v>
      </c>
      <c r="S30" s="149">
        <v>0.30702008370403516</v>
      </c>
      <c r="T30" s="149">
        <v>0.33248410567146364</v>
      </c>
      <c r="U30" s="149">
        <v>0.36840917020708908</v>
      </c>
      <c r="V30" s="149">
        <v>0.4086492483072568</v>
      </c>
      <c r="W30" s="149">
        <v>0.4561904761904762</v>
      </c>
      <c r="X30" s="149">
        <v>0.4907325056031876</v>
      </c>
      <c r="Y30" s="149">
        <v>0.51007820050962127</v>
      </c>
      <c r="Z30" s="149">
        <v>0.52757739179156748</v>
      </c>
      <c r="AA30" s="149">
        <v>0.54379842255880506</v>
      </c>
      <c r="AB30" s="149">
        <v>0.56576067772679139</v>
      </c>
      <c r="AC30" s="149">
        <v>0.58291528800654646</v>
      </c>
      <c r="AD30" s="149">
        <v>0.60688905907706558</v>
      </c>
      <c r="AE30" s="149">
        <v>0.62297768848472035</v>
      </c>
      <c r="AF30" s="149">
        <v>0.651278959607269</v>
      </c>
      <c r="AG30" s="149">
        <v>0.64551520382419336</v>
      </c>
      <c r="AH30" s="149">
        <v>0.63842545577639154</v>
      </c>
      <c r="AI30" s="149">
        <v>0.63882329022067219</v>
      </c>
      <c r="AJ30" s="149">
        <v>0.66308043407386708</v>
      </c>
      <c r="AK30" s="149">
        <v>0.67501484235852893</v>
      </c>
      <c r="AL30" s="149">
        <v>0.69645161804305222</v>
      </c>
      <c r="AM30" s="149">
        <v>0.72355773180630634</v>
      </c>
      <c r="AN30" s="149">
        <v>0.74426724861507465</v>
      </c>
      <c r="AO30" s="149">
        <v>0.74583001005652461</v>
      </c>
      <c r="AP30" s="149">
        <v>0.7525155555555556</v>
      </c>
      <c r="AQ30" s="149">
        <v>0.77647080245452393</v>
      </c>
      <c r="AR30" s="149">
        <v>0.78384050367261282</v>
      </c>
      <c r="AS30" s="149">
        <v>0.76515068493150684</v>
      </c>
      <c r="AT30" s="149">
        <v>0.78565718650631522</v>
      </c>
      <c r="AU30" s="149">
        <v>0.80502631259009672</v>
      </c>
      <c r="AV30" s="149">
        <v>0.82983682983682983</v>
      </c>
      <c r="AW30" s="149">
        <v>0.85109144150139759</v>
      </c>
      <c r="AX30" s="149">
        <v>0.91017377824916379</v>
      </c>
      <c r="AY30" s="149">
        <v>0.94025760482323928</v>
      </c>
      <c r="AZ30" s="149">
        <v>0.94324530218384972</v>
      </c>
      <c r="BA30" s="149">
        <v>0.9633536838543989</v>
      </c>
      <c r="BB30" s="149">
        <v>1</v>
      </c>
      <c r="BC30" s="149">
        <v>1.0268376728291797</v>
      </c>
      <c r="BD30" s="149">
        <v>1.0520043947375834</v>
      </c>
      <c r="BE30" s="149">
        <v>1.0754005261472934</v>
      </c>
      <c r="BF30" s="149">
        <v>1.0984013765923788</v>
      </c>
      <c r="BG30" s="149">
        <v>1.1085202539717747</v>
      </c>
      <c r="BH30" s="149">
        <v>1.1382409285553301</v>
      </c>
      <c r="BI30" s="149">
        <v>1.1586975736321388</v>
      </c>
    </row>
    <row r="37" spans="3:61" ht="15" x14ac:dyDescent="0.25">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64"/>
      <c r="AS37" s="164"/>
      <c r="AT37" s="164"/>
      <c r="AU37" s="164"/>
      <c r="AV37" s="164"/>
      <c r="AW37" s="164"/>
      <c r="AX37" s="164"/>
      <c r="AY37" s="164"/>
      <c r="AZ37" s="164"/>
      <c r="BA37" s="164"/>
      <c r="BB37" s="164"/>
      <c r="BC37" s="164"/>
      <c r="BD37" s="164"/>
      <c r="BE37" s="164"/>
      <c r="BF37" s="164"/>
      <c r="BG37" s="164"/>
      <c r="BH37" s="164"/>
      <c r="BI37" s="164"/>
    </row>
    <row r="44" spans="3:61" x14ac:dyDescent="0.3">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4"/>
      <c r="AW44" s="164"/>
      <c r="AX44" s="164"/>
      <c r="AY44" s="164"/>
      <c r="AZ44" s="164"/>
      <c r="BA44" s="164"/>
      <c r="BB44" s="164"/>
      <c r="BC44" s="164"/>
      <c r="BD44" s="164"/>
      <c r="BE44" s="164"/>
      <c r="BF44" s="164"/>
      <c r="BG44" s="164"/>
      <c r="BH44" s="164"/>
      <c r="BI44" s="164"/>
    </row>
    <row r="52" spans="1:61" x14ac:dyDescent="0.3">
      <c r="C52" s="149" t="s">
        <v>308</v>
      </c>
    </row>
    <row r="53" spans="1:61" x14ac:dyDescent="0.3">
      <c r="C53" s="149" t="s">
        <v>294</v>
      </c>
    </row>
    <row r="54" spans="1:61" x14ac:dyDescent="0.3">
      <c r="C54" s="149" t="s">
        <v>295</v>
      </c>
    </row>
    <row r="55" spans="1:61" x14ac:dyDescent="0.3">
      <c r="A55" s="149" t="s">
        <v>296</v>
      </c>
      <c r="B55" s="149" t="s">
        <v>297</v>
      </c>
      <c r="C55" s="149">
        <v>1961</v>
      </c>
      <c r="D55" s="149">
        <v>1962</v>
      </c>
      <c r="E55" s="149">
        <v>1963</v>
      </c>
      <c r="F55" s="149">
        <v>1964</v>
      </c>
      <c r="G55" s="149">
        <v>1965</v>
      </c>
      <c r="H55" s="149">
        <v>1966</v>
      </c>
      <c r="I55" s="149">
        <v>1967</v>
      </c>
      <c r="J55" s="149">
        <v>1968</v>
      </c>
      <c r="K55" s="149">
        <v>1969</v>
      </c>
      <c r="L55" s="149">
        <v>1970</v>
      </c>
      <c r="M55" s="149">
        <v>1971</v>
      </c>
      <c r="N55" s="149">
        <v>1972</v>
      </c>
      <c r="O55" s="149">
        <v>1973</v>
      </c>
      <c r="P55" s="149">
        <v>1974</v>
      </c>
      <c r="Q55" s="149">
        <v>1975</v>
      </c>
      <c r="R55" s="149">
        <v>1976</v>
      </c>
      <c r="S55" s="149">
        <v>1977</v>
      </c>
      <c r="T55" s="149">
        <v>1978</v>
      </c>
      <c r="U55" s="149">
        <v>1979</v>
      </c>
      <c r="V55" s="149">
        <v>1980</v>
      </c>
      <c r="W55" s="149">
        <v>1981</v>
      </c>
      <c r="X55" s="149">
        <v>1982</v>
      </c>
      <c r="Y55" s="149">
        <v>1983</v>
      </c>
      <c r="Z55" s="149">
        <v>1984</v>
      </c>
      <c r="AA55" s="149">
        <v>1985</v>
      </c>
      <c r="AB55" s="149">
        <v>1986</v>
      </c>
      <c r="AC55" s="149">
        <v>1987</v>
      </c>
      <c r="AD55" s="149">
        <v>1988</v>
      </c>
      <c r="AE55" s="149">
        <v>1989</v>
      </c>
      <c r="AF55" s="149">
        <v>1990</v>
      </c>
      <c r="AG55" s="149">
        <v>1991</v>
      </c>
      <c r="AH55" s="149">
        <v>1992</v>
      </c>
      <c r="AI55" s="149">
        <v>1993</v>
      </c>
      <c r="AJ55" s="149">
        <v>1994</v>
      </c>
      <c r="AK55" s="149">
        <v>1995</v>
      </c>
      <c r="AL55" s="149">
        <v>1996</v>
      </c>
      <c r="AM55" s="149">
        <v>1997</v>
      </c>
      <c r="AN55" s="149">
        <v>1998</v>
      </c>
      <c r="AO55" s="149">
        <v>1999</v>
      </c>
      <c r="AP55" s="149">
        <v>2000</v>
      </c>
      <c r="AQ55" s="149">
        <v>2001</v>
      </c>
      <c r="AR55" s="149">
        <v>2002</v>
      </c>
      <c r="AS55" s="149">
        <v>2003</v>
      </c>
      <c r="AT55" s="149">
        <v>2004</v>
      </c>
      <c r="AU55" s="149">
        <v>2005</v>
      </c>
      <c r="AV55" s="149">
        <v>2006</v>
      </c>
      <c r="AW55" s="149">
        <v>2007</v>
      </c>
      <c r="AX55" s="149">
        <v>2008</v>
      </c>
      <c r="AY55" s="149">
        <v>2009</v>
      </c>
      <c r="AZ55" s="149">
        <v>2010</v>
      </c>
      <c r="BA55" s="149">
        <v>2011</v>
      </c>
      <c r="BB55" s="149">
        <v>2012</v>
      </c>
      <c r="BC55" s="149">
        <v>2013</v>
      </c>
      <c r="BD55" s="149">
        <v>2014</v>
      </c>
      <c r="BE55" s="149">
        <v>2015</v>
      </c>
      <c r="BF55" s="149">
        <v>2016</v>
      </c>
      <c r="BG55" s="149">
        <v>2017</v>
      </c>
      <c r="BH55" s="149">
        <v>2018</v>
      </c>
      <c r="BI55" s="149">
        <v>2019</v>
      </c>
    </row>
    <row r="56" spans="1:61" x14ac:dyDescent="0.3">
      <c r="A56" s="149" t="s">
        <v>298</v>
      </c>
    </row>
    <row r="57" spans="1:61" x14ac:dyDescent="0.3">
      <c r="B57" s="149" t="s">
        <v>300</v>
      </c>
      <c r="C57" s="164">
        <v>2246</v>
      </c>
      <c r="D57" s="164">
        <v>2333</v>
      </c>
      <c r="E57" s="164">
        <v>2421</v>
      </c>
      <c r="F57" s="164">
        <v>2541</v>
      </c>
      <c r="G57" s="164">
        <v>2762</v>
      </c>
      <c r="H57" s="164">
        <v>3024</v>
      </c>
      <c r="I57" s="164">
        <v>3287</v>
      </c>
      <c r="J57" s="164">
        <v>3541</v>
      </c>
      <c r="K57" s="164">
        <v>3987</v>
      </c>
      <c r="L57" s="164">
        <v>4575</v>
      </c>
      <c r="M57" s="164">
        <v>5150</v>
      </c>
      <c r="N57" s="164">
        <v>5690</v>
      </c>
      <c r="O57" s="164">
        <v>6512</v>
      </c>
      <c r="P57" s="164">
        <v>8155</v>
      </c>
      <c r="Q57" s="164">
        <v>10118</v>
      </c>
      <c r="R57" s="164">
        <v>11107</v>
      </c>
      <c r="S57" s="164">
        <v>12156</v>
      </c>
      <c r="T57" s="164">
        <v>13824</v>
      </c>
      <c r="U57" s="164">
        <v>15789</v>
      </c>
      <c r="V57" s="164">
        <v>17892</v>
      </c>
      <c r="W57" s="164">
        <v>20650</v>
      </c>
      <c r="X57" s="164">
        <v>23490</v>
      </c>
      <c r="Y57" s="164">
        <v>25181</v>
      </c>
      <c r="Z57" s="164">
        <v>26795</v>
      </c>
      <c r="AA57" s="164">
        <v>28193</v>
      </c>
      <c r="AB57" s="164">
        <v>30171</v>
      </c>
      <c r="AC57" s="164">
        <v>31362</v>
      </c>
      <c r="AD57" s="164">
        <v>33005</v>
      </c>
      <c r="AE57" s="164">
        <v>34993</v>
      </c>
      <c r="AF57" s="164">
        <v>37939</v>
      </c>
      <c r="AG57" s="164">
        <v>39122</v>
      </c>
      <c r="AH57" s="164">
        <v>40589</v>
      </c>
      <c r="AI57" s="164">
        <v>40006</v>
      </c>
      <c r="AJ57" s="164">
        <v>40639</v>
      </c>
      <c r="AK57" s="164">
        <v>40600</v>
      </c>
      <c r="AL57" s="164">
        <v>40872</v>
      </c>
      <c r="AM57" s="164">
        <v>42068</v>
      </c>
      <c r="AN57" s="164">
        <v>42441</v>
      </c>
      <c r="AO57" s="164">
        <v>41942</v>
      </c>
      <c r="AP57" s="164">
        <v>42058</v>
      </c>
      <c r="AQ57" s="164">
        <v>42357</v>
      </c>
      <c r="AR57" s="164">
        <v>42459</v>
      </c>
      <c r="AS57" s="164">
        <v>42633</v>
      </c>
      <c r="AT57" s="164">
        <v>43888</v>
      </c>
      <c r="AU57" s="164">
        <v>45242</v>
      </c>
      <c r="AV57" s="164">
        <v>47825</v>
      </c>
      <c r="AW57" s="164">
        <v>51501</v>
      </c>
      <c r="AX57" s="164">
        <v>56955</v>
      </c>
      <c r="AY57" s="164">
        <v>60963</v>
      </c>
      <c r="AZ57" s="164">
        <v>62323</v>
      </c>
      <c r="BA57" s="164">
        <v>65992</v>
      </c>
      <c r="BB57" s="164">
        <v>68991</v>
      </c>
      <c r="BC57" s="164">
        <v>73791</v>
      </c>
      <c r="BD57" s="164">
        <v>80264</v>
      </c>
      <c r="BE57" s="164">
        <v>87706</v>
      </c>
      <c r="BF57" s="164">
        <v>92488</v>
      </c>
      <c r="BG57" s="164">
        <v>94156</v>
      </c>
      <c r="BH57" s="164">
        <v>98149</v>
      </c>
      <c r="BI57" s="164">
        <v>101070</v>
      </c>
    </row>
    <row r="60" spans="1:61" x14ac:dyDescent="0.3">
      <c r="C60" s="149" t="s">
        <v>306</v>
      </c>
    </row>
    <row r="61" spans="1:61" x14ac:dyDescent="0.3">
      <c r="C61" s="149" t="s">
        <v>295</v>
      </c>
    </row>
    <row r="62" spans="1:61" x14ac:dyDescent="0.3">
      <c r="A62" s="149" t="s">
        <v>296</v>
      </c>
      <c r="B62" s="149" t="s">
        <v>297</v>
      </c>
      <c r="C62" s="149">
        <v>1961</v>
      </c>
      <c r="D62" s="149">
        <v>1962</v>
      </c>
      <c r="E62" s="149">
        <v>1963</v>
      </c>
      <c r="F62" s="149">
        <v>1964</v>
      </c>
      <c r="G62" s="149">
        <v>1965</v>
      </c>
      <c r="H62" s="149">
        <v>1966</v>
      </c>
      <c r="I62" s="149">
        <v>1967</v>
      </c>
      <c r="J62" s="149">
        <v>1968</v>
      </c>
      <c r="K62" s="149">
        <v>1969</v>
      </c>
      <c r="L62" s="149">
        <v>1970</v>
      </c>
      <c r="M62" s="149">
        <v>1971</v>
      </c>
      <c r="N62" s="149">
        <v>1972</v>
      </c>
      <c r="O62" s="149">
        <v>1973</v>
      </c>
      <c r="P62" s="149">
        <v>1974</v>
      </c>
      <c r="Q62" s="149">
        <v>1975</v>
      </c>
      <c r="R62" s="149">
        <v>1976</v>
      </c>
      <c r="S62" s="149">
        <v>1977</v>
      </c>
      <c r="T62" s="149">
        <v>1978</v>
      </c>
      <c r="U62" s="149">
        <v>1979</v>
      </c>
      <c r="V62" s="149">
        <v>1980</v>
      </c>
      <c r="W62" s="149">
        <v>1981</v>
      </c>
      <c r="X62" s="149">
        <v>1982</v>
      </c>
      <c r="Y62" s="149">
        <v>1983</v>
      </c>
      <c r="Z62" s="149">
        <v>1984</v>
      </c>
      <c r="AA62" s="149">
        <v>1985</v>
      </c>
      <c r="AB62" s="149">
        <v>1986</v>
      </c>
      <c r="AC62" s="149">
        <v>1987</v>
      </c>
      <c r="AD62" s="149">
        <v>1988</v>
      </c>
      <c r="AE62" s="149">
        <v>1989</v>
      </c>
      <c r="AF62" s="149">
        <v>1990</v>
      </c>
      <c r="AG62" s="149">
        <v>1991</v>
      </c>
      <c r="AH62" s="149">
        <v>1992</v>
      </c>
      <c r="AI62" s="149">
        <v>1993</v>
      </c>
      <c r="AJ62" s="149">
        <v>1994</v>
      </c>
      <c r="AK62" s="149">
        <v>1995</v>
      </c>
      <c r="AL62" s="149">
        <v>1996</v>
      </c>
      <c r="AM62" s="149">
        <v>1997</v>
      </c>
      <c r="AN62" s="149">
        <v>1998</v>
      </c>
      <c r="AO62" s="149">
        <v>1999</v>
      </c>
      <c r="AP62" s="149">
        <v>2000</v>
      </c>
      <c r="AQ62" s="149">
        <v>2001</v>
      </c>
      <c r="AR62" s="149">
        <v>2002</v>
      </c>
      <c r="AS62" s="149">
        <v>2003</v>
      </c>
      <c r="AT62" s="149">
        <v>2004</v>
      </c>
      <c r="AU62" s="149">
        <v>2005</v>
      </c>
      <c r="AV62" s="149">
        <v>2006</v>
      </c>
      <c r="AW62" s="149">
        <v>2007</v>
      </c>
      <c r="AX62" s="149">
        <v>2008</v>
      </c>
      <c r="AY62" s="149">
        <v>2009</v>
      </c>
      <c r="AZ62" s="149">
        <v>2010</v>
      </c>
      <c r="BA62" s="149">
        <v>2011</v>
      </c>
      <c r="BB62" s="149">
        <v>2012</v>
      </c>
      <c r="BC62" s="149">
        <v>2013</v>
      </c>
      <c r="BD62" s="149">
        <v>2014</v>
      </c>
      <c r="BE62" s="149">
        <v>2015</v>
      </c>
      <c r="BF62" s="149">
        <v>2016</v>
      </c>
      <c r="BG62" s="149">
        <v>2017</v>
      </c>
      <c r="BH62" s="149">
        <v>2018</v>
      </c>
      <c r="BI62" s="149">
        <v>2019</v>
      </c>
    </row>
    <row r="63" spans="1:61" x14ac:dyDescent="0.3">
      <c r="A63" s="149" t="s">
        <v>298</v>
      </c>
    </row>
    <row r="64" spans="1:61" x14ac:dyDescent="0.3">
      <c r="B64" s="149" t="s">
        <v>300</v>
      </c>
      <c r="C64" s="164">
        <v>18623</v>
      </c>
      <c r="D64" s="164">
        <v>18927</v>
      </c>
      <c r="E64" s="164">
        <v>19256</v>
      </c>
      <c r="F64" s="164">
        <v>19557</v>
      </c>
      <c r="G64" s="164">
        <v>20025</v>
      </c>
      <c r="H64" s="164">
        <v>20929</v>
      </c>
      <c r="I64" s="164">
        <v>21842</v>
      </c>
      <c r="J64" s="164">
        <v>23321</v>
      </c>
      <c r="K64" s="164">
        <v>25204</v>
      </c>
      <c r="L64" s="164">
        <v>27142</v>
      </c>
      <c r="M64" s="164">
        <v>29010</v>
      </c>
      <c r="N64" s="164">
        <v>30626</v>
      </c>
      <c r="O64" s="164">
        <v>32698</v>
      </c>
      <c r="P64" s="164">
        <v>34514</v>
      </c>
      <c r="Q64" s="164">
        <v>36782</v>
      </c>
      <c r="R64" s="164">
        <v>37901</v>
      </c>
      <c r="S64" s="164">
        <v>38875</v>
      </c>
      <c r="T64" s="164">
        <v>40679</v>
      </c>
      <c r="U64" s="164">
        <v>41983</v>
      </c>
      <c r="V64" s="164">
        <v>42936</v>
      </c>
      <c r="W64" s="164">
        <v>44394</v>
      </c>
      <c r="X64" s="164">
        <v>46752</v>
      </c>
      <c r="Y64" s="164">
        <v>48514</v>
      </c>
      <c r="Z64" s="164">
        <v>49774</v>
      </c>
      <c r="AA64" s="164">
        <v>50674</v>
      </c>
      <c r="AB64" s="164">
        <v>51435</v>
      </c>
      <c r="AC64" s="164">
        <v>52226</v>
      </c>
      <c r="AD64" s="164">
        <v>53414</v>
      </c>
      <c r="AE64" s="164">
        <v>55029</v>
      </c>
      <c r="AF64" s="164">
        <v>57170</v>
      </c>
      <c r="AG64" s="164">
        <v>59687</v>
      </c>
      <c r="AH64" s="164">
        <v>62173</v>
      </c>
      <c r="AI64" s="164">
        <v>62234</v>
      </c>
      <c r="AJ64" s="164">
        <v>60953</v>
      </c>
      <c r="AK64" s="164">
        <v>59783</v>
      </c>
      <c r="AL64" s="164">
        <v>58560</v>
      </c>
      <c r="AM64" s="164">
        <v>57104</v>
      </c>
      <c r="AN64" s="164">
        <v>55666</v>
      </c>
      <c r="AO64" s="164">
        <v>54416</v>
      </c>
      <c r="AP64" s="164">
        <v>53310</v>
      </c>
      <c r="AQ64" s="164">
        <v>52957</v>
      </c>
      <c r="AR64" s="164">
        <v>53327</v>
      </c>
      <c r="AS64" s="164">
        <v>53626</v>
      </c>
      <c r="AT64" s="164">
        <v>53673</v>
      </c>
      <c r="AU64" s="164">
        <v>54634</v>
      </c>
      <c r="AV64" s="164">
        <v>57009</v>
      </c>
      <c r="AW64" s="164">
        <v>59739</v>
      </c>
      <c r="AX64" s="164">
        <v>61948</v>
      </c>
      <c r="AY64" s="164">
        <v>63385</v>
      </c>
      <c r="AZ64" s="164">
        <v>64107</v>
      </c>
      <c r="BA64" s="164">
        <v>66797</v>
      </c>
      <c r="BB64" s="164">
        <v>68991</v>
      </c>
      <c r="BC64" s="164">
        <v>71572</v>
      </c>
      <c r="BD64" s="164">
        <v>75485</v>
      </c>
      <c r="BE64" s="164">
        <v>79787</v>
      </c>
      <c r="BF64" s="164">
        <v>82533</v>
      </c>
      <c r="BG64" s="164">
        <v>83804</v>
      </c>
      <c r="BH64" s="164">
        <v>84755</v>
      </c>
      <c r="BI64" s="164">
        <v>85893</v>
      </c>
    </row>
    <row r="66" spans="3:61" x14ac:dyDescent="0.3">
      <c r="C66" s="149">
        <f>C57/C64</f>
        <v>0.1206035547441336</v>
      </c>
      <c r="D66" s="149">
        <f t="shared" ref="D66:BI66" si="2">D57/D64</f>
        <v>0.12326306334865536</v>
      </c>
      <c r="E66" s="149">
        <f t="shared" si="2"/>
        <v>0.12572704611549648</v>
      </c>
      <c r="F66" s="149">
        <f t="shared" si="2"/>
        <v>0.12992790305261542</v>
      </c>
      <c r="G66" s="149">
        <f t="shared" si="2"/>
        <v>0.13792759051186018</v>
      </c>
      <c r="H66" s="149">
        <f t="shared" si="2"/>
        <v>0.14448850876773855</v>
      </c>
      <c r="I66" s="149">
        <f t="shared" si="2"/>
        <v>0.15048988187894882</v>
      </c>
      <c r="J66" s="149">
        <f t="shared" si="2"/>
        <v>0.15183739976844904</v>
      </c>
      <c r="K66" s="149">
        <f t="shared" si="2"/>
        <v>0.15818917632121884</v>
      </c>
      <c r="L66" s="149">
        <f t="shared" si="2"/>
        <v>0.16855795446171984</v>
      </c>
      <c r="M66" s="149">
        <f t="shared" si="2"/>
        <v>0.17752499138228198</v>
      </c>
      <c r="N66" s="149">
        <f t="shared" si="2"/>
        <v>0.18578985175994253</v>
      </c>
      <c r="O66" s="149">
        <f t="shared" si="2"/>
        <v>0.19915591167655514</v>
      </c>
      <c r="P66" s="149">
        <f t="shared" si="2"/>
        <v>0.23628092947789303</v>
      </c>
      <c r="Q66" s="149">
        <f t="shared" si="2"/>
        <v>0.27508020227285085</v>
      </c>
      <c r="R66" s="149">
        <f t="shared" si="2"/>
        <v>0.29305295374792223</v>
      </c>
      <c r="S66" s="149">
        <f t="shared" si="2"/>
        <v>0.31269453376205786</v>
      </c>
      <c r="T66" s="149">
        <f t="shared" si="2"/>
        <v>0.33983136261953339</v>
      </c>
      <c r="U66" s="149">
        <f t="shared" si="2"/>
        <v>0.37608079460734106</v>
      </c>
      <c r="V66" s="149">
        <f t="shared" si="2"/>
        <v>0.41671324762437117</v>
      </c>
      <c r="W66" s="149">
        <f t="shared" si="2"/>
        <v>0.46515294859665718</v>
      </c>
      <c r="X66" s="149">
        <f t="shared" si="2"/>
        <v>0.50243839835728954</v>
      </c>
      <c r="Y66" s="149">
        <f t="shared" si="2"/>
        <v>0.51904604856330128</v>
      </c>
      <c r="Z66" s="149">
        <f t="shared" si="2"/>
        <v>0.53833326636396517</v>
      </c>
      <c r="AA66" s="149">
        <f t="shared" si="2"/>
        <v>0.55636026364605118</v>
      </c>
      <c r="AB66" s="149">
        <f t="shared" si="2"/>
        <v>0.58658501020705744</v>
      </c>
      <c r="AC66" s="149">
        <f t="shared" si="2"/>
        <v>0.60050549534714515</v>
      </c>
      <c r="AD66" s="149">
        <f t="shared" si="2"/>
        <v>0.61790916239188232</v>
      </c>
      <c r="AE66" s="149">
        <f t="shared" si="2"/>
        <v>0.63590107034472731</v>
      </c>
      <c r="AF66" s="149">
        <f t="shared" si="2"/>
        <v>0.66361728179114921</v>
      </c>
      <c r="AG66" s="149">
        <f t="shared" si="2"/>
        <v>0.65545261112134967</v>
      </c>
      <c r="AH66" s="149">
        <f t="shared" si="2"/>
        <v>0.65283965708587333</v>
      </c>
      <c r="AI66" s="149">
        <f t="shared" si="2"/>
        <v>0.64283189253462736</v>
      </c>
      <c r="AJ66" s="149">
        <f t="shared" si="2"/>
        <v>0.66672682230571101</v>
      </c>
      <c r="AK66" s="149">
        <f t="shared" si="2"/>
        <v>0.67912282755967412</v>
      </c>
      <c r="AL66" s="149">
        <f t="shared" si="2"/>
        <v>0.69795081967213113</v>
      </c>
      <c r="AM66" s="149">
        <f t="shared" si="2"/>
        <v>0.73669094984589523</v>
      </c>
      <c r="AN66" s="149">
        <f t="shared" si="2"/>
        <v>0.76242230445873604</v>
      </c>
      <c r="AO66" s="149">
        <f t="shared" si="2"/>
        <v>0.77076595119082625</v>
      </c>
      <c r="AP66" s="149">
        <f t="shared" si="2"/>
        <v>0.78893265803789159</v>
      </c>
      <c r="AQ66" s="149">
        <f t="shared" si="2"/>
        <v>0.79983760409388749</v>
      </c>
      <c r="AR66" s="149">
        <f t="shared" si="2"/>
        <v>0.79620079884486283</v>
      </c>
      <c r="AS66" s="149">
        <f t="shared" si="2"/>
        <v>0.79500615373139893</v>
      </c>
      <c r="AT66" s="149">
        <f t="shared" si="2"/>
        <v>0.81769232202410891</v>
      </c>
      <c r="AU66" s="149">
        <f t="shared" si="2"/>
        <v>0.82809239667606249</v>
      </c>
      <c r="AV66" s="149">
        <f t="shared" si="2"/>
        <v>0.83890262940939153</v>
      </c>
      <c r="AW66" s="149">
        <f t="shared" si="2"/>
        <v>0.86210013558981569</v>
      </c>
      <c r="AX66" s="149">
        <f t="shared" si="2"/>
        <v>0.9194001420546265</v>
      </c>
      <c r="AY66" s="149">
        <f t="shared" si="2"/>
        <v>0.96178906681391496</v>
      </c>
      <c r="AZ66" s="149">
        <f t="shared" si="2"/>
        <v>0.97217152573041943</v>
      </c>
      <c r="BA66" s="149">
        <f t="shared" si="2"/>
        <v>0.98794856056409719</v>
      </c>
      <c r="BB66" s="149">
        <f t="shared" si="2"/>
        <v>1</v>
      </c>
      <c r="BC66" s="149">
        <f t="shared" si="2"/>
        <v>1.031003744481082</v>
      </c>
      <c r="BD66" s="149">
        <f t="shared" si="2"/>
        <v>1.0633105915082466</v>
      </c>
      <c r="BE66" s="149">
        <f t="shared" si="2"/>
        <v>1.0992517578051562</v>
      </c>
      <c r="BF66" s="149">
        <f t="shared" si="2"/>
        <v>1.120618419298947</v>
      </c>
      <c r="BG66" s="149">
        <f t="shared" si="2"/>
        <v>1.1235263233258557</v>
      </c>
      <c r="BH66" s="149">
        <f t="shared" si="2"/>
        <v>1.1580319745147778</v>
      </c>
      <c r="BI66" s="149">
        <f t="shared" si="2"/>
        <v>1.176696587614823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7"/>
  <sheetViews>
    <sheetView workbookViewId="0">
      <selection activeCell="H5" sqref="H5:K5"/>
    </sheetView>
  </sheetViews>
  <sheetFormatPr baseColWidth="10" defaultColWidth="8.88671875" defaultRowHeight="14.4" x14ac:dyDescent="0.3"/>
  <cols>
    <col min="12" max="12" width="11.5546875" bestFit="1" customWidth="1"/>
    <col min="25" max="25" width="11" customWidth="1"/>
    <col min="26" max="26" width="10.5546875" customWidth="1"/>
  </cols>
  <sheetData>
    <row r="2" spans="1:26" ht="15" x14ac:dyDescent="0.25">
      <c r="A2" t="s">
        <v>569</v>
      </c>
    </row>
    <row r="3" spans="1:26" s="23" customFormat="1" ht="15" x14ac:dyDescent="0.25"/>
    <row r="4" spans="1:26" ht="15" x14ac:dyDescent="0.25">
      <c r="A4" t="s">
        <v>270</v>
      </c>
      <c r="H4" s="363" t="s">
        <v>80</v>
      </c>
      <c r="I4" s="363"/>
      <c r="J4" s="363"/>
      <c r="K4" s="363"/>
      <c r="L4" s="363"/>
      <c r="M4" s="363"/>
      <c r="N4" s="363"/>
      <c r="O4" s="363"/>
      <c r="P4" s="363"/>
      <c r="Q4" s="363"/>
      <c r="R4" s="363"/>
      <c r="S4" s="363"/>
      <c r="T4" s="363"/>
      <c r="U4" s="363"/>
      <c r="V4" s="363"/>
      <c r="W4" s="363"/>
      <c r="X4" s="363"/>
    </row>
    <row r="5" spans="1:26" ht="15" x14ac:dyDescent="0.25">
      <c r="A5" s="23"/>
      <c r="B5" s="5"/>
      <c r="C5" s="2"/>
      <c r="D5" s="2" t="s">
        <v>94</v>
      </c>
      <c r="E5" s="2"/>
      <c r="F5" s="2"/>
      <c r="G5" s="2"/>
      <c r="H5" s="39">
        <f t="shared" ref="H5:V5" si="0">I5-1</f>
        <v>2003</v>
      </c>
      <c r="I5" s="39">
        <f t="shared" si="0"/>
        <v>2004</v>
      </c>
      <c r="J5" s="39">
        <f t="shared" si="0"/>
        <v>2005</v>
      </c>
      <c r="K5" s="39">
        <f t="shared" si="0"/>
        <v>2006</v>
      </c>
      <c r="L5" s="39">
        <f t="shared" si="0"/>
        <v>2007</v>
      </c>
      <c r="M5" s="39">
        <f t="shared" si="0"/>
        <v>2008</v>
      </c>
      <c r="N5" s="39">
        <f t="shared" si="0"/>
        <v>2009</v>
      </c>
      <c r="O5" s="39">
        <f t="shared" si="0"/>
        <v>2010</v>
      </c>
      <c r="P5" s="39">
        <f t="shared" si="0"/>
        <v>2011</v>
      </c>
      <c r="Q5" s="39">
        <f t="shared" si="0"/>
        <v>2012</v>
      </c>
      <c r="R5" s="39">
        <f t="shared" si="0"/>
        <v>2013</v>
      </c>
      <c r="S5" s="39">
        <f t="shared" si="0"/>
        <v>2014</v>
      </c>
      <c r="T5" s="39">
        <f t="shared" si="0"/>
        <v>2015</v>
      </c>
      <c r="U5" s="39">
        <f t="shared" si="0"/>
        <v>2016</v>
      </c>
      <c r="V5" s="39">
        <f t="shared" si="0"/>
        <v>2017</v>
      </c>
      <c r="W5" s="39">
        <f>X5-1</f>
        <v>2018</v>
      </c>
      <c r="X5" s="39">
        <v>2019</v>
      </c>
      <c r="Y5" s="50"/>
      <c r="Z5" s="36"/>
    </row>
    <row r="6" spans="1:26" ht="15" x14ac:dyDescent="0.25">
      <c r="A6" s="5" t="s">
        <v>95</v>
      </c>
      <c r="B6" s="5"/>
      <c r="C6" s="2"/>
      <c r="D6" s="2"/>
      <c r="E6" s="2"/>
      <c r="F6" s="2"/>
      <c r="G6" s="2"/>
      <c r="H6" s="2"/>
      <c r="I6" s="2"/>
      <c r="J6" s="2"/>
      <c r="K6" s="2"/>
      <c r="L6" s="107">
        <v>11422</v>
      </c>
      <c r="M6" s="107">
        <v>11422</v>
      </c>
      <c r="N6" s="107">
        <v>11422</v>
      </c>
      <c r="O6" s="107">
        <v>11422</v>
      </c>
      <c r="P6" s="107">
        <v>11422</v>
      </c>
      <c r="Q6" s="107">
        <v>11422</v>
      </c>
      <c r="R6" s="107">
        <v>11422</v>
      </c>
      <c r="S6" s="107">
        <v>11683</v>
      </c>
      <c r="T6" s="107">
        <v>11719</v>
      </c>
      <c r="U6" s="107">
        <v>11691</v>
      </c>
      <c r="V6" s="107">
        <v>11899</v>
      </c>
      <c r="W6" s="107">
        <v>11918</v>
      </c>
      <c r="X6" s="107">
        <v>12319</v>
      </c>
      <c r="Y6" s="50"/>
      <c r="Z6" s="23" t="s">
        <v>195</v>
      </c>
    </row>
    <row r="7" spans="1:26" ht="15" x14ac:dyDescent="0.25">
      <c r="A7" s="5" t="s">
        <v>96</v>
      </c>
      <c r="B7" s="5"/>
      <c r="C7" s="2"/>
      <c r="D7" s="2"/>
      <c r="E7" s="2"/>
      <c r="F7" s="2"/>
      <c r="G7" s="2"/>
      <c r="H7" s="2"/>
      <c r="I7" s="2"/>
      <c r="J7" s="2"/>
      <c r="K7" s="2"/>
      <c r="L7" s="107">
        <v>1218</v>
      </c>
      <c r="M7" s="107">
        <v>1218</v>
      </c>
      <c r="N7" s="107">
        <v>1218</v>
      </c>
      <c r="O7" s="107">
        <v>1218</v>
      </c>
      <c r="P7" s="107">
        <v>1218</v>
      </c>
      <c r="Q7" s="107">
        <v>1218</v>
      </c>
      <c r="R7" s="107">
        <v>1218</v>
      </c>
      <c r="S7" s="107">
        <v>1218</v>
      </c>
      <c r="T7" s="107">
        <v>1218</v>
      </c>
      <c r="U7" s="107">
        <v>1218</v>
      </c>
      <c r="V7" s="107">
        <v>1218</v>
      </c>
      <c r="W7" s="107">
        <v>1218</v>
      </c>
      <c r="X7" s="107">
        <v>1218</v>
      </c>
      <c r="Y7" s="50"/>
      <c r="Z7" s="36"/>
    </row>
    <row r="8" spans="1:26" ht="15" x14ac:dyDescent="0.25">
      <c r="A8" s="5" t="s">
        <v>97</v>
      </c>
      <c r="B8" s="5"/>
      <c r="C8" s="2"/>
      <c r="D8" s="2"/>
      <c r="E8" s="2"/>
      <c r="F8" s="2"/>
      <c r="G8" s="2"/>
      <c r="H8" s="2"/>
      <c r="I8" s="2"/>
      <c r="J8" s="2"/>
      <c r="K8" s="2"/>
      <c r="L8" s="107">
        <v>5127</v>
      </c>
      <c r="M8" s="107">
        <v>5127</v>
      </c>
      <c r="N8" s="107">
        <v>5127</v>
      </c>
      <c r="O8" s="107">
        <v>5254</v>
      </c>
      <c r="P8" s="107">
        <v>5255</v>
      </c>
      <c r="Q8" s="107">
        <v>5287</v>
      </c>
      <c r="R8" s="107">
        <v>5409</v>
      </c>
      <c r="S8" s="107">
        <v>5438</v>
      </c>
      <c r="T8" s="107">
        <v>5456</v>
      </c>
      <c r="U8" s="107">
        <v>5484</v>
      </c>
      <c r="V8" s="107">
        <v>5488</v>
      </c>
      <c r="W8" s="107">
        <v>5498</v>
      </c>
      <c r="X8" s="107">
        <v>5498</v>
      </c>
      <c r="Y8" s="50"/>
      <c r="Z8" s="36"/>
    </row>
    <row r="9" spans="1:26" ht="15" x14ac:dyDescent="0.25">
      <c r="A9" s="5" t="s">
        <v>98</v>
      </c>
      <c r="B9" s="5"/>
      <c r="C9" s="2"/>
      <c r="D9" s="2"/>
      <c r="E9" s="2"/>
      <c r="F9" s="2"/>
      <c r="G9" s="2"/>
      <c r="H9" s="2"/>
      <c r="I9" s="2"/>
      <c r="J9" s="2"/>
      <c r="K9" s="2"/>
      <c r="L9" s="107">
        <v>3038</v>
      </c>
      <c r="M9" s="107">
        <v>3048</v>
      </c>
      <c r="N9" s="107">
        <v>3120</v>
      </c>
      <c r="O9" s="107">
        <v>3120</v>
      </c>
      <c r="P9" s="107">
        <v>3223</v>
      </c>
      <c r="Q9" s="107">
        <v>3188</v>
      </c>
      <c r="R9" s="107">
        <v>3197</v>
      </c>
      <c r="S9" s="107">
        <v>3230</v>
      </c>
      <c r="T9" s="107">
        <v>3236</v>
      </c>
      <c r="U9" s="107">
        <v>3259</v>
      </c>
      <c r="V9" s="107">
        <v>3257</v>
      </c>
      <c r="W9" s="107">
        <v>3252</v>
      </c>
      <c r="X9" s="107">
        <v>3252</v>
      </c>
      <c r="Y9" s="50"/>
      <c r="Z9" s="36"/>
    </row>
    <row r="10" spans="1:26" ht="15" x14ac:dyDescent="0.25">
      <c r="A10" s="5" t="s">
        <v>99</v>
      </c>
      <c r="B10" s="5"/>
      <c r="C10" s="2"/>
      <c r="D10" s="2"/>
      <c r="E10" s="2"/>
      <c r="F10" s="2"/>
      <c r="G10" s="2"/>
      <c r="H10" s="2"/>
      <c r="I10" s="2"/>
      <c r="J10" s="2"/>
      <c r="K10" s="2"/>
      <c r="L10" s="107">
        <v>2013</v>
      </c>
      <c r="M10" s="107">
        <v>2013</v>
      </c>
      <c r="N10" s="107">
        <v>2013</v>
      </c>
      <c r="O10" s="107">
        <v>2026</v>
      </c>
      <c r="P10" s="107">
        <v>2122</v>
      </c>
      <c r="Q10" s="107">
        <v>2125</v>
      </c>
      <c r="R10" s="107">
        <v>2125</v>
      </c>
      <c r="S10" s="107">
        <v>2125</v>
      </c>
      <c r="T10" s="107">
        <v>2140</v>
      </c>
      <c r="U10" s="107">
        <v>2140</v>
      </c>
      <c r="V10" s="107">
        <v>2140</v>
      </c>
      <c r="W10" s="107">
        <v>2140</v>
      </c>
      <c r="X10" s="107">
        <v>2140</v>
      </c>
      <c r="Y10" s="50"/>
      <c r="Z10" s="36"/>
    </row>
    <row r="11" spans="1:26" ht="15" x14ac:dyDescent="0.25">
      <c r="A11" s="5" t="s">
        <v>100</v>
      </c>
      <c r="B11" s="5"/>
      <c r="C11" s="2"/>
      <c r="D11" s="2"/>
      <c r="E11" s="2"/>
      <c r="F11" s="2"/>
      <c r="G11" s="2"/>
      <c r="H11" s="2"/>
      <c r="I11" s="2"/>
      <c r="J11" s="2"/>
      <c r="K11" s="2"/>
      <c r="L11" s="107">
        <v>6584</v>
      </c>
      <c r="M11" s="107">
        <v>6624</v>
      </c>
      <c r="N11" s="107">
        <v>6738</v>
      </c>
      <c r="O11" s="107">
        <v>6757</v>
      </c>
      <c r="P11" s="107">
        <v>6761</v>
      </c>
      <c r="Q11" s="107">
        <v>6926</v>
      </c>
      <c r="R11" s="107">
        <v>6909</v>
      </c>
      <c r="S11" s="107">
        <v>6938</v>
      </c>
      <c r="T11" s="107">
        <v>6948</v>
      </c>
      <c r="U11" s="107">
        <v>6957</v>
      </c>
      <c r="V11" s="107">
        <v>6960</v>
      </c>
      <c r="W11" s="107">
        <v>6965</v>
      </c>
      <c r="X11" s="107">
        <v>7008</v>
      </c>
      <c r="Y11" s="50"/>
      <c r="Z11" s="36"/>
    </row>
    <row r="12" spans="1:26" ht="15" x14ac:dyDescent="0.25">
      <c r="A12" s="5" t="s">
        <v>184</v>
      </c>
      <c r="B12" s="5"/>
      <c r="C12" s="2"/>
      <c r="D12" s="2"/>
      <c r="E12" s="2"/>
      <c r="F12" s="2"/>
      <c r="G12" s="2"/>
      <c r="H12" s="2"/>
      <c r="I12" s="2"/>
      <c r="J12" s="2"/>
      <c r="K12" s="2"/>
      <c r="L12" s="107">
        <v>3606</v>
      </c>
      <c r="M12" s="107">
        <v>3606</v>
      </c>
      <c r="N12" s="107">
        <v>3606</v>
      </c>
      <c r="O12" s="107">
        <v>3656</v>
      </c>
      <c r="P12" s="107">
        <v>3629</v>
      </c>
      <c r="Q12" s="107">
        <v>3473</v>
      </c>
      <c r="R12" s="107">
        <v>3333</v>
      </c>
      <c r="S12" s="107">
        <v>3283</v>
      </c>
      <c r="T12" s="107">
        <v>3283</v>
      </c>
      <c r="U12" s="107">
        <v>3271</v>
      </c>
      <c r="V12" s="107">
        <v>3245</v>
      </c>
      <c r="W12" s="107">
        <v>3098</v>
      </c>
      <c r="X12" s="107">
        <v>3095</v>
      </c>
      <c r="Y12" s="50"/>
      <c r="Z12" s="36"/>
    </row>
    <row r="13" spans="1:26" ht="15" x14ac:dyDescent="0.25">
      <c r="A13" s="18" t="s">
        <v>101</v>
      </c>
      <c r="B13" s="5"/>
      <c r="C13" s="2"/>
      <c r="D13" s="2"/>
      <c r="E13" s="2"/>
      <c r="F13" s="2"/>
      <c r="G13" s="2"/>
      <c r="H13" s="2"/>
      <c r="I13" s="2"/>
      <c r="J13" s="2"/>
      <c r="K13" s="2"/>
      <c r="L13" s="108">
        <v>33008</v>
      </c>
      <c r="M13" s="108">
        <v>33058</v>
      </c>
      <c r="N13" s="108">
        <v>33244</v>
      </c>
      <c r="O13" s="108">
        <v>33453</v>
      </c>
      <c r="P13" s="108">
        <v>33630</v>
      </c>
      <c r="Q13" s="108">
        <v>33639</v>
      </c>
      <c r="R13" s="108">
        <v>33613</v>
      </c>
      <c r="S13" s="108">
        <v>33915</v>
      </c>
      <c r="T13" s="108">
        <v>34000</v>
      </c>
      <c r="U13" s="108">
        <v>34020</v>
      </c>
      <c r="V13" s="108">
        <v>34207</v>
      </c>
      <c r="W13" s="108">
        <v>34089</v>
      </c>
      <c r="X13" s="108">
        <v>34530</v>
      </c>
      <c r="Y13" s="50"/>
      <c r="Z13" s="36"/>
    </row>
    <row r="15" spans="1:26" ht="15" x14ac:dyDescent="0.25">
      <c r="A15">
        <v>765</v>
      </c>
      <c r="L15" s="144">
        <f>$A15*L6/L$13</f>
        <v>264.71855307804168</v>
      </c>
      <c r="M15" s="144">
        <f t="shared" ref="M15:W15" si="1">$A15*M6/M$13</f>
        <v>264.31816806824366</v>
      </c>
      <c r="N15" s="144">
        <f t="shared" si="1"/>
        <v>262.83930934905544</v>
      </c>
      <c r="O15" s="144">
        <f t="shared" si="1"/>
        <v>261.19720204465966</v>
      </c>
      <c r="P15" s="144">
        <f t="shared" si="1"/>
        <v>259.82247992863518</v>
      </c>
      <c r="Q15" s="144">
        <f t="shared" si="1"/>
        <v>259.75296530812449</v>
      </c>
      <c r="R15" s="144">
        <f t="shared" si="1"/>
        <v>259.9538868890013</v>
      </c>
      <c r="S15" s="144">
        <f t="shared" si="1"/>
        <v>263.5263157894737</v>
      </c>
      <c r="T15" s="144">
        <f t="shared" si="1"/>
        <v>263.67750000000001</v>
      </c>
      <c r="U15" s="144">
        <f t="shared" si="1"/>
        <v>262.89285714285717</v>
      </c>
      <c r="V15" s="144">
        <f t="shared" si="1"/>
        <v>266.10737568333968</v>
      </c>
      <c r="W15" s="144">
        <f t="shared" si="1"/>
        <v>267.45489747425853</v>
      </c>
      <c r="X15" s="144">
        <f>$A15*X6/X$13</f>
        <v>272.92311033883578</v>
      </c>
    </row>
    <row r="16" spans="1:26" ht="15" x14ac:dyDescent="0.25">
      <c r="A16">
        <v>450</v>
      </c>
      <c r="L16" s="144">
        <f t="shared" ref="L16:L21" si="2">$A16*L7/L$13</f>
        <v>16.605065438681532</v>
      </c>
      <c r="M16" s="144">
        <f t="shared" ref="M16:X21" si="3">$A16*M7/M$13</f>
        <v>16.579950390223242</v>
      </c>
      <c r="N16" s="144">
        <f t="shared" si="3"/>
        <v>16.487185657562268</v>
      </c>
      <c r="O16" s="144">
        <f t="shared" si="3"/>
        <v>16.384180790960453</v>
      </c>
      <c r="P16" s="144">
        <f t="shared" si="3"/>
        <v>16.297948260481714</v>
      </c>
      <c r="Q16" s="144">
        <f t="shared" si="3"/>
        <v>16.293587799875144</v>
      </c>
      <c r="R16" s="144">
        <f t="shared" si="3"/>
        <v>16.306191057031505</v>
      </c>
      <c r="S16" s="144">
        <f t="shared" si="3"/>
        <v>16.160990712074302</v>
      </c>
      <c r="T16" s="144">
        <f t="shared" si="3"/>
        <v>16.120588235294118</v>
      </c>
      <c r="U16" s="144">
        <f t="shared" si="3"/>
        <v>16.111111111111111</v>
      </c>
      <c r="V16" s="144">
        <f t="shared" si="3"/>
        <v>16.023036220656589</v>
      </c>
      <c r="W16" s="144">
        <f t="shared" si="3"/>
        <v>16.078500396022179</v>
      </c>
      <c r="X16" s="144">
        <f t="shared" si="3"/>
        <v>15.873153779322328</v>
      </c>
    </row>
    <row r="17" spans="1:26" ht="15" x14ac:dyDescent="0.25">
      <c r="A17">
        <v>315</v>
      </c>
      <c r="L17" s="144">
        <f t="shared" si="2"/>
        <v>48.92768419777024</v>
      </c>
      <c r="M17" s="144">
        <f t="shared" si="3"/>
        <v>48.853681408433665</v>
      </c>
      <c r="N17" s="144">
        <f t="shared" si="3"/>
        <v>48.580345325472265</v>
      </c>
      <c r="O17" s="144">
        <f t="shared" si="3"/>
        <v>49.472693032015066</v>
      </c>
      <c r="P17" s="144">
        <f t="shared" si="3"/>
        <v>49.221677074041033</v>
      </c>
      <c r="Q17" s="144">
        <f t="shared" si="3"/>
        <v>49.508160171229825</v>
      </c>
      <c r="R17" s="144">
        <f t="shared" si="3"/>
        <v>50.689762889358285</v>
      </c>
      <c r="S17" s="144">
        <f t="shared" si="3"/>
        <v>50.507739938080498</v>
      </c>
      <c r="T17" s="144">
        <f t="shared" si="3"/>
        <v>50.548235294117646</v>
      </c>
      <c r="U17" s="144">
        <f t="shared" si="3"/>
        <v>50.777777777777779</v>
      </c>
      <c r="V17" s="144">
        <f t="shared" si="3"/>
        <v>50.537024585611135</v>
      </c>
      <c r="W17" s="144">
        <f t="shared" si="3"/>
        <v>50.804365044442491</v>
      </c>
      <c r="X17" s="144">
        <f t="shared" si="3"/>
        <v>50.155516941789749</v>
      </c>
    </row>
    <row r="18" spans="1:26" ht="15" x14ac:dyDescent="0.25">
      <c r="A18">
        <v>230</v>
      </c>
      <c r="L18" s="144">
        <f t="shared" si="2"/>
        <v>21.168807561803199</v>
      </c>
      <c r="M18" s="144">
        <f t="shared" si="3"/>
        <v>21.20636457135943</v>
      </c>
      <c r="N18" s="144">
        <f t="shared" si="3"/>
        <v>21.585850078209603</v>
      </c>
      <c r="O18" s="144">
        <f t="shared" si="3"/>
        <v>21.450990942516366</v>
      </c>
      <c r="P18" s="144">
        <f t="shared" si="3"/>
        <v>22.04252155813262</v>
      </c>
      <c r="Q18" s="144">
        <f t="shared" si="3"/>
        <v>21.79731858854306</v>
      </c>
      <c r="R18" s="144">
        <f t="shared" si="3"/>
        <v>21.87576235385119</v>
      </c>
      <c r="S18" s="144">
        <f t="shared" si="3"/>
        <v>21.904761904761905</v>
      </c>
      <c r="T18" s="144">
        <f t="shared" si="3"/>
        <v>21.890588235294118</v>
      </c>
      <c r="U18" s="144">
        <f t="shared" si="3"/>
        <v>22.033215755437979</v>
      </c>
      <c r="V18" s="144">
        <f t="shared" si="3"/>
        <v>21.899318852866372</v>
      </c>
      <c r="W18" s="144">
        <f t="shared" si="3"/>
        <v>21.941388717768195</v>
      </c>
      <c r="X18" s="144">
        <f t="shared" si="3"/>
        <v>21.661164205039096</v>
      </c>
    </row>
    <row r="19" spans="1:26" ht="15" x14ac:dyDescent="0.25">
      <c r="A19">
        <v>161</v>
      </c>
      <c r="L19" s="144">
        <f t="shared" si="2"/>
        <v>9.8186197285506545</v>
      </c>
      <c r="M19" s="144">
        <f t="shared" si="3"/>
        <v>9.8037691330389016</v>
      </c>
      <c r="N19" s="144">
        <f t="shared" si="3"/>
        <v>9.7489170978221633</v>
      </c>
      <c r="O19" s="144">
        <f t="shared" si="3"/>
        <v>9.7505754341912532</v>
      </c>
      <c r="P19" s="144">
        <f t="shared" si="3"/>
        <v>10.158846268212905</v>
      </c>
      <c r="Q19" s="144">
        <f t="shared" si="3"/>
        <v>10.170486637533815</v>
      </c>
      <c r="R19" s="144">
        <f t="shared" si="3"/>
        <v>10.178353613185374</v>
      </c>
      <c r="S19" s="144">
        <f t="shared" si="3"/>
        <v>10.087719298245615</v>
      </c>
      <c r="T19" s="144">
        <f t="shared" si="3"/>
        <v>10.133529411764705</v>
      </c>
      <c r="U19" s="144">
        <f t="shared" si="3"/>
        <v>10.127572016460906</v>
      </c>
      <c r="V19" s="144">
        <f t="shared" si="3"/>
        <v>10.072207442921039</v>
      </c>
      <c r="W19" s="144">
        <f t="shared" si="3"/>
        <v>10.10707266273578</v>
      </c>
      <c r="X19" s="144">
        <f t="shared" si="3"/>
        <v>9.9779901534897188</v>
      </c>
    </row>
    <row r="20" spans="1:26" ht="15" x14ac:dyDescent="0.25">
      <c r="A20">
        <v>120</v>
      </c>
      <c r="L20" s="144">
        <f t="shared" si="2"/>
        <v>23.936015511391179</v>
      </c>
      <c r="M20" s="144">
        <f t="shared" si="3"/>
        <v>24.045011797446911</v>
      </c>
      <c r="N20" s="144">
        <f t="shared" si="3"/>
        <v>24.321982914210082</v>
      </c>
      <c r="O20" s="144">
        <f t="shared" si="3"/>
        <v>24.238184916151017</v>
      </c>
      <c r="P20" s="144">
        <f t="shared" si="3"/>
        <v>24.124888492417483</v>
      </c>
      <c r="Q20" s="144">
        <f t="shared" si="3"/>
        <v>24.707036475519487</v>
      </c>
      <c r="R20" s="144">
        <f t="shared" si="3"/>
        <v>24.665456817302829</v>
      </c>
      <c r="S20" s="144">
        <f t="shared" si="3"/>
        <v>24.548429898275099</v>
      </c>
      <c r="T20" s="144">
        <f t="shared" si="3"/>
        <v>24.522352941176472</v>
      </c>
      <c r="U20" s="144">
        <f t="shared" si="3"/>
        <v>24.539682539682541</v>
      </c>
      <c r="V20" s="144">
        <f t="shared" si="3"/>
        <v>24.416055193381471</v>
      </c>
      <c r="W20" s="144">
        <f t="shared" si="3"/>
        <v>24.518173017688991</v>
      </c>
      <c r="X20" s="144">
        <f t="shared" si="3"/>
        <v>24.354474370112946</v>
      </c>
    </row>
    <row r="21" spans="1:26" ht="15" x14ac:dyDescent="0.25">
      <c r="A21">
        <v>69</v>
      </c>
      <c r="L21" s="144">
        <f t="shared" si="2"/>
        <v>7.537990790111488</v>
      </c>
      <c r="M21" s="144">
        <f t="shared" si="3"/>
        <v>7.5265896303466633</v>
      </c>
      <c r="N21" s="144">
        <f t="shared" si="3"/>
        <v>7.4844784021176753</v>
      </c>
      <c r="O21" s="144">
        <f t="shared" si="3"/>
        <v>7.5408483544076761</v>
      </c>
      <c r="P21" s="144">
        <f t="shared" si="3"/>
        <v>7.4457627118644067</v>
      </c>
      <c r="Q21" s="144">
        <f t="shared" si="3"/>
        <v>7.1237848925354497</v>
      </c>
      <c r="R21" s="144">
        <f t="shared" si="3"/>
        <v>6.8419064052598699</v>
      </c>
      <c r="S21" s="144">
        <f t="shared" si="3"/>
        <v>6.6792569659442727</v>
      </c>
      <c r="T21" s="144">
        <f t="shared" si="3"/>
        <v>6.6625588235294115</v>
      </c>
      <c r="U21" s="144">
        <f t="shared" si="3"/>
        <v>6.6343033509700176</v>
      </c>
      <c r="V21" s="144">
        <f t="shared" si="3"/>
        <v>6.5455900839009562</v>
      </c>
      <c r="W21" s="144">
        <f t="shared" si="3"/>
        <v>6.2707031593769251</v>
      </c>
      <c r="X21" s="144">
        <f t="shared" si="3"/>
        <v>6.1846220677671591</v>
      </c>
    </row>
    <row r="22" spans="1:26" ht="15" x14ac:dyDescent="0.25">
      <c r="L22" s="144">
        <f t="shared" ref="L22:X22" si="4">SUM(L15:L21)</f>
        <v>392.71273630635</v>
      </c>
      <c r="M22" s="144">
        <f t="shared" si="4"/>
        <v>392.33353499909248</v>
      </c>
      <c r="N22" s="144">
        <f t="shared" si="4"/>
        <v>391.04806882444956</v>
      </c>
      <c r="O22" s="144">
        <f t="shared" si="4"/>
        <v>390.03467551490144</v>
      </c>
      <c r="P22" s="144">
        <f t="shared" si="4"/>
        <v>389.11412429378538</v>
      </c>
      <c r="Q22" s="144">
        <f t="shared" si="4"/>
        <v>389.35333987336128</v>
      </c>
      <c r="R22" s="144">
        <f t="shared" si="4"/>
        <v>390.51132002499037</v>
      </c>
      <c r="S22" s="144">
        <f t="shared" si="4"/>
        <v>393.41521450685536</v>
      </c>
      <c r="T22" s="144">
        <f t="shared" si="4"/>
        <v>393.55535294117647</v>
      </c>
      <c r="U22" s="144">
        <f t="shared" si="4"/>
        <v>393.11651969429749</v>
      </c>
      <c r="V22" s="144">
        <f t="shared" si="4"/>
        <v>395.60060806267722</v>
      </c>
      <c r="W22" s="144">
        <f t="shared" si="4"/>
        <v>397.17510047229308</v>
      </c>
      <c r="X22" s="144">
        <f t="shared" si="4"/>
        <v>401.13003185635677</v>
      </c>
    </row>
    <row r="24" spans="1:26" ht="15" x14ac:dyDescent="0.25">
      <c r="L24" s="144"/>
      <c r="M24" s="144"/>
      <c r="N24" s="144"/>
      <c r="O24" s="144"/>
      <c r="P24" s="144"/>
      <c r="Q24" s="144"/>
      <c r="R24" s="144"/>
      <c r="S24" s="144"/>
      <c r="T24" s="144"/>
      <c r="U24" s="144"/>
      <c r="V24" s="144"/>
      <c r="W24" s="144"/>
      <c r="X24" s="144"/>
    </row>
    <row r="26" spans="1:26" ht="15" x14ac:dyDescent="0.25">
      <c r="A26" s="5" t="s">
        <v>121</v>
      </c>
      <c r="B26" s="5"/>
      <c r="C26" s="5"/>
      <c r="D26" s="5"/>
      <c r="E26" s="2"/>
      <c r="F26" s="2"/>
      <c r="G26" s="2"/>
      <c r="H26" s="2"/>
      <c r="I26" s="2"/>
      <c r="J26" s="2"/>
      <c r="K26" s="2"/>
      <c r="L26" s="2"/>
      <c r="M26" s="2"/>
      <c r="N26" s="46">
        <v>2007</v>
      </c>
      <c r="O26" s="46">
        <v>2008</v>
      </c>
      <c r="P26" s="46">
        <v>2009</v>
      </c>
      <c r="Q26" s="46">
        <v>2010</v>
      </c>
      <c r="R26" s="46">
        <v>2011</v>
      </c>
      <c r="S26" s="46">
        <v>2012</v>
      </c>
      <c r="T26" s="46">
        <v>2013</v>
      </c>
      <c r="U26" s="46">
        <v>2014</v>
      </c>
      <c r="V26" s="46">
        <v>2015</v>
      </c>
      <c r="W26" s="47">
        <v>2016</v>
      </c>
      <c r="X26" s="47">
        <v>2017</v>
      </c>
      <c r="Y26" s="47">
        <v>2018</v>
      </c>
      <c r="Z26" s="47">
        <v>2019</v>
      </c>
    </row>
    <row r="27" spans="1:26" ht="15" x14ac:dyDescent="0.25">
      <c r="B27" s="5" t="s">
        <v>190</v>
      </c>
      <c r="C27" s="5"/>
      <c r="D27" s="5"/>
      <c r="E27" s="2"/>
      <c r="F27" s="2"/>
      <c r="G27" s="2"/>
      <c r="H27" s="2"/>
      <c r="I27" s="2"/>
      <c r="J27" s="2"/>
      <c r="K27" s="2"/>
      <c r="L27" s="2"/>
      <c r="M27" s="2"/>
      <c r="N27" s="57">
        <f t="shared" ref="N27:X27" si="5">SUM(N28:N31)</f>
        <v>72691</v>
      </c>
      <c r="O27" s="57">
        <f t="shared" si="5"/>
        <v>75289</v>
      </c>
      <c r="P27" s="57">
        <f t="shared" si="5"/>
        <v>80304</v>
      </c>
      <c r="Q27" s="57">
        <f t="shared" si="5"/>
        <v>82931</v>
      </c>
      <c r="R27" s="57">
        <f t="shared" si="5"/>
        <v>86111</v>
      </c>
      <c r="S27" s="57">
        <f t="shared" si="5"/>
        <v>88308</v>
      </c>
      <c r="T27" s="57">
        <f t="shared" si="5"/>
        <v>89116</v>
      </c>
      <c r="U27" s="57">
        <f t="shared" si="5"/>
        <v>93578</v>
      </c>
      <c r="V27" s="58">
        <f t="shared" si="5"/>
        <v>96659</v>
      </c>
      <c r="W27" s="58">
        <f t="shared" si="5"/>
        <v>98548</v>
      </c>
      <c r="X27" s="58">
        <f t="shared" si="5"/>
        <v>102785</v>
      </c>
      <c r="Y27" s="48">
        <v>104888</v>
      </c>
      <c r="Z27" s="48">
        <v>107650</v>
      </c>
    </row>
    <row r="28" spans="1:26" ht="15" x14ac:dyDescent="0.25">
      <c r="A28" s="2"/>
      <c r="B28" s="5" t="s">
        <v>116</v>
      </c>
      <c r="C28" s="5"/>
      <c r="D28" s="5"/>
      <c r="E28" s="2"/>
      <c r="F28" s="2"/>
      <c r="G28" s="2"/>
      <c r="H28" s="2"/>
      <c r="I28" s="2"/>
      <c r="J28" s="2"/>
      <c r="K28" s="2"/>
      <c r="L28" s="2"/>
      <c r="M28" s="2"/>
      <c r="N28" s="57">
        <v>35675</v>
      </c>
      <c r="O28" s="57">
        <v>37149</v>
      </c>
      <c r="P28" s="57">
        <v>40267</v>
      </c>
      <c r="Q28" s="57">
        <v>41451</v>
      </c>
      <c r="R28" s="57">
        <v>43190</v>
      </c>
      <c r="S28" s="57">
        <v>44194</v>
      </c>
      <c r="T28" s="57">
        <v>43227</v>
      </c>
      <c r="U28" s="57">
        <v>45734</v>
      </c>
      <c r="V28" s="58">
        <v>46643</v>
      </c>
      <c r="W28" s="58">
        <v>46929</v>
      </c>
      <c r="X28" s="58">
        <v>49164</v>
      </c>
      <c r="Y28" s="48">
        <v>49434</v>
      </c>
      <c r="Z28" s="48">
        <v>49697</v>
      </c>
    </row>
    <row r="29" spans="1:26" ht="15" x14ac:dyDescent="0.25">
      <c r="A29" s="3"/>
      <c r="B29" s="18" t="s">
        <v>117</v>
      </c>
      <c r="C29" s="18"/>
      <c r="D29" s="18"/>
      <c r="E29" s="3"/>
      <c r="F29" s="3"/>
      <c r="G29" s="3"/>
      <c r="H29" s="3"/>
      <c r="I29" s="3"/>
      <c r="J29" s="3"/>
      <c r="K29" s="3"/>
      <c r="L29" s="3"/>
      <c r="M29" s="3"/>
      <c r="N29" s="59">
        <v>22758</v>
      </c>
      <c r="O29" s="59">
        <v>23374</v>
      </c>
      <c r="P29" s="59">
        <v>24715</v>
      </c>
      <c r="Q29" s="59">
        <v>25726</v>
      </c>
      <c r="R29" s="59">
        <v>26726</v>
      </c>
      <c r="S29" s="59">
        <v>27450</v>
      </c>
      <c r="T29" s="59">
        <v>28634</v>
      </c>
      <c r="U29" s="59">
        <v>30084</v>
      </c>
      <c r="V29" s="60">
        <v>31664</v>
      </c>
      <c r="W29" s="60">
        <v>32614</v>
      </c>
      <c r="X29" s="60">
        <v>34144</v>
      </c>
      <c r="Y29" s="49">
        <v>35397</v>
      </c>
      <c r="Z29" s="49">
        <v>37332</v>
      </c>
    </row>
    <row r="30" spans="1:26" ht="15" x14ac:dyDescent="0.25">
      <c r="A30" s="2"/>
      <c r="B30" s="5" t="s">
        <v>118</v>
      </c>
      <c r="C30" s="5"/>
      <c r="D30" s="5"/>
      <c r="E30" s="2"/>
      <c r="F30" s="2"/>
      <c r="G30" s="2"/>
      <c r="H30" s="2"/>
      <c r="I30" s="2"/>
      <c r="J30" s="2"/>
      <c r="K30" s="2"/>
      <c r="L30" s="2"/>
      <c r="M30" s="2"/>
      <c r="N30" s="57">
        <v>13235</v>
      </c>
      <c r="O30" s="57">
        <v>13708</v>
      </c>
      <c r="P30" s="57">
        <v>14216</v>
      </c>
      <c r="Q30" s="57">
        <v>14590</v>
      </c>
      <c r="R30" s="57">
        <v>15083</v>
      </c>
      <c r="S30" s="57">
        <v>15521</v>
      </c>
      <c r="T30" s="57">
        <v>16088</v>
      </c>
      <c r="U30" s="57">
        <v>16585</v>
      </c>
      <c r="V30" s="58">
        <v>17165</v>
      </c>
      <c r="W30" s="58">
        <v>17656</v>
      </c>
      <c r="X30" s="58">
        <v>18102</v>
      </c>
      <c r="Y30" s="48">
        <v>18602</v>
      </c>
      <c r="Z30" s="48">
        <v>19075</v>
      </c>
    </row>
    <row r="31" spans="1:26" ht="15" x14ac:dyDescent="0.25">
      <c r="A31" s="2"/>
      <c r="B31" s="5" t="s">
        <v>122</v>
      </c>
      <c r="C31" s="5"/>
      <c r="D31" s="5"/>
      <c r="E31" s="2"/>
      <c r="F31" s="2"/>
      <c r="G31" s="2"/>
      <c r="H31" s="2"/>
      <c r="I31" s="2"/>
      <c r="J31" s="2"/>
      <c r="K31" s="2"/>
      <c r="L31" s="2"/>
      <c r="M31" s="2"/>
      <c r="N31" s="57">
        <f>31+992</f>
        <v>1023</v>
      </c>
      <c r="O31" s="57">
        <f>28+1030</f>
        <v>1058</v>
      </c>
      <c r="P31" s="57">
        <f>28+1078</f>
        <v>1106</v>
      </c>
      <c r="Q31" s="57">
        <f>28+1136</f>
        <v>1164</v>
      </c>
      <c r="R31" s="57">
        <f>27+1085</f>
        <v>1112</v>
      </c>
      <c r="S31" s="57">
        <f>30+1113</f>
        <v>1143</v>
      </c>
      <c r="T31" s="57">
        <f>32+1135</f>
        <v>1167</v>
      </c>
      <c r="U31" s="57">
        <f>40+1135</f>
        <v>1175</v>
      </c>
      <c r="V31" s="58">
        <f>39+1148</f>
        <v>1187</v>
      </c>
      <c r="W31" s="58">
        <f>42+1307</f>
        <v>1349</v>
      </c>
      <c r="X31" s="58">
        <f>43+1332</f>
        <v>1375</v>
      </c>
      <c r="Y31" s="62">
        <v>1455</v>
      </c>
      <c r="Z31" s="62">
        <v>1546</v>
      </c>
    </row>
    <row r="32" spans="1:26" ht="15" x14ac:dyDescent="0.25">
      <c r="A32" s="2"/>
      <c r="B32" s="5" t="s">
        <v>571</v>
      </c>
      <c r="C32" s="5"/>
      <c r="D32" s="5"/>
      <c r="E32" s="2"/>
      <c r="F32" s="2"/>
      <c r="G32" s="2"/>
      <c r="H32" s="2"/>
      <c r="I32" s="2"/>
      <c r="J32" s="2"/>
      <c r="K32" s="2"/>
      <c r="L32" s="2"/>
      <c r="M32" s="2"/>
      <c r="N32" s="56">
        <f>N29/N27</f>
        <v>0.31307864797567786</v>
      </c>
      <c r="O32" s="56">
        <f t="shared" ref="O32:Z32" si="6">O29/O27</f>
        <v>0.31045703887686116</v>
      </c>
      <c r="P32" s="56">
        <f t="shared" si="6"/>
        <v>0.3077679816696553</v>
      </c>
      <c r="Q32" s="56">
        <f t="shared" si="6"/>
        <v>0.3102096923948825</v>
      </c>
      <c r="R32" s="56">
        <f t="shared" si="6"/>
        <v>0.31036685208626075</v>
      </c>
      <c r="S32" s="56">
        <f t="shared" si="6"/>
        <v>0.31084386465552383</v>
      </c>
      <c r="T32" s="56">
        <f t="shared" si="6"/>
        <v>0.32131154899232461</v>
      </c>
      <c r="U32" s="56">
        <f t="shared" si="6"/>
        <v>0.32148581931650599</v>
      </c>
      <c r="V32" s="56">
        <f t="shared" si="6"/>
        <v>0.3275846015373633</v>
      </c>
      <c r="W32" s="56">
        <f t="shared" si="6"/>
        <v>0.33094532613548727</v>
      </c>
      <c r="X32" s="56">
        <f t="shared" si="6"/>
        <v>0.3321885489127791</v>
      </c>
      <c r="Y32" s="56">
        <f t="shared" si="6"/>
        <v>0.33747425825642591</v>
      </c>
      <c r="Z32" s="56">
        <f t="shared" si="6"/>
        <v>0.34679052484904782</v>
      </c>
    </row>
    <row r="34" spans="2:26" ht="15" x14ac:dyDescent="0.25">
      <c r="M34" s="10"/>
      <c r="N34" s="10"/>
      <c r="O34" s="10"/>
      <c r="P34" s="10"/>
      <c r="Q34" s="10"/>
      <c r="R34" s="10"/>
      <c r="S34" s="10"/>
      <c r="T34" s="10"/>
      <c r="U34" s="10"/>
      <c r="V34" s="10"/>
      <c r="W34" s="10"/>
      <c r="X34" s="10"/>
      <c r="Y34" s="10"/>
      <c r="Z34" s="10"/>
    </row>
    <row r="35" spans="2:26" ht="15" x14ac:dyDescent="0.25">
      <c r="M35" s="10"/>
      <c r="N35" s="10"/>
      <c r="O35" s="10"/>
      <c r="P35" s="10"/>
      <c r="Q35" s="10"/>
      <c r="R35" s="10"/>
      <c r="S35" s="10"/>
      <c r="T35" s="10"/>
      <c r="U35" s="10"/>
      <c r="V35" s="10"/>
      <c r="W35" s="10"/>
      <c r="X35" s="10"/>
      <c r="Y35" s="10"/>
      <c r="Z35" s="10"/>
    </row>
    <row r="36" spans="2:26" ht="15" x14ac:dyDescent="0.25">
      <c r="M36" s="10"/>
      <c r="N36" s="291"/>
      <c r="O36" s="10"/>
      <c r="P36" s="10"/>
      <c r="Q36" s="10"/>
      <c r="R36" s="10"/>
      <c r="S36" s="10"/>
      <c r="T36" s="10"/>
      <c r="U36" s="10"/>
      <c r="V36" s="10"/>
      <c r="W36" s="10"/>
      <c r="X36" s="10"/>
      <c r="Y36" s="10"/>
      <c r="Z36" s="10"/>
    </row>
    <row r="37" spans="2:26" ht="15" x14ac:dyDescent="0.25">
      <c r="B37" s="149"/>
      <c r="M37" s="10"/>
      <c r="N37" s="10"/>
      <c r="O37" s="10"/>
      <c r="P37" s="10"/>
      <c r="Q37" s="10"/>
      <c r="R37" s="10"/>
      <c r="S37" s="10"/>
      <c r="T37" s="10"/>
      <c r="U37" s="10"/>
      <c r="V37" s="10"/>
      <c r="W37" s="10"/>
      <c r="X37" s="10"/>
      <c r="Y37" s="10"/>
      <c r="Z37" s="10"/>
    </row>
    <row r="38" spans="2:26" ht="15" x14ac:dyDescent="0.25">
      <c r="B38" s="149"/>
      <c r="C38" s="149"/>
      <c r="M38" s="10"/>
      <c r="N38" s="10"/>
      <c r="O38" s="10"/>
      <c r="P38" s="10"/>
      <c r="Q38" s="10"/>
      <c r="R38" s="10"/>
      <c r="S38" s="10"/>
      <c r="T38" s="10"/>
      <c r="U38" s="10"/>
      <c r="V38" s="10"/>
      <c r="W38" s="10"/>
      <c r="X38" s="10"/>
      <c r="Y38" s="10"/>
      <c r="Z38" s="10"/>
    </row>
    <row r="39" spans="2:26" ht="15" x14ac:dyDescent="0.25">
      <c r="B39" s="149"/>
      <c r="C39" s="149"/>
      <c r="M39" s="10"/>
      <c r="N39" s="292"/>
      <c r="O39" s="292"/>
      <c r="P39" s="292"/>
      <c r="Q39" s="292"/>
      <c r="R39" s="292"/>
      <c r="S39" s="292"/>
      <c r="T39" s="292"/>
      <c r="U39" s="292"/>
      <c r="V39" s="292"/>
      <c r="W39" s="292"/>
      <c r="X39" s="292"/>
      <c r="Y39" s="292"/>
      <c r="Z39" s="292"/>
    </row>
    <row r="40" spans="2:26" ht="15" x14ac:dyDescent="0.25">
      <c r="B40" s="149"/>
      <c r="C40" s="149"/>
    </row>
    <row r="41" spans="2:26" ht="15" x14ac:dyDescent="0.25">
      <c r="B41" s="149"/>
      <c r="C41" s="146"/>
    </row>
    <row r="42" spans="2:26" ht="15" x14ac:dyDescent="0.25">
      <c r="B42" s="149"/>
      <c r="C42" s="146"/>
    </row>
    <row r="43" spans="2:26" x14ac:dyDescent="0.3">
      <c r="B43" s="149"/>
      <c r="C43" s="149"/>
    </row>
    <row r="44" spans="2:26" x14ac:dyDescent="0.3">
      <c r="B44" s="149"/>
    </row>
    <row r="45" spans="2:26" x14ac:dyDescent="0.3">
      <c r="B45" s="149"/>
    </row>
    <row r="46" spans="2:26" x14ac:dyDescent="0.3">
      <c r="B46" s="149"/>
    </row>
    <row r="47" spans="2:26" x14ac:dyDescent="0.3">
      <c r="B47" s="149"/>
    </row>
  </sheetData>
  <mergeCells count="1">
    <mergeCell ref="H4:X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hase xmlns="a091097b-8ae3-4832-a2b2-51f9a78aeacd">1</Phase>
    <Sujet xmlns="a091097b-8ae3-4832-a2b2-51f9a78aeacd">PEG-1, document 3 - HQT Data WP (not confidential)</Sujet>
    <Confidentiel xmlns="a091097b-8ae3-4832-a2b2-51f9a78aeacd">3</Confidentiel>
    <Projet xmlns="a091097b-8ae3-4832-a2b2-51f9a78aeacd">478</Projet>
    <Provenance xmlns="a091097b-8ae3-4832-a2b2-51f9a78aeacd">2</Provenance>
    <Hidden_UploadedAt xmlns="a091097b-8ae3-4832-a2b2-51f9a78aeacd">2023-01-20T18:14:12+00:00</Hidden_UploadedAt>
    <Accés_x0020_restreint xmlns="a091097b-8ae3-4832-a2b2-51f9a78aeacd">false</Accés_x0020_restreint>
    <Précision_x0020_de_x0020_document xmlns="a091097b-8ae3-4832-a2b2-51f9a78aeacd" xsi:nil="true"/>
    <Déposant xmlns="a091097b-8ae3-4832-a2b2-51f9a78aeacd">14</Déposant>
    <Sous-catégorie xmlns="a091097b-8ae3-4832-a2b2-51f9a78aeacd" xsi:nil="true"/>
    <Copie_x0020_papier_x0020_reçue xmlns="a091097b-8ae3-4832-a2b2-51f9a78aeacd">false</Copie_x0020_papier_x0020_reçue>
    <Cote_x0020_de_x0020_déposant xmlns="a091097b-8ae3-4832-a2b2-51f9a78aeacd">PEG-1, document 3 </Cote_x0020_de_x0020_déposant>
    <Inscrit_x0020_au_x0020_plumitif xmlns="a091097b-8ae3-4832-a2b2-51f9a78aeacd">true</Inscrit_x0020_au_x0020_plumitif>
    <Numéro_x0020_plumitif xmlns="a091097b-8ae3-4832-a2b2-51f9a78aeacd">76</Numéro_x0020_plumitif>
    <Hidden_UploadedBy xmlns="a091097b-8ae3-4832-a2b2-51f9a78aeacd" xsi:nil="true"/>
    <Hidden_ApprovedBy xmlns="a091097b-8ae3-4832-a2b2-51f9a78aeacd" xsi:nil="true"/>
    <Statut xmlns="a091097b-8ae3-4832-a2b2-51f9a78aeacd" xsi:nil="true"/>
    <Catégorie_x0020_de_x0020_document xmlns="a091097b-8ae3-4832-a2b2-51f9a78aeacd">24</Catégorie_x0020_de_x0020_document>
    <Date_x0020_de_x0020_confidentialité_x0020_relevée xmlns="a091097b-8ae3-4832-a2b2-51f9a78aeacd" xsi:nil="true"/>
    <Hidden_ApprovedAt xmlns="a091097b-8ae3-4832-a2b2-51f9a78aeacd">2023-01-20T18:14:12+00:00</Hidden_ApprovedAt>
    <Cote_x0020_de_x0020_piéce xmlns="a091097b-8ae3-4832-a2b2-51f9a78aeacd">C-AQCIE-CIFQ-0012</Cote_x0020_de_x0020_piéce>
    <Diffusable_x0020_sur_x0020_le_x0020_Web xmlns="a091097b-8ae3-4832-a2b2-51f9a78aeacd">true</Diffusable_x0020_sur_x0020_le_x0020_Web>
    <Date_x0020_de_x0020_réception_x0020_copie_x0020_papier xmlns="a091097b-8ae3-4832-a2b2-51f9a78aeacd" xsi:nil="true"/>
    <Ne_x0020_pas_x0020_envoyer_x0020_d_x0027_alerte xmlns="a091097b-8ae3-4832-a2b2-51f9a78aeacd">true</Ne_x0020_pas_x0020_envoyer_x0020_d_x0027_alerte>
    <_dlc_DocId xmlns="a84ed267-86d5-4fa1-a3cb-2fed497fe84f">W2HFWTQUJJY6-1201575218-172</_dlc_DocId>
    <_dlc_DocIdUrl xmlns="a84ed267-86d5-4fa1-a3cb-2fed497fe84f">
      <Url>http://s10mtlweb:8081/478/_layouts/15/DocIdRedir.aspx?ID=W2HFWTQUJJY6-1201575218-172</Url>
      <Description>W2HFWTQUJJY6-1201575218-172</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de projet" ma:contentTypeID="0x010100F6681E3BDF397F418586AC591ADC81BB00270DC135B08771469C34929EBC439A5C" ma:contentTypeVersion="0" ma:contentTypeDescription="" ma:contentTypeScope="" ma:versionID="20a72852451ffe05b39a5a2caf902e4e">
  <xsd:schema xmlns:xsd="http://www.w3.org/2001/XMLSchema" xmlns:xs="http://www.w3.org/2001/XMLSchema" xmlns:p="http://schemas.microsoft.com/office/2006/metadata/properties" xmlns:ns2="a091097b-8ae3-4832-a2b2-51f9a78aeacd" xmlns:ns3="a84ed267-86d5-4fa1-a3cb-2fed497fe84f" targetNamespace="http://schemas.microsoft.com/office/2006/metadata/properties" ma:root="true" ma:fieldsID="1314c7b2cd3f1a74d569399b1feb6150" ns2:_="" ns3:_="">
    <xsd:import namespace="a091097b-8ae3-4832-a2b2-51f9a78aeacd"/>
    <xsd:import namespace="a84ed267-86d5-4fa1-a3cb-2fed497fe84f"/>
    <xsd:element name="properties">
      <xsd:complexType>
        <xsd:sequence>
          <xsd:element name="documentManagement">
            <xsd:complexType>
              <xsd:all>
                <xsd:element ref="ns2:Projet"/>
                <xsd:element ref="ns2:Provenance" minOccurs="0"/>
                <xsd:element ref="ns2:Déposant"/>
                <xsd:element ref="ns2:Catégorie_x0020_de_x0020_document" minOccurs="0"/>
                <xsd:element ref="ns2:Sous-catégorie" minOccurs="0"/>
                <xsd:element ref="ns2:Phase"/>
                <xsd:element ref="ns2:Précision_x0020_de_x0020_document" minOccurs="0"/>
                <xsd:element ref="ns2:Sujet" minOccurs="0"/>
                <xsd:element ref="ns2:Cote_x0020_de_x0020_déposant" minOccurs="0"/>
                <xsd:element ref="ns2:Accés_x0020_restreint" minOccurs="0"/>
                <xsd:element ref="ns2:Cote_x0020_de_x0020_piéce" minOccurs="0"/>
                <xsd:element ref="ns2:Inscrit_x0020_au_x0020_plumitif" minOccurs="0"/>
                <xsd:element ref="ns2:Numéro_x0020_plumitif" minOccurs="0"/>
                <xsd:element ref="ns2:Diffusable_x0020_sur_x0020_le_x0020_Web" minOccurs="0"/>
                <xsd:element ref="ns2:Ne_x0020_pas_x0020_envoyer_x0020_d_x0027_alerte" minOccurs="0"/>
                <xsd:element ref="ns2:Confidentiel"/>
                <xsd:element ref="ns2:Date_x0020_de_x0020_confidentialité_x0020_relevée" minOccurs="0"/>
                <xsd:element ref="ns2:Copie_x0020_papier_x0020_reçue" minOccurs="0"/>
                <xsd:element ref="ns2:Date_x0020_de_x0020_réception_x0020_copie_x0020_papier" minOccurs="0"/>
                <xsd:element ref="ns3:_dlc_DocId" minOccurs="0"/>
                <xsd:element ref="ns3:_dlc_DocIdUrl" minOccurs="0"/>
                <xsd:element ref="ns3:_dlc_DocIdPersistId" minOccurs="0"/>
                <xsd:element ref="ns2:Hidden_UploadedBy" minOccurs="0"/>
                <xsd:element ref="ns2:Hidden_UploadedAt" minOccurs="0"/>
                <xsd:element ref="ns2:Hidden_ApprovedBy" minOccurs="0"/>
                <xsd:element ref="ns2:Hidden_ApprovedAt" minOccurs="0"/>
                <xsd:element ref="ns2:Stat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1097b-8ae3-4832-a2b2-51f9a78aeacd" elementFormDefault="qualified">
    <xsd:import namespace="http://schemas.microsoft.com/office/2006/documentManagement/types"/>
    <xsd:import namespace="http://schemas.microsoft.com/office/infopath/2007/PartnerControls"/>
    <xsd:element name="Projet" ma:index="1" ma:displayName="Projet" ma:list="{CE87CB4F-F3B1-42AD-9CE0-0125D6B4080B}" ma:internalName="Projet" ma:readOnly="false" ma:showField="Num_x00e9_ro_x0020_du_x0020_proj" ma:web="{76ddd5ea-d475-414e-8091-4675c7a4bd1a}">
      <xsd:simpleType>
        <xsd:restriction base="dms:Lookup"/>
      </xsd:simpleType>
    </xsd:element>
    <xsd:element name="Provenance" ma:index="2" nillable="true" ma:displayName="Provenance" ma:list="{3A1A4597-1672-4F84-9DE7-FBA0AEBF9CE3}" ma:internalName="Provenance" ma:showField="Title" ma:web="{76ddd5ea-d475-414e-8091-4675c7a4bd1a}">
      <xsd:simpleType>
        <xsd:restriction base="dms:Lookup"/>
      </xsd:simpleType>
    </xsd:element>
    <xsd:element name="Déposant" ma:index="3" ma:displayName="Déposant" ma:list="{A2D4550E-DC70-4FE1-8010-4C446E5D8D2C}" ma:internalName="D_x00e9_posant" ma:showField="Title" ma:web="{76ddd5ea-d475-414e-8091-4675c7a4bd1a}">
      <xsd:simpleType>
        <xsd:restriction base="dms:Lookup"/>
      </xsd:simpleType>
    </xsd:element>
    <xsd:element name="Catégorie_x0020_de_x0020_document" ma:index="4" nillable="true" ma:displayName="Catégorie de document" ma:list="{F7545102-6201-4483-9929-E858F36BE31E}" ma:internalName="Cat_x00e9_gorie_x0020_de_x0020_document" ma:showField="Title" ma:web="{76ddd5ea-d475-414e-8091-4675c7a4bd1a}">
      <xsd:simpleType>
        <xsd:restriction base="dms:Lookup"/>
      </xsd:simpleType>
    </xsd:element>
    <xsd:element name="Sous-catégorie" ma:index="5" nillable="true" ma:displayName="Sous-catégorie" ma:list="{8F61632E-9A95-48F5-95F9-D05D88255F44}" ma:internalName="Sous_x002d_cat_x00e9_gorie" ma:showField="Code" ma:web="{76ddd5ea-d475-414e-8091-4675c7a4bd1a}">
      <xsd:simpleType>
        <xsd:restriction base="dms:Lookup"/>
      </xsd:simpleType>
    </xsd:element>
    <xsd:element name="Phase" ma:index="6" ma:displayName="Phase" ma:list="{1721197D-7382-4457-968B-EC653058772A}" ma:internalName="Phase" ma:showField="Title" ma:web="{76ddd5ea-d475-414e-8091-4675c7a4bd1a}">
      <xsd:simpleType>
        <xsd:restriction base="dms:Lookup"/>
      </xsd:simpleType>
    </xsd:element>
    <xsd:element name="Précision_x0020_de_x0020_document" ma:index="7" nillable="true" ma:displayName="Précisions de document" ma:hidden="true" ma:list="{CD8F73AF-CF7D-4F56-B7C5-E37D10A86459}" ma:internalName="Pr_x00e9_cision_x0020_de_x0020_document" ma:readOnly="false" ma:showField="Title" ma:web="{76ddd5ea-d475-414e-8091-4675c7a4bd1a}">
      <xsd:simpleType>
        <xsd:restriction base="dms:Lookup"/>
      </xsd:simpleType>
    </xsd:element>
    <xsd:element name="Sujet" ma:index="8" nillable="true" ma:displayName="Sujet" ma:internalName="Sujet">
      <xsd:simpleType>
        <xsd:restriction base="dms:Note">
          <xsd:maxLength value="255"/>
        </xsd:restriction>
      </xsd:simpleType>
    </xsd:element>
    <xsd:element name="Cote_x0020_de_x0020_déposant" ma:index="9" nillable="true" ma:displayName="Cote déposant" ma:internalName="Cote_x0020_de_x0020_d_x00e9_posant">
      <xsd:simpleType>
        <xsd:restriction base="dms:Text">
          <xsd:maxLength value="255"/>
        </xsd:restriction>
      </xsd:simpleType>
    </xsd:element>
    <xsd:element name="Accés_x0020_restreint" ma:index="10" nillable="true" ma:displayName="Accès restreint" ma:default="0" ma:internalName="Acc_x00e9_s_x0020_restreint">
      <xsd:simpleType>
        <xsd:restriction base="dms:Boolean"/>
      </xsd:simpleType>
    </xsd:element>
    <xsd:element name="Cote_x0020_de_x0020_piéce" ma:index="11" nillable="true" ma:displayName="Cote de pièce" ma:internalName="Cote_x0020_de_x0020_pi_x00e9_ce">
      <xsd:simpleType>
        <xsd:restriction base="dms:Text">
          <xsd:maxLength value="255"/>
        </xsd:restriction>
      </xsd:simpleType>
    </xsd:element>
    <xsd:element name="Inscrit_x0020_au_x0020_plumitif" ma:index="12" nillable="true" ma:displayName="Inscrit au plumitif" ma:default="1" ma:internalName="Inscrit_x0020_au_x0020_plumitif">
      <xsd:simpleType>
        <xsd:restriction base="dms:Boolean"/>
      </xsd:simpleType>
    </xsd:element>
    <xsd:element name="Numéro_x0020_plumitif" ma:index="13" nillable="true" ma:displayName="Numéro plumitif" ma:decimals="0" ma:internalName="Num_x00e9_ro_x0020_plumitif">
      <xsd:simpleType>
        <xsd:restriction base="dms:Number">
          <xsd:maxInclusive value="9999"/>
          <xsd:minInclusive value="1"/>
        </xsd:restriction>
      </xsd:simpleType>
    </xsd:element>
    <xsd:element name="Diffusable_x0020_sur_x0020_le_x0020_Web" ma:index="14" nillable="true" ma:displayName="Diffusable sur le Web" ma:default="1" ma:internalName="Diffusable_x0020_sur_x0020_le_x0020_Web">
      <xsd:simpleType>
        <xsd:restriction base="dms:Boolean"/>
      </xsd:simpleType>
    </xsd:element>
    <xsd:element name="Ne_x0020_pas_x0020_envoyer_x0020_d_x0027_alerte" ma:index="15" nillable="true" ma:displayName="Ne pas envoyer d'alerte" ma:default="1" ma:internalName="Ne_x0020_pas_x0020_envoyer_x0020_d_x0027_alerte">
      <xsd:simpleType>
        <xsd:restriction base="dms:Boolean"/>
      </xsd:simpleType>
    </xsd:element>
    <xsd:element name="Confidentiel" ma:index="16" ma:displayName="Confidentiel" ma:list="{79B26B89-E55A-4B03-BEFA-7EE3A90275CF}" ma:internalName="Confidentiel" ma:showField="Title" ma:web="{76ddd5ea-d475-414e-8091-4675c7a4bd1a}">
      <xsd:simpleType>
        <xsd:restriction base="dms:Lookup"/>
      </xsd:simpleType>
    </xsd:element>
    <xsd:element name="Date_x0020_de_x0020_confidentialité_x0020_relevée" ma:index="17" nillable="true" ma:displayName="Date de confidentialité relevée" ma:format="DateOnly" ma:internalName="Date_x0020_de_x0020_confidentialit_x00e9__x0020_relev_x00e9_e">
      <xsd:simpleType>
        <xsd:restriction base="dms:DateTime"/>
      </xsd:simpleType>
    </xsd:element>
    <xsd:element name="Copie_x0020_papier_x0020_reçue" ma:index="18" nillable="true" ma:displayName="Copie papier reçue" ma:default="0" ma:internalName="Copie_x0020_papier_x0020_re_x00e7_ue">
      <xsd:simpleType>
        <xsd:restriction base="dms:Boolean"/>
      </xsd:simpleType>
    </xsd:element>
    <xsd:element name="Date_x0020_de_x0020_réception_x0020_copie_x0020_papier" ma:index="19" nillable="true" ma:displayName="Date de réception copie papier" ma:format="DateOnly" ma:internalName="Date_x0020_de_x0020_r_x00e9_ception_x0020_copie_x0020_papier">
      <xsd:simpleType>
        <xsd:restriction base="dms:DateTime"/>
      </xsd:simpleType>
    </xsd:element>
    <xsd:element name="Hidden_UploadedBy" ma:index="33" nillable="true" ma:displayName="Hidden_UploadedBy" ma:hidden="true" ma:internalName="Hidden_UploadedBy" ma:readOnly="false">
      <xsd:simpleType>
        <xsd:restriction base="dms:Text">
          <xsd:maxLength value="100"/>
        </xsd:restriction>
      </xsd:simpleType>
    </xsd:element>
    <xsd:element name="Hidden_UploadedAt" ma:index="34" nillable="true" ma:displayName="Hidden_UploadedAt" ma:default="[today]" ma:format="DateTime" ma:hidden="true" ma:internalName="Hidden_UploadedAt" ma:readOnly="false">
      <xsd:simpleType>
        <xsd:restriction base="dms:DateTime"/>
      </xsd:simpleType>
    </xsd:element>
    <xsd:element name="Hidden_ApprovedBy" ma:index="35" nillable="true" ma:displayName="Hidden_ApprovedBy" ma:hidden="true" ma:internalName="Hidden_ApprovedBy" ma:readOnly="false">
      <xsd:simpleType>
        <xsd:restriction base="dms:Text">
          <xsd:maxLength value="100"/>
        </xsd:restriction>
      </xsd:simpleType>
    </xsd:element>
    <xsd:element name="Hidden_ApprovedAt" ma:index="36" nillable="true" ma:displayName="Hidden_ApprovedAt" ma:default="[today]" ma:format="DateTime" ma:hidden="true" ma:internalName="Hidden_ApprovedAt" ma:readOnly="false">
      <xsd:simpleType>
        <xsd:restriction base="dms:DateTime"/>
      </xsd:simpleType>
    </xsd:element>
    <xsd:element name="Statut" ma:index="37" nillable="true" ma:displayName="Statut" ma:hidden="true" ma:internalName="Statut" ma:readOnly="false">
      <xsd:simpleType>
        <xsd:restriction base="dms:Text">
          <xsd:maxLength value="10"/>
        </xsd:restriction>
      </xsd:simpleType>
    </xsd:element>
  </xsd:schema>
  <xsd:schema xmlns:xsd="http://www.w3.org/2001/XMLSchema" xmlns:xs="http://www.w3.org/2001/XMLSchema" xmlns:dms="http://schemas.microsoft.com/office/2006/documentManagement/types" xmlns:pc="http://schemas.microsoft.com/office/infopath/2007/PartnerControls" targetNamespace="a84ed267-86d5-4fa1-a3cb-2fed497fe84f" elementFormDefault="qualified">
    <xsd:import namespace="http://schemas.microsoft.com/office/2006/documentManagement/types"/>
    <xsd:import namespace="http://schemas.microsoft.com/office/infopath/2007/PartnerControls"/>
    <xsd:element name="_dlc_DocId" ma:index="22" nillable="true" ma:displayName="Valeur d’ID de document" ma:description="Valeur de l’ID de document affecté à cet élément." ma:internalName="_dlc_DocId" ma:readOnly="true">
      <xsd:simpleType>
        <xsd:restriction base="dms:Text"/>
      </xsd:simpleType>
    </xsd:element>
    <xsd:element name="_dlc_DocIdUrl" ma:index="2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C31494-6611-4D85-99B9-7B855F1E7DD9}"/>
</file>

<file path=customXml/itemProps2.xml><?xml version="1.0" encoding="utf-8"?>
<ds:datastoreItem xmlns:ds="http://schemas.openxmlformats.org/officeDocument/2006/customXml" ds:itemID="{35A9C495-3387-4A29-BCC7-D2F55DF35F16}"/>
</file>

<file path=customXml/itemProps3.xml><?xml version="1.0" encoding="utf-8"?>
<ds:datastoreItem xmlns:ds="http://schemas.openxmlformats.org/officeDocument/2006/customXml" ds:itemID="{D33366A7-59A4-4C87-B2C4-64DD38357D2C}"/>
</file>

<file path=customXml/itemProps4.xml><?xml version="1.0" encoding="utf-8"?>
<ds:datastoreItem xmlns:ds="http://schemas.openxmlformats.org/officeDocument/2006/customXml" ds:itemID="{EE814537-36CB-4888-A394-F68B8D9DAB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COM and Rother</vt:lpstr>
      <vt:lpstr>Dispatching Costs</vt:lpstr>
      <vt:lpstr>HQT Plant and WACC data</vt:lpstr>
      <vt:lpstr>HQT Output and HQ Plant Data</vt:lpstr>
      <vt:lpstr>O&amp;M Cost Calculations</vt:lpstr>
      <vt:lpstr>Capital Cost Calculations</vt:lpstr>
      <vt:lpstr>Asset Price Index</vt:lpstr>
      <vt:lpstr>Implicit Capital Stock Deflator</vt:lpstr>
      <vt:lpstr>Bus Condition Variables</vt:lpstr>
      <vt:lpstr>Input Price</vt:lpstr>
      <vt:lpstr>Quebec vs. US  Labor</vt:lpstr>
      <vt:lpstr>Statistics Canada GDPIPIFDD</vt:lpstr>
      <vt:lpstr>Average Hourly Earnings</vt:lpstr>
      <vt:lpstr>OECD.Stat export</vt:lpstr>
      <vt:lpstr>HQ data for econometrics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PEG-1, document 3 - HQT Data WP (not confidential)</dc:subject>
  <dc:creator>Mark Lowry</dc:creator>
  <cp:lastModifiedBy>Pierre Pelletier</cp:lastModifiedBy>
  <cp:revision/>
  <dcterms:created xsi:type="dcterms:W3CDTF">2020-09-25T18:34:58Z</dcterms:created>
  <dcterms:modified xsi:type="dcterms:W3CDTF">2021-02-19T16:34:49Z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{17006D0B-483A-4532-96E6-B7055E5914E1}</vt:lpwstr>
  </property>
  <property fmtid="{D5CDD505-2E9C-101B-9397-08002B2CF9AE}" pid="3" name="ContentTypeId">
    <vt:lpwstr>0x010100F6681E3BDF397F418586AC591ADC81BB00270DC135B08771469C34929EBC439A5C</vt:lpwstr>
  </property>
  <property fmtid="{D5CDD505-2E9C-101B-9397-08002B2CF9AE}" pid="5" name="Order">
    <vt:r8>6049700</vt:r8>
  </property>
  <property fmtid="{D5CDD505-2E9C-101B-9397-08002B2CF9AE}" pid="6" name="_dlc_DocIdItemGuid">
    <vt:lpwstr>f9be13e3-a7f9-476c-a036-573f66ba4141</vt:lpwstr>
  </property>
</Properties>
</file>